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904" firstSheet="1" activeTab="11"/>
  </bookViews>
  <sheets>
    <sheet name="NumKnapLocal-BM" sheetId="4" r:id="rId1"/>
    <sheet name="DisKnapLocal-BM" sheetId="2" r:id="rId2"/>
    <sheet name="DemKnapLocal-BM" sheetId="3" r:id="rId3"/>
    <sheet name="Benchmarking-32" sheetId="5" r:id="rId4"/>
    <sheet name="Savings-BigInstances" sheetId="6" r:id="rId5"/>
    <sheet name="SavingsTable" sheetId="11" r:id="rId6"/>
    <sheet name="Stacked Bars" sheetId="7" r:id="rId7"/>
    <sheet name="AHResults" sheetId="8" r:id="rId8"/>
    <sheet name="DCP-HSR" sheetId="9" r:id="rId9"/>
    <sheet name="DCZ-HSA" sheetId="10" r:id="rId10"/>
    <sheet name="Sheet1" sheetId="1" r:id="rId11"/>
    <sheet name="Dynamic" sheetId="12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8" hidden="1">'DCP-HSR'!#REF!</definedName>
    <definedName name="_xlnm._FilterDatabase" localSheetId="11" hidden="1">Dynamic!$A$2:$M$113</definedName>
  </definedNames>
  <calcPr calcId="152511"/>
</workbook>
</file>

<file path=xl/calcChain.xml><?xml version="1.0" encoding="utf-8"?>
<calcChain xmlns="http://schemas.openxmlformats.org/spreadsheetml/2006/main">
  <c r="B11" i="12" l="1"/>
  <c r="B13" i="12"/>
  <c r="B14" i="12"/>
  <c r="B16" i="12"/>
  <c r="B17" i="12"/>
  <c r="B18" i="12"/>
  <c r="B19" i="12"/>
  <c r="B20" i="12"/>
  <c r="B21" i="12"/>
  <c r="B22" i="12"/>
  <c r="B23" i="12"/>
  <c r="B25" i="12"/>
  <c r="B27" i="12"/>
  <c r="B28" i="12"/>
  <c r="B29" i="12"/>
  <c r="B30" i="12"/>
  <c r="B31" i="12"/>
  <c r="B32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3" i="12"/>
  <c r="B5" i="12"/>
  <c r="B6" i="12"/>
  <c r="B7" i="12"/>
  <c r="B8" i="12"/>
  <c r="B9" i="12"/>
  <c r="B10" i="12"/>
  <c r="B12" i="12"/>
  <c r="B15" i="12"/>
  <c r="B24" i="12"/>
  <c r="B26" i="12"/>
  <c r="B33" i="12"/>
  <c r="B4" i="12"/>
  <c r="B3" i="12"/>
  <c r="U8" i="11" l="1"/>
  <c r="U9" i="11"/>
  <c r="U10" i="11"/>
  <c r="U7" i="11"/>
  <c r="T7" i="11"/>
  <c r="R7" i="11"/>
  <c r="Q8" i="11"/>
  <c r="Q9" i="11"/>
  <c r="Q10" i="11"/>
  <c r="Q7" i="11"/>
  <c r="H36" i="2" l="1"/>
  <c r="S7" i="11" l="1"/>
  <c r="Q11" i="11"/>
  <c r="Q12" i="11"/>
  <c r="Q13" i="11"/>
  <c r="Q14" i="11"/>
  <c r="P7" i="11"/>
  <c r="L10" i="11"/>
  <c r="L9" i="11"/>
  <c r="L8" i="11"/>
  <c r="AD32" i="1"/>
  <c r="AD33" i="1"/>
  <c r="AD31" i="1"/>
  <c r="AD54" i="1"/>
  <c r="AD53" i="1"/>
  <c r="AD52" i="1"/>
  <c r="AD50" i="1"/>
  <c r="AD49" i="1"/>
  <c r="AD48" i="1"/>
  <c r="AD46" i="1"/>
  <c r="AD45" i="1"/>
  <c r="AD44" i="1"/>
  <c r="AD42" i="1"/>
  <c r="AD41" i="1"/>
  <c r="AD40" i="1"/>
  <c r="AD37" i="1"/>
  <c r="AD38" i="1"/>
  <c r="AD36" i="1"/>
  <c r="AA32" i="1"/>
  <c r="AA33" i="1"/>
  <c r="AA31" i="1"/>
  <c r="AA54" i="1"/>
  <c r="AA53" i="1"/>
  <c r="AA52" i="1"/>
  <c r="AA50" i="1"/>
  <c r="AA49" i="1"/>
  <c r="AA48" i="1"/>
  <c r="AA46" i="1"/>
  <c r="AA45" i="1"/>
  <c r="AA44" i="1"/>
  <c r="AA42" i="1"/>
  <c r="AA41" i="1"/>
  <c r="AA40" i="1"/>
  <c r="AA37" i="1"/>
  <c r="AA38" i="1"/>
  <c r="AA36" i="1"/>
  <c r="G47" i="12" l="1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AJ9" i="1"/>
  <c r="AJ14" i="1"/>
  <c r="AJ15" i="1" s="1"/>
  <c r="AI12" i="1"/>
  <c r="AI11" i="1"/>
  <c r="AI10" i="1"/>
  <c r="AI9" i="1"/>
  <c r="AI8" i="1"/>
  <c r="V36" i="2"/>
  <c r="M113" i="12" l="1"/>
  <c r="K113" i="12"/>
  <c r="L113" i="12" s="1"/>
  <c r="M112" i="12"/>
  <c r="K112" i="12"/>
  <c r="L112" i="12" s="1"/>
  <c r="M111" i="12"/>
  <c r="K111" i="12"/>
  <c r="L111" i="12" s="1"/>
  <c r="M110" i="12"/>
  <c r="K110" i="12"/>
  <c r="L110" i="12" s="1"/>
  <c r="M109" i="12"/>
  <c r="K109" i="12"/>
  <c r="L109" i="12" s="1"/>
  <c r="M108" i="12"/>
  <c r="K108" i="12"/>
  <c r="L108" i="12" s="1"/>
  <c r="M107" i="12"/>
  <c r="K107" i="12"/>
  <c r="L107" i="12" s="1"/>
  <c r="M106" i="12"/>
  <c r="K106" i="12"/>
  <c r="L106" i="12" s="1"/>
  <c r="M105" i="12"/>
  <c r="K105" i="12"/>
  <c r="L105" i="12" s="1"/>
  <c r="M104" i="12"/>
  <c r="K104" i="12"/>
  <c r="L104" i="12" s="1"/>
  <c r="M103" i="12"/>
  <c r="K103" i="12"/>
  <c r="L103" i="12" s="1"/>
  <c r="M102" i="12"/>
  <c r="K102" i="12"/>
  <c r="L102" i="12" s="1"/>
  <c r="M101" i="12"/>
  <c r="K101" i="12"/>
  <c r="L101" i="12" s="1"/>
  <c r="M100" i="12"/>
  <c r="K100" i="12"/>
  <c r="L100" i="12" s="1"/>
  <c r="M99" i="12"/>
  <c r="K99" i="12"/>
  <c r="L99" i="12" s="1"/>
  <c r="M98" i="12"/>
  <c r="K98" i="12"/>
  <c r="L98" i="12" s="1"/>
  <c r="M97" i="12"/>
  <c r="K97" i="12"/>
  <c r="L97" i="12" s="1"/>
  <c r="M96" i="12"/>
  <c r="K96" i="12"/>
  <c r="L96" i="12" s="1"/>
  <c r="M95" i="12"/>
  <c r="K95" i="12"/>
  <c r="L95" i="12" s="1"/>
  <c r="M94" i="12"/>
  <c r="K94" i="12"/>
  <c r="L94" i="12" s="1"/>
  <c r="M93" i="12"/>
  <c r="K93" i="12"/>
  <c r="L93" i="12" s="1"/>
  <c r="M92" i="12"/>
  <c r="K92" i="12"/>
  <c r="L92" i="12" s="1"/>
  <c r="M91" i="12"/>
  <c r="K91" i="12"/>
  <c r="L91" i="12" s="1"/>
  <c r="M90" i="12"/>
  <c r="K90" i="12"/>
  <c r="L90" i="12" s="1"/>
  <c r="M89" i="12"/>
  <c r="K89" i="12"/>
  <c r="L89" i="12" s="1"/>
  <c r="M88" i="12"/>
  <c r="K88" i="12"/>
  <c r="L88" i="12" s="1"/>
  <c r="M87" i="12"/>
  <c r="K87" i="12"/>
  <c r="L87" i="12" s="1"/>
  <c r="M86" i="12"/>
  <c r="K86" i="12"/>
  <c r="L86" i="12" s="1"/>
  <c r="M85" i="12"/>
  <c r="K85" i="12"/>
  <c r="L85" i="12" s="1"/>
  <c r="M84" i="12"/>
  <c r="K84" i="12"/>
  <c r="L84" i="12" s="1"/>
  <c r="M83" i="12"/>
  <c r="K83" i="12"/>
  <c r="L83" i="12" s="1"/>
  <c r="M82" i="12"/>
  <c r="K82" i="12"/>
  <c r="L82" i="12" s="1"/>
  <c r="M81" i="12"/>
  <c r="K81" i="12"/>
  <c r="L81" i="12" s="1"/>
  <c r="M80" i="12"/>
  <c r="K80" i="12"/>
  <c r="L80" i="12" s="1"/>
  <c r="M79" i="12"/>
  <c r="K79" i="12"/>
  <c r="L79" i="12" s="1"/>
  <c r="M78" i="12"/>
  <c r="K78" i="12"/>
  <c r="L78" i="12" s="1"/>
  <c r="M77" i="12"/>
  <c r="K77" i="12"/>
  <c r="L77" i="12" s="1"/>
  <c r="M76" i="12"/>
  <c r="K76" i="12"/>
  <c r="L76" i="12" s="1"/>
  <c r="M75" i="12"/>
  <c r="K75" i="12"/>
  <c r="L75" i="12" s="1"/>
  <c r="M74" i="12"/>
  <c r="K74" i="12"/>
  <c r="L74" i="12" s="1"/>
  <c r="M73" i="12"/>
  <c r="K73" i="12"/>
  <c r="L73" i="12" s="1"/>
  <c r="M72" i="12"/>
  <c r="K72" i="12"/>
  <c r="L72" i="12" s="1"/>
  <c r="M71" i="12"/>
  <c r="K71" i="12"/>
  <c r="L71" i="12" s="1"/>
  <c r="M70" i="12"/>
  <c r="K70" i="12"/>
  <c r="L70" i="12" s="1"/>
  <c r="M69" i="12"/>
  <c r="K69" i="12"/>
  <c r="L69" i="12" s="1"/>
  <c r="M68" i="12"/>
  <c r="K68" i="12"/>
  <c r="L68" i="12" s="1"/>
  <c r="M67" i="12"/>
  <c r="K67" i="12"/>
  <c r="L67" i="12" s="1"/>
  <c r="M66" i="12"/>
  <c r="K66" i="12"/>
  <c r="L66" i="12" s="1"/>
  <c r="M65" i="12"/>
  <c r="K65" i="12"/>
  <c r="L65" i="12" s="1"/>
  <c r="M64" i="12"/>
  <c r="K64" i="12"/>
  <c r="L64" i="12" s="1"/>
  <c r="M63" i="12"/>
  <c r="K63" i="12"/>
  <c r="L63" i="12" s="1"/>
  <c r="M62" i="12"/>
  <c r="K62" i="12"/>
  <c r="L62" i="12" s="1"/>
  <c r="M61" i="12"/>
  <c r="K61" i="12"/>
  <c r="L61" i="12" s="1"/>
  <c r="M60" i="12"/>
  <c r="K60" i="12"/>
  <c r="L60" i="12" s="1"/>
  <c r="M59" i="12"/>
  <c r="K59" i="12"/>
  <c r="L59" i="12" s="1"/>
  <c r="M58" i="12"/>
  <c r="K58" i="12"/>
  <c r="L58" i="12" s="1"/>
  <c r="M57" i="12"/>
  <c r="K57" i="12"/>
  <c r="L57" i="12" s="1"/>
  <c r="M56" i="12"/>
  <c r="K56" i="12"/>
  <c r="L56" i="12" s="1"/>
  <c r="M55" i="12"/>
  <c r="K55" i="12"/>
  <c r="L55" i="12" s="1"/>
  <c r="M54" i="12"/>
  <c r="K54" i="12"/>
  <c r="L54" i="12" s="1"/>
  <c r="M53" i="12"/>
  <c r="K53" i="12"/>
  <c r="L53" i="12" s="1"/>
  <c r="M52" i="12"/>
  <c r="K52" i="12"/>
  <c r="L52" i="12" s="1"/>
  <c r="M51" i="12"/>
  <c r="K51" i="12"/>
  <c r="L51" i="12" s="1"/>
  <c r="M50" i="12"/>
  <c r="K50" i="12"/>
  <c r="L50" i="12" s="1"/>
  <c r="M49" i="12"/>
  <c r="K49" i="12"/>
  <c r="L49" i="12" s="1"/>
  <c r="M48" i="12"/>
  <c r="K48" i="12"/>
  <c r="L48" i="12" s="1"/>
  <c r="M47" i="12"/>
  <c r="K47" i="12"/>
  <c r="L47" i="12" s="1"/>
  <c r="M46" i="12"/>
  <c r="K46" i="12"/>
  <c r="L46" i="12" s="1"/>
  <c r="E46" i="12"/>
  <c r="D46" i="12"/>
  <c r="F46" i="12" s="1"/>
  <c r="M45" i="12"/>
  <c r="K45" i="12"/>
  <c r="L45" i="12" s="1"/>
  <c r="E45" i="12"/>
  <c r="D45" i="12"/>
  <c r="F45" i="12" s="1"/>
  <c r="M44" i="12"/>
  <c r="K44" i="12"/>
  <c r="L44" i="12" s="1"/>
  <c r="E44" i="12"/>
  <c r="D44" i="12"/>
  <c r="F44" i="12" s="1"/>
  <c r="M43" i="12"/>
  <c r="K43" i="12"/>
  <c r="L43" i="12" s="1"/>
  <c r="E43" i="12"/>
  <c r="D43" i="12"/>
  <c r="F43" i="12" s="1"/>
  <c r="M42" i="12"/>
  <c r="K42" i="12"/>
  <c r="L42" i="12" s="1"/>
  <c r="E42" i="12"/>
  <c r="D42" i="12"/>
  <c r="F42" i="12" s="1"/>
  <c r="M41" i="12"/>
  <c r="K41" i="12"/>
  <c r="L41" i="12" s="1"/>
  <c r="E41" i="12"/>
  <c r="D41" i="12"/>
  <c r="F41" i="12" s="1"/>
  <c r="M40" i="12"/>
  <c r="K40" i="12"/>
  <c r="L40" i="12" s="1"/>
  <c r="E40" i="12"/>
  <c r="D40" i="12"/>
  <c r="F40" i="12" s="1"/>
  <c r="M39" i="12"/>
  <c r="K39" i="12"/>
  <c r="L39" i="12" s="1"/>
  <c r="E39" i="12"/>
  <c r="D39" i="12"/>
  <c r="F39" i="12" s="1"/>
  <c r="M38" i="12"/>
  <c r="K38" i="12"/>
  <c r="L38" i="12" s="1"/>
  <c r="E38" i="12"/>
  <c r="D38" i="12"/>
  <c r="F38" i="12" s="1"/>
  <c r="M37" i="12"/>
  <c r="K37" i="12"/>
  <c r="L37" i="12" s="1"/>
  <c r="E37" i="12"/>
  <c r="D37" i="12"/>
  <c r="F37" i="12" s="1"/>
  <c r="M36" i="12"/>
  <c r="K36" i="12"/>
  <c r="L36" i="12" s="1"/>
  <c r="E36" i="12"/>
  <c r="D36" i="12"/>
  <c r="F36" i="12" s="1"/>
  <c r="M35" i="12"/>
  <c r="K35" i="12"/>
  <c r="L35" i="12" s="1"/>
  <c r="E35" i="12"/>
  <c r="D35" i="12"/>
  <c r="F35" i="12" s="1"/>
  <c r="M34" i="12"/>
  <c r="K34" i="12"/>
  <c r="L34" i="12" s="1"/>
  <c r="E34" i="12"/>
  <c r="D34" i="12"/>
  <c r="F34" i="12" s="1"/>
  <c r="M33" i="12"/>
  <c r="K33" i="12"/>
  <c r="L33" i="12" s="1"/>
  <c r="E33" i="12"/>
  <c r="D33" i="12"/>
  <c r="F33" i="12" s="1"/>
  <c r="M32" i="12"/>
  <c r="K32" i="12"/>
  <c r="L32" i="12" s="1"/>
  <c r="E32" i="12"/>
  <c r="D32" i="12"/>
  <c r="F32" i="12" s="1"/>
  <c r="M31" i="12"/>
  <c r="K31" i="12"/>
  <c r="L31" i="12" s="1"/>
  <c r="E31" i="12"/>
  <c r="D31" i="12"/>
  <c r="F31" i="12" s="1"/>
  <c r="M30" i="12"/>
  <c r="K30" i="12"/>
  <c r="L30" i="12" s="1"/>
  <c r="E30" i="12"/>
  <c r="D30" i="12"/>
  <c r="F30" i="12" s="1"/>
  <c r="M29" i="12"/>
  <c r="K29" i="12"/>
  <c r="L29" i="12" s="1"/>
  <c r="E29" i="12"/>
  <c r="D29" i="12"/>
  <c r="F29" i="12" s="1"/>
  <c r="M28" i="12"/>
  <c r="K28" i="12"/>
  <c r="L28" i="12" s="1"/>
  <c r="E28" i="12"/>
  <c r="D28" i="12"/>
  <c r="F28" i="12" s="1"/>
  <c r="M27" i="12"/>
  <c r="K27" i="12"/>
  <c r="L27" i="12" s="1"/>
  <c r="E27" i="12"/>
  <c r="D27" i="12"/>
  <c r="F27" i="12" s="1"/>
  <c r="M26" i="12"/>
  <c r="K26" i="12"/>
  <c r="L26" i="12" s="1"/>
  <c r="E26" i="12"/>
  <c r="D26" i="12"/>
  <c r="F26" i="12" s="1"/>
  <c r="M25" i="12"/>
  <c r="K25" i="12"/>
  <c r="L25" i="12" s="1"/>
  <c r="E25" i="12"/>
  <c r="D25" i="12"/>
  <c r="F25" i="12" s="1"/>
  <c r="M24" i="12"/>
  <c r="K24" i="12"/>
  <c r="L24" i="12" s="1"/>
  <c r="E24" i="12"/>
  <c r="D24" i="12"/>
  <c r="F24" i="12" s="1"/>
  <c r="M23" i="12"/>
  <c r="K23" i="12"/>
  <c r="L23" i="12" s="1"/>
  <c r="E23" i="12"/>
  <c r="D23" i="12"/>
  <c r="F23" i="12" s="1"/>
  <c r="M22" i="12"/>
  <c r="K22" i="12"/>
  <c r="L22" i="12" s="1"/>
  <c r="E22" i="12"/>
  <c r="D22" i="12"/>
  <c r="F22" i="12" s="1"/>
  <c r="M21" i="12"/>
  <c r="K21" i="12"/>
  <c r="L21" i="12" s="1"/>
  <c r="E21" i="12"/>
  <c r="D21" i="12"/>
  <c r="F21" i="12" s="1"/>
  <c r="M20" i="12"/>
  <c r="K20" i="12"/>
  <c r="L20" i="12" s="1"/>
  <c r="E20" i="12"/>
  <c r="D20" i="12"/>
  <c r="F20" i="12" s="1"/>
  <c r="M19" i="12"/>
  <c r="K19" i="12"/>
  <c r="L19" i="12" s="1"/>
  <c r="E19" i="12"/>
  <c r="D19" i="12"/>
  <c r="F19" i="12" s="1"/>
  <c r="M18" i="12"/>
  <c r="K18" i="12"/>
  <c r="L18" i="12" s="1"/>
  <c r="E18" i="12"/>
  <c r="D18" i="12"/>
  <c r="F18" i="12" s="1"/>
  <c r="M17" i="12"/>
  <c r="K17" i="12"/>
  <c r="L17" i="12" s="1"/>
  <c r="E17" i="12"/>
  <c r="D17" i="12"/>
  <c r="F17" i="12" s="1"/>
  <c r="M16" i="12"/>
  <c r="K16" i="12"/>
  <c r="L16" i="12" s="1"/>
  <c r="E16" i="12"/>
  <c r="D16" i="12"/>
  <c r="F16" i="12" s="1"/>
  <c r="M15" i="12"/>
  <c r="K15" i="12"/>
  <c r="L15" i="12" s="1"/>
  <c r="E15" i="12"/>
  <c r="D15" i="12"/>
  <c r="F15" i="12" s="1"/>
  <c r="M14" i="12"/>
  <c r="K14" i="12"/>
  <c r="L14" i="12" s="1"/>
  <c r="E14" i="12"/>
  <c r="D14" i="12"/>
  <c r="F14" i="12" s="1"/>
  <c r="M13" i="12"/>
  <c r="K13" i="12"/>
  <c r="L13" i="12" s="1"/>
  <c r="E13" i="12"/>
  <c r="D13" i="12"/>
  <c r="F13" i="12" s="1"/>
  <c r="M12" i="12"/>
  <c r="K12" i="12"/>
  <c r="L12" i="12" s="1"/>
  <c r="E12" i="12"/>
  <c r="D12" i="12"/>
  <c r="F12" i="12" s="1"/>
  <c r="M11" i="12"/>
  <c r="K11" i="12"/>
  <c r="L11" i="12" s="1"/>
  <c r="E11" i="12"/>
  <c r="D11" i="12"/>
  <c r="F11" i="12" s="1"/>
  <c r="M10" i="12"/>
  <c r="K10" i="12"/>
  <c r="L10" i="12" s="1"/>
  <c r="E10" i="12"/>
  <c r="D10" i="12"/>
  <c r="F10" i="12" s="1"/>
  <c r="M9" i="12"/>
  <c r="K9" i="12"/>
  <c r="L9" i="12" s="1"/>
  <c r="E9" i="12"/>
  <c r="D9" i="12"/>
  <c r="F9" i="12" s="1"/>
  <c r="M8" i="12"/>
  <c r="K8" i="12"/>
  <c r="L8" i="12" s="1"/>
  <c r="E8" i="12"/>
  <c r="D8" i="12"/>
  <c r="F8" i="12" s="1"/>
  <c r="M7" i="12"/>
  <c r="K7" i="12"/>
  <c r="L7" i="12" s="1"/>
  <c r="E7" i="12"/>
  <c r="D7" i="12"/>
  <c r="F7" i="12" s="1"/>
  <c r="M6" i="12"/>
  <c r="K6" i="12"/>
  <c r="L6" i="12" s="1"/>
  <c r="E6" i="12"/>
  <c r="D6" i="12"/>
  <c r="F6" i="12" s="1"/>
  <c r="M5" i="12"/>
  <c r="K5" i="12"/>
  <c r="L5" i="12" s="1"/>
  <c r="E5" i="12"/>
  <c r="D5" i="12"/>
  <c r="F5" i="12" s="1"/>
  <c r="M4" i="12"/>
  <c r="K4" i="12"/>
  <c r="L4" i="12" s="1"/>
  <c r="E4" i="12"/>
  <c r="D4" i="12"/>
  <c r="F4" i="12" s="1"/>
  <c r="M3" i="12"/>
  <c r="K3" i="12"/>
  <c r="L3" i="12" s="1"/>
  <c r="E3" i="12"/>
  <c r="D3" i="12"/>
  <c r="F3" i="12" s="1"/>
  <c r="N27" i="12" l="1"/>
  <c r="N35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6" i="12"/>
  <c r="N37" i="12"/>
  <c r="N38" i="12"/>
  <c r="N39" i="12"/>
  <c r="N40" i="12"/>
  <c r="N41" i="12"/>
  <c r="N42" i="12"/>
  <c r="N43" i="12"/>
  <c r="N44" i="12"/>
  <c r="N45" i="12"/>
  <c r="N46" i="12"/>
  <c r="N48" i="12"/>
  <c r="N50" i="12"/>
  <c r="N52" i="12"/>
  <c r="N54" i="12"/>
  <c r="N56" i="12"/>
  <c r="N58" i="12"/>
  <c r="N60" i="12"/>
  <c r="N62" i="12"/>
  <c r="N64" i="12"/>
  <c r="N66" i="12"/>
  <c r="N68" i="12"/>
  <c r="N70" i="12"/>
  <c r="N72" i="12"/>
  <c r="N74" i="12"/>
  <c r="N76" i="12"/>
  <c r="N78" i="12"/>
  <c r="N80" i="12"/>
  <c r="N82" i="12"/>
  <c r="N84" i="12"/>
  <c r="N86" i="12"/>
  <c r="N88" i="12"/>
  <c r="N90" i="12"/>
  <c r="N92" i="12"/>
  <c r="N94" i="12"/>
  <c r="N96" i="12"/>
  <c r="N98" i="12"/>
  <c r="N100" i="12"/>
  <c r="N102" i="12"/>
  <c r="N104" i="12"/>
  <c r="N106" i="12"/>
  <c r="N108" i="12"/>
  <c r="N110" i="12"/>
  <c r="N112" i="12"/>
  <c r="N28" i="12"/>
  <c r="N29" i="12"/>
  <c r="N30" i="12"/>
  <c r="N31" i="12"/>
  <c r="N32" i="12"/>
  <c r="N33" i="12"/>
  <c r="N34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N47" i="12"/>
  <c r="N49" i="12"/>
  <c r="N51" i="12"/>
  <c r="N53" i="12"/>
  <c r="N55" i="12"/>
  <c r="N57" i="12"/>
  <c r="N59" i="12"/>
  <c r="N61" i="12"/>
  <c r="N63" i="12"/>
  <c r="N65" i="12"/>
  <c r="N67" i="12"/>
  <c r="N69" i="12"/>
  <c r="N71" i="12"/>
  <c r="N73" i="12"/>
  <c r="N75" i="12"/>
  <c r="N77" i="12"/>
  <c r="N79" i="12"/>
  <c r="N81" i="12"/>
  <c r="N83" i="12"/>
  <c r="N85" i="12"/>
  <c r="N87" i="12"/>
  <c r="N89" i="12"/>
  <c r="N91" i="12"/>
  <c r="N93" i="12"/>
  <c r="N95" i="12"/>
  <c r="N97" i="12"/>
  <c r="N99" i="12"/>
  <c r="N101" i="12"/>
  <c r="N103" i="12"/>
  <c r="N105" i="12"/>
  <c r="N107" i="12"/>
  <c r="N109" i="12"/>
  <c r="N111" i="12"/>
  <c r="N113" i="12"/>
  <c r="H20" i="1"/>
  <c r="F32" i="1"/>
  <c r="F33" i="1" s="1"/>
  <c r="Q5" i="9" l="1"/>
  <c r="Q6" i="9"/>
  <c r="Q7" i="9"/>
  <c r="Q8" i="9"/>
  <c r="Q9" i="9"/>
  <c r="Q10" i="9"/>
  <c r="Q11" i="9"/>
  <c r="Q12" i="9"/>
  <c r="Q13" i="9"/>
  <c r="Q14" i="9"/>
  <c r="Q16" i="9"/>
  <c r="Q17" i="9"/>
  <c r="Q18" i="9"/>
  <c r="Q19" i="9"/>
  <c r="Q20" i="9"/>
  <c r="Q21" i="9"/>
  <c r="Q22" i="9"/>
  <c r="Q23" i="9"/>
  <c r="Q24" i="9"/>
  <c r="Q25" i="9"/>
  <c r="Q26" i="9"/>
  <c r="Q28" i="9"/>
  <c r="Q29" i="9"/>
  <c r="Q30" i="9"/>
  <c r="Q31" i="9"/>
  <c r="Q32" i="9"/>
  <c r="Q33" i="9"/>
  <c r="Q34" i="9"/>
  <c r="Q35" i="9"/>
  <c r="Q36" i="9"/>
  <c r="Q37" i="9"/>
  <c r="Q38" i="9"/>
  <c r="Q40" i="9"/>
  <c r="Q41" i="9"/>
  <c r="Q42" i="9"/>
  <c r="Q43" i="9"/>
  <c r="Q44" i="9"/>
  <c r="Q45" i="9"/>
  <c r="Q46" i="9"/>
  <c r="Q47" i="9"/>
  <c r="Q48" i="9"/>
  <c r="Q49" i="9"/>
  <c r="Q50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6" i="9"/>
  <c r="Q167" i="9"/>
  <c r="Q168" i="9"/>
  <c r="Q169" i="9"/>
  <c r="Q170" i="9"/>
  <c r="Q171" i="9"/>
  <c r="Q172" i="9"/>
  <c r="Q173" i="9"/>
  <c r="Q174" i="9"/>
  <c r="Q175" i="9"/>
  <c r="Q176" i="9"/>
  <c r="Q178" i="9"/>
  <c r="Q179" i="9"/>
  <c r="Q180" i="9"/>
  <c r="Q181" i="9"/>
  <c r="Q182" i="9"/>
  <c r="Q183" i="9"/>
  <c r="Q184" i="9"/>
  <c r="Q185" i="9"/>
  <c r="Q186" i="9"/>
  <c r="Q187" i="9"/>
  <c r="Q4" i="9"/>
  <c r="W14" i="11" l="1"/>
  <c r="X14" i="11" s="1"/>
  <c r="R14" i="11"/>
  <c r="O14" i="11"/>
  <c r="M14" i="11"/>
  <c r="L14" i="11"/>
  <c r="K14" i="11"/>
  <c r="P14" i="11" s="1"/>
  <c r="T14" i="11" s="1"/>
  <c r="J14" i="11"/>
  <c r="I14" i="11"/>
  <c r="H14" i="11"/>
  <c r="F14" i="11"/>
  <c r="W13" i="11"/>
  <c r="X13" i="11" s="1"/>
  <c r="R13" i="11"/>
  <c r="O13" i="11"/>
  <c r="M13" i="11"/>
  <c r="L13" i="11"/>
  <c r="K13" i="11"/>
  <c r="P13" i="11" s="1"/>
  <c r="T13" i="11" s="1"/>
  <c r="J13" i="11"/>
  <c r="I13" i="11"/>
  <c r="H13" i="11"/>
  <c r="F13" i="11"/>
  <c r="W12" i="11"/>
  <c r="X12" i="11" s="1"/>
  <c r="R12" i="11"/>
  <c r="O12" i="11"/>
  <c r="M12" i="11"/>
  <c r="S12" i="11" s="1"/>
  <c r="S16" i="11" s="1"/>
  <c r="L12" i="11"/>
  <c r="K12" i="11"/>
  <c r="P12" i="11" s="1"/>
  <c r="T12" i="11" s="1"/>
  <c r="J12" i="11"/>
  <c r="I12" i="11"/>
  <c r="H12" i="11"/>
  <c r="F12" i="11"/>
  <c r="W11" i="11"/>
  <c r="X11" i="11" s="1"/>
  <c r="R11" i="11"/>
  <c r="I23" i="11" s="1"/>
  <c r="O11" i="11"/>
  <c r="M11" i="11"/>
  <c r="J23" i="11" s="1"/>
  <c r="L11" i="11"/>
  <c r="K11" i="11"/>
  <c r="P11" i="11" s="1"/>
  <c r="T11" i="11" s="1"/>
  <c r="J11" i="11"/>
  <c r="I11" i="11"/>
  <c r="H11" i="11"/>
  <c r="H23" i="11" s="1"/>
  <c r="F11" i="11"/>
  <c r="W10" i="11"/>
  <c r="X10" i="11" s="1"/>
  <c r="O10" i="11"/>
  <c r="M10" i="11"/>
  <c r="K10" i="11"/>
  <c r="P10" i="11" s="1"/>
  <c r="J10" i="11"/>
  <c r="I10" i="11"/>
  <c r="H10" i="11"/>
  <c r="H22" i="11" s="1"/>
  <c r="F10" i="11"/>
  <c r="W9" i="11"/>
  <c r="X9" i="11" s="1"/>
  <c r="O9" i="11"/>
  <c r="M9" i="11"/>
  <c r="K9" i="11"/>
  <c r="P9" i="11" s="1"/>
  <c r="J9" i="11"/>
  <c r="I9" i="11"/>
  <c r="H9" i="11"/>
  <c r="H21" i="11" s="1"/>
  <c r="F9" i="11"/>
  <c r="W8" i="11"/>
  <c r="X8" i="11" s="1"/>
  <c r="O8" i="11"/>
  <c r="M8" i="11"/>
  <c r="J20" i="11" s="1"/>
  <c r="K8" i="11"/>
  <c r="P8" i="11" s="1"/>
  <c r="J8" i="11"/>
  <c r="I8" i="11"/>
  <c r="H8" i="11"/>
  <c r="H20" i="11" s="1"/>
  <c r="F8" i="11"/>
  <c r="T8" i="11" l="1"/>
  <c r="R8" i="11"/>
  <c r="I20" i="11" s="1"/>
  <c r="T9" i="11"/>
  <c r="R9" i="11"/>
  <c r="I21" i="11" s="1"/>
  <c r="T10" i="11"/>
  <c r="R10" i="11"/>
  <c r="I22" i="11" s="1"/>
  <c r="V14" i="11"/>
  <c r="S8" i="11"/>
  <c r="V9" i="11"/>
  <c r="V13" i="11"/>
  <c r="V10" i="11"/>
  <c r="V12" i="11"/>
  <c r="J21" i="11"/>
  <c r="S9" i="11"/>
  <c r="S10" i="11"/>
  <c r="S13" i="11"/>
  <c r="S17" i="11" s="1"/>
  <c r="S14" i="11"/>
  <c r="J22" i="11"/>
  <c r="V11" i="11"/>
  <c r="V8" i="11"/>
  <c r="S11" i="11"/>
  <c r="U150" i="10"/>
  <c r="Q150" i="10"/>
  <c r="P150" i="10"/>
  <c r="J150" i="10"/>
  <c r="C150" i="10"/>
  <c r="U149" i="10"/>
  <c r="Q149" i="10"/>
  <c r="P149" i="10"/>
  <c r="J149" i="10"/>
  <c r="C149" i="10"/>
  <c r="Q148" i="10"/>
  <c r="P148" i="10"/>
  <c r="N148" i="10"/>
  <c r="U148" i="10" s="1"/>
  <c r="J148" i="10"/>
  <c r="C148" i="10"/>
  <c r="Q147" i="10"/>
  <c r="P147" i="10"/>
  <c r="N147" i="10"/>
  <c r="U147" i="10" s="1"/>
  <c r="J147" i="10"/>
  <c r="C147" i="10"/>
  <c r="U146" i="10"/>
  <c r="Q146" i="10"/>
  <c r="P146" i="10"/>
  <c r="J146" i="10"/>
  <c r="C146" i="10"/>
  <c r="U145" i="10"/>
  <c r="Q145" i="10"/>
  <c r="P145" i="10"/>
  <c r="J145" i="10"/>
  <c r="C145" i="10"/>
  <c r="U144" i="10"/>
  <c r="Q144" i="10"/>
  <c r="P144" i="10"/>
  <c r="J144" i="10"/>
  <c r="C144" i="10"/>
  <c r="J143" i="10"/>
  <c r="Q142" i="10"/>
  <c r="P142" i="10"/>
  <c r="N142" i="10"/>
  <c r="U142" i="10" s="1"/>
  <c r="J142" i="10"/>
  <c r="C142" i="10"/>
  <c r="U141" i="10"/>
  <c r="Q141" i="10"/>
  <c r="P141" i="10"/>
  <c r="J141" i="10"/>
  <c r="C141" i="10"/>
  <c r="U140" i="10"/>
  <c r="Q140" i="10"/>
  <c r="P140" i="10"/>
  <c r="N140" i="10"/>
  <c r="J140" i="10"/>
  <c r="C140" i="10"/>
  <c r="U139" i="10"/>
  <c r="Q139" i="10"/>
  <c r="P139" i="10"/>
  <c r="N139" i="10"/>
  <c r="J139" i="10"/>
  <c r="C139" i="10"/>
  <c r="U138" i="10"/>
  <c r="Q138" i="10"/>
  <c r="P138" i="10"/>
  <c r="J138" i="10"/>
  <c r="C138" i="10"/>
  <c r="U137" i="10"/>
  <c r="Q137" i="10"/>
  <c r="P137" i="10"/>
  <c r="J137" i="10"/>
  <c r="C137" i="10"/>
  <c r="U136" i="10"/>
  <c r="Q136" i="10"/>
  <c r="P136" i="10"/>
  <c r="J136" i="10"/>
  <c r="C136" i="10"/>
  <c r="J135" i="10"/>
  <c r="U134" i="10"/>
  <c r="Q134" i="10"/>
  <c r="P134" i="10"/>
  <c r="J134" i="10"/>
  <c r="C134" i="10"/>
  <c r="U133" i="10"/>
  <c r="Q133" i="10"/>
  <c r="P133" i="10"/>
  <c r="J133" i="10"/>
  <c r="C133" i="10"/>
  <c r="U132" i="10"/>
  <c r="Q132" i="10"/>
  <c r="P132" i="10"/>
  <c r="J132" i="10"/>
  <c r="C132" i="10"/>
  <c r="U131" i="10"/>
  <c r="Q131" i="10"/>
  <c r="P131" i="10"/>
  <c r="J131" i="10"/>
  <c r="C131" i="10"/>
  <c r="U130" i="10"/>
  <c r="Q130" i="10"/>
  <c r="P130" i="10"/>
  <c r="J130" i="10"/>
  <c r="C130" i="10"/>
  <c r="U129" i="10"/>
  <c r="Q129" i="10"/>
  <c r="P129" i="10"/>
  <c r="J129" i="10"/>
  <c r="C129" i="10"/>
  <c r="U128" i="10"/>
  <c r="Q128" i="10"/>
  <c r="P128" i="10"/>
  <c r="J128" i="10"/>
  <c r="C128" i="10"/>
  <c r="J127" i="10"/>
  <c r="Q126" i="10"/>
  <c r="P126" i="10"/>
  <c r="J126" i="10"/>
  <c r="C126" i="10"/>
  <c r="Q125" i="10"/>
  <c r="P125" i="10"/>
  <c r="J125" i="10"/>
  <c r="C125" i="10"/>
  <c r="Q124" i="10"/>
  <c r="P124" i="10"/>
  <c r="J124" i="10"/>
  <c r="C124" i="10"/>
  <c r="Q123" i="10"/>
  <c r="P123" i="10"/>
  <c r="J123" i="10"/>
  <c r="C123" i="10"/>
  <c r="J122" i="10"/>
  <c r="U121" i="10"/>
  <c r="Q121" i="10"/>
  <c r="P121" i="10"/>
  <c r="J121" i="10"/>
  <c r="C121" i="10"/>
  <c r="U120" i="10"/>
  <c r="Q120" i="10"/>
  <c r="P120" i="10"/>
  <c r="J120" i="10"/>
  <c r="C120" i="10"/>
  <c r="U119" i="10"/>
  <c r="Q119" i="10"/>
  <c r="P119" i="10"/>
  <c r="J119" i="10"/>
  <c r="C119" i="10"/>
  <c r="U118" i="10"/>
  <c r="Q118" i="10"/>
  <c r="P118" i="10"/>
  <c r="J118" i="10"/>
  <c r="C118" i="10"/>
  <c r="U117" i="10"/>
  <c r="Q117" i="10"/>
  <c r="P117" i="10"/>
  <c r="J117" i="10"/>
  <c r="C117" i="10"/>
  <c r="U116" i="10"/>
  <c r="Q116" i="10"/>
  <c r="P116" i="10"/>
  <c r="J116" i="10"/>
  <c r="C116" i="10"/>
  <c r="U115" i="10"/>
  <c r="Q115" i="10"/>
  <c r="P115" i="10"/>
  <c r="J115" i="10"/>
  <c r="C115" i="10"/>
  <c r="Q114" i="10"/>
  <c r="P114" i="10"/>
  <c r="J114" i="10"/>
  <c r="U113" i="10"/>
  <c r="Q113" i="10"/>
  <c r="P113" i="10"/>
  <c r="J113" i="10"/>
  <c r="C113" i="10"/>
  <c r="U112" i="10"/>
  <c r="Q112" i="10"/>
  <c r="P112" i="10"/>
  <c r="J112" i="10"/>
  <c r="C112" i="10"/>
  <c r="U111" i="10"/>
  <c r="Q111" i="10"/>
  <c r="P111" i="10"/>
  <c r="N111" i="10"/>
  <c r="J111" i="10"/>
  <c r="C111" i="10"/>
  <c r="U110" i="10"/>
  <c r="Q110" i="10"/>
  <c r="P110" i="10"/>
  <c r="N110" i="10"/>
  <c r="J110" i="10"/>
  <c r="C110" i="10"/>
  <c r="U109" i="10"/>
  <c r="Q109" i="10"/>
  <c r="P109" i="10"/>
  <c r="J109" i="10"/>
  <c r="C109" i="10"/>
  <c r="U108" i="10"/>
  <c r="Q108" i="10"/>
  <c r="P108" i="10"/>
  <c r="J108" i="10"/>
  <c r="C108" i="10"/>
  <c r="U107" i="10"/>
  <c r="Q107" i="10"/>
  <c r="P107" i="10"/>
  <c r="J107" i="10"/>
  <c r="C107" i="10"/>
  <c r="J106" i="10"/>
  <c r="U105" i="10"/>
  <c r="Q105" i="10"/>
  <c r="P105" i="10"/>
  <c r="N105" i="10"/>
  <c r="J105" i="10"/>
  <c r="C105" i="10"/>
  <c r="U104" i="10"/>
  <c r="Q104" i="10"/>
  <c r="P104" i="10"/>
  <c r="J104" i="10"/>
  <c r="C104" i="10"/>
  <c r="Q103" i="10"/>
  <c r="P103" i="10"/>
  <c r="N103" i="10"/>
  <c r="U103" i="10" s="1"/>
  <c r="J103" i="10"/>
  <c r="C103" i="10"/>
  <c r="U102" i="10"/>
  <c r="Q102" i="10"/>
  <c r="P102" i="10"/>
  <c r="J102" i="10"/>
  <c r="C102" i="10"/>
  <c r="U101" i="10"/>
  <c r="Q101" i="10"/>
  <c r="P101" i="10"/>
  <c r="J101" i="10"/>
  <c r="C101" i="10"/>
  <c r="U100" i="10"/>
  <c r="Q100" i="10"/>
  <c r="P100" i="10"/>
  <c r="J100" i="10"/>
  <c r="C100" i="10"/>
  <c r="U99" i="10"/>
  <c r="Q99" i="10"/>
  <c r="P99" i="10"/>
  <c r="J99" i="10"/>
  <c r="C99" i="10"/>
  <c r="J98" i="10"/>
  <c r="U97" i="10"/>
  <c r="Q97" i="10"/>
  <c r="P97" i="10"/>
  <c r="J97" i="10"/>
  <c r="C97" i="10"/>
  <c r="U96" i="10"/>
  <c r="Q96" i="10"/>
  <c r="P96" i="10"/>
  <c r="J96" i="10"/>
  <c r="C96" i="10"/>
  <c r="U95" i="10"/>
  <c r="Q95" i="10"/>
  <c r="P95" i="10"/>
  <c r="J95" i="10"/>
  <c r="C95" i="10"/>
  <c r="U94" i="10"/>
  <c r="Q94" i="10"/>
  <c r="P94" i="10"/>
  <c r="J94" i="10"/>
  <c r="C94" i="10"/>
  <c r="U93" i="10"/>
  <c r="Q93" i="10"/>
  <c r="P93" i="10"/>
  <c r="J93" i="10"/>
  <c r="C93" i="10"/>
  <c r="U92" i="10"/>
  <c r="Q92" i="10"/>
  <c r="P92" i="10"/>
  <c r="J92" i="10"/>
  <c r="C92" i="10"/>
  <c r="U91" i="10"/>
  <c r="Q91" i="10"/>
  <c r="P91" i="10"/>
  <c r="J91" i="10"/>
  <c r="C91" i="10"/>
  <c r="Q90" i="10"/>
  <c r="P90" i="10"/>
  <c r="J90" i="10"/>
  <c r="Q89" i="10"/>
  <c r="P89" i="10"/>
  <c r="J89" i="10"/>
  <c r="C89" i="10"/>
  <c r="Q88" i="10"/>
  <c r="P88" i="10"/>
  <c r="J88" i="10"/>
  <c r="C88" i="10"/>
  <c r="Q87" i="10"/>
  <c r="P87" i="10"/>
  <c r="J87" i="10"/>
  <c r="C87" i="10"/>
  <c r="Q86" i="10"/>
  <c r="P86" i="10"/>
  <c r="J86" i="10"/>
  <c r="C86" i="10"/>
  <c r="J85" i="10"/>
  <c r="U84" i="10"/>
  <c r="Q84" i="10"/>
  <c r="P84" i="10"/>
  <c r="J84" i="10"/>
  <c r="C84" i="10"/>
  <c r="U83" i="10"/>
  <c r="Q83" i="10"/>
  <c r="P83" i="10"/>
  <c r="J83" i="10"/>
  <c r="C83" i="10"/>
  <c r="U82" i="10"/>
  <c r="Q82" i="10"/>
  <c r="P82" i="10"/>
  <c r="J82" i="10"/>
  <c r="C82" i="10"/>
  <c r="U81" i="10"/>
  <c r="Q81" i="10"/>
  <c r="P81" i="10"/>
  <c r="J81" i="10"/>
  <c r="C81" i="10"/>
  <c r="U80" i="10"/>
  <c r="Q80" i="10"/>
  <c r="P80" i="10"/>
  <c r="J80" i="10"/>
  <c r="C80" i="10"/>
  <c r="U79" i="10"/>
  <c r="Q79" i="10"/>
  <c r="P79" i="10"/>
  <c r="J79" i="10"/>
  <c r="C79" i="10"/>
  <c r="U78" i="10"/>
  <c r="Q78" i="10"/>
  <c r="P78" i="10"/>
  <c r="J78" i="10"/>
  <c r="C78" i="10"/>
  <c r="J77" i="10"/>
  <c r="U76" i="10"/>
  <c r="Q76" i="10"/>
  <c r="P76" i="10"/>
  <c r="J76" i="10"/>
  <c r="C76" i="10"/>
  <c r="U75" i="10"/>
  <c r="Q75" i="10"/>
  <c r="P75" i="10"/>
  <c r="J75" i="10"/>
  <c r="C75" i="10"/>
  <c r="U74" i="10"/>
  <c r="Q74" i="10"/>
  <c r="P74" i="10"/>
  <c r="N74" i="10"/>
  <c r="J74" i="10"/>
  <c r="C74" i="10"/>
  <c r="U73" i="10"/>
  <c r="Q73" i="10"/>
  <c r="P73" i="10"/>
  <c r="N73" i="10"/>
  <c r="J73" i="10"/>
  <c r="C73" i="10"/>
  <c r="U72" i="10"/>
  <c r="Q72" i="10"/>
  <c r="P72" i="10"/>
  <c r="J72" i="10"/>
  <c r="C72" i="10"/>
  <c r="U71" i="10"/>
  <c r="Q71" i="10"/>
  <c r="P71" i="10"/>
  <c r="J71" i="10"/>
  <c r="C71" i="10"/>
  <c r="U70" i="10"/>
  <c r="Q70" i="10"/>
  <c r="P70" i="10"/>
  <c r="J70" i="10"/>
  <c r="C70" i="10"/>
  <c r="J69" i="10"/>
  <c r="U68" i="10"/>
  <c r="Q68" i="10"/>
  <c r="P68" i="10"/>
  <c r="N68" i="10"/>
  <c r="J68" i="10"/>
  <c r="C68" i="10"/>
  <c r="U67" i="10"/>
  <c r="Q67" i="10"/>
  <c r="P67" i="10"/>
  <c r="J67" i="10"/>
  <c r="C67" i="10"/>
  <c r="Q66" i="10"/>
  <c r="P66" i="10"/>
  <c r="N66" i="10"/>
  <c r="U66" i="10" s="1"/>
  <c r="J66" i="10"/>
  <c r="C66" i="10"/>
  <c r="Q65" i="10"/>
  <c r="P65" i="10"/>
  <c r="N65" i="10"/>
  <c r="U65" i="10" s="1"/>
  <c r="J65" i="10"/>
  <c r="C65" i="10"/>
  <c r="U64" i="10"/>
  <c r="Q64" i="10"/>
  <c r="P64" i="10"/>
  <c r="J64" i="10"/>
  <c r="C64" i="10"/>
  <c r="U63" i="10"/>
  <c r="Q63" i="10"/>
  <c r="P63" i="10"/>
  <c r="J63" i="10"/>
  <c r="C63" i="10"/>
  <c r="U62" i="10"/>
  <c r="Q62" i="10"/>
  <c r="P62" i="10"/>
  <c r="J62" i="10"/>
  <c r="C62" i="10"/>
  <c r="J61" i="10"/>
  <c r="U60" i="10"/>
  <c r="Q60" i="10"/>
  <c r="P60" i="10"/>
  <c r="J60" i="10"/>
  <c r="C60" i="10"/>
  <c r="U59" i="10"/>
  <c r="Q59" i="10"/>
  <c r="P59" i="10"/>
  <c r="J59" i="10"/>
  <c r="C59" i="10"/>
  <c r="U58" i="10"/>
  <c r="Q58" i="10"/>
  <c r="P58" i="10"/>
  <c r="J58" i="10"/>
  <c r="C58" i="10"/>
  <c r="U57" i="10"/>
  <c r="Q57" i="10"/>
  <c r="P57" i="10"/>
  <c r="J57" i="10"/>
  <c r="C57" i="10"/>
  <c r="U56" i="10"/>
  <c r="Q56" i="10"/>
  <c r="P56" i="10"/>
  <c r="J56" i="10"/>
  <c r="C56" i="10"/>
  <c r="U55" i="10"/>
  <c r="Q55" i="10"/>
  <c r="P55" i="10"/>
  <c r="J55" i="10"/>
  <c r="C55" i="10"/>
  <c r="U54" i="10"/>
  <c r="Q54" i="10"/>
  <c r="P54" i="10"/>
  <c r="J54" i="10"/>
  <c r="C54" i="10"/>
  <c r="Q53" i="10"/>
  <c r="P53" i="10"/>
  <c r="J53" i="10"/>
  <c r="Q52" i="10"/>
  <c r="P52" i="10"/>
  <c r="J52" i="10"/>
  <c r="C52" i="10"/>
  <c r="Q51" i="10"/>
  <c r="P51" i="10"/>
  <c r="J51" i="10"/>
  <c r="C51" i="10"/>
  <c r="Q50" i="10"/>
  <c r="P50" i="10"/>
  <c r="J50" i="10"/>
  <c r="C50" i="10"/>
  <c r="Q49" i="10"/>
  <c r="P49" i="10"/>
  <c r="J49" i="10"/>
  <c r="C49" i="10"/>
  <c r="J48" i="10"/>
  <c r="U47" i="10"/>
  <c r="Q47" i="10"/>
  <c r="P47" i="10"/>
  <c r="J47" i="10"/>
  <c r="C47" i="10"/>
  <c r="U46" i="10"/>
  <c r="Q46" i="10"/>
  <c r="P46" i="10"/>
  <c r="J46" i="10"/>
  <c r="C46" i="10"/>
  <c r="U45" i="10"/>
  <c r="Q45" i="10"/>
  <c r="P45" i="10"/>
  <c r="J45" i="10"/>
  <c r="C45" i="10"/>
  <c r="U44" i="10"/>
  <c r="Q44" i="10"/>
  <c r="P44" i="10"/>
  <c r="J44" i="10"/>
  <c r="C44" i="10"/>
  <c r="U43" i="10"/>
  <c r="Q43" i="10"/>
  <c r="P43" i="10"/>
  <c r="J43" i="10"/>
  <c r="C43" i="10"/>
  <c r="U42" i="10"/>
  <c r="Q42" i="10"/>
  <c r="P42" i="10"/>
  <c r="J42" i="10"/>
  <c r="C42" i="10"/>
  <c r="U41" i="10"/>
  <c r="Q41" i="10"/>
  <c r="P41" i="10"/>
  <c r="J41" i="10"/>
  <c r="C41" i="10"/>
  <c r="J40" i="10"/>
  <c r="U39" i="10"/>
  <c r="Q39" i="10"/>
  <c r="P39" i="10"/>
  <c r="J39" i="10"/>
  <c r="C39" i="10"/>
  <c r="U38" i="10"/>
  <c r="Q38" i="10"/>
  <c r="P38" i="10"/>
  <c r="J38" i="10"/>
  <c r="C38" i="10"/>
  <c r="U37" i="10"/>
  <c r="Q37" i="10"/>
  <c r="P37" i="10"/>
  <c r="J37" i="10"/>
  <c r="C37" i="10"/>
  <c r="U36" i="10"/>
  <c r="Q36" i="10"/>
  <c r="P36" i="10"/>
  <c r="N36" i="10"/>
  <c r="J36" i="10"/>
  <c r="C36" i="10"/>
  <c r="U35" i="10"/>
  <c r="Q35" i="10"/>
  <c r="P35" i="10"/>
  <c r="J35" i="10"/>
  <c r="C35" i="10"/>
  <c r="U34" i="10"/>
  <c r="Q34" i="10"/>
  <c r="P34" i="10"/>
  <c r="J34" i="10"/>
  <c r="C34" i="10"/>
  <c r="U33" i="10"/>
  <c r="Q33" i="10"/>
  <c r="P33" i="10"/>
  <c r="J33" i="10"/>
  <c r="C33" i="10"/>
  <c r="Q31" i="10"/>
  <c r="P31" i="10"/>
  <c r="N31" i="10"/>
  <c r="U31" i="10" s="1"/>
  <c r="J31" i="10"/>
  <c r="C31" i="10"/>
  <c r="U30" i="10"/>
  <c r="Q30" i="10"/>
  <c r="P30" i="10"/>
  <c r="J30" i="10"/>
  <c r="C30" i="10"/>
  <c r="U29" i="10"/>
  <c r="Q29" i="10"/>
  <c r="P29" i="10"/>
  <c r="N29" i="10"/>
  <c r="J29" i="10"/>
  <c r="C29" i="10"/>
  <c r="U28" i="10"/>
  <c r="Q28" i="10"/>
  <c r="P28" i="10"/>
  <c r="N28" i="10"/>
  <c r="J28" i="10"/>
  <c r="C28" i="10"/>
  <c r="U27" i="10"/>
  <c r="Q27" i="10"/>
  <c r="P27" i="10"/>
  <c r="J27" i="10"/>
  <c r="C27" i="10"/>
  <c r="U26" i="10"/>
  <c r="Q26" i="10"/>
  <c r="P26" i="10"/>
  <c r="J26" i="10"/>
  <c r="C26" i="10"/>
  <c r="U25" i="10"/>
  <c r="Q25" i="10"/>
  <c r="P25" i="10"/>
  <c r="J25" i="10"/>
  <c r="C25" i="10"/>
  <c r="U23" i="10"/>
  <c r="Q23" i="10"/>
  <c r="P23" i="10"/>
  <c r="J23" i="10"/>
  <c r="C23" i="10"/>
  <c r="U22" i="10"/>
  <c r="Q22" i="10"/>
  <c r="P22" i="10"/>
  <c r="J22" i="10"/>
  <c r="C22" i="10"/>
  <c r="U21" i="10"/>
  <c r="Q21" i="10"/>
  <c r="P21" i="10"/>
  <c r="J21" i="10"/>
  <c r="C21" i="10"/>
  <c r="U20" i="10"/>
  <c r="Q20" i="10"/>
  <c r="P20" i="10"/>
  <c r="J20" i="10"/>
  <c r="C20" i="10"/>
  <c r="U19" i="10"/>
  <c r="Q19" i="10"/>
  <c r="P19" i="10"/>
  <c r="J19" i="10"/>
  <c r="C19" i="10"/>
  <c r="U18" i="10"/>
  <c r="Q18" i="10"/>
  <c r="P18" i="10"/>
  <c r="J18" i="10"/>
  <c r="C18" i="10"/>
  <c r="U17" i="10"/>
  <c r="Q17" i="10"/>
  <c r="P17" i="10"/>
  <c r="J17" i="10"/>
  <c r="C17" i="10"/>
  <c r="C15" i="10"/>
  <c r="C14" i="10"/>
  <c r="C13" i="10"/>
  <c r="C12" i="10"/>
  <c r="U10" i="10"/>
  <c r="Q10" i="10"/>
  <c r="P10" i="10"/>
  <c r="J10" i="10"/>
  <c r="C10" i="10"/>
  <c r="U9" i="10"/>
  <c r="Q9" i="10"/>
  <c r="P9" i="10"/>
  <c r="J9" i="10"/>
  <c r="C9" i="10"/>
  <c r="U8" i="10"/>
  <c r="Q8" i="10"/>
  <c r="P8" i="10"/>
  <c r="J8" i="10"/>
  <c r="C8" i="10"/>
  <c r="U7" i="10"/>
  <c r="Q7" i="10"/>
  <c r="P7" i="10"/>
  <c r="J7" i="10"/>
  <c r="C7" i="10"/>
  <c r="U6" i="10"/>
  <c r="Q6" i="10"/>
  <c r="P6" i="10"/>
  <c r="J6" i="10"/>
  <c r="C6" i="10"/>
  <c r="U5" i="10"/>
  <c r="Q5" i="10"/>
  <c r="P5" i="10"/>
  <c r="J5" i="10"/>
  <c r="C5" i="10"/>
  <c r="U4" i="10"/>
  <c r="Q4" i="10"/>
  <c r="P4" i="10"/>
  <c r="J4" i="10"/>
  <c r="C4" i="10"/>
  <c r="Q2" i="10"/>
  <c r="P2" i="10"/>
  <c r="I189" i="9"/>
  <c r="W188" i="9"/>
  <c r="T188" i="9"/>
  <c r="S188" i="9"/>
  <c r="R188" i="9"/>
  <c r="N188" i="9"/>
  <c r="C188" i="9"/>
  <c r="W187" i="9"/>
  <c r="T187" i="9"/>
  <c r="S187" i="9"/>
  <c r="R187" i="9"/>
  <c r="K187" i="9"/>
  <c r="C187" i="9"/>
  <c r="W186" i="9"/>
  <c r="T186" i="9"/>
  <c r="S186" i="9"/>
  <c r="R186" i="9"/>
  <c r="K186" i="9"/>
  <c r="C186" i="9"/>
  <c r="T185" i="9"/>
  <c r="S185" i="9"/>
  <c r="R185" i="9"/>
  <c r="O185" i="9"/>
  <c r="W185" i="9" s="1"/>
  <c r="K185" i="9"/>
  <c r="C185" i="9"/>
  <c r="T184" i="9"/>
  <c r="S184" i="9"/>
  <c r="R184" i="9"/>
  <c r="O184" i="9"/>
  <c r="W184" i="9" s="1"/>
  <c r="K184" i="9"/>
  <c r="C184" i="9"/>
  <c r="W183" i="9"/>
  <c r="T183" i="9"/>
  <c r="S183" i="9"/>
  <c r="R183" i="9"/>
  <c r="K183" i="9"/>
  <c r="C183" i="9"/>
  <c r="W182" i="9"/>
  <c r="T182" i="9"/>
  <c r="S182" i="9"/>
  <c r="R182" i="9"/>
  <c r="K182" i="9"/>
  <c r="C182" i="9"/>
  <c r="W181" i="9"/>
  <c r="T181" i="9"/>
  <c r="S181" i="9"/>
  <c r="R181" i="9"/>
  <c r="K181" i="9"/>
  <c r="C181" i="9"/>
  <c r="W180" i="9"/>
  <c r="T180" i="9"/>
  <c r="S180" i="9"/>
  <c r="R180" i="9"/>
  <c r="K180" i="9"/>
  <c r="C180" i="9"/>
  <c r="W179" i="9"/>
  <c r="T179" i="9"/>
  <c r="S179" i="9"/>
  <c r="R179" i="9"/>
  <c r="K179" i="9"/>
  <c r="C179" i="9"/>
  <c r="W178" i="9"/>
  <c r="T178" i="9"/>
  <c r="S178" i="9"/>
  <c r="R178" i="9"/>
  <c r="K178" i="9"/>
  <c r="C178" i="9"/>
  <c r="W177" i="9"/>
  <c r="V177" i="9"/>
  <c r="W176" i="9"/>
  <c r="T176" i="9"/>
  <c r="S176" i="9"/>
  <c r="R176" i="9"/>
  <c r="K176" i="9"/>
  <c r="C176" i="9"/>
  <c r="W175" i="9"/>
  <c r="T175" i="9"/>
  <c r="S175" i="9"/>
  <c r="R175" i="9"/>
  <c r="K175" i="9"/>
  <c r="C175" i="9"/>
  <c r="W174" i="9"/>
  <c r="T174" i="9"/>
  <c r="S174" i="9"/>
  <c r="R174" i="9"/>
  <c r="K174" i="9"/>
  <c r="C174" i="9"/>
  <c r="W173" i="9"/>
  <c r="T173" i="9"/>
  <c r="S173" i="9"/>
  <c r="R173" i="9"/>
  <c r="K173" i="9"/>
  <c r="C173" i="9"/>
  <c r="W172" i="9"/>
  <c r="T172" i="9"/>
  <c r="S172" i="9"/>
  <c r="R172" i="9"/>
  <c r="O172" i="9"/>
  <c r="K172" i="9"/>
  <c r="C172" i="9"/>
  <c r="W171" i="9"/>
  <c r="T171" i="9"/>
  <c r="S171" i="9"/>
  <c r="R171" i="9"/>
  <c r="K171" i="9"/>
  <c r="C171" i="9"/>
  <c r="W170" i="9"/>
  <c r="T170" i="9"/>
  <c r="S170" i="9"/>
  <c r="R170" i="9"/>
  <c r="K170" i="9"/>
  <c r="C170" i="9"/>
  <c r="W169" i="9"/>
  <c r="T169" i="9"/>
  <c r="S169" i="9"/>
  <c r="R169" i="9"/>
  <c r="K169" i="9"/>
  <c r="C169" i="9"/>
  <c r="W168" i="9"/>
  <c r="T168" i="9"/>
  <c r="S168" i="9"/>
  <c r="R168" i="9"/>
  <c r="K168" i="9"/>
  <c r="C168" i="9"/>
  <c r="W167" i="9"/>
  <c r="T167" i="9"/>
  <c r="S167" i="9"/>
  <c r="R167" i="9"/>
  <c r="K167" i="9"/>
  <c r="C167" i="9"/>
  <c r="W166" i="9"/>
  <c r="T166" i="9"/>
  <c r="S166" i="9"/>
  <c r="R166" i="9"/>
  <c r="O166" i="9"/>
  <c r="K166" i="9"/>
  <c r="C166" i="9"/>
  <c r="W165" i="9"/>
  <c r="V165" i="9"/>
  <c r="W164" i="9"/>
  <c r="T164" i="9"/>
  <c r="S164" i="9"/>
  <c r="R164" i="9"/>
  <c r="K164" i="9"/>
  <c r="C164" i="9"/>
  <c r="W163" i="9"/>
  <c r="T163" i="9"/>
  <c r="S163" i="9"/>
  <c r="R163" i="9"/>
  <c r="K163" i="9"/>
  <c r="C163" i="9"/>
  <c r="W162" i="9"/>
  <c r="T162" i="9"/>
  <c r="S162" i="9"/>
  <c r="R162" i="9"/>
  <c r="K162" i="9"/>
  <c r="C162" i="9"/>
  <c r="W161" i="9"/>
  <c r="T161" i="9"/>
  <c r="S161" i="9"/>
  <c r="R161" i="9"/>
  <c r="K161" i="9"/>
  <c r="C161" i="9"/>
  <c r="W160" i="9"/>
  <c r="T160" i="9"/>
  <c r="S160" i="9"/>
  <c r="R160" i="9"/>
  <c r="K160" i="9"/>
  <c r="C160" i="9"/>
  <c r="W159" i="9"/>
  <c r="T159" i="9"/>
  <c r="S159" i="9"/>
  <c r="R159" i="9"/>
  <c r="K159" i="9"/>
  <c r="C159" i="9"/>
  <c r="W158" i="9"/>
  <c r="T158" i="9"/>
  <c r="S158" i="9"/>
  <c r="R158" i="9"/>
  <c r="K158" i="9"/>
  <c r="C158" i="9"/>
  <c r="W157" i="9"/>
  <c r="T157" i="9"/>
  <c r="S157" i="9"/>
  <c r="R157" i="9"/>
  <c r="K157" i="9"/>
  <c r="C157" i="9"/>
  <c r="W156" i="9"/>
  <c r="T156" i="9"/>
  <c r="S156" i="9"/>
  <c r="R156" i="9"/>
  <c r="K156" i="9"/>
  <c r="C156" i="9"/>
  <c r="W155" i="9"/>
  <c r="T155" i="9"/>
  <c r="S155" i="9"/>
  <c r="R155" i="9"/>
  <c r="K155" i="9"/>
  <c r="C155" i="9"/>
  <c r="W154" i="9"/>
  <c r="T154" i="9"/>
  <c r="S154" i="9"/>
  <c r="R154" i="9"/>
  <c r="K154" i="9"/>
  <c r="C154" i="9"/>
  <c r="W153" i="9"/>
  <c r="V153" i="9"/>
  <c r="K153" i="9"/>
  <c r="W152" i="9"/>
  <c r="T152" i="9"/>
  <c r="S152" i="9"/>
  <c r="R152" i="9"/>
  <c r="K152" i="9"/>
  <c r="C152" i="9"/>
  <c r="W151" i="9"/>
  <c r="T151" i="9"/>
  <c r="S151" i="9"/>
  <c r="R151" i="9"/>
  <c r="K151" i="9"/>
  <c r="C151" i="9"/>
  <c r="W150" i="9"/>
  <c r="T150" i="9"/>
  <c r="S150" i="9"/>
  <c r="R150" i="9"/>
  <c r="K150" i="9"/>
  <c r="C150" i="9"/>
  <c r="W149" i="9"/>
  <c r="T149" i="9"/>
  <c r="S149" i="9"/>
  <c r="R149" i="9"/>
  <c r="K149" i="9"/>
  <c r="C149" i="9"/>
  <c r="W148" i="9"/>
  <c r="T148" i="9"/>
  <c r="S148" i="9"/>
  <c r="R148" i="9"/>
  <c r="K148" i="9"/>
  <c r="C148" i="9"/>
  <c r="W147" i="9"/>
  <c r="T147" i="9"/>
  <c r="S147" i="9"/>
  <c r="R147" i="9"/>
  <c r="K147" i="9"/>
  <c r="C147" i="9"/>
  <c r="W146" i="9"/>
  <c r="T146" i="9"/>
  <c r="S146" i="9"/>
  <c r="R146" i="9"/>
  <c r="K146" i="9"/>
  <c r="C146" i="9"/>
  <c r="W145" i="9"/>
  <c r="T145" i="9"/>
  <c r="S145" i="9"/>
  <c r="R145" i="9"/>
  <c r="K145" i="9"/>
  <c r="C145" i="9"/>
  <c r="W144" i="9"/>
  <c r="T144" i="9"/>
  <c r="S144" i="9"/>
  <c r="R144" i="9"/>
  <c r="K144" i="9"/>
  <c r="C144" i="9"/>
  <c r="W143" i="9"/>
  <c r="T143" i="9"/>
  <c r="S143" i="9"/>
  <c r="R143" i="9"/>
  <c r="K143" i="9"/>
  <c r="C143" i="9"/>
  <c r="W142" i="9"/>
  <c r="V142" i="9"/>
  <c r="K142" i="9"/>
  <c r="W141" i="9"/>
  <c r="T141" i="9"/>
  <c r="S141" i="9"/>
  <c r="R141" i="9"/>
  <c r="K141" i="9"/>
  <c r="C141" i="9"/>
  <c r="W140" i="9"/>
  <c r="T140" i="9"/>
  <c r="S140" i="9"/>
  <c r="R140" i="9"/>
  <c r="K140" i="9"/>
  <c r="C140" i="9"/>
  <c r="W139" i="9"/>
  <c r="T139" i="9"/>
  <c r="S139" i="9"/>
  <c r="R139" i="9"/>
  <c r="K139" i="9"/>
  <c r="C139" i="9"/>
  <c r="W138" i="9"/>
  <c r="T138" i="9"/>
  <c r="S138" i="9"/>
  <c r="R138" i="9"/>
  <c r="K138" i="9"/>
  <c r="C138" i="9"/>
  <c r="W137" i="9"/>
  <c r="T137" i="9"/>
  <c r="S137" i="9"/>
  <c r="R137" i="9"/>
  <c r="K137" i="9"/>
  <c r="C137" i="9"/>
  <c r="W136" i="9"/>
  <c r="T136" i="9"/>
  <c r="S136" i="9"/>
  <c r="R136" i="9"/>
  <c r="K136" i="9"/>
  <c r="C136" i="9"/>
  <c r="W135" i="9"/>
  <c r="T135" i="9"/>
  <c r="S135" i="9"/>
  <c r="R135" i="9"/>
  <c r="K135" i="9"/>
  <c r="C135" i="9"/>
  <c r="W134" i="9"/>
  <c r="T134" i="9"/>
  <c r="S134" i="9"/>
  <c r="R134" i="9"/>
  <c r="K134" i="9"/>
  <c r="C134" i="9"/>
  <c r="T133" i="9"/>
  <c r="S133" i="9"/>
  <c r="R133" i="9"/>
  <c r="O133" i="9"/>
  <c r="W133" i="9" s="1"/>
  <c r="K133" i="9"/>
  <c r="C133" i="9"/>
  <c r="W132" i="9"/>
  <c r="T132" i="9"/>
  <c r="S132" i="9"/>
  <c r="R132" i="9"/>
  <c r="K132" i="9"/>
  <c r="C132" i="9"/>
  <c r="W131" i="9"/>
  <c r="V131" i="9"/>
  <c r="K131" i="9"/>
  <c r="W130" i="9"/>
  <c r="T130" i="9"/>
  <c r="S130" i="9"/>
  <c r="R130" i="9"/>
  <c r="K130" i="9"/>
  <c r="C130" i="9"/>
  <c r="W129" i="9"/>
  <c r="T129" i="9"/>
  <c r="S129" i="9"/>
  <c r="R129" i="9"/>
  <c r="K129" i="9"/>
  <c r="C129" i="9"/>
  <c r="W128" i="9"/>
  <c r="T128" i="9"/>
  <c r="S128" i="9"/>
  <c r="R128" i="9"/>
  <c r="K128" i="9"/>
  <c r="C128" i="9"/>
  <c r="W127" i="9"/>
  <c r="T127" i="9"/>
  <c r="S127" i="9"/>
  <c r="R127" i="9"/>
  <c r="O127" i="9"/>
  <c r="K127" i="9"/>
  <c r="C127" i="9"/>
  <c r="W126" i="9"/>
  <c r="T126" i="9"/>
  <c r="S126" i="9"/>
  <c r="R126" i="9"/>
  <c r="K126" i="9"/>
  <c r="C126" i="9"/>
  <c r="W125" i="9"/>
  <c r="T125" i="9"/>
  <c r="S125" i="9"/>
  <c r="R125" i="9"/>
  <c r="K125" i="9"/>
  <c r="C125" i="9"/>
  <c r="W124" i="9"/>
  <c r="T124" i="9"/>
  <c r="S124" i="9"/>
  <c r="R124" i="9"/>
  <c r="K124" i="9"/>
  <c r="C124" i="9"/>
  <c r="W123" i="9"/>
  <c r="T123" i="9"/>
  <c r="S123" i="9"/>
  <c r="R123" i="9"/>
  <c r="K123" i="9"/>
  <c r="C123" i="9"/>
  <c r="W122" i="9"/>
  <c r="T122" i="9"/>
  <c r="S122" i="9"/>
  <c r="R122" i="9"/>
  <c r="K122" i="9"/>
  <c r="C122" i="9"/>
  <c r="T121" i="9"/>
  <c r="S121" i="9"/>
  <c r="R121" i="9"/>
  <c r="O121" i="9"/>
  <c r="W121" i="9" s="1"/>
  <c r="K121" i="9"/>
  <c r="C121" i="9"/>
  <c r="W120" i="9"/>
  <c r="V120" i="9"/>
  <c r="K120" i="9"/>
  <c r="W119" i="9"/>
  <c r="T119" i="9"/>
  <c r="S119" i="9"/>
  <c r="R119" i="9"/>
  <c r="K119" i="9"/>
  <c r="C119" i="9"/>
  <c r="W118" i="9"/>
  <c r="T118" i="9"/>
  <c r="S118" i="9"/>
  <c r="R118" i="9"/>
  <c r="K118" i="9"/>
  <c r="C118" i="9"/>
  <c r="W117" i="9"/>
  <c r="T117" i="9"/>
  <c r="S117" i="9"/>
  <c r="R117" i="9"/>
  <c r="K117" i="9"/>
  <c r="C117" i="9"/>
  <c r="W116" i="9"/>
  <c r="T116" i="9"/>
  <c r="S116" i="9"/>
  <c r="R116" i="9"/>
  <c r="K116" i="9"/>
  <c r="C116" i="9"/>
  <c r="W115" i="9"/>
  <c r="T115" i="9"/>
  <c r="S115" i="9"/>
  <c r="R115" i="9"/>
  <c r="K115" i="9"/>
  <c r="C115" i="9"/>
  <c r="W114" i="9"/>
  <c r="T114" i="9"/>
  <c r="S114" i="9"/>
  <c r="R114" i="9"/>
  <c r="K114" i="9"/>
  <c r="C114" i="9"/>
  <c r="W113" i="9"/>
  <c r="T113" i="9"/>
  <c r="S113" i="9"/>
  <c r="R113" i="9"/>
  <c r="K113" i="9"/>
  <c r="C113" i="9"/>
  <c r="W112" i="9"/>
  <c r="T112" i="9"/>
  <c r="S112" i="9"/>
  <c r="R112" i="9"/>
  <c r="K112" i="9"/>
  <c r="C112" i="9"/>
  <c r="W111" i="9"/>
  <c r="T111" i="9"/>
  <c r="S111" i="9"/>
  <c r="R111" i="9"/>
  <c r="K111" i="9"/>
  <c r="C111" i="9"/>
  <c r="W110" i="9"/>
  <c r="T110" i="9"/>
  <c r="S110" i="9"/>
  <c r="R110" i="9"/>
  <c r="K110" i="9"/>
  <c r="C110" i="9"/>
  <c r="W109" i="9"/>
  <c r="V109" i="9"/>
  <c r="K109" i="9"/>
  <c r="W108" i="9"/>
  <c r="T108" i="9"/>
  <c r="S108" i="9"/>
  <c r="R108" i="9"/>
  <c r="K108" i="9"/>
  <c r="C108" i="9"/>
  <c r="W107" i="9"/>
  <c r="T107" i="9"/>
  <c r="S107" i="9"/>
  <c r="R107" i="9"/>
  <c r="K107" i="9"/>
  <c r="C107" i="9"/>
  <c r="W106" i="9"/>
  <c r="T106" i="9"/>
  <c r="S106" i="9"/>
  <c r="R106" i="9"/>
  <c r="K106" i="9"/>
  <c r="C106" i="9"/>
  <c r="W105" i="9"/>
  <c r="T105" i="9"/>
  <c r="S105" i="9"/>
  <c r="R105" i="9"/>
  <c r="K105" i="9"/>
  <c r="C105" i="9"/>
  <c r="W104" i="9"/>
  <c r="T104" i="9"/>
  <c r="S104" i="9"/>
  <c r="R104" i="9"/>
  <c r="K104" i="9"/>
  <c r="C104" i="9"/>
  <c r="W103" i="9"/>
  <c r="T103" i="9"/>
  <c r="S103" i="9"/>
  <c r="R103" i="9"/>
  <c r="K103" i="9"/>
  <c r="C103" i="9"/>
  <c r="W102" i="9"/>
  <c r="T102" i="9"/>
  <c r="S102" i="9"/>
  <c r="R102" i="9"/>
  <c r="K102" i="9"/>
  <c r="C102" i="9"/>
  <c r="W101" i="9"/>
  <c r="T101" i="9"/>
  <c r="S101" i="9"/>
  <c r="R101" i="9"/>
  <c r="K101" i="9"/>
  <c r="C101" i="9"/>
  <c r="W100" i="9"/>
  <c r="T100" i="9"/>
  <c r="S100" i="9"/>
  <c r="R100" i="9"/>
  <c r="K100" i="9"/>
  <c r="C100" i="9"/>
  <c r="W99" i="9"/>
  <c r="T99" i="9"/>
  <c r="S99" i="9"/>
  <c r="R99" i="9"/>
  <c r="K99" i="9"/>
  <c r="C99" i="9"/>
  <c r="W98" i="9"/>
  <c r="V98" i="9"/>
  <c r="K98" i="9"/>
  <c r="W97" i="9"/>
  <c r="T97" i="9"/>
  <c r="S97" i="9"/>
  <c r="R97" i="9"/>
  <c r="K97" i="9"/>
  <c r="C97" i="9"/>
  <c r="W96" i="9"/>
  <c r="T96" i="9"/>
  <c r="S96" i="9"/>
  <c r="R96" i="9"/>
  <c r="K96" i="9"/>
  <c r="C96" i="9"/>
  <c r="W95" i="9"/>
  <c r="T95" i="9"/>
  <c r="S95" i="9"/>
  <c r="R95" i="9"/>
  <c r="K95" i="9"/>
  <c r="C95" i="9"/>
  <c r="T94" i="9"/>
  <c r="S94" i="9"/>
  <c r="R94" i="9"/>
  <c r="O94" i="9"/>
  <c r="W94" i="9" s="1"/>
  <c r="K94" i="9"/>
  <c r="C94" i="9"/>
  <c r="W93" i="9"/>
  <c r="T93" i="9"/>
  <c r="S93" i="9"/>
  <c r="R93" i="9"/>
  <c r="K93" i="9"/>
  <c r="C93" i="9"/>
  <c r="W92" i="9"/>
  <c r="T92" i="9"/>
  <c r="S92" i="9"/>
  <c r="R92" i="9"/>
  <c r="K92" i="9"/>
  <c r="C92" i="9"/>
  <c r="W91" i="9"/>
  <c r="T91" i="9"/>
  <c r="S91" i="9"/>
  <c r="R91" i="9"/>
  <c r="K91" i="9"/>
  <c r="C91" i="9"/>
  <c r="W90" i="9"/>
  <c r="T90" i="9"/>
  <c r="S90" i="9"/>
  <c r="R90" i="9"/>
  <c r="K90" i="9"/>
  <c r="C90" i="9"/>
  <c r="W89" i="9"/>
  <c r="T89" i="9"/>
  <c r="S89" i="9"/>
  <c r="R89" i="9"/>
  <c r="K89" i="9"/>
  <c r="C89" i="9"/>
  <c r="W88" i="9"/>
  <c r="T88" i="9"/>
  <c r="S88" i="9"/>
  <c r="R88" i="9"/>
  <c r="K88" i="9"/>
  <c r="C88" i="9"/>
  <c r="W87" i="9"/>
  <c r="V87" i="9"/>
  <c r="K87" i="9"/>
  <c r="W86" i="9"/>
  <c r="T86" i="9"/>
  <c r="S86" i="9"/>
  <c r="R86" i="9"/>
  <c r="K86" i="9"/>
  <c r="C86" i="9"/>
  <c r="W85" i="9"/>
  <c r="T85" i="9"/>
  <c r="S85" i="9"/>
  <c r="R85" i="9"/>
  <c r="K85" i="9"/>
  <c r="C85" i="9"/>
  <c r="W84" i="9"/>
  <c r="T84" i="9"/>
  <c r="S84" i="9"/>
  <c r="R84" i="9"/>
  <c r="K84" i="9"/>
  <c r="C84" i="9"/>
  <c r="W83" i="9"/>
  <c r="T83" i="9"/>
  <c r="S83" i="9"/>
  <c r="R83" i="9"/>
  <c r="K83" i="9"/>
  <c r="C83" i="9"/>
  <c r="W82" i="9"/>
  <c r="T82" i="9"/>
  <c r="S82" i="9"/>
  <c r="R82" i="9"/>
  <c r="O82" i="9"/>
  <c r="K82" i="9"/>
  <c r="C82" i="9"/>
  <c r="W81" i="9"/>
  <c r="T81" i="9"/>
  <c r="S81" i="9"/>
  <c r="R81" i="9"/>
  <c r="K81" i="9"/>
  <c r="C81" i="9"/>
  <c r="W80" i="9"/>
  <c r="T80" i="9"/>
  <c r="S80" i="9"/>
  <c r="R80" i="9"/>
  <c r="K80" i="9"/>
  <c r="C80" i="9"/>
  <c r="W79" i="9"/>
  <c r="T79" i="9"/>
  <c r="S79" i="9"/>
  <c r="R79" i="9"/>
  <c r="K79" i="9"/>
  <c r="C79" i="9"/>
  <c r="W78" i="9"/>
  <c r="T78" i="9"/>
  <c r="S78" i="9"/>
  <c r="R78" i="9"/>
  <c r="K78" i="9"/>
  <c r="C78" i="9"/>
  <c r="W77" i="9"/>
  <c r="T77" i="9"/>
  <c r="S77" i="9"/>
  <c r="R77" i="9"/>
  <c r="K77" i="9"/>
  <c r="C77" i="9"/>
  <c r="T76" i="9"/>
  <c r="S76" i="9"/>
  <c r="R76" i="9"/>
  <c r="O76" i="9"/>
  <c r="W76" i="9" s="1"/>
  <c r="K76" i="9"/>
  <c r="C76" i="9"/>
  <c r="W75" i="9"/>
  <c r="V75" i="9"/>
  <c r="K75" i="9"/>
  <c r="W74" i="9"/>
  <c r="T74" i="9"/>
  <c r="S74" i="9"/>
  <c r="R74" i="9"/>
  <c r="K74" i="9"/>
  <c r="C74" i="9"/>
  <c r="W73" i="9"/>
  <c r="T73" i="9"/>
  <c r="S73" i="9"/>
  <c r="R73" i="9"/>
  <c r="K73" i="9"/>
  <c r="C73" i="9"/>
  <c r="W72" i="9"/>
  <c r="T72" i="9"/>
  <c r="S72" i="9"/>
  <c r="R72" i="9"/>
  <c r="K72" i="9"/>
  <c r="C72" i="9"/>
  <c r="W71" i="9"/>
  <c r="T71" i="9"/>
  <c r="S71" i="9"/>
  <c r="R71" i="9"/>
  <c r="K71" i="9"/>
  <c r="C71" i="9"/>
  <c r="W70" i="9"/>
  <c r="T70" i="9"/>
  <c r="S70" i="9"/>
  <c r="R70" i="9"/>
  <c r="K70" i="9"/>
  <c r="C70" i="9"/>
  <c r="W69" i="9"/>
  <c r="T69" i="9"/>
  <c r="S69" i="9"/>
  <c r="R69" i="9"/>
  <c r="K69" i="9"/>
  <c r="C69" i="9"/>
  <c r="W68" i="9"/>
  <c r="T68" i="9"/>
  <c r="S68" i="9"/>
  <c r="R68" i="9"/>
  <c r="K68" i="9"/>
  <c r="C68" i="9"/>
  <c r="W67" i="9"/>
  <c r="T67" i="9"/>
  <c r="S67" i="9"/>
  <c r="R67" i="9"/>
  <c r="K67" i="9"/>
  <c r="C67" i="9"/>
  <c r="W66" i="9"/>
  <c r="T66" i="9"/>
  <c r="S66" i="9"/>
  <c r="R66" i="9"/>
  <c r="K66" i="9"/>
  <c r="C66" i="9"/>
  <c r="W65" i="9"/>
  <c r="T65" i="9"/>
  <c r="S65" i="9"/>
  <c r="R65" i="9"/>
  <c r="K65" i="9"/>
  <c r="C65" i="9"/>
  <c r="W64" i="9"/>
  <c r="T64" i="9"/>
  <c r="S64" i="9"/>
  <c r="R64" i="9"/>
  <c r="K64" i="9"/>
  <c r="C64" i="9"/>
  <c r="W63" i="9"/>
  <c r="V63" i="9"/>
  <c r="K63" i="9"/>
  <c r="W62" i="9"/>
  <c r="T62" i="9"/>
  <c r="S62" i="9"/>
  <c r="R62" i="9"/>
  <c r="K62" i="9"/>
  <c r="C62" i="9"/>
  <c r="W61" i="9"/>
  <c r="T61" i="9"/>
  <c r="S61" i="9"/>
  <c r="R61" i="9"/>
  <c r="K61" i="9"/>
  <c r="C61" i="9"/>
  <c r="W60" i="9"/>
  <c r="T60" i="9"/>
  <c r="S60" i="9"/>
  <c r="R60" i="9"/>
  <c r="K60" i="9"/>
  <c r="C60" i="9"/>
  <c r="W59" i="9"/>
  <c r="T59" i="9"/>
  <c r="S59" i="9"/>
  <c r="R59" i="9"/>
  <c r="K59" i="9"/>
  <c r="C59" i="9"/>
  <c r="W58" i="9"/>
  <c r="T58" i="9"/>
  <c r="S58" i="9"/>
  <c r="R58" i="9"/>
  <c r="K58" i="9"/>
  <c r="C58" i="9"/>
  <c r="W57" i="9"/>
  <c r="T57" i="9"/>
  <c r="S57" i="9"/>
  <c r="R57" i="9"/>
  <c r="K57" i="9"/>
  <c r="C57" i="9"/>
  <c r="W56" i="9"/>
  <c r="T56" i="9"/>
  <c r="S56" i="9"/>
  <c r="R56" i="9"/>
  <c r="K56" i="9"/>
  <c r="C56" i="9"/>
  <c r="W55" i="9"/>
  <c r="T55" i="9"/>
  <c r="S55" i="9"/>
  <c r="R55" i="9"/>
  <c r="K55" i="9"/>
  <c r="C55" i="9"/>
  <c r="W54" i="9"/>
  <c r="T54" i="9"/>
  <c r="S54" i="9"/>
  <c r="R54" i="9"/>
  <c r="K54" i="9"/>
  <c r="C54" i="9"/>
  <c r="W53" i="9"/>
  <c r="T53" i="9"/>
  <c r="S53" i="9"/>
  <c r="R53" i="9"/>
  <c r="K53" i="9"/>
  <c r="C53" i="9"/>
  <c r="W52" i="9"/>
  <c r="T52" i="9"/>
  <c r="S52" i="9"/>
  <c r="R52" i="9"/>
  <c r="K52" i="9"/>
  <c r="C52" i="9"/>
  <c r="W51" i="9"/>
  <c r="V51" i="9"/>
  <c r="K51" i="9"/>
  <c r="W50" i="9"/>
  <c r="T50" i="9"/>
  <c r="S50" i="9"/>
  <c r="R50" i="9"/>
  <c r="K50" i="9"/>
  <c r="C50" i="9"/>
  <c r="W49" i="9"/>
  <c r="T49" i="9"/>
  <c r="S49" i="9"/>
  <c r="R49" i="9"/>
  <c r="K49" i="9"/>
  <c r="C49" i="9"/>
  <c r="W48" i="9"/>
  <c r="T48" i="9"/>
  <c r="S48" i="9"/>
  <c r="R48" i="9"/>
  <c r="K48" i="9"/>
  <c r="C48" i="9"/>
  <c r="W47" i="9"/>
  <c r="T47" i="9"/>
  <c r="S47" i="9"/>
  <c r="R47" i="9"/>
  <c r="K47" i="9"/>
  <c r="C47" i="9"/>
  <c r="T46" i="9"/>
  <c r="S46" i="9"/>
  <c r="R46" i="9"/>
  <c r="O46" i="9"/>
  <c r="W46" i="9" s="1"/>
  <c r="K46" i="9"/>
  <c r="C46" i="9"/>
  <c r="W45" i="9"/>
  <c r="T45" i="9"/>
  <c r="S45" i="9"/>
  <c r="R45" i="9"/>
  <c r="K45" i="9"/>
  <c r="C45" i="9"/>
  <c r="W44" i="9"/>
  <c r="T44" i="9"/>
  <c r="S44" i="9"/>
  <c r="R44" i="9"/>
  <c r="K44" i="9"/>
  <c r="C44" i="9"/>
  <c r="W43" i="9"/>
  <c r="T43" i="9"/>
  <c r="S43" i="9"/>
  <c r="R43" i="9"/>
  <c r="K43" i="9"/>
  <c r="C43" i="9"/>
  <c r="W42" i="9"/>
  <c r="T42" i="9"/>
  <c r="S42" i="9"/>
  <c r="R42" i="9"/>
  <c r="K42" i="9"/>
  <c r="C42" i="9"/>
  <c r="W41" i="9"/>
  <c r="T41" i="9"/>
  <c r="S41" i="9"/>
  <c r="R41" i="9"/>
  <c r="K41" i="9"/>
  <c r="C41" i="9"/>
  <c r="W40" i="9"/>
  <c r="T40" i="9"/>
  <c r="S40" i="9"/>
  <c r="R40" i="9"/>
  <c r="K40" i="9"/>
  <c r="C40" i="9"/>
  <c r="W39" i="9"/>
  <c r="V39" i="9"/>
  <c r="K39" i="9"/>
  <c r="W38" i="9"/>
  <c r="T38" i="9"/>
  <c r="S38" i="9"/>
  <c r="R38" i="9"/>
  <c r="K38" i="9"/>
  <c r="C38" i="9"/>
  <c r="W37" i="9"/>
  <c r="T37" i="9"/>
  <c r="S37" i="9"/>
  <c r="R37" i="9"/>
  <c r="K37" i="9"/>
  <c r="C37" i="9"/>
  <c r="W36" i="9"/>
  <c r="T36" i="9"/>
  <c r="S36" i="9"/>
  <c r="R36" i="9"/>
  <c r="K36" i="9"/>
  <c r="C36" i="9"/>
  <c r="W35" i="9"/>
  <c r="T35" i="9"/>
  <c r="S35" i="9"/>
  <c r="R35" i="9"/>
  <c r="K35" i="9"/>
  <c r="C35" i="9"/>
  <c r="T34" i="9"/>
  <c r="S34" i="9"/>
  <c r="R34" i="9"/>
  <c r="O34" i="9"/>
  <c r="W34" i="9" s="1"/>
  <c r="K34" i="9"/>
  <c r="C34" i="9"/>
  <c r="W33" i="9"/>
  <c r="T33" i="9"/>
  <c r="S33" i="9"/>
  <c r="R33" i="9"/>
  <c r="K33" i="9"/>
  <c r="C33" i="9"/>
  <c r="W32" i="9"/>
  <c r="T32" i="9"/>
  <c r="S32" i="9"/>
  <c r="R32" i="9"/>
  <c r="K32" i="9"/>
  <c r="C32" i="9"/>
  <c r="W31" i="9"/>
  <c r="T31" i="9"/>
  <c r="S31" i="9"/>
  <c r="R31" i="9"/>
  <c r="K31" i="9"/>
  <c r="C31" i="9"/>
  <c r="W30" i="9"/>
  <c r="T30" i="9"/>
  <c r="S30" i="9"/>
  <c r="R30" i="9"/>
  <c r="K30" i="9"/>
  <c r="C30" i="9"/>
  <c r="W29" i="9"/>
  <c r="T29" i="9"/>
  <c r="S29" i="9"/>
  <c r="R29" i="9"/>
  <c r="K29" i="9"/>
  <c r="C29" i="9"/>
  <c r="T28" i="9"/>
  <c r="S28" i="9"/>
  <c r="R28" i="9"/>
  <c r="O28" i="9"/>
  <c r="W28" i="9" s="1"/>
  <c r="K28" i="9"/>
  <c r="C28" i="9"/>
  <c r="W27" i="9"/>
  <c r="V27" i="9"/>
  <c r="K27" i="9"/>
  <c r="W26" i="9"/>
  <c r="T26" i="9"/>
  <c r="S26" i="9"/>
  <c r="R26" i="9"/>
  <c r="K26" i="9"/>
  <c r="C26" i="9"/>
  <c r="W25" i="9"/>
  <c r="T25" i="9"/>
  <c r="S25" i="9"/>
  <c r="R25" i="9"/>
  <c r="K25" i="9"/>
  <c r="C25" i="9"/>
  <c r="W24" i="9"/>
  <c r="T24" i="9"/>
  <c r="S24" i="9"/>
  <c r="R24" i="9"/>
  <c r="K24" i="9"/>
  <c r="C24" i="9"/>
  <c r="W23" i="9"/>
  <c r="T23" i="9"/>
  <c r="S23" i="9"/>
  <c r="R23" i="9"/>
  <c r="K23" i="9"/>
  <c r="C23" i="9"/>
  <c r="W22" i="9"/>
  <c r="T22" i="9"/>
  <c r="S22" i="9"/>
  <c r="R22" i="9"/>
  <c r="K22" i="9"/>
  <c r="C22" i="9"/>
  <c r="W21" i="9"/>
  <c r="T21" i="9"/>
  <c r="S21" i="9"/>
  <c r="R21" i="9"/>
  <c r="K21" i="9"/>
  <c r="C21" i="9"/>
  <c r="W20" i="9"/>
  <c r="T20" i="9"/>
  <c r="S20" i="9"/>
  <c r="R20" i="9"/>
  <c r="K20" i="9"/>
  <c r="C20" i="9"/>
  <c r="W19" i="9"/>
  <c r="T19" i="9"/>
  <c r="S19" i="9"/>
  <c r="R19" i="9"/>
  <c r="K19" i="9"/>
  <c r="C19" i="9"/>
  <c r="W18" i="9"/>
  <c r="T18" i="9"/>
  <c r="S18" i="9"/>
  <c r="R18" i="9"/>
  <c r="K18" i="9"/>
  <c r="C18" i="9"/>
  <c r="W17" i="9"/>
  <c r="T17" i="9"/>
  <c r="S17" i="9"/>
  <c r="R17" i="9"/>
  <c r="K17" i="9"/>
  <c r="C17" i="9"/>
  <c r="W16" i="9"/>
  <c r="T16" i="9"/>
  <c r="S16" i="9"/>
  <c r="R16" i="9"/>
  <c r="K16" i="9"/>
  <c r="C16" i="9"/>
  <c r="W15" i="9"/>
  <c r="V15" i="9"/>
  <c r="K15" i="9"/>
  <c r="W14" i="9"/>
  <c r="S14" i="9"/>
  <c r="R14" i="9"/>
  <c r="K14" i="9"/>
  <c r="C14" i="9"/>
  <c r="AB13" i="9"/>
  <c r="AA13" i="9"/>
  <c r="Z13" i="9"/>
  <c r="W13" i="9"/>
  <c r="S13" i="9"/>
  <c r="R13" i="9"/>
  <c r="K13" i="9"/>
  <c r="C13" i="9"/>
  <c r="AB12" i="9"/>
  <c r="AA12" i="9"/>
  <c r="Z12" i="9"/>
  <c r="W12" i="9"/>
  <c r="S12" i="9"/>
  <c r="R12" i="9"/>
  <c r="K12" i="9"/>
  <c r="C12" i="9"/>
  <c r="AB11" i="9"/>
  <c r="AA11" i="9"/>
  <c r="Z11" i="9"/>
  <c r="W11" i="9"/>
  <c r="S11" i="9"/>
  <c r="R11" i="9"/>
  <c r="K11" i="9"/>
  <c r="C11" i="9"/>
  <c r="AB10" i="9"/>
  <c r="AA10" i="9"/>
  <c r="Z10" i="9"/>
  <c r="W10" i="9"/>
  <c r="S10" i="9"/>
  <c r="R10" i="9"/>
  <c r="K10" i="9"/>
  <c r="C10" i="9"/>
  <c r="W9" i="9"/>
  <c r="S9" i="9"/>
  <c r="R9" i="9"/>
  <c r="K9" i="9"/>
  <c r="C9" i="9"/>
  <c r="W8" i="9"/>
  <c r="S8" i="9"/>
  <c r="R8" i="9"/>
  <c r="K8" i="9"/>
  <c r="C8" i="9"/>
  <c r="W7" i="9"/>
  <c r="S7" i="9"/>
  <c r="R7" i="9"/>
  <c r="K7" i="9"/>
  <c r="C7" i="9"/>
  <c r="W6" i="9"/>
  <c r="S6" i="9"/>
  <c r="R6" i="9"/>
  <c r="K6" i="9"/>
  <c r="C6" i="9"/>
  <c r="W5" i="9"/>
  <c r="S5" i="9"/>
  <c r="R5" i="9"/>
  <c r="K5" i="9"/>
  <c r="C5" i="9"/>
  <c r="W4" i="9"/>
  <c r="S4" i="9"/>
  <c r="Y19" i="9" s="1"/>
  <c r="R4" i="9"/>
  <c r="K4" i="9"/>
  <c r="C4" i="9"/>
  <c r="S2" i="9"/>
  <c r="R2" i="9"/>
  <c r="T96" i="10" l="1"/>
  <c r="T100" i="10"/>
  <c r="T115" i="10"/>
  <c r="T131" i="10"/>
  <c r="T141" i="10"/>
  <c r="T148" i="10"/>
  <c r="V101" i="9"/>
  <c r="V135" i="9"/>
  <c r="V137" i="9"/>
  <c r="T56" i="10"/>
  <c r="V7" i="9"/>
  <c r="V32" i="9"/>
  <c r="V38" i="9"/>
  <c r="V80" i="9"/>
  <c r="V89" i="9"/>
  <c r="V97" i="9"/>
  <c r="T94" i="10"/>
  <c r="V79" i="9"/>
  <c r="V96" i="9"/>
  <c r="V102" i="9"/>
  <c r="V138" i="9"/>
  <c r="V140" i="9"/>
  <c r="T26" i="10"/>
  <c r="T44" i="10"/>
  <c r="R58" i="10"/>
  <c r="T62" i="10"/>
  <c r="T75" i="10"/>
  <c r="T150" i="10"/>
  <c r="V34" i="9"/>
  <c r="V67" i="9"/>
  <c r="V76" i="9"/>
  <c r="V84" i="9"/>
  <c r="T60" i="10"/>
  <c r="T66" i="10"/>
  <c r="T95" i="10"/>
  <c r="T99" i="10"/>
  <c r="R112" i="10"/>
  <c r="T130" i="10"/>
  <c r="T138" i="10"/>
  <c r="T140" i="10"/>
  <c r="R144" i="10"/>
  <c r="T72" i="10"/>
  <c r="T74" i="10"/>
  <c r="T78" i="10"/>
  <c r="R86" i="10"/>
  <c r="R89" i="10"/>
  <c r="R92" i="10"/>
  <c r="R125" i="10"/>
  <c r="T21" i="10"/>
  <c r="T43" i="10"/>
  <c r="T121" i="10"/>
  <c r="T129" i="10"/>
  <c r="T142" i="10"/>
  <c r="V29" i="9"/>
  <c r="R9" i="10"/>
  <c r="R23" i="10"/>
  <c r="T27" i="10"/>
  <c r="T29" i="10"/>
  <c r="T31" i="10"/>
  <c r="T34" i="10"/>
  <c r="T41" i="10"/>
  <c r="R49" i="10"/>
  <c r="R50" i="10"/>
  <c r="T83" i="10"/>
  <c r="V41" i="9"/>
  <c r="V45" i="9"/>
  <c r="V47" i="9"/>
  <c r="V64" i="9"/>
  <c r="V66" i="9"/>
  <c r="V111" i="9"/>
  <c r="V113" i="9"/>
  <c r="V119" i="9"/>
  <c r="V145" i="9"/>
  <c r="V149" i="9"/>
  <c r="V166" i="9"/>
  <c r="T6" i="10"/>
  <c r="T20" i="10"/>
  <c r="T35" i="10"/>
  <c r="V133" i="9"/>
  <c r="V21" i="9"/>
  <c r="V57" i="9"/>
  <c r="V123" i="9"/>
  <c r="V132" i="9"/>
  <c r="V155" i="9"/>
  <c r="V157" i="9"/>
  <c r="V163" i="9"/>
  <c r="V174" i="9"/>
  <c r="V8" i="9"/>
  <c r="V23" i="9"/>
  <c r="V6" i="9"/>
  <c r="T12" i="9"/>
  <c r="T13" i="9"/>
  <c r="V16" i="9"/>
  <c r="V24" i="9"/>
  <c r="V33" i="9"/>
  <c r="V35" i="9"/>
  <c r="V37" i="9"/>
  <c r="V50" i="9"/>
  <c r="V54" i="9"/>
  <c r="V62" i="9"/>
  <c r="V110" i="9"/>
  <c r="V116" i="9"/>
  <c r="V118" i="9"/>
  <c r="V124" i="9"/>
  <c r="V126" i="9"/>
  <c r="V158" i="9"/>
  <c r="V160" i="9"/>
  <c r="V169" i="9"/>
  <c r="V173" i="9"/>
  <c r="V175" i="9"/>
  <c r="V179" i="9"/>
  <c r="V184" i="9"/>
  <c r="V187" i="9"/>
  <c r="V10" i="9"/>
  <c r="V12" i="9"/>
  <c r="V20" i="9"/>
  <c r="V22" i="9"/>
  <c r="V40" i="9"/>
  <c r="V42" i="9"/>
  <c r="V53" i="9"/>
  <c r="V55" i="9"/>
  <c r="V59" i="9"/>
  <c r="V68" i="9"/>
  <c r="V70" i="9"/>
  <c r="V72" i="9"/>
  <c r="V74" i="9"/>
  <c r="V88" i="9"/>
  <c r="V93" i="9"/>
  <c r="V100" i="9"/>
  <c r="V104" i="9"/>
  <c r="V106" i="9"/>
  <c r="V128" i="9"/>
  <c r="V144" i="9"/>
  <c r="V161" i="9"/>
  <c r="V172" i="9"/>
  <c r="V178" i="9"/>
  <c r="V180" i="9"/>
  <c r="V182" i="9"/>
  <c r="V185" i="9"/>
  <c r="V186" i="9"/>
  <c r="V188" i="9"/>
  <c r="T7" i="10"/>
  <c r="T17" i="10"/>
  <c r="T28" i="10"/>
  <c r="T30" i="10"/>
  <c r="T39" i="10"/>
  <c r="T42" i="10"/>
  <c r="T73" i="10"/>
  <c r="T76" i="10"/>
  <c r="T84" i="10"/>
  <c r="T97" i="10"/>
  <c r="T120" i="10"/>
  <c r="T128" i="10"/>
  <c r="T139" i="10"/>
  <c r="R146" i="10"/>
  <c r="V19" i="9"/>
  <c r="V28" i="9"/>
  <c r="V46" i="9"/>
  <c r="V90" i="9"/>
  <c r="V92" i="9"/>
  <c r="V107" i="9"/>
  <c r="V114" i="9"/>
  <c r="V129" i="9"/>
  <c r="V141" i="9"/>
  <c r="V150" i="9"/>
  <c r="V152" i="9"/>
  <c r="V167" i="9"/>
  <c r="T4" i="10"/>
  <c r="T18" i="10"/>
  <c r="T36" i="10"/>
  <c r="R47" i="10"/>
  <c r="R64" i="10"/>
  <c r="T71" i="10"/>
  <c r="R81" i="10"/>
  <c r="R102" i="10"/>
  <c r="T105" i="10"/>
  <c r="R117" i="10"/>
  <c r="R133" i="10"/>
  <c r="R137" i="10"/>
  <c r="V31" i="9"/>
  <c r="V49" i="9"/>
  <c r="V58" i="9"/>
  <c r="V71" i="9"/>
  <c r="V78" i="9"/>
  <c r="V94" i="9"/>
  <c r="V147" i="9"/>
  <c r="V181" i="9"/>
  <c r="T5" i="10"/>
  <c r="T19" i="10"/>
  <c r="T37" i="10"/>
  <c r="T38" i="10"/>
  <c r="T45" i="10"/>
  <c r="T54" i="10"/>
  <c r="T55" i="10"/>
  <c r="R65" i="10"/>
  <c r="T79" i="10"/>
  <c r="R103" i="10"/>
  <c r="T104" i="10"/>
  <c r="T107" i="10"/>
  <c r="T119" i="10"/>
  <c r="T149" i="10"/>
  <c r="X19" i="9"/>
  <c r="T137" i="10"/>
  <c r="T146" i="10"/>
  <c r="V26" i="9"/>
  <c r="V48" i="9"/>
  <c r="V56" i="9"/>
  <c r="V61" i="9"/>
  <c r="V69" i="9"/>
  <c r="V77" i="9"/>
  <c r="V83" i="9"/>
  <c r="V85" i="9"/>
  <c r="V91" i="9"/>
  <c r="V99" i="9"/>
  <c r="V112" i="9"/>
  <c r="V134" i="9"/>
  <c r="V136" i="9"/>
  <c r="V139" i="9"/>
  <c r="V146" i="9"/>
  <c r="V148" i="9"/>
  <c r="V151" i="9"/>
  <c r="V162" i="9"/>
  <c r="V164" i="9"/>
  <c r="V171" i="9"/>
  <c r="T9" i="10"/>
  <c r="T10" i="10"/>
  <c r="R19" i="10"/>
  <c r="T22" i="10"/>
  <c r="R31" i="10"/>
  <c r="T33" i="10"/>
  <c r="T47" i="10"/>
  <c r="R54" i="10"/>
  <c r="T57" i="10"/>
  <c r="T63" i="10"/>
  <c r="T65" i="10"/>
  <c r="R66" i="10"/>
  <c r="T67" i="10"/>
  <c r="T70" i="10"/>
  <c r="R75" i="10"/>
  <c r="T81" i="10"/>
  <c r="T82" i="10"/>
  <c r="R90" i="10"/>
  <c r="T91" i="10"/>
  <c r="T101" i="10"/>
  <c r="T103" i="10"/>
  <c r="R108" i="10"/>
  <c r="T110" i="10"/>
  <c r="T112" i="10"/>
  <c r="T113" i="10"/>
  <c r="R114" i="10"/>
  <c r="T117" i="10"/>
  <c r="T118" i="10"/>
  <c r="R121" i="10"/>
  <c r="R129" i="10"/>
  <c r="T132" i="10"/>
  <c r="T136" i="10"/>
  <c r="R141" i="10"/>
  <c r="T144" i="10"/>
  <c r="T145" i="10"/>
  <c r="R147" i="10"/>
  <c r="R150" i="10"/>
  <c r="T5" i="9"/>
  <c r="V14" i="9"/>
  <c r="V18" i="9"/>
  <c r="V30" i="9"/>
  <c r="V36" i="9"/>
  <c r="V44" i="9"/>
  <c r="V65" i="9"/>
  <c r="V73" i="9"/>
  <c r="V81" i="9"/>
  <c r="V95" i="9"/>
  <c r="V103" i="9"/>
  <c r="V105" i="9"/>
  <c r="V108" i="9"/>
  <c r="V115" i="9"/>
  <c r="V117" i="9"/>
  <c r="V121" i="9"/>
  <c r="V122" i="9"/>
  <c r="V125" i="9"/>
  <c r="V127" i="9"/>
  <c r="V130" i="9"/>
  <c r="V143" i="9"/>
  <c r="V154" i="9"/>
  <c r="V156" i="9"/>
  <c r="V159" i="9"/>
  <c r="V168" i="9"/>
  <c r="V170" i="9"/>
  <c r="V176" i="9"/>
  <c r="V183" i="9"/>
  <c r="R88" i="10"/>
  <c r="R5" i="10"/>
  <c r="T8" i="10"/>
  <c r="T23" i="10"/>
  <c r="T25" i="10"/>
  <c r="R30" i="10"/>
  <c r="R37" i="10"/>
  <c r="R43" i="10"/>
  <c r="T46" i="10"/>
  <c r="T58" i="10"/>
  <c r="T59" i="10"/>
  <c r="T64" i="10"/>
  <c r="T68" i="10"/>
  <c r="T80" i="10"/>
  <c r="T92" i="10"/>
  <c r="T93" i="10"/>
  <c r="R96" i="10"/>
  <c r="T102" i="10"/>
  <c r="T108" i="10"/>
  <c r="T109" i="10"/>
  <c r="T111" i="10"/>
  <c r="T116" i="10"/>
  <c r="R123" i="10"/>
  <c r="R124" i="10"/>
  <c r="R131" i="10"/>
  <c r="T133" i="10"/>
  <c r="T134" i="10"/>
  <c r="R142" i="10"/>
  <c r="T147" i="10"/>
  <c r="R148" i="10"/>
  <c r="R6" i="10"/>
  <c r="R10" i="10"/>
  <c r="R20" i="10"/>
  <c r="R25" i="10"/>
  <c r="R33" i="10"/>
  <c r="R38" i="10"/>
  <c r="R44" i="10"/>
  <c r="R52" i="10"/>
  <c r="R53" i="10"/>
  <c r="R55" i="10"/>
  <c r="R59" i="10"/>
  <c r="R67" i="10"/>
  <c r="R68" i="10"/>
  <c r="R70" i="10"/>
  <c r="R76" i="10"/>
  <c r="R78" i="10"/>
  <c r="R93" i="10"/>
  <c r="R97" i="10"/>
  <c r="R99" i="10"/>
  <c r="R104" i="10"/>
  <c r="R105" i="10"/>
  <c r="R107" i="10"/>
  <c r="R113" i="10"/>
  <c r="R118" i="10"/>
  <c r="R126" i="10"/>
  <c r="R130" i="10"/>
  <c r="R134" i="10"/>
  <c r="R136" i="10"/>
  <c r="R145" i="10"/>
  <c r="R2" i="10"/>
  <c r="R18" i="10"/>
  <c r="R22" i="10"/>
  <c r="R27" i="10"/>
  <c r="R29" i="10"/>
  <c r="R35" i="10"/>
  <c r="R36" i="10"/>
  <c r="R42" i="10"/>
  <c r="R46" i="10"/>
  <c r="R57" i="10"/>
  <c r="R63" i="10"/>
  <c r="R72" i="10"/>
  <c r="R73" i="10"/>
  <c r="R74" i="10"/>
  <c r="R80" i="10"/>
  <c r="R84" i="10"/>
  <c r="R91" i="10"/>
  <c r="R95" i="10"/>
  <c r="R101" i="10"/>
  <c r="R109" i="10"/>
  <c r="R110" i="10"/>
  <c r="R111" i="10"/>
  <c r="R116" i="10"/>
  <c r="R120" i="10"/>
  <c r="R128" i="10"/>
  <c r="R132" i="10"/>
  <c r="R138" i="10"/>
  <c r="R139" i="10"/>
  <c r="R140" i="10"/>
  <c r="R149" i="10"/>
  <c r="R82" i="10"/>
  <c r="R4" i="10"/>
  <c r="R8" i="10"/>
  <c r="R28" i="10"/>
  <c r="R7" i="10"/>
  <c r="R17" i="10"/>
  <c r="R21" i="10"/>
  <c r="R26" i="10"/>
  <c r="R34" i="10"/>
  <c r="R39" i="10"/>
  <c r="R41" i="10"/>
  <c r="R45" i="10"/>
  <c r="R51" i="10"/>
  <c r="R56" i="10"/>
  <c r="R60" i="10"/>
  <c r="R62" i="10"/>
  <c r="R71" i="10"/>
  <c r="R79" i="10"/>
  <c r="R83" i="10"/>
  <c r="R87" i="10"/>
  <c r="R94" i="10"/>
  <c r="R100" i="10"/>
  <c r="R115" i="10"/>
  <c r="R119" i="10"/>
  <c r="T4" i="9"/>
  <c r="V9" i="9"/>
  <c r="T10" i="9"/>
  <c r="T11" i="9"/>
  <c r="V17" i="9"/>
  <c r="V86" i="9"/>
  <c r="V52" i="9"/>
  <c r="V60" i="9"/>
  <c r="T7" i="9"/>
  <c r="V13" i="9"/>
  <c r="V4" i="9"/>
  <c r="V5" i="9"/>
  <c r="T6" i="9"/>
  <c r="T8" i="9"/>
  <c r="T9" i="9"/>
  <c r="V11" i="9"/>
  <c r="T14" i="9"/>
  <c r="V25" i="9"/>
  <c r="V43" i="9"/>
  <c r="V82" i="9"/>
  <c r="Y20" i="9" l="1"/>
  <c r="Y21" i="9" s="1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M34" i="7"/>
  <c r="L34" i="7"/>
  <c r="K34" i="7"/>
  <c r="J34" i="7"/>
  <c r="E34" i="7"/>
  <c r="C34" i="7"/>
  <c r="K33" i="7"/>
  <c r="J33" i="7"/>
  <c r="H33" i="7"/>
  <c r="M33" i="7" s="1"/>
  <c r="C33" i="7"/>
  <c r="K32" i="7"/>
  <c r="J32" i="7"/>
  <c r="H32" i="7"/>
  <c r="M32" i="7" s="1"/>
  <c r="C32" i="7"/>
  <c r="K31" i="7"/>
  <c r="J31" i="7"/>
  <c r="H31" i="7"/>
  <c r="M31" i="7" s="1"/>
  <c r="E31" i="7"/>
  <c r="L31" i="7" s="1"/>
  <c r="C31" i="7"/>
  <c r="K30" i="7"/>
  <c r="J30" i="7"/>
  <c r="H30" i="7"/>
  <c r="M30" i="7" s="1"/>
  <c r="E30" i="7"/>
  <c r="L30" i="7" s="1"/>
  <c r="C30" i="7"/>
  <c r="K29" i="7"/>
  <c r="J29" i="7"/>
  <c r="H29" i="7"/>
  <c r="M29" i="7" s="1"/>
  <c r="C29" i="7"/>
  <c r="K28" i="7"/>
  <c r="J28" i="7"/>
  <c r="H28" i="7"/>
  <c r="M28" i="7" s="1"/>
  <c r="C28" i="7"/>
  <c r="K23" i="7"/>
  <c r="J23" i="7"/>
  <c r="H23" i="7"/>
  <c r="E23" i="7" s="1"/>
  <c r="C23" i="7"/>
  <c r="K22" i="7"/>
  <c r="J22" i="7"/>
  <c r="H22" i="7"/>
  <c r="E22" i="7"/>
  <c r="C22" i="7"/>
  <c r="K21" i="7"/>
  <c r="J21" i="7"/>
  <c r="H21" i="7"/>
  <c r="E21" i="7"/>
  <c r="C21" i="7"/>
  <c r="K20" i="7"/>
  <c r="J20" i="7"/>
  <c r="H20" i="7"/>
  <c r="E20" i="7" s="1"/>
  <c r="C20" i="7"/>
  <c r="K19" i="7"/>
  <c r="J19" i="7"/>
  <c r="H19" i="7"/>
  <c r="E19" i="7" s="1"/>
  <c r="C19" i="7"/>
  <c r="K18" i="7"/>
  <c r="J18" i="7"/>
  <c r="H18" i="7"/>
  <c r="E18" i="7" s="1"/>
  <c r="C18" i="7"/>
  <c r="K17" i="7"/>
  <c r="J17" i="7"/>
  <c r="H17" i="7"/>
  <c r="E17" i="7"/>
  <c r="C17" i="7"/>
  <c r="K12" i="7"/>
  <c r="J12" i="7"/>
  <c r="E12" i="7"/>
  <c r="C12" i="7"/>
  <c r="K11" i="7"/>
  <c r="J11" i="7"/>
  <c r="H11" i="7"/>
  <c r="E11" i="7" s="1"/>
  <c r="C11" i="7"/>
  <c r="K10" i="7"/>
  <c r="J10" i="7"/>
  <c r="H10" i="7"/>
  <c r="E10" i="7"/>
  <c r="C10" i="7"/>
  <c r="K9" i="7"/>
  <c r="J9" i="7"/>
  <c r="H9" i="7"/>
  <c r="E9" i="7" s="1"/>
  <c r="C9" i="7"/>
  <c r="K8" i="7"/>
  <c r="J8" i="7"/>
  <c r="H8" i="7"/>
  <c r="E8" i="7"/>
  <c r="C8" i="7"/>
  <c r="K7" i="7"/>
  <c r="J7" i="7"/>
  <c r="H7" i="7"/>
  <c r="E7" i="7" s="1"/>
  <c r="C7" i="7"/>
  <c r="K6" i="7"/>
  <c r="J6" i="7"/>
  <c r="H6" i="7"/>
  <c r="E6" i="7"/>
  <c r="C6" i="7"/>
  <c r="E29" i="7" l="1"/>
  <c r="L29" i="7" s="1"/>
  <c r="E33" i="7"/>
  <c r="L33" i="7" s="1"/>
  <c r="E28" i="7"/>
  <c r="L28" i="7" s="1"/>
  <c r="E32" i="7"/>
  <c r="L32" i="7" s="1"/>
  <c r="CM22" i="6" l="1"/>
  <c r="CK22" i="6"/>
  <c r="CH22" i="6" s="1"/>
  <c r="CF22" i="6"/>
  <c r="BZ22" i="6"/>
  <c r="BX22" i="6"/>
  <c r="BU22" i="6" s="1"/>
  <c r="BS22" i="6"/>
  <c r="BM22" i="6"/>
  <c r="BK22" i="6"/>
  <c r="BH22" i="6" s="1"/>
  <c r="BF22" i="6"/>
  <c r="AZ22" i="6"/>
  <c r="AX22" i="6"/>
  <c r="AU22" i="6" s="1"/>
  <c r="AS22" i="6"/>
  <c r="AM22" i="6"/>
  <c r="AK22" i="6"/>
  <c r="AH22" i="6" s="1"/>
  <c r="AF22" i="6"/>
  <c r="Y22" i="6"/>
  <c r="W22" i="6"/>
  <c r="T22" i="6" s="1"/>
  <c r="R22" i="6"/>
  <c r="K22" i="6"/>
  <c r="I22" i="6"/>
  <c r="F22" i="6" s="1"/>
  <c r="D22" i="6"/>
  <c r="CM21" i="6"/>
  <c r="CK21" i="6"/>
  <c r="CH21" i="6" s="1"/>
  <c r="CF21" i="6"/>
  <c r="BZ21" i="6"/>
  <c r="BX21" i="6"/>
  <c r="BU21" i="6" s="1"/>
  <c r="BS21" i="6"/>
  <c r="BM21" i="6"/>
  <c r="BK21" i="6"/>
  <c r="BH21" i="6" s="1"/>
  <c r="BF21" i="6"/>
  <c r="AZ21" i="6"/>
  <c r="AX21" i="6"/>
  <c r="AU21" i="6" s="1"/>
  <c r="AS21" i="6"/>
  <c r="AM21" i="6"/>
  <c r="AK21" i="6"/>
  <c r="AH21" i="6" s="1"/>
  <c r="AF21" i="6"/>
  <c r="Y21" i="6"/>
  <c r="W21" i="6"/>
  <c r="T21" i="6" s="1"/>
  <c r="R21" i="6"/>
  <c r="K21" i="6"/>
  <c r="I21" i="6"/>
  <c r="F21" i="6" s="1"/>
  <c r="D21" i="6"/>
  <c r="CM19" i="6"/>
  <c r="CK19" i="6"/>
  <c r="CH19" i="6" s="1"/>
  <c r="CF19" i="6"/>
  <c r="BZ19" i="6"/>
  <c r="BX19" i="6"/>
  <c r="BU19" i="6" s="1"/>
  <c r="BS19" i="6"/>
  <c r="BM19" i="6"/>
  <c r="BK19" i="6"/>
  <c r="BH19" i="6" s="1"/>
  <c r="BF19" i="6"/>
  <c r="AZ19" i="6"/>
  <c r="AX19" i="6"/>
  <c r="AU19" i="6" s="1"/>
  <c r="AS19" i="6"/>
  <c r="AM19" i="6"/>
  <c r="AK19" i="6"/>
  <c r="AH19" i="6" s="1"/>
  <c r="AF19" i="6"/>
  <c r="Y19" i="6"/>
  <c r="W19" i="6"/>
  <c r="T19" i="6" s="1"/>
  <c r="R19" i="6"/>
  <c r="K19" i="6"/>
  <c r="I19" i="6"/>
  <c r="F19" i="6" s="1"/>
  <c r="D19" i="6"/>
  <c r="CM18" i="6"/>
  <c r="CK18" i="6"/>
  <c r="CH18" i="6" s="1"/>
  <c r="CF18" i="6"/>
  <c r="BZ18" i="6"/>
  <c r="BX18" i="6"/>
  <c r="BU18" i="6" s="1"/>
  <c r="BS18" i="6"/>
  <c r="BM18" i="6"/>
  <c r="BK18" i="6"/>
  <c r="BH18" i="6" s="1"/>
  <c r="BF18" i="6"/>
  <c r="AZ18" i="6"/>
  <c r="AX18" i="6"/>
  <c r="AU18" i="6" s="1"/>
  <c r="AS18" i="6"/>
  <c r="AM18" i="6"/>
  <c r="AK18" i="6"/>
  <c r="AH18" i="6" s="1"/>
  <c r="AF18" i="6"/>
  <c r="Y18" i="6"/>
  <c r="W18" i="6"/>
  <c r="T18" i="6" s="1"/>
  <c r="R18" i="6"/>
  <c r="K18" i="6"/>
  <c r="I18" i="6"/>
  <c r="F18" i="6" s="1"/>
  <c r="D18" i="6"/>
  <c r="CM16" i="6"/>
  <c r="CK16" i="6"/>
  <c r="CH16" i="6" s="1"/>
  <c r="CF16" i="6"/>
  <c r="BZ16" i="6"/>
  <c r="BX16" i="6"/>
  <c r="BU16" i="6" s="1"/>
  <c r="BS16" i="6"/>
  <c r="BM16" i="6"/>
  <c r="BK16" i="6"/>
  <c r="BH16" i="6" s="1"/>
  <c r="BF16" i="6"/>
  <c r="AZ16" i="6"/>
  <c r="AX16" i="6"/>
  <c r="AU16" i="6" s="1"/>
  <c r="AS16" i="6"/>
  <c r="AM16" i="6"/>
  <c r="AK16" i="6"/>
  <c r="AH16" i="6" s="1"/>
  <c r="AF16" i="6"/>
  <c r="Y16" i="6"/>
  <c r="W16" i="6"/>
  <c r="T16" i="6" s="1"/>
  <c r="R16" i="6"/>
  <c r="K16" i="6"/>
  <c r="I16" i="6"/>
  <c r="F16" i="6" s="1"/>
  <c r="D16" i="6"/>
  <c r="CM15" i="6"/>
  <c r="CK15" i="6"/>
  <c r="CH15" i="6" s="1"/>
  <c r="CF15" i="6"/>
  <c r="BZ15" i="6"/>
  <c r="BX15" i="6"/>
  <c r="BU15" i="6" s="1"/>
  <c r="BS15" i="6"/>
  <c r="BM15" i="6"/>
  <c r="BK15" i="6"/>
  <c r="BH15" i="6" s="1"/>
  <c r="BF15" i="6"/>
  <c r="AZ15" i="6"/>
  <c r="AX15" i="6"/>
  <c r="AU15" i="6" s="1"/>
  <c r="AS15" i="6"/>
  <c r="AM15" i="6"/>
  <c r="AK15" i="6"/>
  <c r="AH15" i="6" s="1"/>
  <c r="AF15" i="6"/>
  <c r="Y15" i="6"/>
  <c r="W15" i="6"/>
  <c r="T15" i="6" s="1"/>
  <c r="R15" i="6"/>
  <c r="K15" i="6"/>
  <c r="I15" i="6"/>
  <c r="F15" i="6" s="1"/>
  <c r="D15" i="6"/>
  <c r="CM13" i="6"/>
  <c r="CK13" i="6"/>
  <c r="CH13" i="6" s="1"/>
  <c r="CF13" i="6"/>
  <c r="BZ13" i="6"/>
  <c r="BX13" i="6"/>
  <c r="BU13" i="6" s="1"/>
  <c r="BS13" i="6"/>
  <c r="BM13" i="6"/>
  <c r="BK13" i="6"/>
  <c r="BH13" i="6" s="1"/>
  <c r="BF13" i="6"/>
  <c r="AZ13" i="6"/>
  <c r="AX13" i="6"/>
  <c r="AU13" i="6" s="1"/>
  <c r="AS13" i="6"/>
  <c r="AM13" i="6"/>
  <c r="AK13" i="6"/>
  <c r="AH13" i="6" s="1"/>
  <c r="AF13" i="6"/>
  <c r="Y13" i="6"/>
  <c r="W13" i="6"/>
  <c r="T13" i="6" s="1"/>
  <c r="R13" i="6"/>
  <c r="K13" i="6"/>
  <c r="I13" i="6"/>
  <c r="F13" i="6" s="1"/>
  <c r="D13" i="6"/>
  <c r="CM12" i="6"/>
  <c r="CK12" i="6"/>
  <c r="CH12" i="6" s="1"/>
  <c r="CF12" i="6"/>
  <c r="BZ12" i="6"/>
  <c r="BX12" i="6"/>
  <c r="BU12" i="6" s="1"/>
  <c r="BS12" i="6"/>
  <c r="BM12" i="6"/>
  <c r="BK12" i="6"/>
  <c r="BH12" i="6" s="1"/>
  <c r="BF12" i="6"/>
  <c r="AZ12" i="6"/>
  <c r="AX12" i="6"/>
  <c r="AU12" i="6" s="1"/>
  <c r="AS12" i="6"/>
  <c r="AM12" i="6"/>
  <c r="AK12" i="6"/>
  <c r="AH12" i="6" s="1"/>
  <c r="AF12" i="6"/>
  <c r="Y12" i="6"/>
  <c r="W12" i="6"/>
  <c r="T12" i="6" s="1"/>
  <c r="R12" i="6"/>
  <c r="K12" i="6"/>
  <c r="I12" i="6"/>
  <c r="F12" i="6" s="1"/>
  <c r="D12" i="6"/>
  <c r="CP10" i="6"/>
  <c r="CM10" i="6"/>
  <c r="CK10" i="6"/>
  <c r="CH10" i="6" s="1"/>
  <c r="CF10" i="6"/>
  <c r="BZ10" i="6"/>
  <c r="BX10" i="6"/>
  <c r="BU10" i="6" s="1"/>
  <c r="BS10" i="6"/>
  <c r="BM10" i="6"/>
  <c r="BK10" i="6"/>
  <c r="BH10" i="6" s="1"/>
  <c r="BF10" i="6"/>
  <c r="AZ10" i="6"/>
  <c r="AX10" i="6"/>
  <c r="AU10" i="6" s="1"/>
  <c r="AS10" i="6"/>
  <c r="AM10" i="6"/>
  <c r="AK10" i="6"/>
  <c r="AH10" i="6" s="1"/>
  <c r="AF10" i="6"/>
  <c r="Y10" i="6"/>
  <c r="W10" i="6"/>
  <c r="T10" i="6" s="1"/>
  <c r="R10" i="6"/>
  <c r="K10" i="6"/>
  <c r="I10" i="6"/>
  <c r="F10" i="6" s="1"/>
  <c r="D10" i="6"/>
  <c r="CM9" i="6"/>
  <c r="CK9" i="6"/>
  <c r="CF9" i="6"/>
  <c r="BZ9" i="6"/>
  <c r="BX9" i="6"/>
  <c r="BU9" i="6" s="1"/>
  <c r="BS9" i="6"/>
  <c r="BM9" i="6"/>
  <c r="BK9" i="6"/>
  <c r="BF9" i="6"/>
  <c r="AZ9" i="6"/>
  <c r="AX9" i="6"/>
  <c r="AS9" i="6"/>
  <c r="AM9" i="6"/>
  <c r="AK9" i="6"/>
  <c r="AF9" i="6"/>
  <c r="Y9" i="6"/>
  <c r="W9" i="6"/>
  <c r="T9" i="6" s="1"/>
  <c r="R9" i="6"/>
  <c r="K9" i="6"/>
  <c r="I9" i="6"/>
  <c r="D9" i="6"/>
  <c r="CN7" i="6"/>
  <c r="CL7" i="6"/>
  <c r="CJ7" i="6"/>
  <c r="CI7" i="6"/>
  <c r="CG7" i="6"/>
  <c r="CA7" i="6"/>
  <c r="BY7" i="6"/>
  <c r="BW7" i="6"/>
  <c r="BV7" i="6"/>
  <c r="BT7" i="6"/>
  <c r="BN7" i="6"/>
  <c r="BL7" i="6"/>
  <c r="BJ7" i="6"/>
  <c r="BI7" i="6"/>
  <c r="BG7" i="6"/>
  <c r="BA7" i="6"/>
  <c r="AY7" i="6"/>
  <c r="AW7" i="6"/>
  <c r="AV7" i="6"/>
  <c r="AT7" i="6"/>
  <c r="AN7" i="6"/>
  <c r="AL7" i="6"/>
  <c r="AJ7" i="6"/>
  <c r="AI7" i="6"/>
  <c r="AG7" i="6"/>
  <c r="Z7" i="6"/>
  <c r="AB7" i="6" s="1"/>
  <c r="X7" i="6"/>
  <c r="V7" i="6"/>
  <c r="U7" i="6"/>
  <c r="S7" i="6"/>
  <c r="L7" i="6"/>
  <c r="J7" i="6"/>
  <c r="H7" i="6"/>
  <c r="G7" i="6"/>
  <c r="E7" i="6"/>
  <c r="CN6" i="6"/>
  <c r="CL6" i="6"/>
  <c r="CJ6" i="6"/>
  <c r="CI6" i="6"/>
  <c r="CG6" i="6"/>
  <c r="CC6" i="6"/>
  <c r="CA6" i="6"/>
  <c r="BY6" i="6"/>
  <c r="BW6" i="6"/>
  <c r="BV6" i="6"/>
  <c r="BT6" i="6"/>
  <c r="BP6" i="6"/>
  <c r="BN6" i="6"/>
  <c r="BL6" i="6"/>
  <c r="BJ6" i="6"/>
  <c r="BI6" i="6"/>
  <c r="BG6" i="6"/>
  <c r="BC6" i="6"/>
  <c r="BA6" i="6"/>
  <c r="AY6" i="6"/>
  <c r="AW6" i="6"/>
  <c r="AV6" i="6"/>
  <c r="AT6" i="6"/>
  <c r="AP6" i="6"/>
  <c r="AN6" i="6"/>
  <c r="AL6" i="6"/>
  <c r="AJ6" i="6"/>
  <c r="AI6" i="6"/>
  <c r="AG6" i="6"/>
  <c r="AC6" i="6"/>
  <c r="Z6" i="6"/>
  <c r="X6" i="6"/>
  <c r="V6" i="6"/>
  <c r="U6" i="6"/>
  <c r="S6" i="6"/>
  <c r="O6" i="6"/>
  <c r="L6" i="6"/>
  <c r="J6" i="6"/>
  <c r="H6" i="6"/>
  <c r="G6" i="6"/>
  <c r="E6" i="6"/>
  <c r="A6" i="6"/>
  <c r="H37" i="5"/>
  <c r="J30" i="5"/>
  <c r="I30" i="5"/>
  <c r="H30" i="5"/>
  <c r="G30" i="5"/>
  <c r="F30" i="5"/>
  <c r="E30" i="5"/>
  <c r="J29" i="5"/>
  <c r="I29" i="5"/>
  <c r="H29" i="5"/>
  <c r="G29" i="5"/>
  <c r="F29" i="5"/>
  <c r="E29" i="5"/>
  <c r="J28" i="5"/>
  <c r="I28" i="5"/>
  <c r="H28" i="5"/>
  <c r="G28" i="5"/>
  <c r="F28" i="5"/>
  <c r="E28" i="5"/>
  <c r="J27" i="5"/>
  <c r="I27" i="5"/>
  <c r="H27" i="5"/>
  <c r="G27" i="5"/>
  <c r="F27" i="5"/>
  <c r="E27" i="5"/>
  <c r="J26" i="5"/>
  <c r="I26" i="5"/>
  <c r="H26" i="5"/>
  <c r="G26" i="5"/>
  <c r="F26" i="5"/>
  <c r="E26" i="5"/>
  <c r="J25" i="5"/>
  <c r="I25" i="5"/>
  <c r="H25" i="5"/>
  <c r="G25" i="5"/>
  <c r="F25" i="5"/>
  <c r="E25" i="5"/>
  <c r="J24" i="5"/>
  <c r="I24" i="5"/>
  <c r="H24" i="5"/>
  <c r="G24" i="5"/>
  <c r="F24" i="5"/>
  <c r="E24" i="5"/>
  <c r="J23" i="5"/>
  <c r="I23" i="5"/>
  <c r="H23" i="5"/>
  <c r="G23" i="5"/>
  <c r="F23" i="5"/>
  <c r="E23" i="5"/>
  <c r="J22" i="5"/>
  <c r="I22" i="5"/>
  <c r="H22" i="5"/>
  <c r="G22" i="5"/>
  <c r="F22" i="5"/>
  <c r="E22" i="5"/>
  <c r="J21" i="5"/>
  <c r="I21" i="5"/>
  <c r="H21" i="5"/>
  <c r="G21" i="5"/>
  <c r="F21" i="5"/>
  <c r="E21" i="5"/>
  <c r="J20" i="5"/>
  <c r="I20" i="5"/>
  <c r="H20" i="5"/>
  <c r="G20" i="5"/>
  <c r="F20" i="5"/>
  <c r="E20" i="5"/>
  <c r="J19" i="5"/>
  <c r="I19" i="5"/>
  <c r="H19" i="5"/>
  <c r="G19" i="5"/>
  <c r="F19" i="5"/>
  <c r="E19" i="5"/>
  <c r="J18" i="5"/>
  <c r="I18" i="5"/>
  <c r="H18" i="5"/>
  <c r="G18" i="5"/>
  <c r="F18" i="5"/>
  <c r="E18" i="5"/>
  <c r="J17" i="5"/>
  <c r="I17" i="5"/>
  <c r="H17" i="5"/>
  <c r="G17" i="5"/>
  <c r="F17" i="5"/>
  <c r="E17" i="5"/>
  <c r="J16" i="5"/>
  <c r="I16" i="5"/>
  <c r="H16" i="5"/>
  <c r="G16" i="5"/>
  <c r="F16" i="5"/>
  <c r="E16" i="5"/>
  <c r="J15" i="5"/>
  <c r="I15" i="5"/>
  <c r="H15" i="5"/>
  <c r="G15" i="5"/>
  <c r="F15" i="5"/>
  <c r="E15" i="5"/>
  <c r="J14" i="5"/>
  <c r="I14" i="5"/>
  <c r="H14" i="5"/>
  <c r="G14" i="5"/>
  <c r="F14" i="5"/>
  <c r="E14" i="5"/>
  <c r="J13" i="5"/>
  <c r="I13" i="5"/>
  <c r="H13" i="5"/>
  <c r="G13" i="5"/>
  <c r="F13" i="5"/>
  <c r="E13" i="5"/>
  <c r="J12" i="5"/>
  <c r="I12" i="5"/>
  <c r="H12" i="5"/>
  <c r="G12" i="5"/>
  <c r="F12" i="5"/>
  <c r="E12" i="5"/>
  <c r="J11" i="5"/>
  <c r="I11" i="5"/>
  <c r="H11" i="5"/>
  <c r="G11" i="5"/>
  <c r="F11" i="5"/>
  <c r="E11" i="5"/>
  <c r="J10" i="5"/>
  <c r="I10" i="5"/>
  <c r="H10" i="5"/>
  <c r="G10" i="5"/>
  <c r="F10" i="5"/>
  <c r="E10" i="5"/>
  <c r="J9" i="5"/>
  <c r="I9" i="5"/>
  <c r="H9" i="5"/>
  <c r="G9" i="5"/>
  <c r="F9" i="5"/>
  <c r="E9" i="5"/>
  <c r="J8" i="5"/>
  <c r="I8" i="5"/>
  <c r="H8" i="5"/>
  <c r="G8" i="5"/>
  <c r="F8" i="5"/>
  <c r="E8" i="5"/>
  <c r="J7" i="5"/>
  <c r="I7" i="5"/>
  <c r="H7" i="5"/>
  <c r="G7" i="5"/>
  <c r="F7" i="5"/>
  <c r="E7" i="5"/>
  <c r="J6" i="5"/>
  <c r="I6" i="5"/>
  <c r="H6" i="5"/>
  <c r="G6" i="5"/>
  <c r="F6" i="5"/>
  <c r="E6" i="5"/>
  <c r="J5" i="5"/>
  <c r="I5" i="5"/>
  <c r="H5" i="5"/>
  <c r="G5" i="5"/>
  <c r="F5" i="5"/>
  <c r="E5" i="5"/>
  <c r="J4" i="5"/>
  <c r="I4" i="5"/>
  <c r="H4" i="5"/>
  <c r="G4" i="5"/>
  <c r="F4" i="5"/>
  <c r="E4" i="5"/>
  <c r="AO87" i="4"/>
  <c r="AJ87" i="4"/>
  <c r="AD87" i="4"/>
  <c r="Y87" i="4"/>
  <c r="S87" i="4"/>
  <c r="N87" i="4"/>
  <c r="H87" i="4"/>
  <c r="C87" i="4"/>
  <c r="AO86" i="4"/>
  <c r="AJ86" i="4"/>
  <c r="AG86" i="4"/>
  <c r="AD86" i="4"/>
  <c r="Y86" i="4"/>
  <c r="V86" i="4"/>
  <c r="S86" i="4"/>
  <c r="N86" i="4"/>
  <c r="K86" i="4"/>
  <c r="H86" i="4"/>
  <c r="C86" i="4"/>
  <c r="AO85" i="4"/>
  <c r="AJ85" i="4"/>
  <c r="AG85" i="4"/>
  <c r="AD85" i="4"/>
  <c r="Y85" i="4"/>
  <c r="V85" i="4"/>
  <c r="S85" i="4"/>
  <c r="N85" i="4"/>
  <c r="K85" i="4"/>
  <c r="H85" i="4"/>
  <c r="C85" i="4"/>
  <c r="AO83" i="4"/>
  <c r="AJ83" i="4"/>
  <c r="AD83" i="4"/>
  <c r="Y83" i="4"/>
  <c r="S83" i="4"/>
  <c r="N83" i="4"/>
  <c r="H83" i="4"/>
  <c r="C83" i="4"/>
  <c r="AO82" i="4"/>
  <c r="AJ82" i="4"/>
  <c r="AG82" i="4"/>
  <c r="AD82" i="4"/>
  <c r="Y82" i="4"/>
  <c r="W82" i="4"/>
  <c r="V82" i="4"/>
  <c r="S82" i="4"/>
  <c r="N82" i="4"/>
  <c r="K82" i="4"/>
  <c r="H82" i="4"/>
  <c r="C82" i="4"/>
  <c r="AO81" i="4"/>
  <c r="AJ81" i="4"/>
  <c r="AG81" i="4"/>
  <c r="AD81" i="4"/>
  <c r="Y81" i="4"/>
  <c r="V81" i="4"/>
  <c r="S81" i="4"/>
  <c r="N81" i="4"/>
  <c r="K81" i="4"/>
  <c r="H81" i="4"/>
  <c r="C81" i="4"/>
  <c r="AO79" i="4"/>
  <c r="AJ79" i="4"/>
  <c r="AD79" i="4"/>
  <c r="Y79" i="4"/>
  <c r="S79" i="4"/>
  <c r="N79" i="4"/>
  <c r="H79" i="4"/>
  <c r="C79" i="4"/>
  <c r="AO78" i="4"/>
  <c r="AJ78" i="4"/>
  <c r="AG78" i="4"/>
  <c r="AD78" i="4"/>
  <c r="Y78" i="4"/>
  <c r="V78" i="4"/>
  <c r="S78" i="4"/>
  <c r="N78" i="4"/>
  <c r="K78" i="4"/>
  <c r="H78" i="4"/>
  <c r="C78" i="4"/>
  <c r="AO77" i="4"/>
  <c r="AJ77" i="4"/>
  <c r="AG77" i="4"/>
  <c r="AD77" i="4"/>
  <c r="Y77" i="4"/>
  <c r="V77" i="4"/>
  <c r="S77" i="4"/>
  <c r="N77" i="4"/>
  <c r="K77" i="4"/>
  <c r="H77" i="4"/>
  <c r="C77" i="4"/>
  <c r="AO75" i="4"/>
  <c r="AJ75" i="4"/>
  <c r="AD75" i="4"/>
  <c r="Y75" i="4"/>
  <c r="Y66" i="4" s="1"/>
  <c r="S75" i="4"/>
  <c r="N75" i="4"/>
  <c r="H75" i="4"/>
  <c r="C75" i="4"/>
  <c r="C66" i="4" s="1"/>
  <c r="AO74" i="4"/>
  <c r="AJ74" i="4"/>
  <c r="AG74" i="4"/>
  <c r="AD74" i="4"/>
  <c r="AD65" i="4" s="1"/>
  <c r="Y74" i="4"/>
  <c r="V74" i="4"/>
  <c r="V65" i="4" s="1"/>
  <c r="S74" i="4"/>
  <c r="N74" i="4"/>
  <c r="K74" i="4"/>
  <c r="H74" i="4"/>
  <c r="C74" i="4"/>
  <c r="AO73" i="4"/>
  <c r="AJ73" i="4"/>
  <c r="AG73" i="4"/>
  <c r="AD73" i="4"/>
  <c r="Y73" i="4"/>
  <c r="Y64" i="4" s="1"/>
  <c r="V73" i="4"/>
  <c r="S73" i="4"/>
  <c r="N73" i="4"/>
  <c r="K73" i="4"/>
  <c r="H73" i="4"/>
  <c r="C73" i="4"/>
  <c r="C64" i="4" s="1"/>
  <c r="AR71" i="4"/>
  <c r="AO71" i="4"/>
  <c r="AO66" i="4" s="1"/>
  <c r="AJ71" i="4"/>
  <c r="AD71" i="4"/>
  <c r="Y71" i="4"/>
  <c r="S71" i="4"/>
  <c r="S66" i="4" s="1"/>
  <c r="N71" i="4"/>
  <c r="H71" i="4"/>
  <c r="C71" i="4"/>
  <c r="AO70" i="4"/>
  <c r="AO65" i="4" s="1"/>
  <c r="AJ70" i="4"/>
  <c r="AG70" i="4"/>
  <c r="AG65" i="4" s="1"/>
  <c r="AD70" i="4"/>
  <c r="Y70" i="4"/>
  <c r="V70" i="4"/>
  <c r="S70" i="4"/>
  <c r="S65" i="4" s="1"/>
  <c r="N70" i="4"/>
  <c r="K70" i="4"/>
  <c r="K65" i="4" s="1"/>
  <c r="H70" i="4"/>
  <c r="H65" i="4" s="1"/>
  <c r="C70" i="4"/>
  <c r="AO69" i="4"/>
  <c r="AJ69" i="4"/>
  <c r="AJ64" i="4" s="1"/>
  <c r="AG69" i="4"/>
  <c r="AD69" i="4"/>
  <c r="Y69" i="4"/>
  <c r="V69" i="4"/>
  <c r="S69" i="4"/>
  <c r="N69" i="4"/>
  <c r="N64" i="4" s="1"/>
  <c r="K69" i="4"/>
  <c r="H69" i="4"/>
  <c r="C69" i="4"/>
  <c r="AP66" i="4"/>
  <c r="AN66" i="4"/>
  <c r="AM66" i="4"/>
  <c r="AL66" i="4"/>
  <c r="AK66" i="4"/>
  <c r="AJ66" i="4"/>
  <c r="AE66" i="4"/>
  <c r="AD66" i="4"/>
  <c r="AC66" i="4"/>
  <c r="AB66" i="4"/>
  <c r="AA66" i="4"/>
  <c r="Z66" i="4"/>
  <c r="T66" i="4"/>
  <c r="R66" i="4"/>
  <c r="Q66" i="4"/>
  <c r="P66" i="4"/>
  <c r="O66" i="4"/>
  <c r="N66" i="4"/>
  <c r="I66" i="4"/>
  <c r="H66" i="4"/>
  <c r="G66" i="4"/>
  <c r="F66" i="4"/>
  <c r="E66" i="4"/>
  <c r="D66" i="4"/>
  <c r="AP65" i="4"/>
  <c r="AN65" i="4"/>
  <c r="AM65" i="4"/>
  <c r="AL65" i="4"/>
  <c r="AK65" i="4"/>
  <c r="AJ65" i="4"/>
  <c r="AE65" i="4"/>
  <c r="AC65" i="4"/>
  <c r="AB65" i="4"/>
  <c r="AA65" i="4"/>
  <c r="Z65" i="4"/>
  <c r="Y65" i="4"/>
  <c r="T65" i="4"/>
  <c r="R65" i="4"/>
  <c r="Q65" i="4"/>
  <c r="P65" i="4"/>
  <c r="O65" i="4"/>
  <c r="N65" i="4"/>
  <c r="I65" i="4"/>
  <c r="G65" i="4"/>
  <c r="F65" i="4"/>
  <c r="E65" i="4"/>
  <c r="D65" i="4"/>
  <c r="C65" i="4"/>
  <c r="AP64" i="4"/>
  <c r="AO64" i="4"/>
  <c r="AN64" i="4"/>
  <c r="AM64" i="4"/>
  <c r="AL64" i="4"/>
  <c r="AK64" i="4"/>
  <c r="AG64" i="4"/>
  <c r="AE64" i="4"/>
  <c r="AD64" i="4"/>
  <c r="AC64" i="4"/>
  <c r="AB64" i="4"/>
  <c r="AA64" i="4"/>
  <c r="Z64" i="4"/>
  <c r="V64" i="4"/>
  <c r="T64" i="4"/>
  <c r="S64" i="4"/>
  <c r="R64" i="4"/>
  <c r="Q64" i="4"/>
  <c r="P64" i="4"/>
  <c r="O64" i="4"/>
  <c r="K64" i="4"/>
  <c r="I64" i="4"/>
  <c r="H64" i="4"/>
  <c r="G64" i="4"/>
  <c r="F64" i="4"/>
  <c r="E64" i="4"/>
  <c r="D64" i="4"/>
  <c r="AO58" i="4"/>
  <c r="AJ58" i="4"/>
  <c r="AD58" i="4"/>
  <c r="Y58" i="4"/>
  <c r="S58" i="4"/>
  <c r="N58" i="4"/>
  <c r="H58" i="4"/>
  <c r="C58" i="4"/>
  <c r="AO57" i="4"/>
  <c r="AJ57" i="4"/>
  <c r="AG57" i="4"/>
  <c r="AD57" i="4"/>
  <c r="Y57" i="4"/>
  <c r="V57" i="4"/>
  <c r="S57" i="4"/>
  <c r="N57" i="4"/>
  <c r="K57" i="4"/>
  <c r="H57" i="4"/>
  <c r="C57" i="4"/>
  <c r="AO56" i="4"/>
  <c r="AJ56" i="4"/>
  <c r="AG56" i="4"/>
  <c r="AD56" i="4"/>
  <c r="Y56" i="4"/>
  <c r="V56" i="4"/>
  <c r="S56" i="4"/>
  <c r="N56" i="4"/>
  <c r="K56" i="4"/>
  <c r="H56" i="4"/>
  <c r="C56" i="4"/>
  <c r="AO54" i="4"/>
  <c r="AJ54" i="4"/>
  <c r="AD54" i="4"/>
  <c r="Y54" i="4"/>
  <c r="S54" i="4"/>
  <c r="N54" i="4"/>
  <c r="H54" i="4"/>
  <c r="C54" i="4"/>
  <c r="AO53" i="4"/>
  <c r="AJ53" i="4"/>
  <c r="AG53" i="4"/>
  <c r="AD53" i="4"/>
  <c r="Y53" i="4"/>
  <c r="V53" i="4"/>
  <c r="S53" i="4"/>
  <c r="N53" i="4"/>
  <c r="K53" i="4"/>
  <c r="H53" i="4"/>
  <c r="C53" i="4"/>
  <c r="AO52" i="4"/>
  <c r="AJ52" i="4"/>
  <c r="AG52" i="4"/>
  <c r="AD52" i="4"/>
  <c r="Y52" i="4"/>
  <c r="V52" i="4"/>
  <c r="S52" i="4"/>
  <c r="N52" i="4"/>
  <c r="K52" i="4"/>
  <c r="H52" i="4"/>
  <c r="C52" i="4"/>
  <c r="AO50" i="4"/>
  <c r="AJ50" i="4"/>
  <c r="AD50" i="4"/>
  <c r="Y50" i="4"/>
  <c r="S50" i="4"/>
  <c r="N50" i="4"/>
  <c r="H50" i="4"/>
  <c r="C50" i="4"/>
  <c r="AO49" i="4"/>
  <c r="AJ49" i="4"/>
  <c r="AG49" i="4"/>
  <c r="AD49" i="4"/>
  <c r="Y49" i="4"/>
  <c r="V49" i="4"/>
  <c r="S49" i="4"/>
  <c r="N49" i="4"/>
  <c r="K49" i="4"/>
  <c r="H49" i="4"/>
  <c r="C49" i="4"/>
  <c r="AO48" i="4"/>
  <c r="AJ48" i="4"/>
  <c r="AG48" i="4"/>
  <c r="AD48" i="4"/>
  <c r="Y48" i="4"/>
  <c r="V48" i="4"/>
  <c r="S48" i="4"/>
  <c r="N48" i="4"/>
  <c r="K48" i="4"/>
  <c r="H48" i="4"/>
  <c r="C48" i="4"/>
  <c r="AO46" i="4"/>
  <c r="AJ46" i="4"/>
  <c r="AD46" i="4"/>
  <c r="Y46" i="4"/>
  <c r="Y37" i="4" s="1"/>
  <c r="S46" i="4"/>
  <c r="N46" i="4"/>
  <c r="H46" i="4"/>
  <c r="C46" i="4"/>
  <c r="AO45" i="4"/>
  <c r="AJ45" i="4"/>
  <c r="AG45" i="4"/>
  <c r="AD45" i="4"/>
  <c r="Y45" i="4"/>
  <c r="V45" i="4"/>
  <c r="S45" i="4"/>
  <c r="N45" i="4"/>
  <c r="K45" i="4"/>
  <c r="K36" i="4" s="1"/>
  <c r="H45" i="4"/>
  <c r="C45" i="4"/>
  <c r="AO44" i="4"/>
  <c r="AJ44" i="4"/>
  <c r="AG44" i="4"/>
  <c r="AD44" i="4"/>
  <c r="Y44" i="4"/>
  <c r="V44" i="4"/>
  <c r="S44" i="4"/>
  <c r="N44" i="4"/>
  <c r="K44" i="4"/>
  <c r="H44" i="4"/>
  <c r="C44" i="4"/>
  <c r="AO42" i="4"/>
  <c r="AO37" i="4" s="1"/>
  <c r="AJ42" i="4"/>
  <c r="AD42" i="4"/>
  <c r="Y42" i="4"/>
  <c r="S42" i="4"/>
  <c r="S37" i="4" s="1"/>
  <c r="N42" i="4"/>
  <c r="H42" i="4"/>
  <c r="C42" i="4"/>
  <c r="AO41" i="4"/>
  <c r="AO36" i="4" s="1"/>
  <c r="AJ41" i="4"/>
  <c r="AG41" i="4"/>
  <c r="AG36" i="4" s="1"/>
  <c r="AD41" i="4"/>
  <c r="Y41" i="4"/>
  <c r="V41" i="4"/>
  <c r="S41" i="4"/>
  <c r="S36" i="4" s="1"/>
  <c r="N41" i="4"/>
  <c r="K41" i="4"/>
  <c r="H41" i="4"/>
  <c r="C41" i="4"/>
  <c r="AO40" i="4"/>
  <c r="AJ40" i="4"/>
  <c r="AJ35" i="4" s="1"/>
  <c r="AG40" i="4"/>
  <c r="AD40" i="4"/>
  <c r="Y40" i="4"/>
  <c r="V40" i="4"/>
  <c r="S40" i="4"/>
  <c r="N40" i="4"/>
  <c r="N35" i="4" s="1"/>
  <c r="K40" i="4"/>
  <c r="H40" i="4"/>
  <c r="C40" i="4"/>
  <c r="AP37" i="4"/>
  <c r="AN37" i="4"/>
  <c r="AM37" i="4"/>
  <c r="AL37" i="4"/>
  <c r="AK37" i="4"/>
  <c r="AJ37" i="4"/>
  <c r="AE37" i="4"/>
  <c r="AD37" i="4"/>
  <c r="AC37" i="4"/>
  <c r="AB37" i="4"/>
  <c r="AA37" i="4"/>
  <c r="Z37" i="4"/>
  <c r="T37" i="4"/>
  <c r="R37" i="4"/>
  <c r="Q37" i="4"/>
  <c r="P37" i="4"/>
  <c r="O37" i="4"/>
  <c r="N37" i="4"/>
  <c r="I37" i="4"/>
  <c r="H37" i="4"/>
  <c r="G37" i="4"/>
  <c r="F37" i="4"/>
  <c r="E37" i="4"/>
  <c r="D37" i="4"/>
  <c r="C37" i="4"/>
  <c r="AP36" i="4"/>
  <c r="AN36" i="4"/>
  <c r="AM36" i="4"/>
  <c r="AL36" i="4"/>
  <c r="AK36" i="4"/>
  <c r="AJ36" i="4"/>
  <c r="AE36" i="4"/>
  <c r="AD36" i="4"/>
  <c r="AC36" i="4"/>
  <c r="AB36" i="4"/>
  <c r="AA36" i="4"/>
  <c r="Z36" i="4"/>
  <c r="Y36" i="4"/>
  <c r="V36" i="4"/>
  <c r="T36" i="4"/>
  <c r="R36" i="4"/>
  <c r="Q36" i="4"/>
  <c r="P36" i="4"/>
  <c r="O36" i="4"/>
  <c r="N36" i="4"/>
  <c r="I36" i="4"/>
  <c r="H36" i="4"/>
  <c r="G36" i="4"/>
  <c r="F36" i="4"/>
  <c r="E36" i="4"/>
  <c r="D36" i="4"/>
  <c r="C36" i="4"/>
  <c r="AP35" i="4"/>
  <c r="AO35" i="4"/>
  <c r="AN35" i="4"/>
  <c r="AM35" i="4"/>
  <c r="AL35" i="4"/>
  <c r="AK35" i="4"/>
  <c r="AG35" i="4"/>
  <c r="AE35" i="4"/>
  <c r="AD35" i="4"/>
  <c r="AC35" i="4"/>
  <c r="AB35" i="4"/>
  <c r="AA35" i="4"/>
  <c r="Z35" i="4"/>
  <c r="Y35" i="4"/>
  <c r="V35" i="4"/>
  <c r="T35" i="4"/>
  <c r="S35" i="4"/>
  <c r="R35" i="4"/>
  <c r="Q35" i="4"/>
  <c r="P35" i="4"/>
  <c r="O35" i="4"/>
  <c r="K35" i="4"/>
  <c r="I35" i="4"/>
  <c r="H35" i="4"/>
  <c r="G35" i="4"/>
  <c r="F35" i="4"/>
  <c r="E35" i="4"/>
  <c r="D35" i="4"/>
  <c r="C35" i="4"/>
  <c r="R30" i="4"/>
  <c r="Q30" i="4"/>
  <c r="AO29" i="4"/>
  <c r="AJ29" i="4"/>
  <c r="AD29" i="4"/>
  <c r="Y29" i="4"/>
  <c r="S29" i="4"/>
  <c r="N29" i="4"/>
  <c r="H29" i="4"/>
  <c r="C29" i="4"/>
  <c r="AO28" i="4"/>
  <c r="AJ28" i="4"/>
  <c r="AG28" i="4"/>
  <c r="AD28" i="4"/>
  <c r="Y28" i="4"/>
  <c r="V28" i="4"/>
  <c r="S28" i="4"/>
  <c r="N28" i="4"/>
  <c r="K28" i="4"/>
  <c r="H28" i="4"/>
  <c r="C28" i="4"/>
  <c r="AO27" i="4"/>
  <c r="AJ27" i="4"/>
  <c r="AG27" i="4"/>
  <c r="AD27" i="4"/>
  <c r="Y27" i="4"/>
  <c r="V27" i="4"/>
  <c r="S27" i="4"/>
  <c r="N27" i="4"/>
  <c r="K27" i="4"/>
  <c r="H27" i="4"/>
  <c r="C27" i="4"/>
  <c r="AO25" i="4"/>
  <c r="AJ25" i="4"/>
  <c r="AD25" i="4"/>
  <c r="Y25" i="4"/>
  <c r="S25" i="4"/>
  <c r="N25" i="4"/>
  <c r="H25" i="4"/>
  <c r="C25" i="4"/>
  <c r="AO24" i="4"/>
  <c r="AJ24" i="4"/>
  <c r="AG24" i="4"/>
  <c r="AD24" i="4"/>
  <c r="Y24" i="4"/>
  <c r="V24" i="4"/>
  <c r="S24" i="4"/>
  <c r="N24" i="4"/>
  <c r="K24" i="4"/>
  <c r="H24" i="4"/>
  <c r="C24" i="4"/>
  <c r="AO23" i="4"/>
  <c r="AJ23" i="4"/>
  <c r="AG23" i="4"/>
  <c r="AD23" i="4"/>
  <c r="Y23" i="4"/>
  <c r="V23" i="4"/>
  <c r="S23" i="4"/>
  <c r="N23" i="4"/>
  <c r="K23" i="4"/>
  <c r="H23" i="4"/>
  <c r="C23" i="4"/>
  <c r="AO21" i="4"/>
  <c r="AJ21" i="4"/>
  <c r="AD21" i="4"/>
  <c r="Y21" i="4"/>
  <c r="S21" i="4"/>
  <c r="N21" i="4"/>
  <c r="H21" i="4"/>
  <c r="C21" i="4"/>
  <c r="AO20" i="4"/>
  <c r="AJ20" i="4"/>
  <c r="AG20" i="4"/>
  <c r="AD20" i="4"/>
  <c r="Y20" i="4"/>
  <c r="V20" i="4"/>
  <c r="S20" i="4"/>
  <c r="N20" i="4"/>
  <c r="K20" i="4"/>
  <c r="H20" i="4"/>
  <c r="C20" i="4"/>
  <c r="AO19" i="4"/>
  <c r="AJ19" i="4"/>
  <c r="AG19" i="4"/>
  <c r="AD19" i="4"/>
  <c r="Y19" i="4"/>
  <c r="V19" i="4"/>
  <c r="S19" i="4"/>
  <c r="N19" i="4"/>
  <c r="K19" i="4"/>
  <c r="H19" i="4"/>
  <c r="C19" i="4"/>
  <c r="AO17" i="4"/>
  <c r="AJ17" i="4"/>
  <c r="AD17" i="4"/>
  <c r="Y17" i="4"/>
  <c r="S17" i="4"/>
  <c r="N17" i="4"/>
  <c r="H17" i="4"/>
  <c r="C17" i="4"/>
  <c r="AO16" i="4"/>
  <c r="AJ16" i="4"/>
  <c r="AG16" i="4"/>
  <c r="AD16" i="4"/>
  <c r="Y16" i="4"/>
  <c r="V16" i="4"/>
  <c r="S16" i="4"/>
  <c r="N16" i="4"/>
  <c r="K16" i="4"/>
  <c r="H16" i="4"/>
  <c r="C16" i="4"/>
  <c r="AO15" i="4"/>
  <c r="AJ15" i="4"/>
  <c r="AG15" i="4"/>
  <c r="AD15" i="4"/>
  <c r="Y15" i="4"/>
  <c r="V15" i="4"/>
  <c r="S15" i="4"/>
  <c r="N15" i="4"/>
  <c r="K15" i="4"/>
  <c r="H15" i="4"/>
  <c r="C15" i="4"/>
  <c r="AO13" i="4"/>
  <c r="AO8" i="4" s="1"/>
  <c r="AJ13" i="4"/>
  <c r="AD13" i="4"/>
  <c r="Y13" i="4"/>
  <c r="S13" i="4"/>
  <c r="S8" i="4" s="1"/>
  <c r="N13" i="4"/>
  <c r="H13" i="4"/>
  <c r="C13" i="4"/>
  <c r="AO12" i="4"/>
  <c r="AO7" i="4" s="1"/>
  <c r="AJ12" i="4"/>
  <c r="AG12" i="4"/>
  <c r="AG7" i="4" s="1"/>
  <c r="AD12" i="4"/>
  <c r="Y12" i="4"/>
  <c r="V12" i="4"/>
  <c r="S12" i="4"/>
  <c r="S7" i="4" s="1"/>
  <c r="N12" i="4"/>
  <c r="K12" i="4"/>
  <c r="K7" i="4" s="1"/>
  <c r="H12" i="4"/>
  <c r="C12" i="4"/>
  <c r="AO11" i="4"/>
  <c r="AJ11" i="4"/>
  <c r="AJ6" i="4" s="1"/>
  <c r="AG11" i="4"/>
  <c r="AD11" i="4"/>
  <c r="Y11" i="4"/>
  <c r="V11" i="4"/>
  <c r="S11" i="4"/>
  <c r="N11" i="4"/>
  <c r="N6" i="4" s="1"/>
  <c r="K11" i="4"/>
  <c r="H11" i="4"/>
  <c r="C11" i="4"/>
  <c r="AP8" i="4"/>
  <c r="AN8" i="4"/>
  <c r="AM8" i="4"/>
  <c r="AL8" i="4"/>
  <c r="AK8" i="4"/>
  <c r="AJ8" i="4"/>
  <c r="AE8" i="4"/>
  <c r="AD8" i="4"/>
  <c r="AC8" i="4"/>
  <c r="AB8" i="4"/>
  <c r="AA8" i="4"/>
  <c r="Z8" i="4"/>
  <c r="Y8" i="4"/>
  <c r="T8" i="4"/>
  <c r="R8" i="4"/>
  <c r="Q8" i="4"/>
  <c r="P8" i="4"/>
  <c r="O8" i="4"/>
  <c r="N8" i="4"/>
  <c r="I8" i="4"/>
  <c r="H8" i="4"/>
  <c r="G8" i="4"/>
  <c r="F8" i="4"/>
  <c r="E8" i="4"/>
  <c r="D8" i="4"/>
  <c r="C8" i="4"/>
  <c r="AP7" i="4"/>
  <c r="AN7" i="4"/>
  <c r="AM7" i="4"/>
  <c r="AL7" i="4"/>
  <c r="AK7" i="4"/>
  <c r="AJ7" i="4"/>
  <c r="AE7" i="4"/>
  <c r="AD7" i="4"/>
  <c r="AC7" i="4"/>
  <c r="AB7" i="4"/>
  <c r="AA7" i="4"/>
  <c r="Z7" i="4"/>
  <c r="Y7" i="4"/>
  <c r="V7" i="4"/>
  <c r="T7" i="4"/>
  <c r="R7" i="4"/>
  <c r="Q7" i="4"/>
  <c r="P7" i="4"/>
  <c r="O7" i="4"/>
  <c r="N7" i="4"/>
  <c r="I7" i="4"/>
  <c r="H7" i="4"/>
  <c r="G7" i="4"/>
  <c r="F7" i="4"/>
  <c r="E7" i="4"/>
  <c r="D7" i="4"/>
  <c r="C7" i="4"/>
  <c r="AP6" i="4"/>
  <c r="AO6" i="4"/>
  <c r="AN6" i="4"/>
  <c r="AM6" i="4"/>
  <c r="AL6" i="4"/>
  <c r="AK6" i="4"/>
  <c r="AG6" i="4"/>
  <c r="AE6" i="4"/>
  <c r="AD6" i="4"/>
  <c r="AC6" i="4"/>
  <c r="AB6" i="4"/>
  <c r="AA6" i="4"/>
  <c r="Z6" i="4"/>
  <c r="Y6" i="4"/>
  <c r="V6" i="4"/>
  <c r="T6" i="4"/>
  <c r="S6" i="4"/>
  <c r="R6" i="4"/>
  <c r="Q6" i="4"/>
  <c r="P6" i="4"/>
  <c r="O6" i="4"/>
  <c r="K6" i="4"/>
  <c r="I6" i="4"/>
  <c r="H6" i="4"/>
  <c r="G6" i="4"/>
  <c r="F6" i="4"/>
  <c r="E6" i="4"/>
  <c r="D6" i="4"/>
  <c r="C6" i="4"/>
  <c r="AP87" i="3"/>
  <c r="AK87" i="3"/>
  <c r="AE87" i="3"/>
  <c r="Z87" i="3"/>
  <c r="T87" i="3"/>
  <c r="O87" i="3"/>
  <c r="H87" i="3"/>
  <c r="C87" i="3"/>
  <c r="AS86" i="3"/>
  <c r="AP86" i="3"/>
  <c r="AK86" i="3"/>
  <c r="AH86" i="3"/>
  <c r="AE86" i="3"/>
  <c r="Z86" i="3"/>
  <c r="W86" i="3"/>
  <c r="T86" i="3"/>
  <c r="O86" i="3"/>
  <c r="K86" i="3"/>
  <c r="H86" i="3"/>
  <c r="C86" i="3"/>
  <c r="AS85" i="3"/>
  <c r="AP85" i="3"/>
  <c r="AK85" i="3"/>
  <c r="AH85" i="3"/>
  <c r="AE85" i="3"/>
  <c r="Z85" i="3"/>
  <c r="W85" i="3"/>
  <c r="T85" i="3"/>
  <c r="O85" i="3"/>
  <c r="K85" i="3"/>
  <c r="H85" i="3"/>
  <c r="C85" i="3"/>
  <c r="AP83" i="3"/>
  <c r="AK83" i="3"/>
  <c r="AE83" i="3"/>
  <c r="Z83" i="3"/>
  <c r="T83" i="3"/>
  <c r="O83" i="3"/>
  <c r="H83" i="3"/>
  <c r="C83" i="3"/>
  <c r="AS82" i="3"/>
  <c r="AP82" i="3"/>
  <c r="AK82" i="3"/>
  <c r="AH82" i="3"/>
  <c r="AE82" i="3"/>
  <c r="Z82" i="3"/>
  <c r="W82" i="3"/>
  <c r="T82" i="3"/>
  <c r="O82" i="3"/>
  <c r="K82" i="3"/>
  <c r="H82" i="3"/>
  <c r="C82" i="3"/>
  <c r="AS81" i="3"/>
  <c r="AP81" i="3"/>
  <c r="AK81" i="3"/>
  <c r="AH81" i="3"/>
  <c r="AE81" i="3"/>
  <c r="Z81" i="3"/>
  <c r="W81" i="3"/>
  <c r="T81" i="3"/>
  <c r="O81" i="3"/>
  <c r="K81" i="3"/>
  <c r="H81" i="3"/>
  <c r="C81" i="3"/>
  <c r="AP79" i="3"/>
  <c r="AK79" i="3"/>
  <c r="AE79" i="3"/>
  <c r="Z79" i="3"/>
  <c r="T79" i="3"/>
  <c r="O79" i="3"/>
  <c r="H79" i="3"/>
  <c r="C79" i="3"/>
  <c r="AS78" i="3"/>
  <c r="AP78" i="3"/>
  <c r="AK78" i="3"/>
  <c r="AH78" i="3"/>
  <c r="AE78" i="3"/>
  <c r="Z78" i="3"/>
  <c r="W78" i="3"/>
  <c r="T78" i="3"/>
  <c r="O78" i="3"/>
  <c r="K78" i="3"/>
  <c r="H78" i="3"/>
  <c r="C78" i="3"/>
  <c r="AS77" i="3"/>
  <c r="AP77" i="3"/>
  <c r="AK77" i="3"/>
  <c r="AH77" i="3"/>
  <c r="AE77" i="3"/>
  <c r="Z77" i="3"/>
  <c r="W77" i="3"/>
  <c r="T77" i="3"/>
  <c r="O77" i="3"/>
  <c r="K77" i="3"/>
  <c r="H77" i="3"/>
  <c r="C77" i="3"/>
  <c r="AP75" i="3"/>
  <c r="AK75" i="3"/>
  <c r="AE75" i="3"/>
  <c r="Z75" i="3"/>
  <c r="T75" i="3"/>
  <c r="O75" i="3"/>
  <c r="H75" i="3"/>
  <c r="C75" i="3"/>
  <c r="AS74" i="3"/>
  <c r="AP74" i="3"/>
  <c r="AK74" i="3"/>
  <c r="AH74" i="3"/>
  <c r="AE74" i="3"/>
  <c r="Z74" i="3"/>
  <c r="W74" i="3"/>
  <c r="T74" i="3"/>
  <c r="O74" i="3"/>
  <c r="K74" i="3"/>
  <c r="H74" i="3"/>
  <c r="C74" i="3"/>
  <c r="AS73" i="3"/>
  <c r="AP73" i="3"/>
  <c r="AK73" i="3"/>
  <c r="AH73" i="3"/>
  <c r="AE73" i="3"/>
  <c r="Z73" i="3"/>
  <c r="W73" i="3"/>
  <c r="T73" i="3"/>
  <c r="O73" i="3"/>
  <c r="K73" i="3"/>
  <c r="H73" i="3"/>
  <c r="C73" i="3"/>
  <c r="AP71" i="3"/>
  <c r="AK71" i="3"/>
  <c r="AK66" i="3" s="1"/>
  <c r="AE71" i="3"/>
  <c r="Z71" i="3"/>
  <c r="T71" i="3"/>
  <c r="O71" i="3"/>
  <c r="O66" i="3" s="1"/>
  <c r="H71" i="3"/>
  <c r="C71" i="3"/>
  <c r="AS70" i="3"/>
  <c r="AP70" i="3"/>
  <c r="AP65" i="3" s="1"/>
  <c r="AK70" i="3"/>
  <c r="AH70" i="3"/>
  <c r="AE70" i="3"/>
  <c r="Z70" i="3"/>
  <c r="Z65" i="3" s="1"/>
  <c r="W70" i="3"/>
  <c r="T70" i="3"/>
  <c r="O70" i="3"/>
  <c r="K70" i="3"/>
  <c r="K65" i="3" s="1"/>
  <c r="H70" i="3"/>
  <c r="C70" i="3"/>
  <c r="AS69" i="3"/>
  <c r="AP69" i="3"/>
  <c r="AP64" i="3" s="1"/>
  <c r="AK69" i="3"/>
  <c r="AH69" i="3"/>
  <c r="AE69" i="3"/>
  <c r="Z69" i="3"/>
  <c r="Z64" i="3" s="1"/>
  <c r="W69" i="3"/>
  <c r="T69" i="3"/>
  <c r="O69" i="3"/>
  <c r="K69" i="3"/>
  <c r="K64" i="3" s="1"/>
  <c r="H69" i="3"/>
  <c r="C69" i="3"/>
  <c r="AQ66" i="3"/>
  <c r="AP66" i="3"/>
  <c r="AO66" i="3"/>
  <c r="AN66" i="3"/>
  <c r="AM66" i="3"/>
  <c r="AL66" i="3"/>
  <c r="AF66" i="3"/>
  <c r="AE66" i="3"/>
  <c r="AD66" i="3"/>
  <c r="AC66" i="3"/>
  <c r="AB66" i="3"/>
  <c r="AA66" i="3"/>
  <c r="Z66" i="3"/>
  <c r="U66" i="3"/>
  <c r="T66" i="3"/>
  <c r="S66" i="3"/>
  <c r="R66" i="3"/>
  <c r="Q66" i="3"/>
  <c r="P66" i="3"/>
  <c r="I66" i="3"/>
  <c r="H66" i="3"/>
  <c r="G66" i="3"/>
  <c r="F66" i="3"/>
  <c r="E66" i="3"/>
  <c r="D66" i="3"/>
  <c r="C66" i="3"/>
  <c r="AS65" i="3"/>
  <c r="AQ65" i="3"/>
  <c r="AO65" i="3"/>
  <c r="AN65" i="3"/>
  <c r="AM65" i="3"/>
  <c r="AL65" i="3"/>
  <c r="AK65" i="3"/>
  <c r="AH65" i="3"/>
  <c r="AF65" i="3"/>
  <c r="AE65" i="3"/>
  <c r="AD65" i="3"/>
  <c r="AC65" i="3"/>
  <c r="AB65" i="3"/>
  <c r="AA65" i="3"/>
  <c r="W65" i="3"/>
  <c r="U65" i="3"/>
  <c r="T65" i="3"/>
  <c r="S65" i="3"/>
  <c r="R65" i="3"/>
  <c r="Q65" i="3"/>
  <c r="P65" i="3"/>
  <c r="O65" i="3"/>
  <c r="I65" i="3"/>
  <c r="H65" i="3"/>
  <c r="G65" i="3"/>
  <c r="F65" i="3"/>
  <c r="E65" i="3"/>
  <c r="D65" i="3"/>
  <c r="C65" i="3"/>
  <c r="AS64" i="3"/>
  <c r="AQ64" i="3"/>
  <c r="AO64" i="3"/>
  <c r="AN64" i="3"/>
  <c r="AM64" i="3"/>
  <c r="AL64" i="3"/>
  <c r="AK64" i="3"/>
  <c r="AH64" i="3"/>
  <c r="AF64" i="3"/>
  <c r="AE64" i="3"/>
  <c r="AD64" i="3"/>
  <c r="AC64" i="3"/>
  <c r="AB64" i="3"/>
  <c r="AA64" i="3"/>
  <c r="W64" i="3"/>
  <c r="U64" i="3"/>
  <c r="T64" i="3"/>
  <c r="S64" i="3"/>
  <c r="R64" i="3"/>
  <c r="Q64" i="3"/>
  <c r="P64" i="3"/>
  <c r="O64" i="3"/>
  <c r="I64" i="3"/>
  <c r="H64" i="3"/>
  <c r="G64" i="3"/>
  <c r="F64" i="3"/>
  <c r="E64" i="3"/>
  <c r="D64" i="3"/>
  <c r="C64" i="3"/>
  <c r="AP58" i="3"/>
  <c r="AK58" i="3"/>
  <c r="AE58" i="3"/>
  <c r="Z58" i="3"/>
  <c r="T58" i="3"/>
  <c r="O58" i="3"/>
  <c r="H58" i="3"/>
  <c r="C58" i="3"/>
  <c r="AS57" i="3"/>
  <c r="AP57" i="3"/>
  <c r="AK57" i="3"/>
  <c r="AH57" i="3"/>
  <c r="AE57" i="3"/>
  <c r="Z57" i="3"/>
  <c r="W57" i="3"/>
  <c r="T57" i="3"/>
  <c r="O57" i="3"/>
  <c r="K57" i="3"/>
  <c r="H57" i="3"/>
  <c r="C57" i="3"/>
  <c r="AS56" i="3"/>
  <c r="AP56" i="3"/>
  <c r="AK56" i="3"/>
  <c r="AH56" i="3"/>
  <c r="AE56" i="3"/>
  <c r="Z56" i="3"/>
  <c r="W56" i="3"/>
  <c r="T56" i="3"/>
  <c r="O56" i="3"/>
  <c r="K56" i="3"/>
  <c r="H56" i="3"/>
  <c r="C56" i="3"/>
  <c r="AP54" i="3"/>
  <c r="AK54" i="3"/>
  <c r="AE54" i="3"/>
  <c r="Z54" i="3"/>
  <c r="T54" i="3"/>
  <c r="O54" i="3"/>
  <c r="H54" i="3"/>
  <c r="C54" i="3"/>
  <c r="AS53" i="3"/>
  <c r="AP53" i="3"/>
  <c r="AK53" i="3"/>
  <c r="AH53" i="3"/>
  <c r="AE53" i="3"/>
  <c r="Z53" i="3"/>
  <c r="W53" i="3"/>
  <c r="T53" i="3"/>
  <c r="O53" i="3"/>
  <c r="K53" i="3"/>
  <c r="H53" i="3"/>
  <c r="C53" i="3"/>
  <c r="AS52" i="3"/>
  <c r="AP52" i="3"/>
  <c r="AK52" i="3"/>
  <c r="AH52" i="3"/>
  <c r="AE52" i="3"/>
  <c r="Z52" i="3"/>
  <c r="W52" i="3"/>
  <c r="T52" i="3"/>
  <c r="O52" i="3"/>
  <c r="K52" i="3"/>
  <c r="H52" i="3"/>
  <c r="C52" i="3"/>
  <c r="AP50" i="3"/>
  <c r="AK50" i="3"/>
  <c r="AE50" i="3"/>
  <c r="Z50" i="3"/>
  <c r="T50" i="3"/>
  <c r="O50" i="3"/>
  <c r="H50" i="3"/>
  <c r="C50" i="3"/>
  <c r="AS49" i="3"/>
  <c r="AP49" i="3"/>
  <c r="AK49" i="3"/>
  <c r="AH49" i="3"/>
  <c r="AE49" i="3"/>
  <c r="Z49" i="3"/>
  <c r="W49" i="3"/>
  <c r="T49" i="3"/>
  <c r="O49" i="3"/>
  <c r="K49" i="3"/>
  <c r="H49" i="3"/>
  <c r="C49" i="3"/>
  <c r="AS48" i="3"/>
  <c r="AP48" i="3"/>
  <c r="AK48" i="3"/>
  <c r="AH48" i="3"/>
  <c r="AE48" i="3"/>
  <c r="Z48" i="3"/>
  <c r="W48" i="3"/>
  <c r="T48" i="3"/>
  <c r="O48" i="3"/>
  <c r="K48" i="3"/>
  <c r="H48" i="3"/>
  <c r="C48" i="3"/>
  <c r="AP46" i="3"/>
  <c r="AK46" i="3"/>
  <c r="AE46" i="3"/>
  <c r="Z46" i="3"/>
  <c r="T46" i="3"/>
  <c r="O46" i="3"/>
  <c r="H46" i="3"/>
  <c r="C46" i="3"/>
  <c r="AS45" i="3"/>
  <c r="AP45" i="3"/>
  <c r="AK45" i="3"/>
  <c r="AH45" i="3"/>
  <c r="AE45" i="3"/>
  <c r="Z45" i="3"/>
  <c r="W45" i="3"/>
  <c r="T45" i="3"/>
  <c r="O45" i="3"/>
  <c r="K45" i="3"/>
  <c r="K36" i="3" s="1"/>
  <c r="H45" i="3"/>
  <c r="C45" i="3"/>
  <c r="AS44" i="3"/>
  <c r="AP44" i="3"/>
  <c r="AK44" i="3"/>
  <c r="AH44" i="3"/>
  <c r="AE44" i="3"/>
  <c r="Z44" i="3"/>
  <c r="W44" i="3"/>
  <c r="T44" i="3"/>
  <c r="O44" i="3"/>
  <c r="K44" i="3"/>
  <c r="K35" i="3" s="1"/>
  <c r="H44" i="3"/>
  <c r="C44" i="3"/>
  <c r="AP42" i="3"/>
  <c r="AK42" i="3"/>
  <c r="AK37" i="3" s="1"/>
  <c r="AE42" i="3"/>
  <c r="Z42" i="3"/>
  <c r="T42" i="3"/>
  <c r="O42" i="3"/>
  <c r="O37" i="3" s="1"/>
  <c r="H42" i="3"/>
  <c r="C42" i="3"/>
  <c r="AS41" i="3"/>
  <c r="AP41" i="3"/>
  <c r="AP36" i="3" s="1"/>
  <c r="AK41" i="3"/>
  <c r="AH41" i="3"/>
  <c r="AE41" i="3"/>
  <c r="Z41" i="3"/>
  <c r="Z36" i="3" s="1"/>
  <c r="W41" i="3"/>
  <c r="T41" i="3"/>
  <c r="O41" i="3"/>
  <c r="K41" i="3"/>
  <c r="H41" i="3"/>
  <c r="C41" i="3"/>
  <c r="AS40" i="3"/>
  <c r="AP40" i="3"/>
  <c r="AP35" i="3" s="1"/>
  <c r="AK40" i="3"/>
  <c r="AH40" i="3"/>
  <c r="AE40" i="3"/>
  <c r="Z40" i="3"/>
  <c r="Z35" i="3" s="1"/>
  <c r="W40" i="3"/>
  <c r="T40" i="3"/>
  <c r="O40" i="3"/>
  <c r="K40" i="3"/>
  <c r="H40" i="3"/>
  <c r="C40" i="3"/>
  <c r="AQ37" i="3"/>
  <c r="AP37" i="3"/>
  <c r="AO37" i="3"/>
  <c r="AN37" i="3"/>
  <c r="AM37" i="3"/>
  <c r="AL37" i="3"/>
  <c r="AF37" i="3"/>
  <c r="AE37" i="3"/>
  <c r="AD37" i="3"/>
  <c r="AC37" i="3"/>
  <c r="AB37" i="3"/>
  <c r="AA37" i="3"/>
  <c r="Z37" i="3"/>
  <c r="U37" i="3"/>
  <c r="T37" i="3"/>
  <c r="S37" i="3"/>
  <c r="R37" i="3"/>
  <c r="Q37" i="3"/>
  <c r="P37" i="3"/>
  <c r="I37" i="3"/>
  <c r="H37" i="3"/>
  <c r="G37" i="3"/>
  <c r="F37" i="3"/>
  <c r="E37" i="3"/>
  <c r="D37" i="3"/>
  <c r="C37" i="3"/>
  <c r="AS36" i="3"/>
  <c r="AQ36" i="3"/>
  <c r="AO36" i="3"/>
  <c r="AN36" i="3"/>
  <c r="AM36" i="3"/>
  <c r="AL36" i="3"/>
  <c r="AK36" i="3"/>
  <c r="AH36" i="3"/>
  <c r="AF36" i="3"/>
  <c r="AE36" i="3"/>
  <c r="AD36" i="3"/>
  <c r="AC36" i="3"/>
  <c r="AB36" i="3"/>
  <c r="AA36" i="3"/>
  <c r="W36" i="3"/>
  <c r="U36" i="3"/>
  <c r="T36" i="3"/>
  <c r="S36" i="3"/>
  <c r="R36" i="3"/>
  <c r="Q36" i="3"/>
  <c r="P36" i="3"/>
  <c r="O36" i="3"/>
  <c r="I36" i="3"/>
  <c r="H36" i="3"/>
  <c r="G36" i="3"/>
  <c r="F36" i="3"/>
  <c r="E36" i="3"/>
  <c r="D36" i="3"/>
  <c r="C36" i="3"/>
  <c r="AS35" i="3"/>
  <c r="AQ35" i="3"/>
  <c r="AO35" i="3"/>
  <c r="AN35" i="3"/>
  <c r="AM35" i="3"/>
  <c r="AL35" i="3"/>
  <c r="AK35" i="3"/>
  <c r="AH35" i="3"/>
  <c r="AF35" i="3"/>
  <c r="AE35" i="3"/>
  <c r="AD35" i="3"/>
  <c r="AC35" i="3"/>
  <c r="AB35" i="3"/>
  <c r="AA35" i="3"/>
  <c r="W35" i="3"/>
  <c r="U35" i="3"/>
  <c r="T35" i="3"/>
  <c r="S35" i="3"/>
  <c r="R35" i="3"/>
  <c r="Q35" i="3"/>
  <c r="P35" i="3"/>
  <c r="O35" i="3"/>
  <c r="I35" i="3"/>
  <c r="H35" i="3"/>
  <c r="G35" i="3"/>
  <c r="F35" i="3"/>
  <c r="E35" i="3"/>
  <c r="D35" i="3"/>
  <c r="C35" i="3"/>
  <c r="AP29" i="3"/>
  <c r="AK29" i="3"/>
  <c r="AE29" i="3"/>
  <c r="Z29" i="3"/>
  <c r="T29" i="3"/>
  <c r="O29" i="3"/>
  <c r="H29" i="3"/>
  <c r="C29" i="3"/>
  <c r="AS28" i="3"/>
  <c r="AP28" i="3"/>
  <c r="AK28" i="3"/>
  <c r="AH28" i="3"/>
  <c r="AE28" i="3"/>
  <c r="Z28" i="3"/>
  <c r="W28" i="3"/>
  <c r="T28" i="3"/>
  <c r="O28" i="3"/>
  <c r="K28" i="3"/>
  <c r="H28" i="3"/>
  <c r="C28" i="3"/>
  <c r="AS27" i="3"/>
  <c r="AP27" i="3"/>
  <c r="AK27" i="3"/>
  <c r="AH27" i="3"/>
  <c r="AE27" i="3"/>
  <c r="Z27" i="3"/>
  <c r="W27" i="3"/>
  <c r="T27" i="3"/>
  <c r="O27" i="3"/>
  <c r="K27" i="3"/>
  <c r="H27" i="3"/>
  <c r="C27" i="3"/>
  <c r="AP25" i="3"/>
  <c r="AK25" i="3"/>
  <c r="AE25" i="3"/>
  <c r="Z25" i="3"/>
  <c r="T25" i="3"/>
  <c r="O25" i="3"/>
  <c r="H25" i="3"/>
  <c r="C25" i="3"/>
  <c r="AS24" i="3"/>
  <c r="AP24" i="3"/>
  <c r="AK24" i="3"/>
  <c r="AH24" i="3"/>
  <c r="AE24" i="3"/>
  <c r="Z24" i="3"/>
  <c r="W24" i="3"/>
  <c r="T24" i="3"/>
  <c r="O24" i="3"/>
  <c r="K24" i="3"/>
  <c r="H24" i="3"/>
  <c r="C24" i="3"/>
  <c r="AS23" i="3"/>
  <c r="AP23" i="3"/>
  <c r="AK23" i="3"/>
  <c r="AH23" i="3"/>
  <c r="AE23" i="3"/>
  <c r="Z23" i="3"/>
  <c r="W23" i="3"/>
  <c r="T23" i="3"/>
  <c r="O23" i="3"/>
  <c r="K23" i="3"/>
  <c r="H23" i="3"/>
  <c r="C23" i="3"/>
  <c r="AP21" i="3"/>
  <c r="AK21" i="3"/>
  <c r="AE21" i="3"/>
  <c r="Z21" i="3"/>
  <c r="T21" i="3"/>
  <c r="O21" i="3"/>
  <c r="H21" i="3"/>
  <c r="C21" i="3"/>
  <c r="AS20" i="3"/>
  <c r="AP20" i="3"/>
  <c r="AK20" i="3"/>
  <c r="AH20" i="3"/>
  <c r="AE20" i="3"/>
  <c r="Z20" i="3"/>
  <c r="W20" i="3"/>
  <c r="T20" i="3"/>
  <c r="O20" i="3"/>
  <c r="K20" i="3"/>
  <c r="H20" i="3"/>
  <c r="C20" i="3"/>
  <c r="AS19" i="3"/>
  <c r="AP19" i="3"/>
  <c r="AK19" i="3"/>
  <c r="AH19" i="3"/>
  <c r="AE19" i="3"/>
  <c r="Z19" i="3"/>
  <c r="W19" i="3"/>
  <c r="T19" i="3"/>
  <c r="O19" i="3"/>
  <c r="K19" i="3"/>
  <c r="H19" i="3"/>
  <c r="C19" i="3"/>
  <c r="AP17" i="3"/>
  <c r="AK17" i="3"/>
  <c r="AE17" i="3"/>
  <c r="Z17" i="3"/>
  <c r="T17" i="3"/>
  <c r="O17" i="3"/>
  <c r="H17" i="3"/>
  <c r="C17" i="3"/>
  <c r="AS16" i="3"/>
  <c r="AP16" i="3"/>
  <c r="AK16" i="3"/>
  <c r="AH16" i="3"/>
  <c r="AE16" i="3"/>
  <c r="Z16" i="3"/>
  <c r="W16" i="3"/>
  <c r="T16" i="3"/>
  <c r="O16" i="3"/>
  <c r="K16" i="3"/>
  <c r="H16" i="3"/>
  <c r="C16" i="3"/>
  <c r="AS15" i="3"/>
  <c r="AP15" i="3"/>
  <c r="AK15" i="3"/>
  <c r="AH15" i="3"/>
  <c r="AE15" i="3"/>
  <c r="Z15" i="3"/>
  <c r="W15" i="3"/>
  <c r="T15" i="3"/>
  <c r="O15" i="3"/>
  <c r="K15" i="3"/>
  <c r="H15" i="3"/>
  <c r="C15" i="3"/>
  <c r="AP13" i="3"/>
  <c r="AK13" i="3"/>
  <c r="AK8" i="3" s="1"/>
  <c r="AE13" i="3"/>
  <c r="Z13" i="3"/>
  <c r="T13" i="3"/>
  <c r="O13" i="3"/>
  <c r="O8" i="3" s="1"/>
  <c r="H13" i="3"/>
  <c r="C13" i="3"/>
  <c r="AS12" i="3"/>
  <c r="AP12" i="3"/>
  <c r="AP7" i="3" s="1"/>
  <c r="AK12" i="3"/>
  <c r="AH12" i="3"/>
  <c r="AE12" i="3"/>
  <c r="Z12" i="3"/>
  <c r="Z7" i="3" s="1"/>
  <c r="W12" i="3"/>
  <c r="T12" i="3"/>
  <c r="O12" i="3"/>
  <c r="K12" i="3"/>
  <c r="K7" i="3" s="1"/>
  <c r="H12" i="3"/>
  <c r="C12" i="3"/>
  <c r="AS11" i="3"/>
  <c r="AP11" i="3"/>
  <c r="AP6" i="3" s="1"/>
  <c r="AK11" i="3"/>
  <c r="AH11" i="3"/>
  <c r="AE11" i="3"/>
  <c r="Z11" i="3"/>
  <c r="Z6" i="3" s="1"/>
  <c r="W11" i="3"/>
  <c r="T11" i="3"/>
  <c r="O11" i="3"/>
  <c r="K11" i="3"/>
  <c r="K6" i="3" s="1"/>
  <c r="H11" i="3"/>
  <c r="C11" i="3"/>
  <c r="AQ8" i="3"/>
  <c r="AP8" i="3"/>
  <c r="AO8" i="3"/>
  <c r="AN8" i="3"/>
  <c r="AM8" i="3"/>
  <c r="AL8" i="3"/>
  <c r="AF8" i="3"/>
  <c r="AE8" i="3"/>
  <c r="AD8" i="3"/>
  <c r="AC8" i="3"/>
  <c r="AB8" i="3"/>
  <c r="AA8" i="3"/>
  <c r="Z8" i="3"/>
  <c r="U8" i="3"/>
  <c r="T8" i="3"/>
  <c r="S8" i="3"/>
  <c r="R8" i="3"/>
  <c r="Q8" i="3"/>
  <c r="P8" i="3"/>
  <c r="I8" i="3"/>
  <c r="H8" i="3"/>
  <c r="G8" i="3"/>
  <c r="F8" i="3"/>
  <c r="E8" i="3"/>
  <c r="D8" i="3"/>
  <c r="C8" i="3"/>
  <c r="AS7" i="3"/>
  <c r="AQ7" i="3"/>
  <c r="AO7" i="3"/>
  <c r="AN7" i="3"/>
  <c r="AM7" i="3"/>
  <c r="AL7" i="3"/>
  <c r="AK7" i="3"/>
  <c r="AH7" i="3"/>
  <c r="AF7" i="3"/>
  <c r="AE7" i="3"/>
  <c r="AD7" i="3"/>
  <c r="AC7" i="3"/>
  <c r="AB7" i="3"/>
  <c r="AA7" i="3"/>
  <c r="W7" i="3"/>
  <c r="U7" i="3"/>
  <c r="T7" i="3"/>
  <c r="S7" i="3"/>
  <c r="R7" i="3"/>
  <c r="Q7" i="3"/>
  <c r="P7" i="3"/>
  <c r="O7" i="3"/>
  <c r="I7" i="3"/>
  <c r="H7" i="3"/>
  <c r="G7" i="3"/>
  <c r="F7" i="3"/>
  <c r="E7" i="3"/>
  <c r="D7" i="3"/>
  <c r="C7" i="3"/>
  <c r="AS6" i="3"/>
  <c r="AQ6" i="3"/>
  <c r="AO6" i="3"/>
  <c r="AN6" i="3"/>
  <c r="AM6" i="3"/>
  <c r="AL6" i="3"/>
  <c r="AK6" i="3"/>
  <c r="AH6" i="3"/>
  <c r="AF6" i="3"/>
  <c r="AE6" i="3"/>
  <c r="AD6" i="3"/>
  <c r="AC6" i="3"/>
  <c r="AB6" i="3"/>
  <c r="AA6" i="3"/>
  <c r="W6" i="3"/>
  <c r="U6" i="3"/>
  <c r="T6" i="3"/>
  <c r="S6" i="3"/>
  <c r="R6" i="3"/>
  <c r="Q6" i="3"/>
  <c r="P6" i="3"/>
  <c r="O6" i="3"/>
  <c r="I6" i="3"/>
  <c r="H6" i="3"/>
  <c r="G6" i="3"/>
  <c r="F6" i="3"/>
  <c r="E6" i="3"/>
  <c r="D6" i="3"/>
  <c r="C6" i="3"/>
  <c r="AR87" i="2"/>
  <c r="AM87" i="2"/>
  <c r="AE87" i="2"/>
  <c r="Z87" i="2"/>
  <c r="T87" i="2"/>
  <c r="O87" i="2"/>
  <c r="H87" i="2"/>
  <c r="C87" i="2"/>
  <c r="AU86" i="2"/>
  <c r="AR86" i="2"/>
  <c r="AM86" i="2"/>
  <c r="AH86" i="2"/>
  <c r="AE86" i="2"/>
  <c r="Z86" i="2"/>
  <c r="W86" i="2"/>
  <c r="T86" i="2"/>
  <c r="O86" i="2"/>
  <c r="K86" i="2"/>
  <c r="H86" i="2"/>
  <c r="C86" i="2"/>
  <c r="AU85" i="2"/>
  <c r="AR85" i="2"/>
  <c r="AM85" i="2"/>
  <c r="AH85" i="2"/>
  <c r="AE85" i="2"/>
  <c r="Z85" i="2"/>
  <c r="W85" i="2"/>
  <c r="T85" i="2"/>
  <c r="O85" i="2"/>
  <c r="K85" i="2"/>
  <c r="H85" i="2"/>
  <c r="C85" i="2"/>
  <c r="AR83" i="2"/>
  <c r="AM83" i="2"/>
  <c r="AE83" i="2"/>
  <c r="Z83" i="2"/>
  <c r="T83" i="2"/>
  <c r="O83" i="2"/>
  <c r="H83" i="2"/>
  <c r="C83" i="2"/>
  <c r="AU82" i="2"/>
  <c r="AR82" i="2"/>
  <c r="AM82" i="2"/>
  <c r="AH82" i="2"/>
  <c r="AE82" i="2"/>
  <c r="Z82" i="2"/>
  <c r="W82" i="2"/>
  <c r="T82" i="2"/>
  <c r="O82" i="2"/>
  <c r="K82" i="2"/>
  <c r="H82" i="2"/>
  <c r="C82" i="2"/>
  <c r="AU81" i="2"/>
  <c r="AR81" i="2"/>
  <c r="AM81" i="2"/>
  <c r="AH81" i="2"/>
  <c r="AE81" i="2"/>
  <c r="Z81" i="2"/>
  <c r="W81" i="2"/>
  <c r="T81" i="2"/>
  <c r="O81" i="2"/>
  <c r="K81" i="2"/>
  <c r="H81" i="2"/>
  <c r="C81" i="2"/>
  <c r="AR79" i="2"/>
  <c r="AM79" i="2"/>
  <c r="AE79" i="2"/>
  <c r="Z79" i="2"/>
  <c r="T79" i="2"/>
  <c r="O79" i="2"/>
  <c r="H79" i="2"/>
  <c r="C79" i="2"/>
  <c r="AU78" i="2"/>
  <c r="AR78" i="2"/>
  <c r="AM78" i="2"/>
  <c r="AH78" i="2"/>
  <c r="AE78" i="2"/>
  <c r="Z78" i="2"/>
  <c r="W78" i="2"/>
  <c r="T78" i="2"/>
  <c r="O78" i="2"/>
  <c r="K78" i="2"/>
  <c r="H78" i="2"/>
  <c r="C78" i="2"/>
  <c r="AU77" i="2"/>
  <c r="AR77" i="2"/>
  <c r="AM77" i="2"/>
  <c r="AH77" i="2"/>
  <c r="AE77" i="2"/>
  <c r="Z77" i="2"/>
  <c r="W77" i="2"/>
  <c r="T77" i="2"/>
  <c r="O77" i="2"/>
  <c r="K77" i="2"/>
  <c r="H77" i="2"/>
  <c r="C77" i="2"/>
  <c r="AR75" i="2"/>
  <c r="AM75" i="2"/>
  <c r="AE75" i="2"/>
  <c r="Z75" i="2"/>
  <c r="T75" i="2"/>
  <c r="O75" i="2"/>
  <c r="H75" i="2"/>
  <c r="C75" i="2"/>
  <c r="AU74" i="2"/>
  <c r="AR74" i="2"/>
  <c r="AM74" i="2"/>
  <c r="AH74" i="2"/>
  <c r="AE74" i="2"/>
  <c r="Z74" i="2"/>
  <c r="W74" i="2"/>
  <c r="T74" i="2"/>
  <c r="O74" i="2"/>
  <c r="K74" i="2"/>
  <c r="H74" i="2"/>
  <c r="C74" i="2"/>
  <c r="AU73" i="2"/>
  <c r="AR73" i="2"/>
  <c r="AM73" i="2"/>
  <c r="AH73" i="2"/>
  <c r="AE73" i="2"/>
  <c r="Z73" i="2"/>
  <c r="W73" i="2"/>
  <c r="T73" i="2"/>
  <c r="O73" i="2"/>
  <c r="K73" i="2"/>
  <c r="H73" i="2"/>
  <c r="C73" i="2"/>
  <c r="AR71" i="2"/>
  <c r="AM71" i="2"/>
  <c r="AE71" i="2"/>
  <c r="Z71" i="2"/>
  <c r="Z66" i="2" s="1"/>
  <c r="T71" i="2"/>
  <c r="O71" i="2"/>
  <c r="H71" i="2"/>
  <c r="C71" i="2"/>
  <c r="AU70" i="2"/>
  <c r="AR70" i="2"/>
  <c r="AM70" i="2"/>
  <c r="AH70" i="2"/>
  <c r="AH65" i="2" s="1"/>
  <c r="AE70" i="2"/>
  <c r="Z70" i="2"/>
  <c r="W70" i="2"/>
  <c r="T70" i="2"/>
  <c r="T65" i="2" s="1"/>
  <c r="O70" i="2"/>
  <c r="K70" i="2"/>
  <c r="H70" i="2"/>
  <c r="C70" i="2"/>
  <c r="AU69" i="2"/>
  <c r="AR69" i="2"/>
  <c r="AM69" i="2"/>
  <c r="AH69" i="2"/>
  <c r="AH64" i="2" s="1"/>
  <c r="AE69" i="2"/>
  <c r="Z69" i="2"/>
  <c r="W69" i="2"/>
  <c r="T69" i="2"/>
  <c r="T64" i="2" s="1"/>
  <c r="O69" i="2"/>
  <c r="K69" i="2"/>
  <c r="H69" i="2"/>
  <c r="C69" i="2"/>
  <c r="AS66" i="2"/>
  <c r="AR66" i="2"/>
  <c r="AQ66" i="2"/>
  <c r="AP66" i="2"/>
  <c r="AO66" i="2"/>
  <c r="AN66" i="2"/>
  <c r="AM66" i="2"/>
  <c r="AF66" i="2"/>
  <c r="AE66" i="2"/>
  <c r="AD66" i="2"/>
  <c r="AC66" i="2"/>
  <c r="AB66" i="2"/>
  <c r="AA66" i="2"/>
  <c r="U66" i="2"/>
  <c r="T66" i="2"/>
  <c r="S66" i="2"/>
  <c r="R66" i="2"/>
  <c r="Q66" i="2"/>
  <c r="P66" i="2"/>
  <c r="O66" i="2"/>
  <c r="I66" i="2"/>
  <c r="H66" i="2"/>
  <c r="G66" i="2"/>
  <c r="F66" i="2"/>
  <c r="E66" i="2"/>
  <c r="D66" i="2"/>
  <c r="C66" i="2"/>
  <c r="AU65" i="2"/>
  <c r="AS65" i="2"/>
  <c r="AR65" i="2"/>
  <c r="AQ65" i="2"/>
  <c r="AP65" i="2"/>
  <c r="AO65" i="2"/>
  <c r="AN65" i="2"/>
  <c r="AM65" i="2"/>
  <c r="AF65" i="2"/>
  <c r="AE65" i="2"/>
  <c r="AD65" i="2"/>
  <c r="AC65" i="2"/>
  <c r="AB65" i="2"/>
  <c r="AA65" i="2"/>
  <c r="Z65" i="2"/>
  <c r="W65" i="2"/>
  <c r="U65" i="2"/>
  <c r="S65" i="2"/>
  <c r="R65" i="2"/>
  <c r="Q65" i="2"/>
  <c r="P65" i="2"/>
  <c r="O65" i="2"/>
  <c r="K65" i="2"/>
  <c r="I65" i="2"/>
  <c r="H65" i="2"/>
  <c r="G65" i="2"/>
  <c r="F65" i="2"/>
  <c r="E65" i="2"/>
  <c r="D65" i="2"/>
  <c r="C65" i="2"/>
  <c r="AU64" i="2"/>
  <c r="AS64" i="2"/>
  <c r="AR64" i="2"/>
  <c r="AQ64" i="2"/>
  <c r="AP64" i="2"/>
  <c r="AO64" i="2"/>
  <c r="AN64" i="2"/>
  <c r="AM64" i="2"/>
  <c r="AF64" i="2"/>
  <c r="AE64" i="2"/>
  <c r="AD64" i="2"/>
  <c r="AC64" i="2"/>
  <c r="AB64" i="2"/>
  <c r="AA64" i="2"/>
  <c r="Z64" i="2"/>
  <c r="W64" i="2"/>
  <c r="U64" i="2"/>
  <c r="S64" i="2"/>
  <c r="R64" i="2"/>
  <c r="Q64" i="2"/>
  <c r="P64" i="2"/>
  <c r="O64" i="2"/>
  <c r="K64" i="2"/>
  <c r="I64" i="2"/>
  <c r="H64" i="2"/>
  <c r="G64" i="2"/>
  <c r="F64" i="2"/>
  <c r="E64" i="2"/>
  <c r="D64" i="2"/>
  <c r="C64" i="2"/>
  <c r="AR58" i="2"/>
  <c r="AM58" i="2"/>
  <c r="AE58" i="2"/>
  <c r="Z58" i="2"/>
  <c r="T58" i="2"/>
  <c r="O58" i="2"/>
  <c r="L58" i="2"/>
  <c r="H58" i="2"/>
  <c r="C58" i="2"/>
  <c r="AU57" i="2"/>
  <c r="AR57" i="2"/>
  <c r="AM57" i="2"/>
  <c r="AM36" i="2" s="1"/>
  <c r="AH57" i="2"/>
  <c r="AE57" i="2"/>
  <c r="Z57" i="2"/>
  <c r="W57" i="2"/>
  <c r="W36" i="2" s="1"/>
  <c r="T57" i="2"/>
  <c r="O57" i="2"/>
  <c r="K57" i="2"/>
  <c r="H57" i="2"/>
  <c r="C57" i="2"/>
  <c r="AU56" i="2"/>
  <c r="AR56" i="2"/>
  <c r="AM56" i="2"/>
  <c r="AH56" i="2"/>
  <c r="AE56" i="2"/>
  <c r="Z56" i="2"/>
  <c r="W56" i="2"/>
  <c r="T56" i="2"/>
  <c r="O56" i="2"/>
  <c r="K56" i="2"/>
  <c r="H56" i="2"/>
  <c r="C56" i="2"/>
  <c r="AR54" i="2"/>
  <c r="AM54" i="2"/>
  <c r="AE54" i="2"/>
  <c r="AE37" i="2" s="1"/>
  <c r="Z54" i="2"/>
  <c r="T54" i="2"/>
  <c r="O54" i="2"/>
  <c r="L54" i="2"/>
  <c r="H54" i="2"/>
  <c r="C54" i="2"/>
  <c r="AU53" i="2"/>
  <c r="AR53" i="2"/>
  <c r="AM53" i="2"/>
  <c r="AH53" i="2"/>
  <c r="AE53" i="2"/>
  <c r="Z53" i="2"/>
  <c r="Z36" i="2" s="1"/>
  <c r="W53" i="2"/>
  <c r="T53" i="2"/>
  <c r="O53" i="2"/>
  <c r="K53" i="2"/>
  <c r="K36" i="2" s="1"/>
  <c r="H53" i="2"/>
  <c r="C53" i="2"/>
  <c r="AU52" i="2"/>
  <c r="AR52" i="2"/>
  <c r="AM52" i="2"/>
  <c r="AH52" i="2"/>
  <c r="AE52" i="2"/>
  <c r="Z52" i="2"/>
  <c r="Z35" i="2" s="1"/>
  <c r="W52" i="2"/>
  <c r="T52" i="2"/>
  <c r="O52" i="2"/>
  <c r="K52" i="2"/>
  <c r="K35" i="2" s="1"/>
  <c r="H52" i="2"/>
  <c r="C52" i="2"/>
  <c r="AR50" i="2"/>
  <c r="AM50" i="2"/>
  <c r="AE50" i="2"/>
  <c r="Z50" i="2"/>
  <c r="T50" i="2"/>
  <c r="O50" i="2"/>
  <c r="O37" i="2" s="1"/>
  <c r="L50" i="2"/>
  <c r="H50" i="2"/>
  <c r="C50" i="2"/>
  <c r="AU49" i="2"/>
  <c r="AR49" i="2"/>
  <c r="AM49" i="2"/>
  <c r="AH49" i="2"/>
  <c r="AE49" i="2"/>
  <c r="Z49" i="2"/>
  <c r="W49" i="2"/>
  <c r="T49" i="2"/>
  <c r="O49" i="2"/>
  <c r="O36" i="2" s="1"/>
  <c r="K49" i="2"/>
  <c r="H49" i="2"/>
  <c r="C49" i="2"/>
  <c r="AU48" i="2"/>
  <c r="AR48" i="2"/>
  <c r="AM48" i="2"/>
  <c r="AH48" i="2"/>
  <c r="AE48" i="2"/>
  <c r="Z48" i="2"/>
  <c r="W48" i="2"/>
  <c r="T48" i="2"/>
  <c r="O48" i="2"/>
  <c r="O35" i="2" s="1"/>
  <c r="K48" i="2"/>
  <c r="H48" i="2"/>
  <c r="C48" i="2"/>
  <c r="AR46" i="2"/>
  <c r="AR37" i="2" s="1"/>
  <c r="AM46" i="2"/>
  <c r="AE46" i="2"/>
  <c r="Z46" i="2"/>
  <c r="T46" i="2"/>
  <c r="T37" i="2" s="1"/>
  <c r="O46" i="2"/>
  <c r="L46" i="2"/>
  <c r="H46" i="2"/>
  <c r="C46" i="2"/>
  <c r="AU45" i="2"/>
  <c r="AR45" i="2"/>
  <c r="AM45" i="2"/>
  <c r="AH45" i="2"/>
  <c r="AE45" i="2"/>
  <c r="Z45" i="2"/>
  <c r="W45" i="2"/>
  <c r="T45" i="2"/>
  <c r="O45" i="2"/>
  <c r="K45" i="2"/>
  <c r="H45" i="2"/>
  <c r="C45" i="2"/>
  <c r="C36" i="2" s="1"/>
  <c r="AU44" i="2"/>
  <c r="AR44" i="2"/>
  <c r="AM44" i="2"/>
  <c r="AH44" i="2"/>
  <c r="AE44" i="2"/>
  <c r="Z44" i="2"/>
  <c r="W44" i="2"/>
  <c r="T44" i="2"/>
  <c r="O44" i="2"/>
  <c r="K44" i="2"/>
  <c r="H44" i="2"/>
  <c r="C44" i="2"/>
  <c r="C35" i="2" s="1"/>
  <c r="AR42" i="2"/>
  <c r="AM42" i="2"/>
  <c r="AE42" i="2"/>
  <c r="Z42" i="2"/>
  <c r="Z37" i="2" s="1"/>
  <c r="T42" i="2"/>
  <c r="O42" i="2"/>
  <c r="H42" i="2"/>
  <c r="C42" i="2"/>
  <c r="C37" i="2" s="1"/>
  <c r="AU41" i="2"/>
  <c r="AR41" i="2"/>
  <c r="AM41" i="2"/>
  <c r="AH41" i="2"/>
  <c r="AH36" i="2" s="1"/>
  <c r="AE41" i="2"/>
  <c r="Z41" i="2"/>
  <c r="W41" i="2"/>
  <c r="T41" i="2"/>
  <c r="O41" i="2"/>
  <c r="L41" i="2"/>
  <c r="K41" i="2"/>
  <c r="H41" i="2"/>
  <c r="C41" i="2"/>
  <c r="AU40" i="2"/>
  <c r="AR40" i="2"/>
  <c r="AM40" i="2"/>
  <c r="AM35" i="2" s="1"/>
  <c r="AH40" i="2"/>
  <c r="AE40" i="2"/>
  <c r="Z40" i="2"/>
  <c r="W40" i="2"/>
  <c r="W35" i="2" s="1"/>
  <c r="T40" i="2"/>
  <c r="O40" i="2"/>
  <c r="K40" i="2"/>
  <c r="H40" i="2"/>
  <c r="C40" i="2"/>
  <c r="AS37" i="2"/>
  <c r="AQ37" i="2"/>
  <c r="AP37" i="2"/>
  <c r="AO37" i="2"/>
  <c r="AN37" i="2"/>
  <c r="AM37" i="2"/>
  <c r="AF37" i="2"/>
  <c r="AD37" i="2"/>
  <c r="AC37" i="2"/>
  <c r="AB37" i="2"/>
  <c r="AA37" i="2"/>
  <c r="U37" i="2"/>
  <c r="S37" i="2"/>
  <c r="R37" i="2"/>
  <c r="Q37" i="2"/>
  <c r="P37" i="2"/>
  <c r="I37" i="2"/>
  <c r="H37" i="2"/>
  <c r="G37" i="2"/>
  <c r="F37" i="2"/>
  <c r="E37" i="2"/>
  <c r="D37" i="2"/>
  <c r="AU36" i="2"/>
  <c r="AS36" i="2"/>
  <c r="AR36" i="2"/>
  <c r="AQ36" i="2"/>
  <c r="AP36" i="2"/>
  <c r="AO36" i="2"/>
  <c r="AN36" i="2"/>
  <c r="AF36" i="2"/>
  <c r="AE36" i="2"/>
  <c r="AD36" i="2"/>
  <c r="AC36" i="2"/>
  <c r="AB36" i="2"/>
  <c r="AA36" i="2"/>
  <c r="U36" i="2"/>
  <c r="T36" i="2"/>
  <c r="S36" i="2"/>
  <c r="R36" i="2"/>
  <c r="Q36" i="2"/>
  <c r="P36" i="2"/>
  <c r="I36" i="2"/>
  <c r="G36" i="2"/>
  <c r="F36" i="2"/>
  <c r="E36" i="2"/>
  <c r="D36" i="2"/>
  <c r="AU35" i="2"/>
  <c r="AS35" i="2"/>
  <c r="AR35" i="2"/>
  <c r="AQ35" i="2"/>
  <c r="AP35" i="2"/>
  <c r="AO35" i="2"/>
  <c r="AN35" i="2"/>
  <c r="AH35" i="2"/>
  <c r="AF35" i="2"/>
  <c r="AE35" i="2"/>
  <c r="AD35" i="2"/>
  <c r="AC35" i="2"/>
  <c r="AB35" i="2"/>
  <c r="AA35" i="2"/>
  <c r="U35" i="2"/>
  <c r="T35" i="2"/>
  <c r="S35" i="2"/>
  <c r="R35" i="2"/>
  <c r="Q35" i="2"/>
  <c r="P35" i="2"/>
  <c r="I35" i="2"/>
  <c r="H35" i="2"/>
  <c r="G35" i="2"/>
  <c r="F35" i="2"/>
  <c r="E35" i="2"/>
  <c r="D35" i="2"/>
  <c r="AR29" i="2"/>
  <c r="AM29" i="2"/>
  <c r="AE29" i="2"/>
  <c r="Z29" i="2"/>
  <c r="T29" i="2"/>
  <c r="O29" i="2"/>
  <c r="H29" i="2"/>
  <c r="H8" i="2" s="1"/>
  <c r="C29" i="2"/>
  <c r="AV28" i="2"/>
  <c r="AU28" i="2"/>
  <c r="AR28" i="2"/>
  <c r="AM28" i="2"/>
  <c r="AH28" i="2"/>
  <c r="AE28" i="2"/>
  <c r="Z28" i="2"/>
  <c r="W28" i="2"/>
  <c r="T28" i="2"/>
  <c r="O28" i="2"/>
  <c r="K28" i="2"/>
  <c r="H28" i="2"/>
  <c r="C28" i="2"/>
  <c r="AU27" i="2"/>
  <c r="AR27" i="2"/>
  <c r="AM27" i="2"/>
  <c r="AH27" i="2"/>
  <c r="AE27" i="2"/>
  <c r="Z27" i="2"/>
  <c r="W27" i="2"/>
  <c r="T27" i="2"/>
  <c r="O27" i="2"/>
  <c r="K27" i="2"/>
  <c r="H27" i="2"/>
  <c r="C27" i="2"/>
  <c r="AR25" i="2"/>
  <c r="AM25" i="2"/>
  <c r="AE25" i="2"/>
  <c r="Z25" i="2"/>
  <c r="T25" i="2"/>
  <c r="O25" i="2"/>
  <c r="H25" i="2"/>
  <c r="C25" i="2"/>
  <c r="AU24" i="2"/>
  <c r="AR24" i="2"/>
  <c r="AR7" i="2" s="1"/>
  <c r="AM24" i="2"/>
  <c r="AH24" i="2"/>
  <c r="AE24" i="2"/>
  <c r="Z24" i="2"/>
  <c r="W24" i="2"/>
  <c r="T24" i="2"/>
  <c r="O24" i="2"/>
  <c r="K24" i="2"/>
  <c r="H24" i="2"/>
  <c r="C24" i="2"/>
  <c r="AU23" i="2"/>
  <c r="AR23" i="2"/>
  <c r="AR6" i="2" s="1"/>
  <c r="AM23" i="2"/>
  <c r="AH23" i="2"/>
  <c r="AE23" i="2"/>
  <c r="Z23" i="2"/>
  <c r="W23" i="2"/>
  <c r="T23" i="2"/>
  <c r="O23" i="2"/>
  <c r="K23" i="2"/>
  <c r="H23" i="2"/>
  <c r="C23" i="2"/>
  <c r="AR21" i="2"/>
  <c r="AM21" i="2"/>
  <c r="AM8" i="2" s="1"/>
  <c r="AE21" i="2"/>
  <c r="Z21" i="2"/>
  <c r="T21" i="2"/>
  <c r="O21" i="2"/>
  <c r="H21" i="2"/>
  <c r="C21" i="2"/>
  <c r="AV20" i="2"/>
  <c r="AU20" i="2"/>
  <c r="AR20" i="2"/>
  <c r="AM20" i="2"/>
  <c r="AH20" i="2"/>
  <c r="AE20" i="2"/>
  <c r="Z20" i="2"/>
  <c r="W20" i="2"/>
  <c r="T20" i="2"/>
  <c r="O20" i="2"/>
  <c r="K20" i="2"/>
  <c r="H20" i="2"/>
  <c r="C20" i="2"/>
  <c r="AU19" i="2"/>
  <c r="AR19" i="2"/>
  <c r="AM19" i="2"/>
  <c r="AH19" i="2"/>
  <c r="AE19" i="2"/>
  <c r="Z19" i="2"/>
  <c r="W19" i="2"/>
  <c r="T19" i="2"/>
  <c r="O19" i="2"/>
  <c r="K19" i="2"/>
  <c r="H19" i="2"/>
  <c r="C19" i="2"/>
  <c r="AR17" i="2"/>
  <c r="AM17" i="2"/>
  <c r="AE17" i="2"/>
  <c r="Z17" i="2"/>
  <c r="T17" i="2"/>
  <c r="O17" i="2"/>
  <c r="H17" i="2"/>
  <c r="C17" i="2"/>
  <c r="AU16" i="2"/>
  <c r="AR16" i="2"/>
  <c r="AM16" i="2"/>
  <c r="AH16" i="2"/>
  <c r="AE16" i="2"/>
  <c r="Z16" i="2"/>
  <c r="W16" i="2"/>
  <c r="T16" i="2"/>
  <c r="O16" i="2"/>
  <c r="K16" i="2"/>
  <c r="H16" i="2"/>
  <c r="C16" i="2"/>
  <c r="AU15" i="2"/>
  <c r="AR15" i="2"/>
  <c r="AM15" i="2"/>
  <c r="AH15" i="2"/>
  <c r="AE15" i="2"/>
  <c r="Z15" i="2"/>
  <c r="W15" i="2"/>
  <c r="T15" i="2"/>
  <c r="O15" i="2"/>
  <c r="K15" i="2"/>
  <c r="H15" i="2"/>
  <c r="C15" i="2"/>
  <c r="AR13" i="2"/>
  <c r="AR8" i="2" s="1"/>
  <c r="AM13" i="2"/>
  <c r="AE13" i="2"/>
  <c r="Z13" i="2"/>
  <c r="T13" i="2"/>
  <c r="T8" i="2" s="1"/>
  <c r="O13" i="2"/>
  <c r="H13" i="2"/>
  <c r="C13" i="2"/>
  <c r="AU12" i="2"/>
  <c r="AR12" i="2"/>
  <c r="AM12" i="2"/>
  <c r="AM7" i="2" s="1"/>
  <c r="AH12" i="2"/>
  <c r="AE12" i="2"/>
  <c r="AE7" i="2" s="1"/>
  <c r="Z12" i="2"/>
  <c r="Z7" i="2" s="1"/>
  <c r="W12" i="2"/>
  <c r="T12" i="2"/>
  <c r="O12" i="2"/>
  <c r="O7" i="2" s="1"/>
  <c r="K12" i="2"/>
  <c r="H12" i="2"/>
  <c r="C12" i="2"/>
  <c r="AU11" i="2"/>
  <c r="AR11" i="2"/>
  <c r="AM11" i="2"/>
  <c r="AM6" i="2" s="1"/>
  <c r="AH11" i="2"/>
  <c r="AE11" i="2"/>
  <c r="AE6" i="2" s="1"/>
  <c r="Z11" i="2"/>
  <c r="Z6" i="2" s="1"/>
  <c r="W11" i="2"/>
  <c r="T11" i="2"/>
  <c r="O11" i="2"/>
  <c r="O6" i="2" s="1"/>
  <c r="K11" i="2"/>
  <c r="H11" i="2"/>
  <c r="C11" i="2"/>
  <c r="AS8" i="2"/>
  <c r="AQ8" i="2"/>
  <c r="AP8" i="2"/>
  <c r="AO8" i="2"/>
  <c r="AN8" i="2"/>
  <c r="AF8" i="2"/>
  <c r="AE8" i="2"/>
  <c r="AD8" i="2"/>
  <c r="AC8" i="2"/>
  <c r="AB8" i="2"/>
  <c r="AA8" i="2"/>
  <c r="Z8" i="2"/>
  <c r="U8" i="2"/>
  <c r="S8" i="2"/>
  <c r="R8" i="2"/>
  <c r="Q8" i="2"/>
  <c r="P8" i="2"/>
  <c r="O8" i="2"/>
  <c r="I8" i="2"/>
  <c r="G8" i="2"/>
  <c r="F8" i="2"/>
  <c r="E8" i="2"/>
  <c r="D8" i="2"/>
  <c r="C8" i="2"/>
  <c r="AU7" i="2"/>
  <c r="AS7" i="2"/>
  <c r="AQ7" i="2"/>
  <c r="AP7" i="2"/>
  <c r="AO7" i="2"/>
  <c r="AN7" i="2"/>
  <c r="AH7" i="2"/>
  <c r="AF7" i="2"/>
  <c r="AD7" i="2"/>
  <c r="AC7" i="2"/>
  <c r="AB7" i="2"/>
  <c r="AA7" i="2"/>
  <c r="W7" i="2"/>
  <c r="U7" i="2"/>
  <c r="T7" i="2"/>
  <c r="S7" i="2"/>
  <c r="R7" i="2"/>
  <c r="Q7" i="2"/>
  <c r="P7" i="2"/>
  <c r="K7" i="2"/>
  <c r="I7" i="2"/>
  <c r="H7" i="2"/>
  <c r="G7" i="2"/>
  <c r="F7" i="2"/>
  <c r="E7" i="2"/>
  <c r="D7" i="2"/>
  <c r="C7" i="2"/>
  <c r="AU6" i="2"/>
  <c r="AS6" i="2"/>
  <c r="AQ6" i="2"/>
  <c r="AP6" i="2"/>
  <c r="AO6" i="2"/>
  <c r="AN6" i="2"/>
  <c r="AH6" i="2"/>
  <c r="AF6" i="2"/>
  <c r="AD6" i="2"/>
  <c r="AC6" i="2"/>
  <c r="AB6" i="2"/>
  <c r="AA6" i="2"/>
  <c r="W6" i="2"/>
  <c r="U6" i="2"/>
  <c r="T6" i="2"/>
  <c r="S6" i="2"/>
  <c r="R6" i="2"/>
  <c r="Q6" i="2"/>
  <c r="P6" i="2"/>
  <c r="K6" i="2"/>
  <c r="I6" i="2"/>
  <c r="H6" i="2"/>
  <c r="G6" i="2"/>
  <c r="F6" i="2"/>
  <c r="E6" i="2"/>
  <c r="D6" i="2"/>
  <c r="C6" i="2"/>
  <c r="J3" i="2"/>
  <c r="J2" i="2"/>
  <c r="L5" i="5" l="1"/>
  <c r="L7" i="5"/>
  <c r="L11" i="5"/>
  <c r="L13" i="5"/>
  <c r="L17" i="5"/>
  <c r="L19" i="5"/>
  <c r="L23" i="5"/>
  <c r="L29" i="5"/>
  <c r="K5" i="5"/>
  <c r="K11" i="5"/>
  <c r="K17" i="5"/>
  <c r="K23" i="5"/>
  <c r="K4" i="5"/>
  <c r="K10" i="5"/>
  <c r="K16" i="5"/>
  <c r="K22" i="5"/>
  <c r="H31" i="5"/>
  <c r="J31" i="5"/>
  <c r="L4" i="5"/>
  <c r="L8" i="5"/>
  <c r="L10" i="5"/>
  <c r="L14" i="5"/>
  <c r="L16" i="5"/>
  <c r="L20" i="5"/>
  <c r="L22" i="5"/>
  <c r="H32" i="5"/>
  <c r="L28" i="5"/>
  <c r="F32" i="5"/>
  <c r="J32" i="5"/>
  <c r="F31" i="5"/>
  <c r="J33" i="5"/>
  <c r="K8" i="5"/>
  <c r="K14" i="5"/>
  <c r="K20" i="5"/>
  <c r="K26" i="5"/>
  <c r="I32" i="5"/>
  <c r="G32" i="5"/>
  <c r="H33" i="5"/>
  <c r="F33" i="5"/>
  <c r="K7" i="5"/>
  <c r="K13" i="5"/>
  <c r="K19" i="5"/>
  <c r="K25" i="5"/>
  <c r="I31" i="5"/>
  <c r="E33" i="5"/>
  <c r="I33" i="5"/>
  <c r="G31" i="5"/>
  <c r="G33" i="5"/>
  <c r="CM7" i="6"/>
  <c r="AO7" i="6"/>
  <c r="CO7" i="6"/>
  <c r="D7" i="6"/>
  <c r="BM6" i="6"/>
  <c r="Y6" i="6"/>
  <c r="BZ6" i="6"/>
  <c r="K7" i="6"/>
  <c r="BM7" i="6"/>
  <c r="Y7" i="6"/>
  <c r="AM7" i="6"/>
  <c r="AZ7" i="6"/>
  <c r="BZ7" i="6"/>
  <c r="AM6" i="6"/>
  <c r="CM6" i="6"/>
  <c r="K6" i="6"/>
  <c r="AX6" i="6"/>
  <c r="BO7" i="6"/>
  <c r="AZ6" i="6"/>
  <c r="CB7" i="6"/>
  <c r="I7" i="6"/>
  <c r="AK6" i="6"/>
  <c r="CK6" i="6"/>
  <c r="T6" i="6"/>
  <c r="BU6" i="6"/>
  <c r="F7" i="6"/>
  <c r="T7" i="6"/>
  <c r="W6" i="6"/>
  <c r="BB7" i="6"/>
  <c r="BX6" i="6"/>
  <c r="I6" i="6"/>
  <c r="BK6" i="6"/>
  <c r="AS6" i="6"/>
  <c r="AF7" i="6"/>
  <c r="CF7" i="6"/>
  <c r="AX7" i="6"/>
  <c r="F9" i="6"/>
  <c r="F6" i="6" s="1"/>
  <c r="AH9" i="6"/>
  <c r="AH6" i="6" s="1"/>
  <c r="AU9" i="6"/>
  <c r="AU6" i="6" s="1"/>
  <c r="BH9" i="6"/>
  <c r="BH6" i="6" s="1"/>
  <c r="CH9" i="6"/>
  <c r="CH6" i="6" s="1"/>
  <c r="AH7" i="6"/>
  <c r="AU7" i="6"/>
  <c r="BH7" i="6"/>
  <c r="BU7" i="6"/>
  <c r="CH7" i="6"/>
  <c r="AF6" i="6"/>
  <c r="CF6" i="6"/>
  <c r="R7" i="6"/>
  <c r="BS7" i="6"/>
  <c r="AA7" i="6"/>
  <c r="R6" i="6"/>
  <c r="BS6" i="6"/>
  <c r="BF7" i="6"/>
  <c r="M7" i="6"/>
  <c r="BX7" i="6"/>
  <c r="D6" i="6"/>
  <c r="BF6" i="6"/>
  <c r="AS7" i="6"/>
  <c r="W7" i="6"/>
  <c r="AK7" i="6"/>
  <c r="BK7" i="6"/>
  <c r="CK7" i="6"/>
  <c r="L25" i="5"/>
  <c r="L26" i="5"/>
  <c r="K28" i="5"/>
  <c r="K29" i="5"/>
  <c r="E31" i="5"/>
  <c r="E32" i="5"/>
  <c r="L35" i="5" l="1"/>
  <c r="K32" i="5"/>
  <c r="L34" i="5"/>
  <c r="K35" i="5"/>
  <c r="L32" i="5"/>
  <c r="L31" i="5"/>
  <c r="K34" i="5"/>
  <c r="K31" i="5"/>
</calcChain>
</file>

<file path=xl/sharedStrings.xml><?xml version="1.0" encoding="utf-8"?>
<sst xmlns="http://schemas.openxmlformats.org/spreadsheetml/2006/main" count="2880" uniqueCount="460">
  <si>
    <t>No Consolidation</t>
  </si>
  <si>
    <r>
      <t>Instance - 0-20% Excess Capacity, 2.5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</si>
  <si>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 xml:space="preserve">Instance - 0-20% Excess Capacity, </t>
    </r>
    <r>
      <rPr>
        <b/>
        <sz val="11"/>
        <color theme="1"/>
        <rFont val="Calibri"/>
        <family val="2"/>
        <scheme val="minor"/>
      </rPr>
      <t>5 nodes</t>
    </r>
    <r>
      <rPr>
        <sz val="11"/>
        <color theme="1"/>
        <rFont val="Calibri"/>
        <family val="2"/>
        <scheme val="minor"/>
      </rPr>
      <t>/ext.route</t>
    </r>
  </si>
  <si>
    <r>
      <t>Instance - 0-20% Excess Capacity, 10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</si>
  <si>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>Instance - 0-20% Excess Capacity, 31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</si>
  <si>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t>Summary</t>
  </si>
  <si>
    <t>Focal Routes</t>
  </si>
  <si>
    <t>Inter - Depot</t>
  </si>
  <si>
    <t>Savings</t>
  </si>
  <si>
    <t>SOLUTION 
STRATEGY</t>
  </si>
  <si>
    <t># Nodes</t>
  </si>
  <si>
    <t># Veh</t>
  </si>
  <si>
    <t>Distance</t>
  </si>
  <si>
    <t>Time
(secs)</t>
  </si>
  <si>
    <t>Gap</t>
  </si>
  <si>
    <t>Knapsack</t>
  </si>
  <si>
    <t>KnapLocal</t>
  </si>
  <si>
    <t>Exact (Enum + MIP)</t>
  </si>
  <si>
    <t>Instance</t>
  </si>
  <si>
    <t xml:space="preserve">55296, </t>
  </si>
  <si>
    <t xml:space="preserve">663552, </t>
  </si>
  <si>
    <t>112902s</t>
  </si>
  <si>
    <t xml:space="preserve">193536, </t>
  </si>
  <si>
    <t>113131s</t>
  </si>
  <si>
    <t xml:space="preserve">110592, </t>
  </si>
  <si>
    <t xml:space="preserve">124416, </t>
  </si>
  <si>
    <r>
      <t>Instance - 0-30% Excess Capacity, 2.5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</si>
  <si>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 xml:space="preserve">Instance - 0-30% Excess Capacity, </t>
    </r>
    <r>
      <rPr>
        <b/>
        <sz val="11"/>
        <color theme="1"/>
        <rFont val="Calibri"/>
        <family val="2"/>
        <scheme val="minor"/>
      </rPr>
      <t>5 nodes</t>
    </r>
    <r>
      <rPr>
        <sz val="11"/>
        <color theme="1"/>
        <rFont val="Calibri"/>
        <family val="2"/>
        <scheme val="minor"/>
      </rPr>
      <t>/ext.route</t>
    </r>
  </si>
  <si>
    <r>
      <t>Instance - 0-30% Excess Capacity, 10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</si>
  <si>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>Instance - 0-30% Excess Capacity, 31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</si>
  <si>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t xml:space="preserve">2322432, </t>
  </si>
  <si>
    <t xml:space="preserve">248832, </t>
  </si>
  <si>
    <t xml:space="preserve">145152, </t>
  </si>
  <si>
    <t xml:space="preserve">258048, </t>
  </si>
  <si>
    <r>
      <t>Instance - 0-40% Excess Capacity, 2.5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</si>
  <si>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 xml:space="preserve">Instance - 0-40% Excess Capacity, </t>
    </r>
    <r>
      <rPr>
        <b/>
        <sz val="11"/>
        <color theme="1"/>
        <rFont val="Calibri"/>
        <family val="2"/>
        <scheme val="minor"/>
      </rPr>
      <t>5 nodes</t>
    </r>
    <r>
      <rPr>
        <sz val="11"/>
        <color theme="1"/>
        <rFont val="Calibri"/>
        <family val="2"/>
        <scheme val="minor"/>
      </rPr>
      <t>/ext.route</t>
    </r>
  </si>
  <si>
    <r>
      <t>Instance - 0-40% Excess Capacity, 10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</si>
  <si>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r>
      <t>Instance - 0-40% Excess Capacity, 31</t>
    </r>
    <r>
      <rPr>
        <b/>
        <sz val="11"/>
        <color theme="1"/>
        <rFont val="Calibri"/>
        <family val="2"/>
        <scheme val="minor"/>
      </rPr>
      <t xml:space="preserve"> nodes</t>
    </r>
    <r>
      <rPr>
        <sz val="11"/>
        <color theme="1"/>
        <rFont val="Calibri"/>
        <family val="2"/>
        <scheme val="minor"/>
      </rPr>
      <t>/ext.route</t>
    </r>
  </si>
  <si>
    <t xml:space="preserve">884736, </t>
  </si>
  <si>
    <t xml:space="preserve">92160, </t>
  </si>
  <si>
    <t xml:space="preserve">221184, </t>
  </si>
  <si>
    <t xml:space="preserve">196608, </t>
  </si>
  <si>
    <t>Parameter</t>
  </si>
  <si>
    <t>Performance Measure</t>
  </si>
  <si>
    <t>Heuristics</t>
  </si>
  <si>
    <t>Beta</t>
  </si>
  <si>
    <t>Alpha</t>
  </si>
  <si>
    <t>DiK</t>
  </si>
  <si>
    <t>DeK</t>
  </si>
  <si>
    <t>NuK</t>
  </si>
  <si>
    <t>DiKL</t>
  </si>
  <si>
    <t>DeKL</t>
  </si>
  <si>
    <t>NuKL</t>
  </si>
  <si>
    <t>Average Gap</t>
  </si>
  <si>
    <t>Max Gap</t>
  </si>
  <si>
    <t># of time Optimal found</t>
  </si>
  <si>
    <t>Average</t>
  </si>
  <si>
    <t>MIN</t>
  </si>
  <si>
    <t># of Ext Routes</t>
  </si>
  <si>
    <t>DisKnapsack</t>
  </si>
  <si>
    <t>DisKnap + Local</t>
  </si>
  <si>
    <t>No of 
ext Routes</t>
  </si>
  <si>
    <t>size 32</t>
  </si>
  <si>
    <t>FC</t>
  </si>
  <si>
    <t>beta</t>
  </si>
  <si>
    <t xml:space="preserve">alpha </t>
  </si>
  <si>
    <t>Node</t>
  </si>
  <si>
    <t>AH size 12</t>
  </si>
  <si>
    <t>Instance #</t>
  </si>
  <si>
    <t>DC</t>
  </si>
  <si>
    <t>HSC</t>
  </si>
  <si>
    <t># of Stores</t>
  </si>
  <si>
    <t>Inter-warehouse 
distance
(km)</t>
  </si>
  <si>
    <t>Without Consolidation</t>
  </si>
  <si>
    <t>With Consolidation</t>
  </si>
  <si>
    <t># of Vehicles</t>
  </si>
  <si>
    <t>Redirected Nodes</t>
  </si>
  <si>
    <t>FocalVeh</t>
  </si>
  <si>
    <t>Inter Wh Veh</t>
  </si>
  <si>
    <t>Nodes</t>
  </si>
  <si>
    <t>P</t>
  </si>
  <si>
    <t>R</t>
  </si>
  <si>
    <t>Z</t>
  </si>
  <si>
    <t>A</t>
  </si>
  <si>
    <t>HSCA</t>
  </si>
  <si>
    <t>HSCM</t>
  </si>
  <si>
    <t>HSCR</t>
  </si>
  <si>
    <t>DCO</t>
  </si>
  <si>
    <t>DCP</t>
  </si>
  <si>
    <t>DCT</t>
  </si>
  <si>
    <t>DCZ</t>
  </si>
  <si>
    <t>Pijnacker</t>
  </si>
  <si>
    <t>Rotterdam</t>
  </si>
  <si>
    <t>1311XB</t>
  </si>
  <si>
    <t>3454PJ</t>
  </si>
  <si>
    <t>3041JA</t>
  </si>
  <si>
    <t>8013RG</t>
  </si>
  <si>
    <t>2645EG</t>
  </si>
  <si>
    <t>5015BZ</t>
  </si>
  <si>
    <t>1507CJ</t>
  </si>
  <si>
    <t>Week</t>
  </si>
  <si>
    <t>Day</t>
  </si>
  <si>
    <t>#</t>
  </si>
  <si>
    <t>Excess Capacity</t>
  </si>
  <si>
    <t>Store ID</t>
  </si>
  <si>
    <t>PostCode</t>
  </si>
  <si>
    <t>Focal Demand</t>
  </si>
  <si>
    <t>Redirection Feasible</t>
  </si>
  <si>
    <t>Locations</t>
  </si>
  <si>
    <t>Demand</t>
  </si>
  <si>
    <t>05-1-158</t>
  </si>
  <si>
    <t>2222AA</t>
  </si>
  <si>
    <t>NO</t>
  </si>
  <si>
    <t>05-1-161</t>
  </si>
  <si>
    <t>2513GW</t>
  </si>
  <si>
    <t>05-1-259</t>
  </si>
  <si>
    <t>2592CK</t>
  </si>
  <si>
    <t>YES</t>
  </si>
  <si>
    <t>05-1-248</t>
  </si>
  <si>
    <t>2613ZE</t>
  </si>
  <si>
    <t>05-1-281</t>
  </si>
  <si>
    <t>2719CK</t>
  </si>
  <si>
    <t>05-1-176</t>
  </si>
  <si>
    <t>2741EC</t>
  </si>
  <si>
    <t>05-1-147</t>
  </si>
  <si>
    <t>2993EH</t>
  </si>
  <si>
    <t>05-1-283</t>
  </si>
  <si>
    <t>3061AA</t>
  </si>
  <si>
    <t>05-1-274</t>
  </si>
  <si>
    <t>3121CA</t>
  </si>
  <si>
    <t>05-1-172</t>
  </si>
  <si>
    <t>3132CX</t>
  </si>
  <si>
    <t>05-1-165</t>
  </si>
  <si>
    <t>3332EH</t>
  </si>
  <si>
    <t>05-4-143</t>
  </si>
  <si>
    <t>05-4-164</t>
  </si>
  <si>
    <t>05-4-266</t>
  </si>
  <si>
    <t>05-4-237</t>
  </si>
  <si>
    <t>05-4-297</t>
  </si>
  <si>
    <t>05-4-183</t>
  </si>
  <si>
    <t>05-4-130</t>
  </si>
  <si>
    <t>05-4-299</t>
  </si>
  <si>
    <t>05-4-203</t>
  </si>
  <si>
    <t>05-4-178</t>
  </si>
  <si>
    <t>05-4-169</t>
  </si>
  <si>
    <t>05-5-167</t>
  </si>
  <si>
    <t>05-5-160</t>
  </si>
  <si>
    <t>05-5-284</t>
  </si>
  <si>
    <t>05-5-192</t>
  </si>
  <si>
    <t>05-5-205</t>
  </si>
  <si>
    <t>05-5-189</t>
  </si>
  <si>
    <t>05-5-153</t>
  </si>
  <si>
    <t>05-5-204</t>
  </si>
  <si>
    <t>05-5-193</t>
  </si>
  <si>
    <t>05-5-183</t>
  </si>
  <si>
    <t>05-5-177</t>
  </si>
  <si>
    <t>05-6-172</t>
  </si>
  <si>
    <t>05-6-167</t>
  </si>
  <si>
    <t>05-6-285</t>
  </si>
  <si>
    <t>05-6-158</t>
  </si>
  <si>
    <t>05-6-184</t>
  </si>
  <si>
    <t>05-6-194</t>
  </si>
  <si>
    <t>05-6-153</t>
  </si>
  <si>
    <t>05-6-191</t>
  </si>
  <si>
    <t>05-6-183</t>
  </si>
  <si>
    <t>05-6-177</t>
  </si>
  <si>
    <t>05-6-188</t>
  </si>
  <si>
    <t>06-1-164</t>
  </si>
  <si>
    <t>06-1-162</t>
  </si>
  <si>
    <t>06-1-267</t>
  </si>
  <si>
    <t>06-1-259</t>
  </si>
  <si>
    <t>06-1-279</t>
  </si>
  <si>
    <t>06-1-184</t>
  </si>
  <si>
    <t>06-1-129</t>
  </si>
  <si>
    <t>06-1-291</t>
  </si>
  <si>
    <t>06-1-284</t>
  </si>
  <si>
    <t>06-1-163</t>
  </si>
  <si>
    <t>06-1-167</t>
  </si>
  <si>
    <t>06-4-134</t>
  </si>
  <si>
    <t>06-4-163</t>
  </si>
  <si>
    <t>06-4-276</t>
  </si>
  <si>
    <t>06-4-263</t>
  </si>
  <si>
    <t>06-4-304</t>
  </si>
  <si>
    <t>06-4-187</t>
  </si>
  <si>
    <t>06-4-142</t>
  </si>
  <si>
    <t>06-4-305</t>
  </si>
  <si>
    <t>06-4-189</t>
  </si>
  <si>
    <t>06-4-172</t>
  </si>
  <si>
    <t>06-4-178</t>
  </si>
  <si>
    <t>06-5-173</t>
  </si>
  <si>
    <t>06-5-168</t>
  </si>
  <si>
    <t>06-5-296</t>
  </si>
  <si>
    <t>06-5-188</t>
  </si>
  <si>
    <t>06-5-194</t>
  </si>
  <si>
    <t>06-5-209</t>
  </si>
  <si>
    <t>06-5-136</t>
  </si>
  <si>
    <t>06-5-208</t>
  </si>
  <si>
    <t>06-5-530</t>
  </si>
  <si>
    <t>06-5-172</t>
  </si>
  <si>
    <t>06-5-156</t>
  </si>
  <si>
    <t>06-6-174</t>
  </si>
  <si>
    <t>06-6-173</t>
  </si>
  <si>
    <t>06-6-291</t>
  </si>
  <si>
    <t>06-6-160</t>
  </si>
  <si>
    <t>06-6-201</t>
  </si>
  <si>
    <t>06-6-198</t>
  </si>
  <si>
    <t>06-6-135</t>
  </si>
  <si>
    <t>06-6-212</t>
  </si>
  <si>
    <t>06-6-181</t>
  </si>
  <si>
    <t>06-6-184</t>
  </si>
  <si>
    <t>07-1-165</t>
  </si>
  <si>
    <t>07-1-162</t>
  </si>
  <si>
    <t>07-1-258</t>
  </si>
  <si>
    <t>07-1-145</t>
  </si>
  <si>
    <t>07-1-169</t>
  </si>
  <si>
    <t>07-1-175</t>
  </si>
  <si>
    <t>07-1-251</t>
  </si>
  <si>
    <t>07-1-278</t>
  </si>
  <si>
    <t>07-1-182</t>
  </si>
  <si>
    <t>07-1-282</t>
  </si>
  <si>
    <t>07-4-163</t>
  </si>
  <si>
    <t>07-4-167</t>
  </si>
  <si>
    <t>07-4-269</t>
  </si>
  <si>
    <t>07-4-171</t>
  </si>
  <si>
    <t>07-4-241</t>
  </si>
  <si>
    <t>07-4-144</t>
  </si>
  <si>
    <t>07-4-183</t>
  </si>
  <si>
    <t>07-4-299</t>
  </si>
  <si>
    <t>07-4-187</t>
  </si>
  <si>
    <t>07-4-302</t>
  </si>
  <si>
    <t>07-5-170</t>
  </si>
  <si>
    <t>07-5-147</t>
  </si>
  <si>
    <t>07-5-286</t>
  </si>
  <si>
    <t>07-5-178</t>
  </si>
  <si>
    <t>07-5-199</t>
  </si>
  <si>
    <t>07-5-194</t>
  </si>
  <si>
    <t>07-5-134</t>
  </si>
  <si>
    <t>07-5-202</t>
  </si>
  <si>
    <t>07-5-156</t>
  </si>
  <si>
    <t>07-5-138</t>
  </si>
  <si>
    <t>07-6-182</t>
  </si>
  <si>
    <t>07-6-138</t>
  </si>
  <si>
    <t>07-6-187</t>
  </si>
  <si>
    <t>07-6-173</t>
  </si>
  <si>
    <t>07-6-183</t>
  </si>
  <si>
    <t>07-6-285</t>
  </si>
  <si>
    <t>07-6-163</t>
  </si>
  <si>
    <t>07-6-212</t>
  </si>
  <si>
    <t>07-6-200</t>
  </si>
  <si>
    <t>07-6-213</t>
  </si>
  <si>
    <t>08-1-160</t>
  </si>
  <si>
    <t>08-1-156</t>
  </si>
  <si>
    <t>08-1-251</t>
  </si>
  <si>
    <t>08-1-132</t>
  </si>
  <si>
    <t>08-1-152</t>
  </si>
  <si>
    <t>08-1-158</t>
  </si>
  <si>
    <t>08-1-250</t>
  </si>
  <si>
    <t>08-1-269</t>
  </si>
  <si>
    <t>08-1-174</t>
  </si>
  <si>
    <t>08-1-271</t>
  </si>
  <si>
    <t>08-4-158</t>
  </si>
  <si>
    <t>08-4-162</t>
  </si>
  <si>
    <t>08-4-267</t>
  </si>
  <si>
    <t>08-4-261</t>
  </si>
  <si>
    <t>08-4-299</t>
  </si>
  <si>
    <t>08-4-181</t>
  </si>
  <si>
    <t>08-4-147</t>
  </si>
  <si>
    <t>08-4-300</t>
  </si>
  <si>
    <t>08-4-185</t>
  </si>
  <si>
    <t>08-4-163</t>
  </si>
  <si>
    <t>08-4-174</t>
  </si>
  <si>
    <t>08-5-164</t>
  </si>
  <si>
    <t>08-5-155</t>
  </si>
  <si>
    <t>08-5-282</t>
  </si>
  <si>
    <t>08-5-159</t>
  </si>
  <si>
    <t>08-5-210</t>
  </si>
  <si>
    <t>08-5-194</t>
  </si>
  <si>
    <t>08-5-133</t>
  </si>
  <si>
    <t>08-5-206</t>
  </si>
  <si>
    <t>08-5-193</t>
  </si>
  <si>
    <t>08-5-160</t>
  </si>
  <si>
    <t>08-5-152</t>
  </si>
  <si>
    <t>08-6-176</t>
  </si>
  <si>
    <t>08-6-169</t>
  </si>
  <si>
    <t>08-6-278</t>
  </si>
  <si>
    <t>08-6-182</t>
  </si>
  <si>
    <t>08-6-201</t>
  </si>
  <si>
    <t>08-6-193</t>
  </si>
  <si>
    <t>08-6-148</t>
  </si>
  <si>
    <t>08-6-202</t>
  </si>
  <si>
    <t>08-6-174</t>
  </si>
  <si>
    <t>08-6-173</t>
  </si>
  <si>
    <t>Zandam</t>
  </si>
  <si>
    <t>Almere</t>
  </si>
  <si>
    <t>05-1-302</t>
  </si>
  <si>
    <t>1087BS</t>
  </si>
  <si>
    <t>05-1-109</t>
  </si>
  <si>
    <t>1334HE</t>
  </si>
  <si>
    <t>05-1-122</t>
  </si>
  <si>
    <t>1398PT</t>
  </si>
  <si>
    <t>05-1-100</t>
  </si>
  <si>
    <t>1442BZ</t>
  </si>
  <si>
    <t>05-1-221</t>
  </si>
  <si>
    <t>1814GR</t>
  </si>
  <si>
    <t>05-1-297</t>
  </si>
  <si>
    <t>1825SB</t>
  </si>
  <si>
    <t>05-1-145</t>
  </si>
  <si>
    <t>1964LJ</t>
  </si>
  <si>
    <t>05-2-101</t>
  </si>
  <si>
    <t>05-2-209</t>
  </si>
  <si>
    <t>05-3-101</t>
  </si>
  <si>
    <t>05-3-221</t>
  </si>
  <si>
    <t>05-4-318</t>
  </si>
  <si>
    <t>05-4-103</t>
  </si>
  <si>
    <t>05-4-102</t>
  </si>
  <si>
    <t>05-4-222</t>
  </si>
  <si>
    <t>05-4-312</t>
  </si>
  <si>
    <t>05-4-146</t>
  </si>
  <si>
    <t>05-5-329</t>
  </si>
  <si>
    <t>05-5-106</t>
  </si>
  <si>
    <t>05-5-126</t>
  </si>
  <si>
    <t>05-5-101</t>
  </si>
  <si>
    <t>05-5-174</t>
  </si>
  <si>
    <t>05-5-210</t>
  </si>
  <si>
    <t>05-5-158</t>
  </si>
  <si>
    <t>05-6-322</t>
  </si>
  <si>
    <t>05-6-103</t>
  </si>
  <si>
    <t>05-6-130</t>
  </si>
  <si>
    <t>05-6-107</t>
  </si>
  <si>
    <t>05-6-164</t>
  </si>
  <si>
    <t>05-6-198</t>
  </si>
  <si>
    <t>05-6-146</t>
  </si>
  <si>
    <t>06-1-304</t>
  </si>
  <si>
    <t>06-1-109</t>
  </si>
  <si>
    <t>06-1-121</t>
  </si>
  <si>
    <t>06-1-100</t>
  </si>
  <si>
    <t>06-1-221</t>
  </si>
  <si>
    <t>06-1-300</t>
  </si>
  <si>
    <t>06-1-143</t>
  </si>
  <si>
    <t>06-2-100</t>
  </si>
  <si>
    <t>06-2-206</t>
  </si>
  <si>
    <t>06-3-103</t>
  </si>
  <si>
    <t>06-3-204</t>
  </si>
  <si>
    <t>06-4-322</t>
  </si>
  <si>
    <t>06-4-110</t>
  </si>
  <si>
    <t>06-4-122</t>
  </si>
  <si>
    <t>06-4-100</t>
  </si>
  <si>
    <t>06-4-206</t>
  </si>
  <si>
    <t>06-4-327</t>
  </si>
  <si>
    <t>06-4-150</t>
  </si>
  <si>
    <t>06-5-338</t>
  </si>
  <si>
    <t>06-5-103</t>
  </si>
  <si>
    <t>06-5-120</t>
  </si>
  <si>
    <t>06-5-101</t>
  </si>
  <si>
    <t>06-5-175</t>
  </si>
  <si>
    <t>06-5-206</t>
  </si>
  <si>
    <t>06-5-145</t>
  </si>
  <si>
    <t>06-6-331</t>
  </si>
  <si>
    <t>06-6-103</t>
  </si>
  <si>
    <t>06-6-126</t>
  </si>
  <si>
    <t>06-6-108</t>
  </si>
  <si>
    <t>06-6-163</t>
  </si>
  <si>
    <t>06-6-204</t>
  </si>
  <si>
    <t>06-6-155</t>
  </si>
  <si>
    <t>07-1-296</t>
  </si>
  <si>
    <t>07-1-109</t>
  </si>
  <si>
    <t>07-1-121</t>
  </si>
  <si>
    <t>07-1-100</t>
  </si>
  <si>
    <t>07-1-213</t>
  </si>
  <si>
    <t>07-1-291</t>
  </si>
  <si>
    <t>07-1-143</t>
  </si>
  <si>
    <t>07-2-102</t>
  </si>
  <si>
    <t>07-2-191</t>
  </si>
  <si>
    <t>07-3-100</t>
  </si>
  <si>
    <t>07-3-188</t>
  </si>
  <si>
    <t>07-4-320</t>
  </si>
  <si>
    <t>07-4-103</t>
  </si>
  <si>
    <t>07-4-122</t>
  </si>
  <si>
    <t>07-4-101</t>
  </si>
  <si>
    <t>07-4-220</t>
  </si>
  <si>
    <t>07-4-317</t>
  </si>
  <si>
    <t>07-4-154</t>
  </si>
  <si>
    <t>07-5-326</t>
  </si>
  <si>
    <t>07-5-111</t>
  </si>
  <si>
    <t>07-5-133</t>
  </si>
  <si>
    <t>07-5-102</t>
  </si>
  <si>
    <t>07-5-200</t>
  </si>
  <si>
    <t>07-5-150</t>
  </si>
  <si>
    <t>07-6-313</t>
  </si>
  <si>
    <t>07-6-103</t>
  </si>
  <si>
    <t>07-6-119</t>
  </si>
  <si>
    <t>07-6-104</t>
  </si>
  <si>
    <t>07-6-161</t>
  </si>
  <si>
    <t>07-6-185</t>
  </si>
  <si>
    <t>07-6-150</t>
  </si>
  <si>
    <t>08-1-289</t>
  </si>
  <si>
    <t>08-1-109</t>
  </si>
  <si>
    <t>08-1-120</t>
  </si>
  <si>
    <t>08-1-100</t>
  </si>
  <si>
    <t>08-1-206</t>
  </si>
  <si>
    <t>08-1-285</t>
  </si>
  <si>
    <t>08-1-144</t>
  </si>
  <si>
    <t>08-2-101</t>
  </si>
  <si>
    <t>08-2-183</t>
  </si>
  <si>
    <t>08-3-100</t>
  </si>
  <si>
    <t>08-3-215</t>
  </si>
  <si>
    <t>08-4-319</t>
  </si>
  <si>
    <t>08-4-103</t>
  </si>
  <si>
    <t>08-4-128</t>
  </si>
  <si>
    <t>08-4-100</t>
  </si>
  <si>
    <t>08-4-221</t>
  </si>
  <si>
    <t>08-4-317</t>
  </si>
  <si>
    <t>08-4-145</t>
  </si>
  <si>
    <t>08-5-322</t>
  </si>
  <si>
    <t>08-5-111</t>
  </si>
  <si>
    <t>08-5-118</t>
  </si>
  <si>
    <t>08-5-101</t>
  </si>
  <si>
    <t>08-5-158</t>
  </si>
  <si>
    <t>08-5-212</t>
  </si>
  <si>
    <t>08-5-153</t>
  </si>
  <si>
    <t>08-6-318</t>
  </si>
  <si>
    <t>08-6-103</t>
  </si>
  <si>
    <t>08-6-120</t>
  </si>
  <si>
    <t>08-6-100</t>
  </si>
  <si>
    <t>08-6-159</t>
  </si>
  <si>
    <t>08-6-219</t>
  </si>
  <si>
    <t>08-6-155</t>
  </si>
  <si>
    <t>External Routes</t>
  </si>
  <si>
    <t>No of Nodes / route</t>
  </si>
  <si>
    <t>Max Excess Capacity</t>
  </si>
  <si>
    <t>Savings by Consolidation</t>
  </si>
  <si>
    <t>Inter-Warehouse Distance/trip</t>
  </si>
  <si>
    <t>Avg # of External Routes</t>
  </si>
  <si>
    <t>Time</t>
  </si>
  <si>
    <t>Size</t>
  </si>
  <si>
    <t>Veh Cap</t>
  </si>
  <si>
    <t>Routing Cost</t>
  </si>
  <si>
    <t>No of ext routes</t>
  </si>
  <si>
    <t>A-n48-k7</t>
  </si>
  <si>
    <t>A-n64-k9</t>
  </si>
  <si>
    <t>A-n80-k10</t>
  </si>
  <si>
    <t>Christofides_03</t>
  </si>
  <si>
    <t>Christofides_11</t>
  </si>
  <si>
    <t>Christofides_04</t>
  </si>
  <si>
    <t>Christofides_05</t>
  </si>
  <si>
    <t>zz</t>
  </si>
  <si>
    <t>Focal Carrier</t>
  </si>
  <si>
    <t>aa</t>
  </si>
  <si>
    <t xml:space="preserve">Inter-Warehouse </t>
  </si>
  <si>
    <t>Name</t>
  </si>
  <si>
    <t># veh</t>
  </si>
  <si>
    <t>Distance Cost</t>
  </si>
  <si>
    <t>Trip Cost</t>
  </si>
  <si>
    <t>Redirected</t>
  </si>
  <si>
    <t>Nodeid</t>
  </si>
  <si>
    <t>qi/er</t>
  </si>
  <si>
    <t>A-n32-k5</t>
  </si>
  <si>
    <t>Focal Distance</t>
  </si>
  <si>
    <t>Total Distance</t>
  </si>
  <si>
    <t>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</si>
</sst>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0.0%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</font>
    <font>
      <i/>
      <sz val="8"/>
      <color rgb="FF333333"/>
      <name val="Tahoma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2" fillId="0" borderId="0"/>
  </cellStyleXfs>
  <cellXfs count="301">
    <xf numFmtId="0" fontId="0" fillId="0" borderId="0" xfId="0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" fontId="0" fillId="2" borderId="0" xfId="0" applyNumberForma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" fontId="0" fillId="2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4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2" borderId="14" xfId="0" applyNumberFormat="1" applyFill="1" applyBorder="1" applyAlignment="1">
      <alignment horizontal="center" vertical="center"/>
    </xf>
    <xf numFmtId="4" fontId="0" fillId="2" borderId="6" xfId="0" applyNumberForma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4" fontId="0" fillId="3" borderId="9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3" fontId="0" fillId="3" borderId="0" xfId="0" applyNumberFormat="1" applyFill="1" applyBorder="1" applyAlignment="1">
      <alignment horizontal="center" vertical="center"/>
    </xf>
    <xf numFmtId="4" fontId="0" fillId="3" borderId="12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0" fontId="0" fillId="2" borderId="0" xfId="0" quotePrefix="1" applyFill="1" applyAlignment="1">
      <alignment horizontal="right" vertical="center"/>
    </xf>
    <xf numFmtId="1" fontId="0" fillId="3" borderId="15" xfId="0" applyNumberFormat="1" applyFill="1" applyBorder="1" applyAlignment="1">
      <alignment horizontal="center" vertical="center"/>
    </xf>
    <xf numFmtId="4" fontId="0" fillId="3" borderId="6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1" fontId="0" fillId="3" borderId="15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9" fontId="0" fillId="2" borderId="7" xfId="1" applyFont="1" applyFill="1" applyBorder="1" applyAlignment="1">
      <alignment horizontal="center" vertical="center"/>
    </xf>
    <xf numFmtId="11" fontId="0" fillId="2" borderId="0" xfId="0" applyNumberFormat="1" applyFill="1" applyAlignment="1">
      <alignment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3" fontId="0" fillId="2" borderId="0" xfId="0" applyNumberFormat="1" applyFill="1"/>
    <xf numFmtId="0" fontId="0" fillId="2" borderId="5" xfId="0" applyFill="1" applyBorder="1"/>
    <xf numFmtId="0" fontId="0" fillId="2" borderId="0" xfId="0" applyFill="1" applyBorder="1"/>
    <xf numFmtId="1" fontId="0" fillId="2" borderId="0" xfId="0" applyNumberFormat="1" applyFill="1" applyBorder="1"/>
    <xf numFmtId="0" fontId="4" fillId="2" borderId="6" xfId="0" applyFont="1" applyFill="1" applyBorder="1"/>
    <xf numFmtId="0" fontId="0" fillId="2" borderId="1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0" fontId="0" fillId="2" borderId="7" xfId="0" applyNumberFormat="1" applyFill="1" applyBorder="1" applyAlignment="1">
      <alignment horizontal="center"/>
    </xf>
    <xf numFmtId="4" fontId="0" fillId="2" borderId="9" xfId="0" applyNumberForma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4" fontId="0" fillId="2" borderId="12" xfId="0" applyNumberForma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2" borderId="14" xfId="0" applyNumberFormat="1" applyFill="1" applyBorder="1" applyAlignment="1">
      <alignment horizontal="center"/>
    </xf>
    <xf numFmtId="4" fontId="0" fillId="2" borderId="6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4" fontId="0" fillId="3" borderId="9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4" fontId="0" fillId="3" borderId="12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0" fillId="2" borderId="0" xfId="0" quotePrefix="1" applyFill="1" applyAlignment="1">
      <alignment horizontal="right"/>
    </xf>
    <xf numFmtId="1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4" fontId="0" fillId="2" borderId="0" xfId="0" applyNumberFormat="1" applyFill="1"/>
    <xf numFmtId="4" fontId="2" fillId="3" borderId="12" xfId="0" applyNumberFormat="1" applyFont="1" applyFill="1" applyBorder="1" applyAlignment="1">
      <alignment horizontal="center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9" fontId="0" fillId="2" borderId="18" xfId="0" applyNumberForma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10" fontId="0" fillId="2" borderId="18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4" borderId="18" xfId="0" applyNumberFormat="1" applyFill="1" applyBorder="1" applyAlignment="1">
      <alignment horizontal="center" vertical="center"/>
    </xf>
    <xf numFmtId="4" fontId="0" fillId="2" borderId="18" xfId="0" applyNumberFormat="1" applyFill="1" applyBorder="1" applyAlignment="1">
      <alignment horizontal="center" vertical="center"/>
    </xf>
    <xf numFmtId="4" fontId="0" fillId="4" borderId="18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164" fontId="0" fillId="2" borderId="8" xfId="0" applyNumberFormat="1" applyFill="1" applyBorder="1" applyAlignment="1">
      <alignment horizontal="center" vertical="center"/>
    </xf>
    <xf numFmtId="4" fontId="3" fillId="2" borderId="8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6" fontId="0" fillId="2" borderId="0" xfId="1" applyNumberFormat="1" applyFont="1" applyFill="1" applyBorder="1" applyAlignment="1">
      <alignment horizontal="center" vertical="center"/>
    </xf>
    <xf numFmtId="4" fontId="0" fillId="3" borderId="8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4" fontId="0" fillId="3" borderId="0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4" fontId="0" fillId="5" borderId="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2" borderId="5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166" fontId="0" fillId="0" borderId="18" xfId="1" applyNumberFormat="1" applyFont="1" applyBorder="1" applyAlignment="1">
      <alignment horizontal="center"/>
    </xf>
    <xf numFmtId="4" fontId="5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166" fontId="5" fillId="2" borderId="0" xfId="1" applyNumberFormat="1" applyFont="1" applyFill="1" applyAlignment="1">
      <alignment vertical="center"/>
    </xf>
    <xf numFmtId="0" fontId="0" fillId="6" borderId="18" xfId="0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166" fontId="5" fillId="5" borderId="0" xfId="1" applyNumberFormat="1" applyFont="1" applyFill="1" applyAlignment="1">
      <alignment horizontal="center" vertical="center"/>
    </xf>
    <xf numFmtId="166" fontId="5" fillId="5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3" fontId="11" fillId="0" borderId="0" xfId="2" applyNumberFormat="1" applyFont="1" applyFill="1" applyBorder="1" applyAlignment="1">
      <alignment horizontal="center"/>
    </xf>
    <xf numFmtId="4" fontId="11" fillId="0" borderId="0" xfId="2" applyNumberFormat="1" applyFont="1" applyFill="1" applyBorder="1" applyAlignment="1">
      <alignment horizontal="center" wrapText="1"/>
    </xf>
    <xf numFmtId="4" fontId="11" fillId="0" borderId="0" xfId="2" applyNumberFormat="1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3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11" fillId="0" borderId="0" xfId="2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19" xfId="0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4" fontId="11" fillId="0" borderId="0" xfId="2" applyNumberFormat="1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1" fillId="0" borderId="0" xfId="3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" fontId="0" fillId="7" borderId="9" xfId="0" applyNumberFormat="1" applyFill="1" applyBorder="1" applyAlignment="1">
      <alignment horizontal="center" vertical="center"/>
    </xf>
    <xf numFmtId="4" fontId="0" fillId="7" borderId="10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7" xfId="0" applyNumberForma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165" fontId="0" fillId="7" borderId="9" xfId="0" applyNumberFormat="1" applyFill="1" applyBorder="1" applyAlignment="1">
      <alignment horizontal="center" vertical="center"/>
    </xf>
    <xf numFmtId="166" fontId="0" fillId="7" borderId="9" xfId="1" applyNumberFormat="1" applyFont="1" applyFill="1" applyBorder="1" applyAlignment="1">
      <alignment horizontal="center" vertical="center"/>
    </xf>
    <xf numFmtId="167" fontId="0" fillId="7" borderId="0" xfId="1" applyNumberFormat="1" applyFont="1" applyFill="1" applyBorder="1" applyAlignment="1">
      <alignment horizontal="center" vertical="center"/>
    </xf>
    <xf numFmtId="4" fontId="0" fillId="7" borderId="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6" fontId="0" fillId="2" borderId="12" xfId="1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" fontId="0" fillId="7" borderId="12" xfId="0" applyNumberFormat="1" applyFill="1" applyBorder="1" applyAlignment="1">
      <alignment horizontal="center" vertical="center"/>
    </xf>
    <xf numFmtId="4" fontId="0" fillId="7" borderId="11" xfId="0" applyNumberFormat="1" applyFill="1" applyBorder="1" applyAlignment="1">
      <alignment horizontal="center" vertical="center"/>
    </xf>
    <xf numFmtId="165" fontId="0" fillId="7" borderId="5" xfId="0" applyNumberForma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5" fontId="0" fillId="7" borderId="12" xfId="0" applyNumberFormat="1" applyFill="1" applyBorder="1" applyAlignment="1">
      <alignment horizontal="center" vertical="center"/>
    </xf>
    <xf numFmtId="166" fontId="0" fillId="7" borderId="12" xfId="1" applyNumberFormat="1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4" fontId="0" fillId="7" borderId="6" xfId="0" applyNumberFormat="1" applyFill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7" borderId="15" xfId="0" applyNumberFormat="1" applyFill="1" applyBorder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65" fontId="0" fillId="7" borderId="6" xfId="0" applyNumberFormat="1" applyFill="1" applyBorder="1" applyAlignment="1">
      <alignment horizontal="center" vertical="center"/>
    </xf>
    <xf numFmtId="166" fontId="0" fillId="7" borderId="6" xfId="1" applyNumberFormat="1" applyFont="1" applyFill="1" applyBorder="1" applyAlignment="1">
      <alignment horizontal="center" vertical="center"/>
    </xf>
    <xf numFmtId="166" fontId="0" fillId="2" borderId="0" xfId="1" applyNumberFormat="1" applyFont="1" applyFill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13" fillId="0" borderId="0" xfId="0" applyFont="1" applyBorder="1"/>
    <xf numFmtId="4" fontId="11" fillId="2" borderId="0" xfId="2" applyNumberFormat="1" applyFont="1" applyFill="1" applyBorder="1" applyAlignment="1">
      <alignment horizontal="center" vertical="center"/>
    </xf>
    <xf numFmtId="0" fontId="11" fillId="2" borderId="0" xfId="2" applyFont="1" applyFill="1" applyBorder="1" applyAlignment="1">
      <alignment horizontal="center" vertical="center"/>
    </xf>
    <xf numFmtId="3" fontId="11" fillId="2" borderId="0" xfId="2" applyNumberFormat="1" applyFont="1" applyFill="1" applyBorder="1" applyAlignment="1">
      <alignment horizontal="center"/>
    </xf>
    <xf numFmtId="1" fontId="11" fillId="2" borderId="0" xfId="3" applyNumberFormat="1" applyFont="1" applyFill="1" applyBorder="1" applyAlignment="1">
      <alignment horizontal="center" vertical="center"/>
    </xf>
    <xf numFmtId="1" fontId="11" fillId="2" borderId="0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0" fontId="0" fillId="2" borderId="0" xfId="0" applyNumberFormat="1" applyFill="1" applyBorder="1" applyAlignment="1">
      <alignment horizontal="center" vertical="center"/>
    </xf>
    <xf numFmtId="10" fontId="0" fillId="7" borderId="0" xfId="0" applyNumberFormat="1" applyFill="1" applyBorder="1" applyAlignment="1">
      <alignment horizontal="center" vertical="center"/>
    </xf>
    <xf numFmtId="10" fontId="0" fillId="7" borderId="15" xfId="0" applyNumberFormat="1" applyFill="1" applyBorder="1" applyAlignment="1">
      <alignment horizontal="center" vertical="center"/>
    </xf>
    <xf numFmtId="166" fontId="0" fillId="2" borderId="5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2" borderId="14" xfId="1" applyNumberFormat="1" applyFont="1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65" fontId="0" fillId="2" borderId="0" xfId="1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</cellXfs>
  <cellStyles count="4">
    <cellStyle name="Normal" xfId="0" builtinId="0"/>
    <cellStyle name="Normal_Book5" xfId="3"/>
    <cellStyle name="Normal_MULTISTOP" xfId="2"/>
    <cellStyle name="Percent" xfId="1" builtinId="5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Focal Routing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SavingsTable!$A$7:$A$10</c:f>
              <c:strCache>
                <c:ptCount val="4"/>
                <c:pt idx="0">
                  <c:v>A-n32-k5</c:v>
                </c:pt>
                <c:pt idx="1">
                  <c:v>A-n48-k7</c:v>
                </c:pt>
                <c:pt idx="2">
                  <c:v>A-n64-k9</c:v>
                </c:pt>
                <c:pt idx="3">
                  <c:v>A-n80-k10</c:v>
                </c:pt>
              </c:strCache>
            </c:strRef>
          </c:cat>
          <c:val>
            <c:numRef>
              <c:f>SavingsTable!$P$7:$P$10</c:f>
              <c:numCache>
                <c:formatCode>0.0%</c:formatCode>
                <c:ptCount val="4"/>
                <c:pt idx="0">
                  <c:v>0.15042037971750175</c:v>
                </c:pt>
                <c:pt idx="1">
                  <c:v>0.17246320213217428</c:v>
                </c:pt>
                <c:pt idx="2">
                  <c:v>0.17768610873053978</c:v>
                </c:pt>
                <c:pt idx="3">
                  <c:v>0.15620367132675247</c:v>
                </c:pt>
              </c:numCache>
            </c:numRef>
          </c:val>
          <c:smooth val="0"/>
        </c:ser>
        <c:ser>
          <c:idx val="1"/>
          <c:order val="1"/>
          <c:tx>
            <c:v>Inter-warehouse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SavingsTable!$A$7:$A$10</c:f>
              <c:strCache>
                <c:ptCount val="4"/>
                <c:pt idx="0">
                  <c:v>A-n32-k5</c:v>
                </c:pt>
                <c:pt idx="1">
                  <c:v>A-n48-k7</c:v>
                </c:pt>
                <c:pt idx="2">
                  <c:v>A-n64-k9</c:v>
                </c:pt>
                <c:pt idx="3">
                  <c:v>A-n80-k10</c:v>
                </c:pt>
              </c:strCache>
            </c:strRef>
          </c:cat>
          <c:val>
            <c:numRef>
              <c:f>SavingsTable!$Q$7:$Q$10</c:f>
              <c:numCache>
                <c:formatCode>0.0%</c:formatCode>
                <c:ptCount val="4"/>
                <c:pt idx="0">
                  <c:v>-8.1632653061224483E-2</c:v>
                </c:pt>
                <c:pt idx="1">
                  <c:v>-5.5746864599210355E-2</c:v>
                </c:pt>
                <c:pt idx="2">
                  <c:v>-6.7147761181277826E-2</c:v>
                </c:pt>
                <c:pt idx="3">
                  <c:v>-5.4717315640383804E-2</c:v>
                </c:pt>
              </c:numCache>
            </c:numRef>
          </c:val>
          <c:smooth val="0"/>
        </c:ser>
        <c:ser>
          <c:idx val="2"/>
          <c:order val="2"/>
          <c:tx>
            <c:v>Total Savings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SavingsTable!$A$7:$A$10</c:f>
              <c:strCache>
                <c:ptCount val="4"/>
                <c:pt idx="0">
                  <c:v>A-n32-k5</c:v>
                </c:pt>
                <c:pt idx="1">
                  <c:v>A-n48-k7</c:v>
                </c:pt>
                <c:pt idx="2">
                  <c:v>A-n64-k9</c:v>
                </c:pt>
                <c:pt idx="3">
                  <c:v>A-n80-k10</c:v>
                </c:pt>
              </c:strCache>
            </c:strRef>
          </c:cat>
          <c:val>
            <c:numRef>
              <c:f>SavingsTable!$R$7:$R$10</c:f>
              <c:numCache>
                <c:formatCode>0.00%</c:formatCode>
                <c:ptCount val="4"/>
                <c:pt idx="0">
                  <c:v>6.8787726656277262E-2</c:v>
                </c:pt>
                <c:pt idx="1">
                  <c:v>0.11671633753296393</c:v>
                </c:pt>
                <c:pt idx="2">
                  <c:v>0.11053834754926195</c:v>
                </c:pt>
                <c:pt idx="3">
                  <c:v>0.10148635568636867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44096"/>
        <c:axId val="440468520"/>
      </c:lineChart>
      <c:catAx>
        <c:axId val="919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8520"/>
        <c:crosses val="autoZero"/>
        <c:auto val="1"/>
        <c:lblAlgn val="ctr"/>
        <c:lblOffset val="100"/>
        <c:noMultiLvlLbl val="0"/>
      </c:catAx>
      <c:valAx>
        <c:axId val="4404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Total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SavingsTable!$A$7:$A$10</c:f>
              <c:strCache>
                <c:ptCount val="4"/>
                <c:pt idx="0">
                  <c:v>A-n32-k5</c:v>
                </c:pt>
                <c:pt idx="1">
                  <c:v>A-n48-k7</c:v>
                </c:pt>
                <c:pt idx="2">
                  <c:v>A-n64-k9</c:v>
                </c:pt>
                <c:pt idx="3">
                  <c:v>A-n80-k10</c:v>
                </c:pt>
              </c:strCache>
            </c:strRef>
          </c:cat>
          <c:val>
            <c:numRef>
              <c:f>SavingsTable!$U$7:$U$10</c:f>
              <c:numCache>
                <c:formatCode>0.0</c:formatCode>
                <c:ptCount val="4"/>
                <c:pt idx="0">
                  <c:v>53.929577698521371</c:v>
                </c:pt>
                <c:pt idx="1">
                  <c:v>91.50560862584372</c:v>
                </c:pt>
                <c:pt idx="2">
                  <c:v>86.662064478621375</c:v>
                </c:pt>
                <c:pt idx="3">
                  <c:v>79.565302858113043</c:v>
                </c:pt>
              </c:numCache>
            </c:numRef>
          </c:val>
          <c:smooth val="0"/>
        </c:ser>
        <c:ser>
          <c:idx val="1"/>
          <c:order val="1"/>
          <c:tx>
            <c:v>Focal Routing Savings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SavingsTable!$A$7:$A$10</c:f>
              <c:strCache>
                <c:ptCount val="4"/>
                <c:pt idx="0">
                  <c:v>A-n32-k5</c:v>
                </c:pt>
                <c:pt idx="1">
                  <c:v>A-n48-k7</c:v>
                </c:pt>
                <c:pt idx="2">
                  <c:v>A-n64-k9</c:v>
                </c:pt>
                <c:pt idx="3">
                  <c:v>A-n80-k10</c:v>
                </c:pt>
              </c:strCache>
            </c:strRef>
          </c:cat>
          <c:val>
            <c:numRef>
              <c:f>SavingsTable!$T$7:$T$10</c:f>
              <c:numCache>
                <c:formatCode>0.0</c:formatCode>
                <c:ptCount val="4"/>
                <c:pt idx="0">
                  <c:v>117.92957769852137</c:v>
                </c:pt>
                <c:pt idx="1">
                  <c:v>185.05301588782299</c:v>
                </c:pt>
                <c:pt idx="2">
                  <c:v>248.93823833148622</c:v>
                </c:pt>
                <c:pt idx="3">
                  <c:v>275.54327622039136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83832"/>
        <c:axId val="447985792"/>
      </c:lineChart>
      <c:catAx>
        <c:axId val="4479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5792"/>
        <c:crosses val="autoZero"/>
        <c:auto val="1"/>
        <c:lblAlgn val="ctr"/>
        <c:lblOffset val="100"/>
        <c:noMultiLvlLbl val="0"/>
      </c:catAx>
      <c:valAx>
        <c:axId val="4479857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7939062303258055"/>
          <c:h val="0.73982182062518731"/>
        </c:manualLayout>
      </c:layout>
      <c:barChart>
        <c:barDir val="col"/>
        <c:grouping val="stacked"/>
        <c:varyColors val="0"/>
        <c:ser>
          <c:idx val="0"/>
          <c:order val="0"/>
          <c:tx>
            <c:v>Focal Routing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Bars'!$B$6:$B$12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'Stacked Bars'!$E$6:$E$12</c:f>
              <c:numCache>
                <c:formatCode>General</c:formatCode>
                <c:ptCount val="7"/>
                <c:pt idx="0">
                  <c:v>658.34796050244802</c:v>
                </c:pt>
                <c:pt idx="1">
                  <c:v>658.34893705004697</c:v>
                </c:pt>
                <c:pt idx="2">
                  <c:v>658.34991359764695</c:v>
                </c:pt>
                <c:pt idx="3">
                  <c:v>658.35089014524601</c:v>
                </c:pt>
                <c:pt idx="4">
                  <c:v>784</c:v>
                </c:pt>
                <c:pt idx="5">
                  <c:v>784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Interwarehouse Trip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Bars'!$B$6:$B$12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'Stacked Bars'!$H$6:$H$12</c:f>
              <c:numCache>
                <c:formatCode>General</c:formatCode>
                <c:ptCount val="7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3090200"/>
        <c:axId val="2630905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iw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'Stacked Bars'!$H$6:$H$12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96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309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Inter-warehouse Trip Cost Multiplier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0592"/>
        <c:crosses val="autoZero"/>
        <c:auto val="1"/>
        <c:lblAlgn val="ctr"/>
        <c:lblOffset val="100"/>
        <c:noMultiLvlLbl val="0"/>
      </c:catAx>
      <c:valAx>
        <c:axId val="2630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Km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845645784163306"/>
          <c:y val="0.89471015849697166"/>
          <c:w val="0.76338226771361117"/>
          <c:h val="7.270836244145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7939062303258055"/>
          <c:h val="0.73982182062518731"/>
        </c:manualLayout>
      </c:layout>
      <c:barChart>
        <c:barDir val="col"/>
        <c:grouping val="stacked"/>
        <c:varyColors val="0"/>
        <c:ser>
          <c:idx val="0"/>
          <c:order val="0"/>
          <c:tx>
            <c:v>Inter-warehouse Trip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Bars'!$B$6:$B$12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'Stacked Bars'!$H$28:$H$34</c:f>
              <c:numCache>
                <c:formatCode>General</c:formatCode>
                <c:ptCount val="7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160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Focal Routing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Bars'!$B$6:$B$12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'Stacked Bars'!$E$28:$E$34</c:f>
              <c:numCache>
                <c:formatCode>General</c:formatCode>
                <c:ptCount val="7"/>
                <c:pt idx="0">
                  <c:v>431.61232263861501</c:v>
                </c:pt>
                <c:pt idx="1">
                  <c:v>459.78960503288704</c:v>
                </c:pt>
                <c:pt idx="2">
                  <c:v>459.79155812808494</c:v>
                </c:pt>
                <c:pt idx="3">
                  <c:v>459.79351122328399</c:v>
                </c:pt>
                <c:pt idx="4">
                  <c:v>459.79546431848303</c:v>
                </c:pt>
                <c:pt idx="5">
                  <c:v>601.76671257314104</c:v>
                </c:pt>
                <c:pt idx="6">
                  <c:v>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3091376"/>
        <c:axId val="2630917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iw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'Stacked Bars'!$H$6:$H$12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96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6309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Inter-warehouse Trip Cost Multiplier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1768"/>
        <c:crosses val="autoZero"/>
        <c:auto val="1"/>
        <c:lblAlgn val="ctr"/>
        <c:lblOffset val="100"/>
        <c:noMultiLvlLbl val="0"/>
      </c:catAx>
      <c:valAx>
        <c:axId val="2630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Km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845645784163306"/>
          <c:y val="0.89471015849697166"/>
          <c:w val="0.76338226771361117"/>
          <c:h val="7.2708362441452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Sheet1!$C$1:$C$32</c:f>
              <c:numCache>
                <c:formatCode>General</c:formatCode>
                <c:ptCount val="32"/>
                <c:pt idx="0">
                  <c:v>82</c:v>
                </c:pt>
                <c:pt idx="1">
                  <c:v>96</c:v>
                </c:pt>
                <c:pt idx="2">
                  <c:v>50</c:v>
                </c:pt>
                <c:pt idx="3">
                  <c:v>49</c:v>
                </c:pt>
                <c:pt idx="4">
                  <c:v>13</c:v>
                </c:pt>
                <c:pt idx="5">
                  <c:v>29</c:v>
                </c:pt>
                <c:pt idx="6">
                  <c:v>58</c:v>
                </c:pt>
                <c:pt idx="7">
                  <c:v>84</c:v>
                </c:pt>
                <c:pt idx="8">
                  <c:v>14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98</c:v>
                </c:pt>
                <c:pt idx="13">
                  <c:v>84</c:v>
                </c:pt>
                <c:pt idx="14">
                  <c:v>61</c:v>
                </c:pt>
                <c:pt idx="15">
                  <c:v>1</c:v>
                </c:pt>
                <c:pt idx="16">
                  <c:v>88</c:v>
                </c:pt>
                <c:pt idx="17">
                  <c:v>91</c:v>
                </c:pt>
                <c:pt idx="18">
                  <c:v>19</c:v>
                </c:pt>
                <c:pt idx="19">
                  <c:v>93</c:v>
                </c:pt>
                <c:pt idx="20">
                  <c:v>50</c:v>
                </c:pt>
                <c:pt idx="21">
                  <c:v>98</c:v>
                </c:pt>
                <c:pt idx="22">
                  <c:v>5</c:v>
                </c:pt>
                <c:pt idx="23">
                  <c:v>42</c:v>
                </c:pt>
                <c:pt idx="24">
                  <c:v>61</c:v>
                </c:pt>
                <c:pt idx="25">
                  <c:v>9</c:v>
                </c:pt>
                <c:pt idx="26">
                  <c:v>80</c:v>
                </c:pt>
                <c:pt idx="27">
                  <c:v>57</c:v>
                </c:pt>
                <c:pt idx="28">
                  <c:v>23</c:v>
                </c:pt>
                <c:pt idx="29">
                  <c:v>20</c:v>
                </c:pt>
                <c:pt idx="30">
                  <c:v>85</c:v>
                </c:pt>
                <c:pt idx="31">
                  <c:v>98</c:v>
                </c:pt>
              </c:numCache>
            </c:numRef>
          </c:xVal>
          <c:yVal>
            <c:numRef>
              <c:f>Sheet1!$D$1:$D$32</c:f>
              <c:numCache>
                <c:formatCode>General</c:formatCode>
                <c:ptCount val="32"/>
                <c:pt idx="0">
                  <c:v>76</c:v>
                </c:pt>
                <c:pt idx="1">
                  <c:v>44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89</c:v>
                </c:pt>
                <c:pt idx="6">
                  <c:v>30</c:v>
                </c:pt>
                <c:pt idx="7">
                  <c:v>39</c:v>
                </c:pt>
                <c:pt idx="8">
                  <c:v>24</c:v>
                </c:pt>
                <c:pt idx="9">
                  <c:v>39</c:v>
                </c:pt>
                <c:pt idx="10">
                  <c:v>82</c:v>
                </c:pt>
                <c:pt idx="11">
                  <c:v>10</c:v>
                </c:pt>
                <c:pt idx="12">
                  <c:v>52</c:v>
                </c:pt>
                <c:pt idx="13">
                  <c:v>25</c:v>
                </c:pt>
                <c:pt idx="14">
                  <c:v>59</c:v>
                </c:pt>
                <c:pt idx="15">
                  <c:v>65</c:v>
                </c:pt>
                <c:pt idx="16">
                  <c:v>51</c:v>
                </c:pt>
                <c:pt idx="17">
                  <c:v>2</c:v>
                </c:pt>
                <c:pt idx="18">
                  <c:v>32</c:v>
                </c:pt>
                <c:pt idx="19">
                  <c:v>3</c:v>
                </c:pt>
                <c:pt idx="20">
                  <c:v>93</c:v>
                </c:pt>
                <c:pt idx="21">
                  <c:v>14</c:v>
                </c:pt>
                <c:pt idx="22">
                  <c:v>42</c:v>
                </c:pt>
                <c:pt idx="23">
                  <c:v>9</c:v>
                </c:pt>
                <c:pt idx="24">
                  <c:v>62</c:v>
                </c:pt>
                <c:pt idx="25">
                  <c:v>97</c:v>
                </c:pt>
                <c:pt idx="26">
                  <c:v>55</c:v>
                </c:pt>
                <c:pt idx="27">
                  <c:v>69</c:v>
                </c:pt>
                <c:pt idx="28">
                  <c:v>15</c:v>
                </c:pt>
                <c:pt idx="29">
                  <c:v>70</c:v>
                </c:pt>
                <c:pt idx="30">
                  <c:v>60</c:v>
                </c:pt>
                <c:pt idx="3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1464"/>
        <c:axId val="263431856"/>
      </c:scatterChart>
      <c:valAx>
        <c:axId val="26343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1856"/>
        <c:crosses val="autoZero"/>
        <c:crossBetween val="midCat"/>
      </c:valAx>
      <c:valAx>
        <c:axId val="263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Sheet1!$C$36:$C$83</c:f>
              <c:numCache>
                <c:formatCode>General</c:formatCode>
                <c:ptCount val="48"/>
                <c:pt idx="0">
                  <c:v>47</c:v>
                </c:pt>
                <c:pt idx="1">
                  <c:v>1</c:v>
                </c:pt>
                <c:pt idx="2">
                  <c:v>97</c:v>
                </c:pt>
                <c:pt idx="3">
                  <c:v>23</c:v>
                </c:pt>
                <c:pt idx="4">
                  <c:v>77</c:v>
                </c:pt>
                <c:pt idx="5">
                  <c:v>3</c:v>
                </c:pt>
                <c:pt idx="6">
                  <c:v>5</c:v>
                </c:pt>
                <c:pt idx="7">
                  <c:v>41</c:v>
                </c:pt>
                <c:pt idx="8">
                  <c:v>51</c:v>
                </c:pt>
                <c:pt idx="9">
                  <c:v>67</c:v>
                </c:pt>
                <c:pt idx="10">
                  <c:v>89</c:v>
                </c:pt>
                <c:pt idx="11">
                  <c:v>71</c:v>
                </c:pt>
                <c:pt idx="12">
                  <c:v>11</c:v>
                </c:pt>
                <c:pt idx="13">
                  <c:v>85</c:v>
                </c:pt>
                <c:pt idx="14">
                  <c:v>57</c:v>
                </c:pt>
                <c:pt idx="15">
                  <c:v>57</c:v>
                </c:pt>
                <c:pt idx="16">
                  <c:v>71</c:v>
                </c:pt>
                <c:pt idx="17">
                  <c:v>61</c:v>
                </c:pt>
                <c:pt idx="18">
                  <c:v>39</c:v>
                </c:pt>
                <c:pt idx="19">
                  <c:v>13</c:v>
                </c:pt>
                <c:pt idx="20">
                  <c:v>43</c:v>
                </c:pt>
                <c:pt idx="21">
                  <c:v>87</c:v>
                </c:pt>
                <c:pt idx="22">
                  <c:v>11</c:v>
                </c:pt>
                <c:pt idx="23">
                  <c:v>21</c:v>
                </c:pt>
                <c:pt idx="24">
                  <c:v>77</c:v>
                </c:pt>
                <c:pt idx="25">
                  <c:v>3</c:v>
                </c:pt>
                <c:pt idx="26">
                  <c:v>47</c:v>
                </c:pt>
                <c:pt idx="27">
                  <c:v>53</c:v>
                </c:pt>
                <c:pt idx="28">
                  <c:v>73</c:v>
                </c:pt>
                <c:pt idx="29">
                  <c:v>81</c:v>
                </c:pt>
                <c:pt idx="30">
                  <c:v>89</c:v>
                </c:pt>
                <c:pt idx="31">
                  <c:v>11</c:v>
                </c:pt>
                <c:pt idx="32">
                  <c:v>27</c:v>
                </c:pt>
                <c:pt idx="33">
                  <c:v>95</c:v>
                </c:pt>
                <c:pt idx="34">
                  <c:v>63</c:v>
                </c:pt>
                <c:pt idx="35">
                  <c:v>37</c:v>
                </c:pt>
                <c:pt idx="36">
                  <c:v>33</c:v>
                </c:pt>
                <c:pt idx="37">
                  <c:v>23</c:v>
                </c:pt>
                <c:pt idx="38">
                  <c:v>13</c:v>
                </c:pt>
                <c:pt idx="39">
                  <c:v>47</c:v>
                </c:pt>
                <c:pt idx="40">
                  <c:v>45</c:v>
                </c:pt>
                <c:pt idx="41">
                  <c:v>83</c:v>
                </c:pt>
                <c:pt idx="42">
                  <c:v>69</c:v>
                </c:pt>
                <c:pt idx="43">
                  <c:v>13</c:v>
                </c:pt>
                <c:pt idx="44">
                  <c:v>37</c:v>
                </c:pt>
                <c:pt idx="45">
                  <c:v>53</c:v>
                </c:pt>
                <c:pt idx="46">
                  <c:v>97</c:v>
                </c:pt>
                <c:pt idx="47">
                  <c:v>75</c:v>
                </c:pt>
              </c:numCache>
            </c:numRef>
          </c:xVal>
          <c:yVal>
            <c:numRef>
              <c:f>Sheet1!$D$36:$D$83</c:f>
              <c:numCache>
                <c:formatCode>General</c:formatCode>
                <c:ptCount val="48"/>
                <c:pt idx="0">
                  <c:v>5</c:v>
                </c:pt>
                <c:pt idx="1">
                  <c:v>19</c:v>
                </c:pt>
                <c:pt idx="2">
                  <c:v>35</c:v>
                </c:pt>
                <c:pt idx="3">
                  <c:v>79</c:v>
                </c:pt>
                <c:pt idx="4">
                  <c:v>87</c:v>
                </c:pt>
                <c:pt idx="5">
                  <c:v>9</c:v>
                </c:pt>
                <c:pt idx="6">
                  <c:v>27</c:v>
                </c:pt>
                <c:pt idx="7">
                  <c:v>53</c:v>
                </c:pt>
                <c:pt idx="8">
                  <c:v>87</c:v>
                </c:pt>
                <c:pt idx="9">
                  <c:v>73</c:v>
                </c:pt>
                <c:pt idx="10">
                  <c:v>45</c:v>
                </c:pt>
                <c:pt idx="11">
                  <c:v>99</c:v>
                </c:pt>
                <c:pt idx="12">
                  <c:v>1</c:v>
                </c:pt>
                <c:pt idx="13">
                  <c:v>85</c:v>
                </c:pt>
                <c:pt idx="14">
                  <c:v>11</c:v>
                </c:pt>
                <c:pt idx="15">
                  <c:v>85</c:v>
                </c:pt>
                <c:pt idx="16">
                  <c:v>33</c:v>
                </c:pt>
                <c:pt idx="17">
                  <c:v>13</c:v>
                </c:pt>
                <c:pt idx="18">
                  <c:v>15</c:v>
                </c:pt>
                <c:pt idx="19">
                  <c:v>59</c:v>
                </c:pt>
                <c:pt idx="20">
                  <c:v>99</c:v>
                </c:pt>
                <c:pt idx="21">
                  <c:v>73</c:v>
                </c:pt>
                <c:pt idx="22">
                  <c:v>37</c:v>
                </c:pt>
                <c:pt idx="23">
                  <c:v>11</c:v>
                </c:pt>
                <c:pt idx="24">
                  <c:v>81</c:v>
                </c:pt>
                <c:pt idx="25">
                  <c:v>63</c:v>
                </c:pt>
                <c:pt idx="26">
                  <c:v>95</c:v>
                </c:pt>
                <c:pt idx="27">
                  <c:v>75</c:v>
                </c:pt>
                <c:pt idx="28">
                  <c:v>55</c:v>
                </c:pt>
                <c:pt idx="29">
                  <c:v>71</c:v>
                </c:pt>
                <c:pt idx="30">
                  <c:v>75</c:v>
                </c:pt>
                <c:pt idx="31">
                  <c:v>9</c:v>
                </c:pt>
                <c:pt idx="32">
                  <c:v>37</c:v>
                </c:pt>
                <c:pt idx="33">
                  <c:v>59</c:v>
                </c:pt>
                <c:pt idx="34">
                  <c:v>63</c:v>
                </c:pt>
                <c:pt idx="35">
                  <c:v>21</c:v>
                </c:pt>
                <c:pt idx="36">
                  <c:v>47</c:v>
                </c:pt>
                <c:pt idx="37">
                  <c:v>63</c:v>
                </c:pt>
                <c:pt idx="38">
                  <c:v>55</c:v>
                </c:pt>
                <c:pt idx="39">
                  <c:v>93</c:v>
                </c:pt>
                <c:pt idx="40">
                  <c:v>43</c:v>
                </c:pt>
                <c:pt idx="41">
                  <c:v>7</c:v>
                </c:pt>
                <c:pt idx="42">
                  <c:v>91</c:v>
                </c:pt>
                <c:pt idx="43">
                  <c:v>11</c:v>
                </c:pt>
                <c:pt idx="44">
                  <c:v>15</c:v>
                </c:pt>
                <c:pt idx="45">
                  <c:v>59</c:v>
                </c:pt>
                <c:pt idx="46">
                  <c:v>83</c:v>
                </c:pt>
                <c:pt idx="4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35400"/>
        <c:axId val="258535792"/>
      </c:scatterChart>
      <c:valAx>
        <c:axId val="25853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5792"/>
        <c:crosses val="autoZero"/>
        <c:crossBetween val="midCat"/>
      </c:valAx>
      <c:valAx>
        <c:axId val="258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Sheet1!$H$36:$H$99</c:f>
              <c:numCache>
                <c:formatCode>General</c:formatCode>
                <c:ptCount val="64"/>
                <c:pt idx="0">
                  <c:v>97</c:v>
                </c:pt>
                <c:pt idx="1">
                  <c:v>57</c:v>
                </c:pt>
                <c:pt idx="2">
                  <c:v>1</c:v>
                </c:pt>
                <c:pt idx="3">
                  <c:v>55</c:v>
                </c:pt>
                <c:pt idx="4">
                  <c:v>29</c:v>
                </c:pt>
                <c:pt idx="5">
                  <c:v>21</c:v>
                </c:pt>
                <c:pt idx="6">
                  <c:v>93</c:v>
                </c:pt>
                <c:pt idx="7">
                  <c:v>5</c:v>
                </c:pt>
                <c:pt idx="8">
                  <c:v>25</c:v>
                </c:pt>
                <c:pt idx="9">
                  <c:v>47</c:v>
                </c:pt>
                <c:pt idx="10">
                  <c:v>87</c:v>
                </c:pt>
                <c:pt idx="11">
                  <c:v>67</c:v>
                </c:pt>
                <c:pt idx="12">
                  <c:v>71</c:v>
                </c:pt>
                <c:pt idx="13">
                  <c:v>67</c:v>
                </c:pt>
                <c:pt idx="14">
                  <c:v>45</c:v>
                </c:pt>
                <c:pt idx="15">
                  <c:v>71</c:v>
                </c:pt>
                <c:pt idx="16">
                  <c:v>29</c:v>
                </c:pt>
                <c:pt idx="17">
                  <c:v>59</c:v>
                </c:pt>
                <c:pt idx="18">
                  <c:v>93</c:v>
                </c:pt>
                <c:pt idx="19">
                  <c:v>47</c:v>
                </c:pt>
                <c:pt idx="20">
                  <c:v>51</c:v>
                </c:pt>
                <c:pt idx="21">
                  <c:v>23</c:v>
                </c:pt>
                <c:pt idx="22">
                  <c:v>87</c:v>
                </c:pt>
                <c:pt idx="23">
                  <c:v>39</c:v>
                </c:pt>
                <c:pt idx="24">
                  <c:v>45</c:v>
                </c:pt>
                <c:pt idx="25">
                  <c:v>85</c:v>
                </c:pt>
                <c:pt idx="26">
                  <c:v>35</c:v>
                </c:pt>
                <c:pt idx="27">
                  <c:v>47</c:v>
                </c:pt>
                <c:pt idx="28">
                  <c:v>59</c:v>
                </c:pt>
                <c:pt idx="29">
                  <c:v>83</c:v>
                </c:pt>
                <c:pt idx="30">
                  <c:v>49</c:v>
                </c:pt>
                <c:pt idx="31">
                  <c:v>21</c:v>
                </c:pt>
                <c:pt idx="32">
                  <c:v>51</c:v>
                </c:pt>
                <c:pt idx="33">
                  <c:v>69</c:v>
                </c:pt>
                <c:pt idx="34">
                  <c:v>37</c:v>
                </c:pt>
                <c:pt idx="35">
                  <c:v>37</c:v>
                </c:pt>
                <c:pt idx="36">
                  <c:v>5</c:v>
                </c:pt>
                <c:pt idx="37">
                  <c:v>37</c:v>
                </c:pt>
                <c:pt idx="38">
                  <c:v>83</c:v>
                </c:pt>
                <c:pt idx="39">
                  <c:v>17</c:v>
                </c:pt>
                <c:pt idx="40">
                  <c:v>5</c:v>
                </c:pt>
                <c:pt idx="41">
                  <c:v>81</c:v>
                </c:pt>
                <c:pt idx="42">
                  <c:v>59</c:v>
                </c:pt>
                <c:pt idx="43">
                  <c:v>63</c:v>
                </c:pt>
                <c:pt idx="44">
                  <c:v>21</c:v>
                </c:pt>
                <c:pt idx="45">
                  <c:v>71</c:v>
                </c:pt>
                <c:pt idx="46">
                  <c:v>21</c:v>
                </c:pt>
                <c:pt idx="47">
                  <c:v>9</c:v>
                </c:pt>
                <c:pt idx="48">
                  <c:v>65</c:v>
                </c:pt>
                <c:pt idx="49">
                  <c:v>25</c:v>
                </c:pt>
                <c:pt idx="50">
                  <c:v>13</c:v>
                </c:pt>
                <c:pt idx="51">
                  <c:v>47</c:v>
                </c:pt>
                <c:pt idx="52">
                  <c:v>77</c:v>
                </c:pt>
                <c:pt idx="53">
                  <c:v>57</c:v>
                </c:pt>
                <c:pt idx="54">
                  <c:v>21</c:v>
                </c:pt>
                <c:pt idx="55">
                  <c:v>27</c:v>
                </c:pt>
                <c:pt idx="56">
                  <c:v>83</c:v>
                </c:pt>
                <c:pt idx="57">
                  <c:v>63</c:v>
                </c:pt>
                <c:pt idx="58">
                  <c:v>9</c:v>
                </c:pt>
                <c:pt idx="59">
                  <c:v>25</c:v>
                </c:pt>
                <c:pt idx="60">
                  <c:v>33</c:v>
                </c:pt>
                <c:pt idx="61">
                  <c:v>53</c:v>
                </c:pt>
                <c:pt idx="62">
                  <c:v>51</c:v>
                </c:pt>
                <c:pt idx="63">
                  <c:v>9</c:v>
                </c:pt>
              </c:numCache>
            </c:numRef>
          </c:xVal>
          <c:yVal>
            <c:numRef>
              <c:f>Sheet1!$I$36:$I$99</c:f>
              <c:numCache>
                <c:formatCode>General</c:formatCode>
                <c:ptCount val="64"/>
                <c:pt idx="0">
                  <c:v>33</c:v>
                </c:pt>
                <c:pt idx="1">
                  <c:v>81</c:v>
                </c:pt>
                <c:pt idx="2">
                  <c:v>33</c:v>
                </c:pt>
                <c:pt idx="3">
                  <c:v>57</c:v>
                </c:pt>
                <c:pt idx="4">
                  <c:v>37</c:v>
                </c:pt>
                <c:pt idx="5">
                  <c:v>39</c:v>
                </c:pt>
                <c:pt idx="6">
                  <c:v>37</c:v>
                </c:pt>
                <c:pt idx="7">
                  <c:v>91</c:v>
                </c:pt>
                <c:pt idx="8">
                  <c:v>11</c:v>
                </c:pt>
                <c:pt idx="9">
                  <c:v>37</c:v>
                </c:pt>
                <c:pt idx="10">
                  <c:v>25</c:v>
                </c:pt>
                <c:pt idx="11">
                  <c:v>65</c:v>
                </c:pt>
                <c:pt idx="12">
                  <c:v>89</c:v>
                </c:pt>
                <c:pt idx="13">
                  <c:v>15</c:v>
                </c:pt>
                <c:pt idx="14">
                  <c:v>79</c:v>
                </c:pt>
                <c:pt idx="15">
                  <c:v>57</c:v>
                </c:pt>
                <c:pt idx="16">
                  <c:v>1</c:v>
                </c:pt>
                <c:pt idx="17">
                  <c:v>79</c:v>
                </c:pt>
                <c:pt idx="18">
                  <c:v>83</c:v>
                </c:pt>
                <c:pt idx="19">
                  <c:v>41</c:v>
                </c:pt>
                <c:pt idx="20">
                  <c:v>41</c:v>
                </c:pt>
                <c:pt idx="21">
                  <c:v>93</c:v>
                </c:pt>
                <c:pt idx="22">
                  <c:v>95</c:v>
                </c:pt>
                <c:pt idx="23">
                  <c:v>45</c:v>
                </c:pt>
                <c:pt idx="24">
                  <c:v>7</c:v>
                </c:pt>
                <c:pt idx="25">
                  <c:v>51</c:v>
                </c:pt>
                <c:pt idx="26">
                  <c:v>93</c:v>
                </c:pt>
                <c:pt idx="27">
                  <c:v>79</c:v>
                </c:pt>
                <c:pt idx="28">
                  <c:v>91</c:v>
                </c:pt>
                <c:pt idx="29">
                  <c:v>51</c:v>
                </c:pt>
                <c:pt idx="30">
                  <c:v>65</c:v>
                </c:pt>
                <c:pt idx="31">
                  <c:v>55</c:v>
                </c:pt>
                <c:pt idx="32">
                  <c:v>21</c:v>
                </c:pt>
                <c:pt idx="33">
                  <c:v>43</c:v>
                </c:pt>
                <c:pt idx="34">
                  <c:v>41</c:v>
                </c:pt>
                <c:pt idx="35">
                  <c:v>95</c:v>
                </c:pt>
                <c:pt idx="36">
                  <c:v>71</c:v>
                </c:pt>
                <c:pt idx="37">
                  <c:v>47</c:v>
                </c:pt>
                <c:pt idx="38">
                  <c:v>73</c:v>
                </c:pt>
                <c:pt idx="39">
                  <c:v>71</c:v>
                </c:pt>
                <c:pt idx="40">
                  <c:v>71</c:v>
                </c:pt>
                <c:pt idx="41">
                  <c:v>17</c:v>
                </c:pt>
                <c:pt idx="42">
                  <c:v>33</c:v>
                </c:pt>
                <c:pt idx="43">
                  <c:v>87</c:v>
                </c:pt>
                <c:pt idx="44">
                  <c:v>77</c:v>
                </c:pt>
                <c:pt idx="45">
                  <c:v>51</c:v>
                </c:pt>
                <c:pt idx="46">
                  <c:v>17</c:v>
                </c:pt>
                <c:pt idx="47">
                  <c:v>7</c:v>
                </c:pt>
                <c:pt idx="48">
                  <c:v>43</c:v>
                </c:pt>
                <c:pt idx="49">
                  <c:v>63</c:v>
                </c:pt>
                <c:pt idx="50">
                  <c:v>57</c:v>
                </c:pt>
                <c:pt idx="51">
                  <c:v>43</c:v>
                </c:pt>
                <c:pt idx="52">
                  <c:v>9</c:v>
                </c:pt>
                <c:pt idx="53">
                  <c:v>55</c:v>
                </c:pt>
                <c:pt idx="54">
                  <c:v>33</c:v>
                </c:pt>
                <c:pt idx="55">
                  <c:v>59</c:v>
                </c:pt>
                <c:pt idx="56">
                  <c:v>9</c:v>
                </c:pt>
                <c:pt idx="57">
                  <c:v>69</c:v>
                </c:pt>
                <c:pt idx="58">
                  <c:v>35</c:v>
                </c:pt>
                <c:pt idx="59">
                  <c:v>55</c:v>
                </c:pt>
                <c:pt idx="60">
                  <c:v>3</c:v>
                </c:pt>
                <c:pt idx="61">
                  <c:v>11</c:v>
                </c:pt>
                <c:pt idx="62">
                  <c:v>49</c:v>
                </c:pt>
                <c:pt idx="63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2640"/>
        <c:axId val="263431072"/>
      </c:scatterChart>
      <c:valAx>
        <c:axId val="2634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1072"/>
        <c:crosses val="autoZero"/>
        <c:crossBetween val="midCat"/>
      </c:valAx>
      <c:valAx>
        <c:axId val="2634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Redirected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Dynamic!$A$3:$A$46</c:f>
              <c:numCache>
                <c:formatCode>General</c:formatCode>
                <c:ptCount val="44"/>
                <c:pt idx="0">
                  <c:v>15</c:v>
                </c:pt>
                <c:pt idx="1">
                  <c:v>8</c:v>
                </c:pt>
                <c:pt idx="2">
                  <c:v>19</c:v>
                </c:pt>
                <c:pt idx="3">
                  <c:v>9</c:v>
                </c:pt>
                <c:pt idx="4">
                  <c:v>30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6</c:v>
                </c:pt>
                <c:pt idx="10">
                  <c:v>30</c:v>
                </c:pt>
                <c:pt idx="11">
                  <c:v>4</c:v>
                </c:pt>
                <c:pt idx="12">
                  <c:v>32</c:v>
                </c:pt>
                <c:pt idx="13">
                  <c:v>23</c:v>
                </c:pt>
                <c:pt idx="14">
                  <c:v>10</c:v>
                </c:pt>
                <c:pt idx="15">
                  <c:v>19</c:v>
                </c:pt>
                <c:pt idx="16">
                  <c:v>8</c:v>
                </c:pt>
                <c:pt idx="17">
                  <c:v>27</c:v>
                </c:pt>
                <c:pt idx="18">
                  <c:v>7</c:v>
                </c:pt>
                <c:pt idx="19">
                  <c:v>32</c:v>
                </c:pt>
                <c:pt idx="20">
                  <c:v>4</c:v>
                </c:pt>
                <c:pt idx="21">
                  <c:v>2</c:v>
                </c:pt>
                <c:pt idx="22">
                  <c:v>21</c:v>
                </c:pt>
                <c:pt idx="23">
                  <c:v>28</c:v>
                </c:pt>
                <c:pt idx="24">
                  <c:v>9</c:v>
                </c:pt>
                <c:pt idx="25">
                  <c:v>19</c:v>
                </c:pt>
                <c:pt idx="26">
                  <c:v>15</c:v>
                </c:pt>
                <c:pt idx="27">
                  <c:v>22</c:v>
                </c:pt>
                <c:pt idx="28">
                  <c:v>21</c:v>
                </c:pt>
                <c:pt idx="29">
                  <c:v>24</c:v>
                </c:pt>
                <c:pt idx="30">
                  <c:v>12</c:v>
                </c:pt>
                <c:pt idx="31">
                  <c:v>30</c:v>
                </c:pt>
                <c:pt idx="32">
                  <c:v>19</c:v>
                </c:pt>
                <c:pt idx="33">
                  <c:v>27</c:v>
                </c:pt>
                <c:pt idx="34">
                  <c:v>19</c:v>
                </c:pt>
                <c:pt idx="35">
                  <c:v>9</c:v>
                </c:pt>
                <c:pt idx="36">
                  <c:v>30</c:v>
                </c:pt>
                <c:pt idx="37">
                  <c:v>23</c:v>
                </c:pt>
                <c:pt idx="38">
                  <c:v>6</c:v>
                </c:pt>
                <c:pt idx="39">
                  <c:v>27</c:v>
                </c:pt>
                <c:pt idx="40">
                  <c:v>32</c:v>
                </c:pt>
                <c:pt idx="41">
                  <c:v>28</c:v>
                </c:pt>
                <c:pt idx="42">
                  <c:v>7</c:v>
                </c:pt>
                <c:pt idx="43">
                  <c:v>31</c:v>
                </c:pt>
              </c:numCache>
            </c:numRef>
          </c:xVal>
          <c:yVal>
            <c:numRef>
              <c:f>Dynamic!$D$3:$D$46</c:f>
              <c:numCache>
                <c:formatCode>#,##0.00</c:formatCode>
                <c:ptCount val="44"/>
                <c:pt idx="0">
                  <c:v>0.12</c:v>
                </c:pt>
                <c:pt idx="1">
                  <c:v>0.62</c:v>
                </c:pt>
                <c:pt idx="2">
                  <c:v>0.08</c:v>
                </c:pt>
                <c:pt idx="3">
                  <c:v>0.46</c:v>
                </c:pt>
                <c:pt idx="4">
                  <c:v>0.5</c:v>
                </c:pt>
                <c:pt idx="5">
                  <c:v>1</c:v>
                </c:pt>
                <c:pt idx="6">
                  <c:v>0.4</c:v>
                </c:pt>
                <c:pt idx="7">
                  <c:v>0.62</c:v>
                </c:pt>
                <c:pt idx="8">
                  <c:v>0.25</c:v>
                </c:pt>
                <c:pt idx="9">
                  <c:v>0.7</c:v>
                </c:pt>
                <c:pt idx="10">
                  <c:v>0.2</c:v>
                </c:pt>
                <c:pt idx="11">
                  <c:v>0.6</c:v>
                </c:pt>
                <c:pt idx="12">
                  <c:v>0.82</c:v>
                </c:pt>
                <c:pt idx="13">
                  <c:v>0.15</c:v>
                </c:pt>
                <c:pt idx="14">
                  <c:v>0.59</c:v>
                </c:pt>
                <c:pt idx="15">
                  <c:v>1</c:v>
                </c:pt>
                <c:pt idx="16">
                  <c:v>0.84</c:v>
                </c:pt>
                <c:pt idx="17">
                  <c:v>0.11</c:v>
                </c:pt>
                <c:pt idx="18">
                  <c:v>0.5</c:v>
                </c:pt>
                <c:pt idx="19">
                  <c:v>0.38</c:v>
                </c:pt>
                <c:pt idx="20">
                  <c:v>1</c:v>
                </c:pt>
                <c:pt idx="21">
                  <c:v>0.86</c:v>
                </c:pt>
                <c:pt idx="22">
                  <c:v>0.67</c:v>
                </c:pt>
                <c:pt idx="23">
                  <c:v>1</c:v>
                </c:pt>
                <c:pt idx="24">
                  <c:v>0.86</c:v>
                </c:pt>
                <c:pt idx="25">
                  <c:v>0.14000000000000001</c:v>
                </c:pt>
                <c:pt idx="26">
                  <c:v>0.75</c:v>
                </c:pt>
                <c:pt idx="27">
                  <c:v>1</c:v>
                </c:pt>
                <c:pt idx="28">
                  <c:v>0.56999999999999995</c:v>
                </c:pt>
                <c:pt idx="29">
                  <c:v>0.89</c:v>
                </c:pt>
                <c:pt idx="30">
                  <c:v>1</c:v>
                </c:pt>
                <c:pt idx="31">
                  <c:v>0.5</c:v>
                </c:pt>
                <c:pt idx="32">
                  <c:v>0.25</c:v>
                </c:pt>
                <c:pt idx="33">
                  <c:v>0.5</c:v>
                </c:pt>
                <c:pt idx="34">
                  <c:v>0.09</c:v>
                </c:pt>
                <c:pt idx="35">
                  <c:v>0.55000000000000004</c:v>
                </c:pt>
                <c:pt idx="36">
                  <c:v>0.4</c:v>
                </c:pt>
                <c:pt idx="37">
                  <c:v>0.33</c:v>
                </c:pt>
                <c:pt idx="38">
                  <c:v>0.57999999999999996</c:v>
                </c:pt>
                <c:pt idx="39">
                  <c:v>0.15</c:v>
                </c:pt>
                <c:pt idx="40">
                  <c:v>0.69</c:v>
                </c:pt>
                <c:pt idx="41">
                  <c:v>1</c:v>
                </c:pt>
                <c:pt idx="42">
                  <c:v>1</c:v>
                </c:pt>
                <c:pt idx="43">
                  <c:v>0.93</c:v>
                </c:pt>
              </c:numCache>
            </c:numRef>
          </c:yVal>
          <c:smooth val="0"/>
        </c:ser>
        <c:ser>
          <c:idx val="1"/>
          <c:order val="1"/>
          <c:tx>
            <c:v>Not Redirected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Dynamic!$H$3:$H$113</c:f>
              <c:numCache>
                <c:formatCode>General</c:formatCode>
                <c:ptCount val="111"/>
                <c:pt idx="0">
                  <c:v>2</c:v>
                </c:pt>
                <c:pt idx="1">
                  <c:v>13</c:v>
                </c:pt>
                <c:pt idx="2">
                  <c:v>17</c:v>
                </c:pt>
                <c:pt idx="3">
                  <c:v>31</c:v>
                </c:pt>
                <c:pt idx="4">
                  <c:v>12</c:v>
                </c:pt>
                <c:pt idx="5">
                  <c:v>5</c:v>
                </c:pt>
                <c:pt idx="6">
                  <c:v>29</c:v>
                </c:pt>
                <c:pt idx="7">
                  <c:v>21</c:v>
                </c:pt>
                <c:pt idx="8">
                  <c:v>6</c:v>
                </c:pt>
                <c:pt idx="9">
                  <c:v>32</c:v>
                </c:pt>
                <c:pt idx="10">
                  <c:v>20</c:v>
                </c:pt>
                <c:pt idx="11">
                  <c:v>18</c:v>
                </c:pt>
                <c:pt idx="12">
                  <c:v>14</c:v>
                </c:pt>
                <c:pt idx="13">
                  <c:v>10</c:v>
                </c:pt>
                <c:pt idx="14">
                  <c:v>16</c:v>
                </c:pt>
                <c:pt idx="15">
                  <c:v>11</c:v>
                </c:pt>
                <c:pt idx="16">
                  <c:v>26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25</c:v>
                </c:pt>
                <c:pt idx="21">
                  <c:v>28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3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18</c:v>
                </c:pt>
                <c:pt idx="30">
                  <c:v>28</c:v>
                </c:pt>
                <c:pt idx="31">
                  <c:v>16</c:v>
                </c:pt>
                <c:pt idx="32">
                  <c:v>11</c:v>
                </c:pt>
                <c:pt idx="33">
                  <c:v>26</c:v>
                </c:pt>
                <c:pt idx="34">
                  <c:v>21</c:v>
                </c:pt>
                <c:pt idx="35">
                  <c:v>29</c:v>
                </c:pt>
                <c:pt idx="36">
                  <c:v>5</c:v>
                </c:pt>
                <c:pt idx="37">
                  <c:v>12</c:v>
                </c:pt>
                <c:pt idx="38">
                  <c:v>9</c:v>
                </c:pt>
                <c:pt idx="39">
                  <c:v>31</c:v>
                </c:pt>
                <c:pt idx="40">
                  <c:v>17</c:v>
                </c:pt>
                <c:pt idx="41">
                  <c:v>13</c:v>
                </c:pt>
                <c:pt idx="42">
                  <c:v>2</c:v>
                </c:pt>
                <c:pt idx="43">
                  <c:v>14</c:v>
                </c:pt>
                <c:pt idx="44">
                  <c:v>18</c:v>
                </c:pt>
                <c:pt idx="45">
                  <c:v>20</c:v>
                </c:pt>
                <c:pt idx="46">
                  <c:v>22</c:v>
                </c:pt>
                <c:pt idx="47">
                  <c:v>14</c:v>
                </c:pt>
                <c:pt idx="48">
                  <c:v>12</c:v>
                </c:pt>
                <c:pt idx="49">
                  <c:v>5</c:v>
                </c:pt>
                <c:pt idx="50">
                  <c:v>29</c:v>
                </c:pt>
                <c:pt idx="51">
                  <c:v>24</c:v>
                </c:pt>
                <c:pt idx="52">
                  <c:v>3</c:v>
                </c:pt>
                <c:pt idx="53">
                  <c:v>13</c:v>
                </c:pt>
                <c:pt idx="54">
                  <c:v>8</c:v>
                </c:pt>
                <c:pt idx="55">
                  <c:v>25</c:v>
                </c:pt>
                <c:pt idx="56">
                  <c:v>6</c:v>
                </c:pt>
                <c:pt idx="57">
                  <c:v>26</c:v>
                </c:pt>
                <c:pt idx="58">
                  <c:v>11</c:v>
                </c:pt>
                <c:pt idx="59">
                  <c:v>16</c:v>
                </c:pt>
                <c:pt idx="60">
                  <c:v>30</c:v>
                </c:pt>
                <c:pt idx="61">
                  <c:v>23</c:v>
                </c:pt>
                <c:pt idx="62">
                  <c:v>10</c:v>
                </c:pt>
                <c:pt idx="63">
                  <c:v>31</c:v>
                </c:pt>
                <c:pt idx="64">
                  <c:v>17</c:v>
                </c:pt>
                <c:pt idx="65">
                  <c:v>27</c:v>
                </c:pt>
                <c:pt idx="66">
                  <c:v>14</c:v>
                </c:pt>
                <c:pt idx="67">
                  <c:v>18</c:v>
                </c:pt>
                <c:pt idx="68">
                  <c:v>20</c:v>
                </c:pt>
                <c:pt idx="69">
                  <c:v>32</c:v>
                </c:pt>
                <c:pt idx="70">
                  <c:v>2</c:v>
                </c:pt>
                <c:pt idx="71">
                  <c:v>13</c:v>
                </c:pt>
                <c:pt idx="72">
                  <c:v>6</c:v>
                </c:pt>
                <c:pt idx="73">
                  <c:v>26</c:v>
                </c:pt>
                <c:pt idx="74">
                  <c:v>11</c:v>
                </c:pt>
                <c:pt idx="75">
                  <c:v>28</c:v>
                </c:pt>
                <c:pt idx="76">
                  <c:v>25</c:v>
                </c:pt>
                <c:pt idx="77">
                  <c:v>15</c:v>
                </c:pt>
                <c:pt idx="78">
                  <c:v>7</c:v>
                </c:pt>
                <c:pt idx="79">
                  <c:v>4</c:v>
                </c:pt>
                <c:pt idx="80">
                  <c:v>3</c:v>
                </c:pt>
                <c:pt idx="81">
                  <c:v>29</c:v>
                </c:pt>
                <c:pt idx="82">
                  <c:v>5</c:v>
                </c:pt>
                <c:pt idx="83">
                  <c:v>9</c:v>
                </c:pt>
                <c:pt idx="84">
                  <c:v>16</c:v>
                </c:pt>
                <c:pt idx="85">
                  <c:v>23</c:v>
                </c:pt>
                <c:pt idx="86">
                  <c:v>10</c:v>
                </c:pt>
                <c:pt idx="87">
                  <c:v>31</c:v>
                </c:pt>
                <c:pt idx="88">
                  <c:v>17</c:v>
                </c:pt>
                <c:pt idx="89">
                  <c:v>8</c:v>
                </c:pt>
                <c:pt idx="90">
                  <c:v>12</c:v>
                </c:pt>
                <c:pt idx="91">
                  <c:v>5</c:v>
                </c:pt>
                <c:pt idx="92">
                  <c:v>21</c:v>
                </c:pt>
                <c:pt idx="93">
                  <c:v>26</c:v>
                </c:pt>
                <c:pt idx="94">
                  <c:v>11</c:v>
                </c:pt>
                <c:pt idx="95">
                  <c:v>10</c:v>
                </c:pt>
                <c:pt idx="96">
                  <c:v>16</c:v>
                </c:pt>
                <c:pt idx="97">
                  <c:v>22</c:v>
                </c:pt>
                <c:pt idx="98">
                  <c:v>20</c:v>
                </c:pt>
                <c:pt idx="99">
                  <c:v>18</c:v>
                </c:pt>
                <c:pt idx="100">
                  <c:v>14</c:v>
                </c:pt>
                <c:pt idx="101">
                  <c:v>25</c:v>
                </c:pt>
                <c:pt idx="102">
                  <c:v>29</c:v>
                </c:pt>
                <c:pt idx="103">
                  <c:v>24</c:v>
                </c:pt>
                <c:pt idx="104">
                  <c:v>3</c:v>
                </c:pt>
                <c:pt idx="105">
                  <c:v>4</c:v>
                </c:pt>
                <c:pt idx="106">
                  <c:v>15</c:v>
                </c:pt>
                <c:pt idx="107">
                  <c:v>17</c:v>
                </c:pt>
                <c:pt idx="108">
                  <c:v>13</c:v>
                </c:pt>
                <c:pt idx="109">
                  <c:v>2</c:v>
                </c:pt>
                <c:pt idx="110">
                  <c:v>8</c:v>
                </c:pt>
              </c:numCache>
            </c:numRef>
          </c:xVal>
          <c:yVal>
            <c:numRef>
              <c:f>Dynamic!$K$3:$K$113</c:f>
              <c:numCache>
                <c:formatCode>#,##0.00</c:formatCode>
                <c:ptCount val="111"/>
                <c:pt idx="0">
                  <c:v>0.73</c:v>
                </c:pt>
                <c:pt idx="1">
                  <c:v>0.81</c:v>
                </c:pt>
                <c:pt idx="2">
                  <c:v>0.69</c:v>
                </c:pt>
                <c:pt idx="3">
                  <c:v>0.54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0.75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0.8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0.46</c:v>
                </c:pt>
                <c:pt idx="19">
                  <c:v>0.92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0.3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0.8</c:v>
                </c:pt>
                <c:pt idx="27">
                  <c:v>1.0900000000000001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0.74</c:v>
                </c:pt>
                <c:pt idx="31">
                  <c:v>0.81</c:v>
                </c:pt>
                <c:pt idx="32">
                  <c:v>0.3</c:v>
                </c:pt>
                <c:pt idx="33">
                  <c:v>0.89</c:v>
                </c:pt>
                <c:pt idx="34">
                  <c:v>0.3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0.74</c:v>
                </c:pt>
                <c:pt idx="40">
                  <c:v>0.95</c:v>
                </c:pt>
                <c:pt idx="41">
                  <c:v>1.1000000000000001</c:v>
                </c:pt>
                <c:pt idx="42">
                  <c:v>1</c:v>
                </c:pt>
                <c:pt idx="43">
                  <c:v>0.84</c:v>
                </c:pt>
                <c:pt idx="44">
                  <c:v>0.79</c:v>
                </c:pt>
                <c:pt idx="45">
                  <c:v>1</c:v>
                </c:pt>
                <c:pt idx="46">
                  <c:v>0.5</c:v>
                </c:pt>
                <c:pt idx="47">
                  <c:v>0.67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0.95</c:v>
                </c:pt>
                <c:pt idx="54">
                  <c:v>0.73</c:v>
                </c:pt>
                <c:pt idx="55">
                  <c:v>1.0900000000000001</c:v>
                </c:pt>
                <c:pt idx="56">
                  <c:v>0.57999999999999996</c:v>
                </c:pt>
                <c:pt idx="57">
                  <c:v>1.1000000000000001</c:v>
                </c:pt>
                <c:pt idx="58">
                  <c:v>0.67</c:v>
                </c:pt>
                <c:pt idx="59">
                  <c:v>1.1000000000000001</c:v>
                </c:pt>
                <c:pt idx="60">
                  <c:v>0.28999999999999998</c:v>
                </c:pt>
                <c:pt idx="61">
                  <c:v>0.56999999999999995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0.5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0.75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0.5</c:v>
                </c:pt>
                <c:pt idx="73">
                  <c:v>1.1000000000000001</c:v>
                </c:pt>
                <c:pt idx="74">
                  <c:v>0.56999999999999995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0.33</c:v>
                </c:pt>
                <c:pt idx="78">
                  <c:v>1.1000000000000001</c:v>
                </c:pt>
                <c:pt idx="79">
                  <c:v>0.67</c:v>
                </c:pt>
                <c:pt idx="80">
                  <c:v>1.1000000000000001</c:v>
                </c:pt>
                <c:pt idx="81">
                  <c:v>1.07</c:v>
                </c:pt>
                <c:pt idx="82">
                  <c:v>1.1000000000000001</c:v>
                </c:pt>
                <c:pt idx="83">
                  <c:v>0.43</c:v>
                </c:pt>
                <c:pt idx="84">
                  <c:v>1.1000000000000001</c:v>
                </c:pt>
                <c:pt idx="85">
                  <c:v>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0.92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0.67</c:v>
                </c:pt>
                <c:pt idx="104">
                  <c:v>1.1000000000000001</c:v>
                </c:pt>
                <c:pt idx="105">
                  <c:v>0.5</c:v>
                </c:pt>
                <c:pt idx="106">
                  <c:v>0.25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30288"/>
        <c:axId val="263429896"/>
      </c:scatterChart>
      <c:valAx>
        <c:axId val="263430288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9896"/>
        <c:crosses val="autoZero"/>
        <c:crossBetween val="midCat"/>
        <c:majorUnit val="1"/>
      </c:valAx>
      <c:valAx>
        <c:axId val="2634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Qi/ErTitle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02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Redirected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Dynamic!$E$3:$E$46</c:f>
              <c:numCache>
                <c:formatCode>General</c:formatCode>
                <c:ptCount val="44"/>
                <c:pt idx="0">
                  <c:v>27</c:v>
                </c:pt>
                <c:pt idx="1">
                  <c:v>37</c:v>
                </c:pt>
                <c:pt idx="2">
                  <c:v>77</c:v>
                </c:pt>
                <c:pt idx="3">
                  <c:v>86</c:v>
                </c:pt>
                <c:pt idx="4">
                  <c:v>62</c:v>
                </c:pt>
                <c:pt idx="5">
                  <c:v>64</c:v>
                </c:pt>
                <c:pt idx="6">
                  <c:v>84</c:v>
                </c:pt>
                <c:pt idx="7">
                  <c:v>78</c:v>
                </c:pt>
                <c:pt idx="8">
                  <c:v>21</c:v>
                </c:pt>
                <c:pt idx="9">
                  <c:v>55</c:v>
                </c:pt>
                <c:pt idx="10">
                  <c:v>62</c:v>
                </c:pt>
                <c:pt idx="11">
                  <c:v>76</c:v>
                </c:pt>
                <c:pt idx="12">
                  <c:v>73</c:v>
                </c:pt>
                <c:pt idx="13">
                  <c:v>84</c:v>
                </c:pt>
                <c:pt idx="14">
                  <c:v>88</c:v>
                </c:pt>
                <c:pt idx="15">
                  <c:v>77</c:v>
                </c:pt>
                <c:pt idx="16">
                  <c:v>37</c:v>
                </c:pt>
                <c:pt idx="17">
                  <c:v>21</c:v>
                </c:pt>
                <c:pt idx="18">
                  <c:v>52</c:v>
                </c:pt>
                <c:pt idx="19">
                  <c:v>73</c:v>
                </c:pt>
                <c:pt idx="20">
                  <c:v>76</c:v>
                </c:pt>
                <c:pt idx="21">
                  <c:v>35</c:v>
                </c:pt>
                <c:pt idx="22">
                  <c:v>36</c:v>
                </c:pt>
                <c:pt idx="23">
                  <c:v>26</c:v>
                </c:pt>
                <c:pt idx="24">
                  <c:v>86</c:v>
                </c:pt>
                <c:pt idx="25">
                  <c:v>77</c:v>
                </c:pt>
                <c:pt idx="26">
                  <c:v>27</c:v>
                </c:pt>
                <c:pt idx="27">
                  <c:v>64</c:v>
                </c:pt>
                <c:pt idx="28">
                  <c:v>36</c:v>
                </c:pt>
                <c:pt idx="29">
                  <c:v>78</c:v>
                </c:pt>
                <c:pt idx="30">
                  <c:v>101</c:v>
                </c:pt>
                <c:pt idx="31">
                  <c:v>62</c:v>
                </c:pt>
                <c:pt idx="32">
                  <c:v>77</c:v>
                </c:pt>
                <c:pt idx="33">
                  <c:v>21</c:v>
                </c:pt>
                <c:pt idx="34">
                  <c:v>77</c:v>
                </c:pt>
                <c:pt idx="35">
                  <c:v>86</c:v>
                </c:pt>
                <c:pt idx="36">
                  <c:v>62</c:v>
                </c:pt>
                <c:pt idx="37">
                  <c:v>84</c:v>
                </c:pt>
                <c:pt idx="38">
                  <c:v>55</c:v>
                </c:pt>
                <c:pt idx="39">
                  <c:v>21</c:v>
                </c:pt>
                <c:pt idx="40">
                  <c:v>73</c:v>
                </c:pt>
                <c:pt idx="41">
                  <c:v>26</c:v>
                </c:pt>
                <c:pt idx="42">
                  <c:v>52</c:v>
                </c:pt>
                <c:pt idx="43">
                  <c:v>16</c:v>
                </c:pt>
              </c:numCache>
            </c:numRef>
          </c:xVal>
          <c:yVal>
            <c:numRef>
              <c:f>Dynamic!$D$3:$D$46</c:f>
              <c:numCache>
                <c:formatCode>#,##0.00</c:formatCode>
                <c:ptCount val="44"/>
                <c:pt idx="0">
                  <c:v>0.12</c:v>
                </c:pt>
                <c:pt idx="1">
                  <c:v>0.62</c:v>
                </c:pt>
                <c:pt idx="2">
                  <c:v>0.08</c:v>
                </c:pt>
                <c:pt idx="3">
                  <c:v>0.46</c:v>
                </c:pt>
                <c:pt idx="4">
                  <c:v>0.5</c:v>
                </c:pt>
                <c:pt idx="5">
                  <c:v>1</c:v>
                </c:pt>
                <c:pt idx="6">
                  <c:v>0.4</c:v>
                </c:pt>
                <c:pt idx="7">
                  <c:v>0.62</c:v>
                </c:pt>
                <c:pt idx="8">
                  <c:v>0.25</c:v>
                </c:pt>
                <c:pt idx="9">
                  <c:v>0.7</c:v>
                </c:pt>
                <c:pt idx="10">
                  <c:v>0.2</c:v>
                </c:pt>
                <c:pt idx="11">
                  <c:v>0.6</c:v>
                </c:pt>
                <c:pt idx="12">
                  <c:v>0.82</c:v>
                </c:pt>
                <c:pt idx="13">
                  <c:v>0.15</c:v>
                </c:pt>
                <c:pt idx="14">
                  <c:v>0.59</c:v>
                </c:pt>
                <c:pt idx="15">
                  <c:v>1</c:v>
                </c:pt>
                <c:pt idx="16">
                  <c:v>0.84</c:v>
                </c:pt>
                <c:pt idx="17">
                  <c:v>0.11</c:v>
                </c:pt>
                <c:pt idx="18">
                  <c:v>0.5</c:v>
                </c:pt>
                <c:pt idx="19">
                  <c:v>0.38</c:v>
                </c:pt>
                <c:pt idx="20">
                  <c:v>1</c:v>
                </c:pt>
                <c:pt idx="21">
                  <c:v>0.86</c:v>
                </c:pt>
                <c:pt idx="22">
                  <c:v>0.67</c:v>
                </c:pt>
                <c:pt idx="23">
                  <c:v>1</c:v>
                </c:pt>
                <c:pt idx="24">
                  <c:v>0.86</c:v>
                </c:pt>
                <c:pt idx="25">
                  <c:v>0.14000000000000001</c:v>
                </c:pt>
                <c:pt idx="26">
                  <c:v>0.75</c:v>
                </c:pt>
                <c:pt idx="27">
                  <c:v>1</c:v>
                </c:pt>
                <c:pt idx="28">
                  <c:v>0.56999999999999995</c:v>
                </c:pt>
                <c:pt idx="29">
                  <c:v>0.89</c:v>
                </c:pt>
                <c:pt idx="30">
                  <c:v>1</c:v>
                </c:pt>
                <c:pt idx="31">
                  <c:v>0.5</c:v>
                </c:pt>
                <c:pt idx="32">
                  <c:v>0.25</c:v>
                </c:pt>
                <c:pt idx="33">
                  <c:v>0.5</c:v>
                </c:pt>
                <c:pt idx="34">
                  <c:v>0.09</c:v>
                </c:pt>
                <c:pt idx="35">
                  <c:v>0.55000000000000004</c:v>
                </c:pt>
                <c:pt idx="36">
                  <c:v>0.4</c:v>
                </c:pt>
                <c:pt idx="37">
                  <c:v>0.33</c:v>
                </c:pt>
                <c:pt idx="38">
                  <c:v>0.57999999999999996</c:v>
                </c:pt>
                <c:pt idx="39">
                  <c:v>0.15</c:v>
                </c:pt>
                <c:pt idx="40">
                  <c:v>0.69</c:v>
                </c:pt>
                <c:pt idx="41">
                  <c:v>1</c:v>
                </c:pt>
                <c:pt idx="42">
                  <c:v>1</c:v>
                </c:pt>
                <c:pt idx="43">
                  <c:v>0.93</c:v>
                </c:pt>
              </c:numCache>
            </c:numRef>
          </c:yVal>
          <c:smooth val="0"/>
        </c:ser>
        <c:ser>
          <c:idx val="1"/>
          <c:order val="1"/>
          <c:tx>
            <c:v>Not Redirected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Dynamic!$M$3:$M$113</c:f>
              <c:numCache>
                <c:formatCode>General</c:formatCode>
                <c:ptCount val="111"/>
                <c:pt idx="0">
                  <c:v>35</c:v>
                </c:pt>
                <c:pt idx="1">
                  <c:v>29</c:v>
                </c:pt>
                <c:pt idx="2">
                  <c:v>26</c:v>
                </c:pt>
                <c:pt idx="3">
                  <c:v>16</c:v>
                </c:pt>
                <c:pt idx="4">
                  <c:v>101</c:v>
                </c:pt>
                <c:pt idx="5">
                  <c:v>98</c:v>
                </c:pt>
                <c:pt idx="6">
                  <c:v>85</c:v>
                </c:pt>
                <c:pt idx="7">
                  <c:v>36</c:v>
                </c:pt>
                <c:pt idx="8">
                  <c:v>55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51</c:v>
                </c:pt>
                <c:pt idx="13">
                  <c:v>88</c:v>
                </c:pt>
                <c:pt idx="14">
                  <c:v>82</c:v>
                </c:pt>
                <c:pt idx="15">
                  <c:v>79</c:v>
                </c:pt>
                <c:pt idx="16">
                  <c:v>76</c:v>
                </c:pt>
                <c:pt idx="17">
                  <c:v>78</c:v>
                </c:pt>
                <c:pt idx="18">
                  <c:v>76</c:v>
                </c:pt>
                <c:pt idx="19">
                  <c:v>52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25</c:v>
                </c:pt>
                <c:pt idx="24">
                  <c:v>52</c:v>
                </c:pt>
                <c:pt idx="25">
                  <c:v>78</c:v>
                </c:pt>
                <c:pt idx="26">
                  <c:v>78</c:v>
                </c:pt>
                <c:pt idx="27">
                  <c:v>64</c:v>
                </c:pt>
                <c:pt idx="28">
                  <c:v>74</c:v>
                </c:pt>
                <c:pt idx="29">
                  <c:v>75</c:v>
                </c:pt>
                <c:pt idx="30">
                  <c:v>26</c:v>
                </c:pt>
                <c:pt idx="31">
                  <c:v>82</c:v>
                </c:pt>
                <c:pt idx="32">
                  <c:v>79</c:v>
                </c:pt>
                <c:pt idx="33">
                  <c:v>76</c:v>
                </c:pt>
                <c:pt idx="34">
                  <c:v>36</c:v>
                </c:pt>
                <c:pt idx="35">
                  <c:v>85</c:v>
                </c:pt>
                <c:pt idx="36">
                  <c:v>98</c:v>
                </c:pt>
                <c:pt idx="37">
                  <c:v>101</c:v>
                </c:pt>
                <c:pt idx="38">
                  <c:v>86</c:v>
                </c:pt>
                <c:pt idx="39">
                  <c:v>16</c:v>
                </c:pt>
                <c:pt idx="40">
                  <c:v>26</c:v>
                </c:pt>
                <c:pt idx="41">
                  <c:v>29</c:v>
                </c:pt>
                <c:pt idx="42">
                  <c:v>35</c:v>
                </c:pt>
                <c:pt idx="43">
                  <c:v>51</c:v>
                </c:pt>
                <c:pt idx="44">
                  <c:v>75</c:v>
                </c:pt>
                <c:pt idx="45">
                  <c:v>74</c:v>
                </c:pt>
                <c:pt idx="46">
                  <c:v>64</c:v>
                </c:pt>
                <c:pt idx="47">
                  <c:v>51</c:v>
                </c:pt>
                <c:pt idx="48">
                  <c:v>101</c:v>
                </c:pt>
                <c:pt idx="49">
                  <c:v>98</c:v>
                </c:pt>
                <c:pt idx="50">
                  <c:v>85</c:v>
                </c:pt>
                <c:pt idx="51">
                  <c:v>78</c:v>
                </c:pt>
                <c:pt idx="52">
                  <c:v>78</c:v>
                </c:pt>
                <c:pt idx="53">
                  <c:v>29</c:v>
                </c:pt>
                <c:pt idx="54">
                  <c:v>37</c:v>
                </c:pt>
                <c:pt idx="55">
                  <c:v>25</c:v>
                </c:pt>
                <c:pt idx="56">
                  <c:v>55</c:v>
                </c:pt>
                <c:pt idx="57">
                  <c:v>76</c:v>
                </c:pt>
                <c:pt idx="58">
                  <c:v>79</c:v>
                </c:pt>
                <c:pt idx="59">
                  <c:v>82</c:v>
                </c:pt>
                <c:pt idx="60">
                  <c:v>62</c:v>
                </c:pt>
                <c:pt idx="61">
                  <c:v>84</c:v>
                </c:pt>
                <c:pt idx="62">
                  <c:v>88</c:v>
                </c:pt>
                <c:pt idx="63">
                  <c:v>16</c:v>
                </c:pt>
                <c:pt idx="64">
                  <c:v>26</c:v>
                </c:pt>
                <c:pt idx="65">
                  <c:v>21</c:v>
                </c:pt>
                <c:pt idx="66">
                  <c:v>51</c:v>
                </c:pt>
                <c:pt idx="67">
                  <c:v>75</c:v>
                </c:pt>
                <c:pt idx="68">
                  <c:v>74</c:v>
                </c:pt>
                <c:pt idx="69">
                  <c:v>73</c:v>
                </c:pt>
                <c:pt idx="70">
                  <c:v>35</c:v>
                </c:pt>
                <c:pt idx="71">
                  <c:v>29</c:v>
                </c:pt>
                <c:pt idx="72">
                  <c:v>55</c:v>
                </c:pt>
                <c:pt idx="73">
                  <c:v>76</c:v>
                </c:pt>
                <c:pt idx="74">
                  <c:v>79</c:v>
                </c:pt>
                <c:pt idx="75">
                  <c:v>26</c:v>
                </c:pt>
                <c:pt idx="76">
                  <c:v>25</c:v>
                </c:pt>
                <c:pt idx="77">
                  <c:v>27</c:v>
                </c:pt>
                <c:pt idx="78">
                  <c:v>52</c:v>
                </c:pt>
                <c:pt idx="79">
                  <c:v>76</c:v>
                </c:pt>
                <c:pt idx="80">
                  <c:v>78</c:v>
                </c:pt>
                <c:pt idx="81">
                  <c:v>85</c:v>
                </c:pt>
                <c:pt idx="82">
                  <c:v>98</c:v>
                </c:pt>
                <c:pt idx="83">
                  <c:v>86</c:v>
                </c:pt>
                <c:pt idx="84">
                  <c:v>82</c:v>
                </c:pt>
                <c:pt idx="85">
                  <c:v>84</c:v>
                </c:pt>
                <c:pt idx="86">
                  <c:v>88</c:v>
                </c:pt>
                <c:pt idx="87">
                  <c:v>16</c:v>
                </c:pt>
                <c:pt idx="88">
                  <c:v>26</c:v>
                </c:pt>
                <c:pt idx="89">
                  <c:v>37</c:v>
                </c:pt>
                <c:pt idx="90">
                  <c:v>101</c:v>
                </c:pt>
                <c:pt idx="91">
                  <c:v>98</c:v>
                </c:pt>
                <c:pt idx="92">
                  <c:v>36</c:v>
                </c:pt>
                <c:pt idx="93">
                  <c:v>76</c:v>
                </c:pt>
                <c:pt idx="94">
                  <c:v>79</c:v>
                </c:pt>
                <c:pt idx="95">
                  <c:v>88</c:v>
                </c:pt>
                <c:pt idx="96">
                  <c:v>82</c:v>
                </c:pt>
                <c:pt idx="97">
                  <c:v>64</c:v>
                </c:pt>
                <c:pt idx="98">
                  <c:v>74</c:v>
                </c:pt>
                <c:pt idx="99">
                  <c:v>75</c:v>
                </c:pt>
                <c:pt idx="100">
                  <c:v>51</c:v>
                </c:pt>
                <c:pt idx="101">
                  <c:v>25</c:v>
                </c:pt>
                <c:pt idx="102">
                  <c:v>85</c:v>
                </c:pt>
                <c:pt idx="103">
                  <c:v>78</c:v>
                </c:pt>
                <c:pt idx="104">
                  <c:v>78</c:v>
                </c:pt>
                <c:pt idx="105">
                  <c:v>76</c:v>
                </c:pt>
                <c:pt idx="106">
                  <c:v>27</c:v>
                </c:pt>
                <c:pt idx="107">
                  <c:v>26</c:v>
                </c:pt>
                <c:pt idx="108">
                  <c:v>29</c:v>
                </c:pt>
                <c:pt idx="109">
                  <c:v>35</c:v>
                </c:pt>
                <c:pt idx="110">
                  <c:v>37</c:v>
                </c:pt>
              </c:numCache>
            </c:numRef>
          </c:xVal>
          <c:yVal>
            <c:numRef>
              <c:f>Dynamic!$K$3:$K$113</c:f>
              <c:numCache>
                <c:formatCode>#,##0.00</c:formatCode>
                <c:ptCount val="111"/>
                <c:pt idx="0">
                  <c:v>0.73</c:v>
                </c:pt>
                <c:pt idx="1">
                  <c:v>0.81</c:v>
                </c:pt>
                <c:pt idx="2">
                  <c:v>0.69</c:v>
                </c:pt>
                <c:pt idx="3">
                  <c:v>0.54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0.75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0.8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0.46</c:v>
                </c:pt>
                <c:pt idx="19">
                  <c:v>0.92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0.3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0.8</c:v>
                </c:pt>
                <c:pt idx="27">
                  <c:v>1.0900000000000001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0.74</c:v>
                </c:pt>
                <c:pt idx="31">
                  <c:v>0.81</c:v>
                </c:pt>
                <c:pt idx="32">
                  <c:v>0.3</c:v>
                </c:pt>
                <c:pt idx="33">
                  <c:v>0.89</c:v>
                </c:pt>
                <c:pt idx="34">
                  <c:v>0.3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0.74</c:v>
                </c:pt>
                <c:pt idx="40">
                  <c:v>0.95</c:v>
                </c:pt>
                <c:pt idx="41">
                  <c:v>1.1000000000000001</c:v>
                </c:pt>
                <c:pt idx="42">
                  <c:v>1</c:v>
                </c:pt>
                <c:pt idx="43">
                  <c:v>0.84</c:v>
                </c:pt>
                <c:pt idx="44">
                  <c:v>0.79</c:v>
                </c:pt>
                <c:pt idx="45">
                  <c:v>1</c:v>
                </c:pt>
                <c:pt idx="46">
                  <c:v>0.5</c:v>
                </c:pt>
                <c:pt idx="47">
                  <c:v>0.67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0.95</c:v>
                </c:pt>
                <c:pt idx="54">
                  <c:v>0.73</c:v>
                </c:pt>
                <c:pt idx="55">
                  <c:v>1.0900000000000001</c:v>
                </c:pt>
                <c:pt idx="56">
                  <c:v>0.57999999999999996</c:v>
                </c:pt>
                <c:pt idx="57">
                  <c:v>1.1000000000000001</c:v>
                </c:pt>
                <c:pt idx="58">
                  <c:v>0.67</c:v>
                </c:pt>
                <c:pt idx="59">
                  <c:v>1.1000000000000001</c:v>
                </c:pt>
                <c:pt idx="60">
                  <c:v>0.28999999999999998</c:v>
                </c:pt>
                <c:pt idx="61">
                  <c:v>0.56999999999999995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0.5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0.75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0.5</c:v>
                </c:pt>
                <c:pt idx="73">
                  <c:v>1.1000000000000001</c:v>
                </c:pt>
                <c:pt idx="74">
                  <c:v>0.56999999999999995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0.33</c:v>
                </c:pt>
                <c:pt idx="78">
                  <c:v>1.1000000000000001</c:v>
                </c:pt>
                <c:pt idx="79">
                  <c:v>0.67</c:v>
                </c:pt>
                <c:pt idx="80">
                  <c:v>1.1000000000000001</c:v>
                </c:pt>
                <c:pt idx="81">
                  <c:v>1.07</c:v>
                </c:pt>
                <c:pt idx="82">
                  <c:v>1.1000000000000001</c:v>
                </c:pt>
                <c:pt idx="83">
                  <c:v>0.43</c:v>
                </c:pt>
                <c:pt idx="84">
                  <c:v>1.1000000000000001</c:v>
                </c:pt>
                <c:pt idx="85">
                  <c:v>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0.92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0.67</c:v>
                </c:pt>
                <c:pt idx="104">
                  <c:v>1.1000000000000001</c:v>
                </c:pt>
                <c:pt idx="105">
                  <c:v>0.5</c:v>
                </c:pt>
                <c:pt idx="106">
                  <c:v>0.25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36968"/>
        <c:axId val="258537360"/>
      </c:scatterChart>
      <c:valAx>
        <c:axId val="2585369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depot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7360"/>
        <c:crosses val="autoZero"/>
        <c:crossBetween val="midCat"/>
        <c:majorUnit val="20"/>
      </c:valAx>
      <c:valAx>
        <c:axId val="2585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qI</a:t>
                </a:r>
                <a:r>
                  <a:rPr lang="en-US" baseline="0"/>
                  <a:t> / 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6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23</xdr:row>
      <xdr:rowOff>160020</xdr:rowOff>
    </xdr:from>
    <xdr:to>
      <xdr:col>21</xdr:col>
      <xdr:colOff>342900</xdr:colOff>
      <xdr:row>41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7</xdr:row>
      <xdr:rowOff>7620</xdr:rowOff>
    </xdr:from>
    <xdr:to>
      <xdr:col>18</xdr:col>
      <xdr:colOff>259080</xdr:colOff>
      <xdr:row>20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464126</xdr:colOff>
      <xdr:row>1</xdr:row>
      <xdr:rowOff>62343</xdr:rowOff>
    </xdr:from>
    <xdr:to>
      <xdr:col>19</xdr:col>
      <xdr:colOff>491836</xdr:colOff>
      <xdr:row>18</xdr:row>
      <xdr:rowOff>159328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103909</xdr:colOff>
      <xdr:row>20</xdr:row>
      <xdr:rowOff>34635</xdr:rowOff>
    </xdr:from>
    <xdr:to>
      <xdr:col>22</xdr:col>
      <xdr:colOff>387928</xdr:colOff>
      <xdr:row>37</xdr:row>
      <xdr:rowOff>173183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</xdr:colOff>
      <xdr:row>6</xdr:row>
      <xdr:rowOff>152400</xdr:rowOff>
    </xdr:from>
    <xdr:to>
      <xdr:col>33</xdr:col>
      <xdr:colOff>144780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61</xdr:row>
      <xdr:rowOff>7620</xdr:rowOff>
    </xdr:from>
    <xdr:to>
      <xdr:col>25</xdr:col>
      <xdr:colOff>419100</xdr:colOff>
      <xdr:row>76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74</xdr:row>
      <xdr:rowOff>68580</xdr:rowOff>
    </xdr:from>
    <xdr:to>
      <xdr:col>28</xdr:col>
      <xdr:colOff>563880</xdr:colOff>
      <xdr:row>89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33866</xdr:colOff>
      <xdr:row>2</xdr:row>
      <xdr:rowOff>168488</xdr:rowOff>
    </xdr:from>
    <xdr:to>
      <xdr:col>25</xdr:col>
      <xdr:colOff>160867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431800</xdr:colOff>
      <xdr:row>22</xdr:row>
      <xdr:rowOff>33865</xdr:rowOff>
    </xdr:from>
    <xdr:to>
      <xdr:col>25</xdr:col>
      <xdr:colOff>67734</xdr:colOff>
      <xdr:row>39</xdr:row>
      <xdr:rowOff>59267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mpus.eur.nl\users\home\59161jpa\Desktop\SVRP\Paper\Experi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mpus.eur.nl\users\home\59161jpa\Desktop\SVRP\Paper\Experiments_AL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mpus.eur.nl\users\home\59161jpa\Desktop\SVRP\Paper\Tables_Curr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mpus.eur.nl\users\home\59161jpa\Desktop\SVRP\Paper\Ahold%20Data\Locations_Pau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mpus.eur.nl\users\home\59161jpa\Desktop\SVRP\Paper\bub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Sheet1"/>
      <sheetName val="BigInstances"/>
      <sheetName val="ExSolutions"/>
      <sheetName val="BInstances"/>
      <sheetName val="DisKnapLocal-BM"/>
      <sheetName val="DemKnapLocal-BM"/>
      <sheetName val="NumKnapLocal-BM"/>
      <sheetName val="Sheet2"/>
      <sheetName val="DCP-HSR"/>
      <sheetName val="DCO-HSA"/>
      <sheetName val="DCO-HSM"/>
      <sheetName val="DCT-HSR"/>
      <sheetName val="Sheet4"/>
      <sheetName val="DCT-HSM"/>
      <sheetName val="DCZ-HSA"/>
      <sheetName val="DCZ-HSM"/>
      <sheetName val="Sheet3"/>
    </sheetNames>
    <sheetDataSet>
      <sheetData sheetId="0">
        <row r="12">
          <cell r="G12">
            <v>64.001953095198502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KnapLocal-BM"/>
      <sheetName val="DemKnapLocal-BM"/>
      <sheetName val="NumKnapLocal-BM"/>
      <sheetName val="Benchmarking-32"/>
      <sheetName val="Benchmarking-32 (2)"/>
    </sheetNames>
    <sheetDataSet>
      <sheetData sheetId="0"/>
      <sheetData sheetId="1"/>
      <sheetData sheetId="2"/>
      <sheetData sheetId="3">
        <row r="4">
          <cell r="D4">
            <v>1.9112220198540204E-2</v>
          </cell>
          <cell r="E4">
            <v>6.317214320363676E-2</v>
          </cell>
          <cell r="F4">
            <v>5.0632201694712164E-2</v>
          </cell>
          <cell r="G4">
            <v>8.1558137742491262E-3</v>
          </cell>
          <cell r="H4">
            <v>4.975040354025277E-3</v>
          </cell>
          <cell r="I4">
            <v>5.2391248318819543E-3</v>
          </cell>
          <cell r="J4">
            <v>4.5026829397259521E-2</v>
          </cell>
          <cell r="K4">
            <v>0.10343223199921961</v>
          </cell>
          <cell r="L4">
            <v>9.3582554855590055E-2</v>
          </cell>
          <cell r="M4">
            <v>1.7457692841455149E-2</v>
          </cell>
          <cell r="N4">
            <v>1.318672204560112E-2</v>
          </cell>
          <cell r="O4">
            <v>1.4349467573711994E-2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3</v>
          </cell>
          <cell r="U4">
            <v>1</v>
          </cell>
        </row>
        <row r="5">
          <cell r="D5">
            <v>1.4892259726921032E-2</v>
          </cell>
          <cell r="E5">
            <v>1.6491645352649107E-2</v>
          </cell>
          <cell r="F5">
            <v>1.8684726524581273E-2</v>
          </cell>
          <cell r="G5">
            <v>6.3674134259212765E-4</v>
          </cell>
          <cell r="H5">
            <v>6.8827330552606841E-4</v>
          </cell>
          <cell r="I5">
            <v>2.9052511532918708E-7</v>
          </cell>
          <cell r="J5">
            <v>3.78076710133868E-2</v>
          </cell>
          <cell r="K5">
            <v>2.9788797697634855E-2</v>
          </cell>
          <cell r="L5">
            <v>3.2196046839559914E-2</v>
          </cell>
          <cell r="M5">
            <v>3.1822556695158513E-3</v>
          </cell>
          <cell r="N5">
            <v>3.1823393525225695E-3</v>
          </cell>
          <cell r="O5">
            <v>1.2819200383654837E-6</v>
          </cell>
          <cell r="P5">
            <v>0</v>
          </cell>
          <cell r="Q5">
            <v>0</v>
          </cell>
          <cell r="R5">
            <v>0</v>
          </cell>
          <cell r="S5">
            <v>4</v>
          </cell>
          <cell r="T5">
            <v>3</v>
          </cell>
          <cell r="U5">
            <v>5</v>
          </cell>
        </row>
        <row r="6">
          <cell r="D6">
            <v>1.049907596790663E-2</v>
          </cell>
          <cell r="E6">
            <v>2.1021097633629842E-2</v>
          </cell>
          <cell r="F6">
            <v>2.1786802281534751E-2</v>
          </cell>
          <cell r="G6">
            <v>1.276918078572116E-8</v>
          </cell>
          <cell r="H6">
            <v>1.5469220065657746E-4</v>
          </cell>
          <cell r="I6">
            <v>-6.0179323379161613E-8</v>
          </cell>
          <cell r="J6">
            <v>4.2929279466120143E-2</v>
          </cell>
          <cell r="K6">
            <v>4.6793081812657601E-2</v>
          </cell>
          <cell r="L6">
            <v>4.0968290153857508E-2</v>
          </cell>
          <cell r="M6">
            <v>7.2442386112719973E-8</v>
          </cell>
          <cell r="N6">
            <v>7.7338855970506806E-4</v>
          </cell>
          <cell r="O6">
            <v>7.2443577819115427E-8</v>
          </cell>
          <cell r="P6">
            <v>1</v>
          </cell>
          <cell r="Q6">
            <v>0</v>
          </cell>
          <cell r="R6">
            <v>0</v>
          </cell>
          <cell r="S6">
            <v>5</v>
          </cell>
          <cell r="T6">
            <v>4</v>
          </cell>
          <cell r="U6">
            <v>5</v>
          </cell>
        </row>
        <row r="7">
          <cell r="D7">
            <v>1.4908441538741067E-2</v>
          </cell>
          <cell r="E7">
            <v>3.4985825096497655E-2</v>
          </cell>
          <cell r="F7">
            <v>4.3216380973557456E-2</v>
          </cell>
          <cell r="G7">
            <v>0</v>
          </cell>
          <cell r="H7">
            <v>8.161684079542609E-4</v>
          </cell>
          <cell r="I7">
            <v>3.0532807235952056E-4</v>
          </cell>
          <cell r="J7">
            <v>2.5864417601821774E-2</v>
          </cell>
          <cell r="K7">
            <v>7.0644016126444428E-2</v>
          </cell>
          <cell r="L7">
            <v>7.0644016126444428E-2</v>
          </cell>
          <cell r="M7">
            <v>0</v>
          </cell>
          <cell r="N7">
            <v>3.2646736318170436E-3</v>
          </cell>
          <cell r="O7">
            <v>1.2213122894380822E-3</v>
          </cell>
          <cell r="P7">
            <v>0</v>
          </cell>
          <cell r="Q7">
            <v>0</v>
          </cell>
          <cell r="R7">
            <v>0</v>
          </cell>
          <cell r="S7">
            <v>4</v>
          </cell>
          <cell r="T7">
            <v>3</v>
          </cell>
          <cell r="U7">
            <v>3</v>
          </cell>
        </row>
        <row r="8">
          <cell r="D8">
            <v>1.8625469297960461E-2</v>
          </cell>
          <cell r="E8">
            <v>1.542683149070082E-2</v>
          </cell>
          <cell r="F8">
            <v>2.2594208318994894E-2</v>
          </cell>
          <cell r="G8">
            <v>4.47165008683073E-4</v>
          </cell>
          <cell r="H8">
            <v>2.3732878466347125E-12</v>
          </cell>
          <cell r="I8">
            <v>4.4716733517123863E-4</v>
          </cell>
          <cell r="J8">
            <v>5.2078429089654273E-2</v>
          </cell>
          <cell r="K8">
            <v>3.6456811507650573E-2</v>
          </cell>
          <cell r="L8">
            <v>4.6862945483160959E-2</v>
          </cell>
          <cell r="M8">
            <v>2.2358366758576521E-3</v>
          </cell>
          <cell r="N8">
            <v>1.1866439233173563E-11</v>
          </cell>
          <cell r="O8">
            <v>2.2358366758576521E-3</v>
          </cell>
          <cell r="P8">
            <v>0</v>
          </cell>
          <cell r="Q8">
            <v>0</v>
          </cell>
          <cell r="R8">
            <v>1</v>
          </cell>
          <cell r="S8">
            <v>4</v>
          </cell>
          <cell r="T8">
            <v>5</v>
          </cell>
          <cell r="U8">
            <v>4</v>
          </cell>
        </row>
        <row r="9">
          <cell r="D9">
            <v>2.2804803864349184E-2</v>
          </cell>
          <cell r="E9">
            <v>6.0177934118646768E-2</v>
          </cell>
          <cell r="F9">
            <v>3.7300643562369673E-2</v>
          </cell>
          <cell r="G9">
            <v>1.9956640889770576E-8</v>
          </cell>
          <cell r="H9">
            <v>3.9594290408184272E-3</v>
          </cell>
          <cell r="I9">
            <v>4.8313515659208298E-4</v>
          </cell>
          <cell r="J9">
            <v>5.8232472590377379E-2</v>
          </cell>
          <cell r="K9">
            <v>0.11147109072240272</v>
          </cell>
          <cell r="L9">
            <v>8.969928732639533E-2</v>
          </cell>
          <cell r="M9">
            <v>8.9181182703274735E-8</v>
          </cell>
          <cell r="N9">
            <v>1.5837716163273709E-2</v>
          </cell>
          <cell r="O9">
            <v>1.9324514451856286E-3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3</v>
          </cell>
          <cell r="U9">
            <v>3</v>
          </cell>
        </row>
        <row r="10">
          <cell r="D10">
            <v>1.5395922872150223E-2</v>
          </cell>
          <cell r="E10">
            <v>3.7867610433325573E-2</v>
          </cell>
          <cell r="F10">
            <v>3.9314690058539839E-2</v>
          </cell>
          <cell r="G10">
            <v>1.9650815147305638E-3</v>
          </cell>
          <cell r="H10">
            <v>9.9343990178336157E-4</v>
          </cell>
          <cell r="I10">
            <v>7.9762160549021966E-5</v>
          </cell>
          <cell r="J10">
            <v>2.5864417601821774E-2</v>
          </cell>
          <cell r="K10">
            <v>6.0138898971828031E-2</v>
          </cell>
          <cell r="L10">
            <v>9.0969813776193245E-2</v>
          </cell>
          <cell r="M10">
            <v>9.8254075736528192E-3</v>
          </cell>
          <cell r="N10">
            <v>4.9671995089168074E-3</v>
          </cell>
          <cell r="O10">
            <v>3.9881080274510984E-4</v>
          </cell>
          <cell r="P10">
            <v>1</v>
          </cell>
          <cell r="Q10">
            <v>0</v>
          </cell>
          <cell r="R10">
            <v>0</v>
          </cell>
          <cell r="S10">
            <v>4</v>
          </cell>
          <cell r="T10">
            <v>4</v>
          </cell>
          <cell r="U10">
            <v>4</v>
          </cell>
        </row>
        <row r="11">
          <cell r="D11">
            <v>1.0559280199225531E-2</v>
          </cell>
          <cell r="E11">
            <v>1.9969298828773692E-2</v>
          </cell>
          <cell r="F11">
            <v>1.5092687236851837E-2</v>
          </cell>
          <cell r="G11">
            <v>5.9240418896854571E-4</v>
          </cell>
          <cell r="H11">
            <v>1.3291944280609523E-3</v>
          </cell>
          <cell r="I11">
            <v>1.3842283198446542E-3</v>
          </cell>
          <cell r="J11">
            <v>1.9954441064832296E-2</v>
          </cell>
          <cell r="K11">
            <v>3.9878027057330269E-2</v>
          </cell>
          <cell r="L11">
            <v>5.5308646705222321E-2</v>
          </cell>
          <cell r="M11">
            <v>2.9619787857275153E-3</v>
          </cell>
          <cell r="N11">
            <v>6.6459286726522956E-3</v>
          </cell>
          <cell r="O11">
            <v>6.9210981315708043E-3</v>
          </cell>
          <cell r="P11">
            <v>0</v>
          </cell>
          <cell r="Q11">
            <v>0</v>
          </cell>
          <cell r="R11">
            <v>2</v>
          </cell>
          <cell r="S11">
            <v>4</v>
          </cell>
          <cell r="T11">
            <v>4</v>
          </cell>
          <cell r="U11">
            <v>4</v>
          </cell>
        </row>
        <row r="12">
          <cell r="D12">
            <v>3.3425132226750601E-2</v>
          </cell>
          <cell r="E12">
            <v>4.9722646844978721E-2</v>
          </cell>
          <cell r="F12">
            <v>6.2108998858243891E-2</v>
          </cell>
          <cell r="G12">
            <v>-1.6062450130286749E-11</v>
          </cell>
          <cell r="H12">
            <v>2.9152351357065765E-4</v>
          </cell>
          <cell r="I12">
            <v>2.6589320645480737E-5</v>
          </cell>
          <cell r="J12">
            <v>7.6581941896395195E-2</v>
          </cell>
          <cell r="K12">
            <v>7.3816069973106177E-2</v>
          </cell>
          <cell r="L12">
            <v>0.12134949621860901</v>
          </cell>
          <cell r="M12">
            <v>0</v>
          </cell>
          <cell r="N12">
            <v>1.4576175678518565E-3</v>
          </cell>
          <cell r="O12">
            <v>1.3294660322597186E-4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>
            <v>4</v>
          </cell>
          <cell r="U12">
            <v>4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ing-32"/>
      <sheetName val="Benchmarking-32 (2)"/>
      <sheetName val="Savings 32"/>
      <sheetName val="Graphs-Dis"/>
      <sheetName val="Savings-BigInstances"/>
      <sheetName val="StopReduction"/>
      <sheetName val="SavingsTable"/>
      <sheetName val="ArtInsG"/>
      <sheetName val="ArtificialIns"/>
      <sheetName val="AHCase"/>
      <sheetName val="Sheet1"/>
      <sheetName val="Sheet4"/>
      <sheetName val="Sheet2"/>
      <sheetName val="AHIns"/>
    </sheetNames>
    <sheetDataSet>
      <sheetData sheetId="0"/>
      <sheetData sheetId="1"/>
      <sheetData sheetId="2"/>
      <sheetData sheetId="3"/>
      <sheetData sheetId="4">
        <row r="6">
          <cell r="A6">
            <v>11.2</v>
          </cell>
          <cell r="O6">
            <v>14.4</v>
          </cell>
          <cell r="AC6">
            <v>18.399999999999999</v>
          </cell>
          <cell r="AP6">
            <v>21.8</v>
          </cell>
          <cell r="BC6">
            <v>26.2</v>
          </cell>
          <cell r="BP6">
            <v>32.200000000000003</v>
          </cell>
          <cell r="CC6">
            <v>43</v>
          </cell>
        </row>
        <row r="9">
          <cell r="D9">
            <v>35</v>
          </cell>
          <cell r="E9">
            <v>6</v>
          </cell>
          <cell r="F9">
            <v>887.94698411217701</v>
          </cell>
          <cell r="H9">
            <v>12</v>
          </cell>
          <cell r="J9">
            <v>1</v>
          </cell>
          <cell r="L9">
            <v>225.69190200839998</v>
          </cell>
          <cell r="R9">
            <v>45.2</v>
          </cell>
          <cell r="S9">
            <v>7.4</v>
          </cell>
          <cell r="T9">
            <v>1152.0617616685138</v>
          </cell>
          <cell r="V9">
            <v>17.8</v>
          </cell>
          <cell r="X9">
            <v>1.6</v>
          </cell>
          <cell r="Z9">
            <v>1019.8480501586</v>
          </cell>
          <cell r="AF9">
            <v>56</v>
          </cell>
          <cell r="AG9">
            <v>8.6</v>
          </cell>
          <cell r="AH9">
            <v>1488.4567237796086</v>
          </cell>
          <cell r="AJ9">
            <v>23</v>
          </cell>
          <cell r="AL9">
            <v>1.4</v>
          </cell>
          <cell r="AN9">
            <v>1680.7072213803999</v>
          </cell>
          <cell r="AS9">
            <v>70.599999999999994</v>
          </cell>
          <cell r="AT9">
            <v>6.8</v>
          </cell>
          <cell r="AU9">
            <v>651.8497284893441</v>
          </cell>
          <cell r="AV9">
            <v>706.94854880339437</v>
          </cell>
          <cell r="AW9">
            <v>29.4</v>
          </cell>
          <cell r="AY9">
            <v>1.2</v>
          </cell>
          <cell r="AZ9">
            <v>0.14427512430896167</v>
          </cell>
          <cell r="BA9">
            <v>3012.7765432843998</v>
          </cell>
          <cell r="BF9">
            <v>95.2</v>
          </cell>
          <cell r="BG9">
            <v>6</v>
          </cell>
          <cell r="BH9">
            <v>919.57758628442093</v>
          </cell>
          <cell r="BI9">
            <v>977.06671569164007</v>
          </cell>
          <cell r="BJ9">
            <v>24.8</v>
          </cell>
          <cell r="BL9">
            <v>1</v>
          </cell>
          <cell r="BM9">
            <v>6.2414989116657257E-2</v>
          </cell>
          <cell r="BN9">
            <v>6595.8803510859989</v>
          </cell>
          <cell r="BS9">
            <v>108.4</v>
          </cell>
          <cell r="BT9">
            <v>10</v>
          </cell>
          <cell r="BU9">
            <v>839.4371153633731</v>
          </cell>
          <cell r="BV9">
            <v>931.26848255345681</v>
          </cell>
          <cell r="BW9">
            <v>41.6</v>
          </cell>
          <cell r="BY9">
            <v>2</v>
          </cell>
          <cell r="BZ9">
            <v>9.4466771792208706E-2</v>
          </cell>
          <cell r="CA9">
            <v>12448.4828471166</v>
          </cell>
          <cell r="CF9">
            <v>151.80000000000001</v>
          </cell>
          <cell r="CG9">
            <v>15</v>
          </cell>
          <cell r="CH9">
            <v>1098.9446463424583</v>
          </cell>
          <cell r="CI9">
            <v>1190.776013532542</v>
          </cell>
          <cell r="CJ9">
            <v>47.2</v>
          </cell>
          <cell r="CL9">
            <v>2</v>
          </cell>
          <cell r="CM9">
            <v>7.7839978988033603E-2</v>
          </cell>
          <cell r="CN9">
            <v>10243.723854158001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"/>
      <sheetName val="Tijdelijk RCT data"/>
      <sheetName val="DC-ReturnCenter"/>
    </sheetNames>
    <sheetDataSet>
      <sheetData sheetId="0">
        <row r="2">
          <cell r="A2">
            <v>1001</v>
          </cell>
          <cell r="B2"/>
          <cell r="C2"/>
          <cell r="D2" t="str">
            <v>AH</v>
          </cell>
          <cell r="E2" t="str">
            <v>NL1012ZL025X</v>
          </cell>
          <cell r="F2">
            <v>543787</v>
          </cell>
          <cell r="G2">
            <v>6860082</v>
          </cell>
        </row>
        <row r="3">
          <cell r="A3">
            <v>1002</v>
          </cell>
          <cell r="B3"/>
          <cell r="C3"/>
          <cell r="D3" t="str">
            <v>AH</v>
          </cell>
          <cell r="E3" t="str">
            <v>NL9301LA013X</v>
          </cell>
          <cell r="F3">
            <v>715656</v>
          </cell>
          <cell r="G3">
            <v>7000694</v>
          </cell>
          <cell r="H3" t="str">
            <v>O</v>
          </cell>
          <cell r="I3" t="str">
            <v>Julianaplein 13</v>
          </cell>
          <cell r="J3" t="str">
            <v>9301LA</v>
          </cell>
        </row>
        <row r="4">
          <cell r="A4">
            <v>1003</v>
          </cell>
          <cell r="B4"/>
          <cell r="C4"/>
          <cell r="D4" t="str">
            <v>AH</v>
          </cell>
          <cell r="E4" t="str">
            <v>NL2651CA005X</v>
          </cell>
          <cell r="F4">
            <v>497510</v>
          </cell>
          <cell r="G4">
            <v>6791367</v>
          </cell>
          <cell r="H4" t="str">
            <v>P</v>
          </cell>
          <cell r="I4" t="str">
            <v>Westerwater 2</v>
          </cell>
          <cell r="J4" t="str">
            <v>2651JN</v>
          </cell>
        </row>
        <row r="5">
          <cell r="A5">
            <v>1004</v>
          </cell>
          <cell r="B5"/>
          <cell r="C5"/>
          <cell r="D5" t="str">
            <v>AH</v>
          </cell>
          <cell r="E5" t="str">
            <v>NL5042MC017X</v>
          </cell>
          <cell r="F5">
            <v>562065</v>
          </cell>
          <cell r="G5">
            <v>6715231</v>
          </cell>
          <cell r="H5" t="str">
            <v>T</v>
          </cell>
          <cell r="I5" t="str">
            <v>Westermarkt 17</v>
          </cell>
          <cell r="J5" t="str">
            <v>5042MC</v>
          </cell>
        </row>
        <row r="6">
          <cell r="A6">
            <v>1005</v>
          </cell>
          <cell r="B6"/>
          <cell r="C6"/>
          <cell r="D6" t="str">
            <v>AH</v>
          </cell>
          <cell r="E6" t="str">
            <v>NL4834HG020X</v>
          </cell>
          <cell r="F6">
            <v>534356</v>
          </cell>
          <cell r="G6">
            <v>6715503</v>
          </cell>
          <cell r="H6" t="str">
            <v>T</v>
          </cell>
          <cell r="I6" t="str">
            <v>De Burcht 1</v>
          </cell>
          <cell r="J6" t="str">
            <v>4834HE</v>
          </cell>
        </row>
        <row r="7">
          <cell r="A7">
            <v>1006</v>
          </cell>
          <cell r="B7"/>
          <cell r="C7"/>
          <cell r="D7" t="str">
            <v>AH</v>
          </cell>
          <cell r="E7" t="str">
            <v>NL1098ER220X</v>
          </cell>
          <cell r="F7">
            <v>549349</v>
          </cell>
          <cell r="G7">
            <v>6855977</v>
          </cell>
          <cell r="H7" t="str">
            <v>Z</v>
          </cell>
          <cell r="I7" t="str">
            <v>Helmholtzstraat 63</v>
          </cell>
          <cell r="J7" t="str">
            <v>1098LE</v>
          </cell>
        </row>
        <row r="8">
          <cell r="A8">
            <v>1007</v>
          </cell>
          <cell r="B8"/>
          <cell r="C8"/>
          <cell r="D8" t="str">
            <v>AH</v>
          </cell>
          <cell r="E8" t="str">
            <v>NL4826HB093X</v>
          </cell>
          <cell r="F8">
            <v>532532</v>
          </cell>
          <cell r="G8">
            <v>6721780</v>
          </cell>
          <cell r="H8" t="str">
            <v>T</v>
          </cell>
          <cell r="I8" t="str">
            <v>Moerwijk 2</v>
          </cell>
          <cell r="J8" t="str">
            <v>4826HN</v>
          </cell>
        </row>
        <row r="9">
          <cell r="A9">
            <v>1008</v>
          </cell>
          <cell r="B9"/>
          <cell r="C9"/>
          <cell r="D9" t="str">
            <v>AH</v>
          </cell>
          <cell r="E9" t="str">
            <v>NL7523GG020X</v>
          </cell>
          <cell r="F9">
            <v>766633</v>
          </cell>
          <cell r="G9">
            <v>6835784</v>
          </cell>
          <cell r="H9" t="str">
            <v>O</v>
          </cell>
          <cell r="I9" t="str">
            <v>Rijnstraat 20</v>
          </cell>
          <cell r="J9" t="str">
            <v>7523GG</v>
          </cell>
        </row>
        <row r="10">
          <cell r="A10">
            <v>1009</v>
          </cell>
          <cell r="B10"/>
          <cell r="C10"/>
          <cell r="D10" t="str">
            <v>AH</v>
          </cell>
          <cell r="E10" t="str">
            <v>NL1018GD141X</v>
          </cell>
          <cell r="F10">
            <v>546326</v>
          </cell>
          <cell r="G10">
            <v>6858265</v>
          </cell>
          <cell r="H10" t="str">
            <v>Z</v>
          </cell>
          <cell r="I10" t="str">
            <v>Sarphatistraat 141</v>
          </cell>
          <cell r="J10" t="str">
            <v>1018GD</v>
          </cell>
        </row>
        <row r="11">
          <cell r="A11">
            <v>1011</v>
          </cell>
          <cell r="B11"/>
          <cell r="C11"/>
          <cell r="D11" t="str">
            <v>AH</v>
          </cell>
          <cell r="E11" t="str">
            <v>NL1181ZS160X</v>
          </cell>
          <cell r="F11">
            <v>540331</v>
          </cell>
          <cell r="G11">
            <v>6847635</v>
          </cell>
          <cell r="H11" t="str">
            <v>Z</v>
          </cell>
          <cell r="I11" t="str">
            <v>Rembrandthof 49</v>
          </cell>
          <cell r="J11" t="str">
            <v>1181ZL</v>
          </cell>
        </row>
        <row r="12">
          <cell r="A12">
            <v>1014</v>
          </cell>
          <cell r="B12"/>
          <cell r="C12"/>
          <cell r="D12" t="str">
            <v>AH</v>
          </cell>
          <cell r="E12" t="str">
            <v>NL1971BS009X</v>
          </cell>
          <cell r="F12">
            <v>514011</v>
          </cell>
          <cell r="G12">
            <v>6876146</v>
          </cell>
          <cell r="H12" t="str">
            <v>Z</v>
          </cell>
          <cell r="I12" t="str">
            <v>Dudokplein 10</v>
          </cell>
          <cell r="J12" t="str">
            <v>1971EP</v>
          </cell>
        </row>
        <row r="13">
          <cell r="A13">
            <v>1015</v>
          </cell>
          <cell r="B13"/>
          <cell r="C13"/>
          <cell r="D13" t="str">
            <v>AH</v>
          </cell>
          <cell r="E13" t="str">
            <v>NL6542PV004X</v>
          </cell>
          <cell r="F13">
            <v>649397</v>
          </cell>
          <cell r="G13">
            <v>6763877</v>
          </cell>
          <cell r="H13" t="str">
            <v>T</v>
          </cell>
          <cell r="I13" t="str">
            <v>Molenweg 11</v>
          </cell>
          <cell r="J13" t="str">
            <v>6542PP</v>
          </cell>
        </row>
        <row r="14">
          <cell r="A14">
            <v>1016</v>
          </cell>
          <cell r="B14"/>
          <cell r="C14"/>
          <cell r="D14" t="str">
            <v>AH</v>
          </cell>
          <cell r="E14" t="str">
            <v>NL6822GG139X</v>
          </cell>
          <cell r="F14">
            <v>658552</v>
          </cell>
          <cell r="G14">
            <v>6790526</v>
          </cell>
          <cell r="H14" t="str">
            <v>O</v>
          </cell>
          <cell r="I14" t="str">
            <v>Klarendalseweg 139</v>
          </cell>
          <cell r="J14" t="str">
            <v>6822GG</v>
          </cell>
        </row>
        <row r="15">
          <cell r="A15">
            <v>1018</v>
          </cell>
          <cell r="B15"/>
          <cell r="C15"/>
          <cell r="D15" t="str">
            <v>AH XL</v>
          </cell>
          <cell r="E15" t="str">
            <v>NL6042EJ014X</v>
          </cell>
          <cell r="F15">
            <v>669125</v>
          </cell>
          <cell r="G15">
            <v>6651378</v>
          </cell>
          <cell r="H15" t="str">
            <v>T</v>
          </cell>
          <cell r="I15" t="str">
            <v>Schaarbroekerweg 14</v>
          </cell>
          <cell r="J15" t="str">
            <v>6042EJ</v>
          </cell>
        </row>
        <row r="16">
          <cell r="A16">
            <v>1019</v>
          </cell>
          <cell r="B16"/>
          <cell r="C16"/>
          <cell r="D16" t="str">
            <v>AH</v>
          </cell>
          <cell r="E16" t="str">
            <v>NL6161BP002X</v>
          </cell>
          <cell r="F16">
            <v>647924</v>
          </cell>
          <cell r="G16">
            <v>6608167</v>
          </cell>
          <cell r="H16" t="str">
            <v>T</v>
          </cell>
          <cell r="I16" t="str">
            <v>Rijksweg Zuid 2</v>
          </cell>
          <cell r="J16" t="str">
            <v>6161BP</v>
          </cell>
        </row>
        <row r="17">
          <cell r="A17">
            <v>1020</v>
          </cell>
          <cell r="B17"/>
          <cell r="C17"/>
          <cell r="D17" t="str">
            <v>AH</v>
          </cell>
          <cell r="E17" t="str">
            <v>NL3086LL115X</v>
          </cell>
          <cell r="F17">
            <v>496747</v>
          </cell>
          <cell r="G17">
            <v>6769825</v>
          </cell>
          <cell r="H17" t="str">
            <v>P</v>
          </cell>
          <cell r="I17" t="str">
            <v>Krabbendijkestraat 10</v>
          </cell>
          <cell r="J17" t="str">
            <v>3086LW</v>
          </cell>
        </row>
        <row r="18">
          <cell r="A18">
            <v>1021</v>
          </cell>
          <cell r="B18"/>
          <cell r="C18"/>
          <cell r="D18" t="str">
            <v>AH</v>
          </cell>
          <cell r="E18" t="str">
            <v>NL6521GR200X</v>
          </cell>
          <cell r="F18">
            <v>653198</v>
          </cell>
          <cell r="G18">
            <v>6763324</v>
          </cell>
          <cell r="H18" t="str">
            <v>T</v>
          </cell>
          <cell r="I18" t="str">
            <v>Daalseweg 200</v>
          </cell>
          <cell r="J18" t="str">
            <v>6521GR</v>
          </cell>
        </row>
        <row r="19">
          <cell r="A19">
            <v>1024</v>
          </cell>
          <cell r="B19"/>
          <cell r="C19"/>
          <cell r="D19" t="str">
            <v>AH</v>
          </cell>
          <cell r="E19" t="str">
            <v>NL6881LH005X</v>
          </cell>
          <cell r="F19">
            <v>663651</v>
          </cell>
          <cell r="G19">
            <v>6791839</v>
          </cell>
          <cell r="H19" t="str">
            <v>O</v>
          </cell>
          <cell r="I19" t="str">
            <v>Hoofdstraat 232</v>
          </cell>
          <cell r="J19" t="str">
            <v>6881TS</v>
          </cell>
        </row>
        <row r="20">
          <cell r="A20">
            <v>1025</v>
          </cell>
          <cell r="B20"/>
          <cell r="C20"/>
          <cell r="D20" t="str">
            <v>AH</v>
          </cell>
          <cell r="E20" t="str">
            <v>NL3741GB040X</v>
          </cell>
          <cell r="F20">
            <v>587819</v>
          </cell>
          <cell r="G20">
            <v>6831214</v>
          </cell>
          <cell r="H20" t="str">
            <v>Z</v>
          </cell>
          <cell r="I20" t="str">
            <v>Eemnesserweg 40</v>
          </cell>
          <cell r="J20" t="str">
            <v>3741GB</v>
          </cell>
        </row>
        <row r="21">
          <cell r="A21">
            <v>1026</v>
          </cell>
          <cell r="B21"/>
          <cell r="C21"/>
          <cell r="D21" t="str">
            <v>AH</v>
          </cell>
          <cell r="E21" t="str">
            <v>NL9751BB027X</v>
          </cell>
          <cell r="F21">
            <v>734741</v>
          </cell>
          <cell r="G21">
            <v>7007230</v>
          </cell>
          <cell r="H21" t="str">
            <v>O</v>
          </cell>
          <cell r="I21" t="str">
            <v>Kerkstraat 27</v>
          </cell>
          <cell r="J21" t="str">
            <v>9751BB</v>
          </cell>
        </row>
        <row r="22">
          <cell r="A22">
            <v>1027</v>
          </cell>
          <cell r="B22"/>
          <cell r="C22"/>
          <cell r="D22" t="str">
            <v>AH XL</v>
          </cell>
          <cell r="E22" t="str">
            <v>NL1068SZ469X</v>
          </cell>
          <cell r="F22">
            <v>533993</v>
          </cell>
          <cell r="G22">
            <v>6857733</v>
          </cell>
          <cell r="H22" t="str">
            <v>Z</v>
          </cell>
          <cell r="I22" t="str">
            <v>Osdorpplein 469</v>
          </cell>
          <cell r="J22" t="str">
            <v>1068SZ</v>
          </cell>
        </row>
        <row r="23">
          <cell r="A23">
            <v>1028</v>
          </cell>
          <cell r="B23"/>
          <cell r="C23"/>
          <cell r="D23" t="str">
            <v>AH</v>
          </cell>
          <cell r="E23" t="str">
            <v>NL2543BA003X</v>
          </cell>
          <cell r="F23">
            <v>473940</v>
          </cell>
          <cell r="G23">
            <v>6800224</v>
          </cell>
          <cell r="H23" t="str">
            <v>P</v>
          </cell>
          <cell r="I23" t="str">
            <v>De Stede 10</v>
          </cell>
          <cell r="J23" t="str">
            <v>2543BG</v>
          </cell>
        </row>
        <row r="24">
          <cell r="A24">
            <v>1029</v>
          </cell>
          <cell r="B24"/>
          <cell r="C24"/>
          <cell r="D24" t="str">
            <v>AH</v>
          </cell>
          <cell r="E24" t="str">
            <v>NL4811WV045X</v>
          </cell>
          <cell r="F24">
            <v>530644</v>
          </cell>
          <cell r="G24">
            <v>6718341</v>
          </cell>
          <cell r="H24" t="str">
            <v>T</v>
          </cell>
          <cell r="I24" t="str">
            <v>Nieuwstraat 45</v>
          </cell>
          <cell r="J24" t="str">
            <v>4811WV</v>
          </cell>
        </row>
        <row r="25">
          <cell r="A25">
            <v>1030</v>
          </cell>
          <cell r="B25"/>
          <cell r="C25"/>
          <cell r="D25" t="str">
            <v>AH</v>
          </cell>
          <cell r="E25" t="str">
            <v>NL8253GG012X</v>
          </cell>
          <cell r="F25">
            <v>633206</v>
          </cell>
          <cell r="G25">
            <v>6890063</v>
          </cell>
          <cell r="H25" t="str">
            <v>O</v>
          </cell>
          <cell r="I25" t="str">
            <v>Beursstraat 12</v>
          </cell>
          <cell r="J25" t="str">
            <v>8253GG</v>
          </cell>
        </row>
        <row r="26">
          <cell r="A26">
            <v>1032</v>
          </cell>
          <cell r="B26"/>
          <cell r="C26"/>
          <cell r="D26" t="str">
            <v>AH</v>
          </cell>
          <cell r="E26" t="str">
            <v>NL6826MJ145X</v>
          </cell>
          <cell r="F26">
            <v>661478</v>
          </cell>
          <cell r="G26">
            <v>6789526</v>
          </cell>
          <cell r="H26" t="str">
            <v>O</v>
          </cell>
          <cell r="I26" t="str">
            <v>Hanzestraat 145</v>
          </cell>
          <cell r="J26" t="str">
            <v>6826MJ</v>
          </cell>
        </row>
        <row r="27">
          <cell r="A27">
            <v>1033</v>
          </cell>
          <cell r="B27"/>
          <cell r="C27"/>
          <cell r="D27" t="str">
            <v>AH</v>
          </cell>
          <cell r="E27" t="str">
            <v>NL1095AZ101X</v>
          </cell>
          <cell r="F27">
            <v>549255</v>
          </cell>
          <cell r="G27">
            <v>6858222</v>
          </cell>
          <cell r="H27" t="str">
            <v>Z</v>
          </cell>
          <cell r="I27" t="str">
            <v>Molukkenstraat 101</v>
          </cell>
          <cell r="J27" t="str">
            <v>1095AZ</v>
          </cell>
        </row>
        <row r="28">
          <cell r="A28">
            <v>1034</v>
          </cell>
          <cell r="B28"/>
          <cell r="C28"/>
          <cell r="D28" t="str">
            <v>AH</v>
          </cell>
          <cell r="E28" t="str">
            <v>NL3311KC042X</v>
          </cell>
          <cell r="F28">
            <v>518903</v>
          </cell>
          <cell r="G28">
            <v>6758687</v>
          </cell>
          <cell r="H28" t="str">
            <v>P</v>
          </cell>
          <cell r="I28" t="str">
            <v>Achterom 42</v>
          </cell>
          <cell r="J28" t="str">
            <v>3311KC</v>
          </cell>
        </row>
        <row r="29">
          <cell r="A29">
            <v>1035</v>
          </cell>
          <cell r="B29"/>
          <cell r="C29"/>
          <cell r="D29" t="str">
            <v>AH</v>
          </cell>
          <cell r="E29" t="str">
            <v>NL1078LG052X</v>
          </cell>
          <cell r="F29">
            <v>543926</v>
          </cell>
          <cell r="G29">
            <v>6854902</v>
          </cell>
          <cell r="H29" t="str">
            <v>Z</v>
          </cell>
          <cell r="I29" t="str">
            <v>Scheldeplein 5</v>
          </cell>
          <cell r="J29" t="str">
            <v>1078GR</v>
          </cell>
        </row>
        <row r="30">
          <cell r="A30">
            <v>1036</v>
          </cell>
          <cell r="B30"/>
          <cell r="C30"/>
          <cell r="D30" t="str">
            <v>AH</v>
          </cell>
          <cell r="E30" t="str">
            <v>NL7331GN169X</v>
          </cell>
          <cell r="F30">
            <v>663525</v>
          </cell>
          <cell r="G30">
            <v>6828871</v>
          </cell>
          <cell r="H30" t="str">
            <v>O</v>
          </cell>
          <cell r="I30" t="str">
            <v>Talingweg 169</v>
          </cell>
          <cell r="J30" t="str">
            <v>7331GN</v>
          </cell>
        </row>
        <row r="31">
          <cell r="A31">
            <v>1037</v>
          </cell>
          <cell r="B31"/>
          <cell r="C31"/>
          <cell r="D31" t="str">
            <v>AH XL</v>
          </cell>
          <cell r="E31" t="str">
            <v>NL2284BK975X</v>
          </cell>
          <cell r="F31">
            <v>479625</v>
          </cell>
          <cell r="G31">
            <v>6799081</v>
          </cell>
          <cell r="H31" t="str">
            <v>P</v>
          </cell>
          <cell r="I31" t="str">
            <v>Bogaardplein 22</v>
          </cell>
          <cell r="J31" t="str">
            <v>2284DM</v>
          </cell>
        </row>
        <row r="32">
          <cell r="A32">
            <v>1039</v>
          </cell>
          <cell r="B32"/>
          <cell r="C32"/>
          <cell r="D32" t="str">
            <v>AH</v>
          </cell>
          <cell r="E32" t="str">
            <v>NL3132CX099X</v>
          </cell>
          <cell r="F32">
            <v>479847</v>
          </cell>
          <cell r="G32">
            <v>6776210</v>
          </cell>
          <cell r="H32" t="str">
            <v>P</v>
          </cell>
          <cell r="I32" t="str">
            <v>Dr. Wiardi Beckmansingel 10</v>
          </cell>
          <cell r="J32" t="str">
            <v>3132CX</v>
          </cell>
        </row>
        <row r="33">
          <cell r="A33">
            <v>1040</v>
          </cell>
          <cell r="B33"/>
          <cell r="C33"/>
          <cell r="D33" t="str">
            <v>AH</v>
          </cell>
          <cell r="E33" t="str">
            <v>NL1012LZ025X</v>
          </cell>
          <cell r="F33">
            <v>544376</v>
          </cell>
          <cell r="G33">
            <v>6861141</v>
          </cell>
          <cell r="H33" t="str">
            <v>Z</v>
          </cell>
          <cell r="I33" t="str">
            <v>Prins Hendrikkade 20</v>
          </cell>
          <cell r="J33" t="str">
            <v>1012TL</v>
          </cell>
        </row>
        <row r="34">
          <cell r="A34">
            <v>1041</v>
          </cell>
          <cell r="B34"/>
          <cell r="C34"/>
          <cell r="D34" t="str">
            <v>AH</v>
          </cell>
          <cell r="E34" t="str">
            <v>NL5615PS100X</v>
          </cell>
          <cell r="F34">
            <v>608263</v>
          </cell>
          <cell r="G34">
            <v>6690636</v>
          </cell>
          <cell r="H34" t="str">
            <v>T</v>
          </cell>
          <cell r="I34" t="str">
            <v>Hoogstraat 100</v>
          </cell>
          <cell r="J34" t="str">
            <v>5615PS</v>
          </cell>
        </row>
        <row r="35">
          <cell r="A35">
            <v>1042</v>
          </cell>
          <cell r="B35"/>
          <cell r="C35"/>
          <cell r="D35" t="str">
            <v>AH</v>
          </cell>
          <cell r="E35" t="str">
            <v>NL2719CK064X</v>
          </cell>
          <cell r="F35">
            <v>497657</v>
          </cell>
          <cell r="G35">
            <v>6800380</v>
          </cell>
          <cell r="H35" t="str">
            <v>P</v>
          </cell>
          <cell r="I35" t="str">
            <v>Samanthagang 64</v>
          </cell>
          <cell r="J35" t="str">
            <v>2719CK</v>
          </cell>
        </row>
        <row r="36">
          <cell r="A36">
            <v>1044</v>
          </cell>
          <cell r="B36"/>
          <cell r="C36"/>
          <cell r="D36" t="str">
            <v>AH</v>
          </cell>
          <cell r="E36" t="str">
            <v>NL9404GA080X</v>
          </cell>
          <cell r="F36">
            <v>731839</v>
          </cell>
          <cell r="G36">
            <v>6973092</v>
          </cell>
          <cell r="H36" t="str">
            <v>O</v>
          </cell>
          <cell r="I36" t="str">
            <v>Bremstraat 9</v>
          </cell>
          <cell r="J36" t="str">
            <v>9404GA</v>
          </cell>
        </row>
        <row r="37">
          <cell r="A37">
            <v>1045</v>
          </cell>
          <cell r="B37"/>
          <cell r="C37"/>
          <cell r="D37" t="str">
            <v>AH</v>
          </cell>
          <cell r="E37" t="str">
            <v>NL4835ED080X</v>
          </cell>
          <cell r="F37">
            <v>532730</v>
          </cell>
          <cell r="G37">
            <v>6715160</v>
          </cell>
          <cell r="H37" t="str">
            <v>T</v>
          </cell>
          <cell r="I37" t="str">
            <v>Valkeniersplein 2</v>
          </cell>
          <cell r="J37" t="str">
            <v>4835RB</v>
          </cell>
        </row>
        <row r="38">
          <cell r="A38">
            <v>1047</v>
          </cell>
          <cell r="B38"/>
          <cell r="C38"/>
          <cell r="D38" t="str">
            <v>AH</v>
          </cell>
          <cell r="E38" t="str">
            <v>NL2042LT009X</v>
          </cell>
          <cell r="F38">
            <v>503867</v>
          </cell>
          <cell r="G38">
            <v>6859892</v>
          </cell>
          <cell r="H38" t="str">
            <v>Z</v>
          </cell>
          <cell r="I38" t="str">
            <v>Grote Krocht 9</v>
          </cell>
          <cell r="J38" t="str">
            <v>2042LT</v>
          </cell>
        </row>
        <row r="39">
          <cell r="A39">
            <v>1048</v>
          </cell>
          <cell r="B39"/>
          <cell r="C39"/>
          <cell r="D39" t="str">
            <v>AH</v>
          </cell>
          <cell r="E39" t="str">
            <v>NL1251RN020X</v>
          </cell>
          <cell r="F39">
            <v>581152</v>
          </cell>
          <cell r="G39">
            <v>6838612</v>
          </cell>
          <cell r="H39" t="str">
            <v>Z</v>
          </cell>
          <cell r="I39" t="str">
            <v>Zevenend 2</v>
          </cell>
          <cell r="J39" t="str">
            <v>1251RN</v>
          </cell>
        </row>
        <row r="40">
          <cell r="A40">
            <v>1049</v>
          </cell>
          <cell r="B40"/>
          <cell r="C40"/>
          <cell r="D40" t="str">
            <v>AH</v>
          </cell>
          <cell r="E40" t="str">
            <v>NL5025JX191X</v>
          </cell>
          <cell r="F40">
            <v>563381</v>
          </cell>
          <cell r="G40">
            <v>6711483</v>
          </cell>
          <cell r="H40" t="str">
            <v>T</v>
          </cell>
          <cell r="I40" t="str">
            <v>Korvelplein 191</v>
          </cell>
          <cell r="J40" t="str">
            <v>5025JX</v>
          </cell>
        </row>
        <row r="41">
          <cell r="A41">
            <v>1050</v>
          </cell>
          <cell r="B41"/>
          <cell r="C41"/>
          <cell r="D41" t="str">
            <v>AH</v>
          </cell>
          <cell r="E41" t="str">
            <v>NL5211XT016X</v>
          </cell>
          <cell r="F41">
            <v>589671</v>
          </cell>
          <cell r="G41">
            <v>6736984</v>
          </cell>
          <cell r="H41" t="str">
            <v>T</v>
          </cell>
          <cell r="I41" t="str">
            <v>Arena 16</v>
          </cell>
          <cell r="J41" t="str">
            <v>5211XT</v>
          </cell>
        </row>
        <row r="42">
          <cell r="A42">
            <v>1051</v>
          </cell>
          <cell r="B42"/>
          <cell r="C42"/>
          <cell r="D42" t="str">
            <v>AH</v>
          </cell>
          <cell r="E42" t="str">
            <v>NL2511DH103X</v>
          </cell>
          <cell r="F42">
            <v>480538</v>
          </cell>
          <cell r="G42">
            <v>6806665</v>
          </cell>
          <cell r="H42" t="str">
            <v>P</v>
          </cell>
          <cell r="I42" t="str">
            <v>Turfmarkt 103</v>
          </cell>
          <cell r="J42" t="str">
            <v>2511DH</v>
          </cell>
        </row>
        <row r="43">
          <cell r="A43">
            <v>1052</v>
          </cell>
          <cell r="B43"/>
          <cell r="C43"/>
          <cell r="D43" t="str">
            <v>AH</v>
          </cell>
          <cell r="E43" t="str">
            <v>NL6461BT029X</v>
          </cell>
          <cell r="F43">
            <v>674873</v>
          </cell>
          <cell r="G43">
            <v>6590873</v>
          </cell>
          <cell r="H43" t="str">
            <v>T</v>
          </cell>
          <cell r="I43" t="str">
            <v>Hertogenlaan 29</v>
          </cell>
          <cell r="J43" t="str">
            <v>6461BT</v>
          </cell>
        </row>
        <row r="44">
          <cell r="A44">
            <v>1053</v>
          </cell>
          <cell r="B44"/>
          <cell r="C44"/>
          <cell r="D44" t="str">
            <v>AH</v>
          </cell>
          <cell r="E44" t="str">
            <v>NL5645GC043X</v>
          </cell>
          <cell r="F44">
            <v>612670</v>
          </cell>
          <cell r="G44">
            <v>6689761</v>
          </cell>
          <cell r="H44" t="str">
            <v>T</v>
          </cell>
          <cell r="I44" t="str">
            <v>Sint Petrus Canisiuslaan 43</v>
          </cell>
          <cell r="J44" t="str">
            <v>5645GC</v>
          </cell>
        </row>
        <row r="45">
          <cell r="A45">
            <v>1054</v>
          </cell>
          <cell r="B45"/>
          <cell r="C45"/>
          <cell r="D45" t="str">
            <v>AH</v>
          </cell>
          <cell r="E45" t="str">
            <v>NL3067AK017X</v>
          </cell>
          <cell r="F45">
            <v>505810</v>
          </cell>
          <cell r="G45">
            <v>6781920</v>
          </cell>
          <cell r="H45" t="str">
            <v>P</v>
          </cell>
          <cell r="I45" t="str">
            <v>Marinus Bolkplein 4</v>
          </cell>
          <cell r="J45" t="str">
            <v>3067AK</v>
          </cell>
        </row>
        <row r="46">
          <cell r="A46">
            <v>1056</v>
          </cell>
          <cell r="B46"/>
          <cell r="C46"/>
          <cell r="D46" t="str">
            <v>AH</v>
          </cell>
          <cell r="E46" t="str">
            <v>NL1271BM017X</v>
          </cell>
          <cell r="F46">
            <v>582010</v>
          </cell>
          <cell r="G46">
            <v>6846320</v>
          </cell>
          <cell r="H46" t="str">
            <v>Z</v>
          </cell>
          <cell r="I46" t="str">
            <v>Lindenlaan 10</v>
          </cell>
          <cell r="J46" t="str">
            <v>1271BA</v>
          </cell>
        </row>
        <row r="47">
          <cell r="A47">
            <v>1058</v>
          </cell>
          <cell r="B47"/>
          <cell r="C47"/>
          <cell r="D47" t="str">
            <v>AH</v>
          </cell>
          <cell r="E47" t="str">
            <v>NL6411AW009X</v>
          </cell>
          <cell r="F47">
            <v>663701</v>
          </cell>
          <cell r="G47">
            <v>6593777</v>
          </cell>
          <cell r="H47" t="str">
            <v>T</v>
          </cell>
          <cell r="I47" t="str">
            <v>Homerusplein 9</v>
          </cell>
          <cell r="J47" t="str">
            <v>6411AW</v>
          </cell>
        </row>
        <row r="48">
          <cell r="A48">
            <v>1059</v>
          </cell>
          <cell r="B48"/>
          <cell r="C48"/>
          <cell r="D48" t="str">
            <v>AH</v>
          </cell>
          <cell r="E48" t="str">
            <v>NL7311BJ010X</v>
          </cell>
          <cell r="F48">
            <v>663084</v>
          </cell>
          <cell r="G48">
            <v>6831508</v>
          </cell>
          <cell r="H48" t="str">
            <v>O</v>
          </cell>
          <cell r="I48" t="str">
            <v>Deventerstraat 10</v>
          </cell>
          <cell r="J48" t="str">
            <v>7311BJ</v>
          </cell>
        </row>
        <row r="49">
          <cell r="A49">
            <v>1060</v>
          </cell>
          <cell r="B49"/>
          <cell r="C49"/>
          <cell r="D49" t="str">
            <v>AH</v>
          </cell>
          <cell r="E49" t="str">
            <v>NL9728WZ012X</v>
          </cell>
          <cell r="F49">
            <v>728839</v>
          </cell>
          <cell r="G49">
            <v>7009946</v>
          </cell>
          <cell r="H49" t="str">
            <v>O</v>
          </cell>
          <cell r="I49" t="str">
            <v>B S F von Suttnerstraat 1</v>
          </cell>
          <cell r="J49" t="str">
            <v>9728WZ</v>
          </cell>
        </row>
        <row r="50">
          <cell r="A50">
            <v>1061</v>
          </cell>
          <cell r="B50"/>
          <cell r="C50"/>
          <cell r="D50" t="str">
            <v>AH</v>
          </cell>
          <cell r="E50" t="str">
            <v>NL1017XK001X</v>
          </cell>
          <cell r="F50">
            <v>544857</v>
          </cell>
          <cell r="G50">
            <v>6858005</v>
          </cell>
          <cell r="H50" t="str">
            <v>Z</v>
          </cell>
          <cell r="I50" t="str">
            <v>Frederiksplein 1</v>
          </cell>
          <cell r="J50" t="str">
            <v>1017XK</v>
          </cell>
        </row>
        <row r="51">
          <cell r="A51">
            <v>1062</v>
          </cell>
          <cell r="B51"/>
          <cell r="C51"/>
          <cell r="D51" t="str">
            <v>AH</v>
          </cell>
          <cell r="E51" t="str">
            <v>NL3701DA002X</v>
          </cell>
          <cell r="F51">
            <v>582637</v>
          </cell>
          <cell r="G51">
            <v>6808200</v>
          </cell>
          <cell r="H51" t="str">
            <v>Z</v>
          </cell>
          <cell r="I51" t="str">
            <v>Emmaplein 2</v>
          </cell>
          <cell r="J51" t="str">
            <v>3701DA</v>
          </cell>
        </row>
        <row r="52">
          <cell r="A52">
            <v>1063</v>
          </cell>
          <cell r="B52"/>
          <cell r="C52"/>
          <cell r="D52" t="str">
            <v>AH</v>
          </cell>
          <cell r="E52" t="str">
            <v>NL3818AA104X</v>
          </cell>
          <cell r="F52">
            <v>598241</v>
          </cell>
          <cell r="G52">
            <v>6818622</v>
          </cell>
          <cell r="H52" t="str">
            <v>Z</v>
          </cell>
          <cell r="I52" t="str">
            <v>Leusderweg 79</v>
          </cell>
          <cell r="J52" t="str">
            <v>3818AA</v>
          </cell>
        </row>
        <row r="53">
          <cell r="A53">
            <v>1066</v>
          </cell>
          <cell r="B53"/>
          <cell r="C53"/>
          <cell r="D53" t="str">
            <v>AH</v>
          </cell>
          <cell r="E53" t="str">
            <v>NL1211GV053X</v>
          </cell>
          <cell r="F53">
            <v>575496</v>
          </cell>
          <cell r="G53">
            <v>6832630</v>
          </cell>
          <cell r="H53" t="str">
            <v>Z</v>
          </cell>
          <cell r="I53" t="str">
            <v>Langestraat 53</v>
          </cell>
          <cell r="J53" t="str">
            <v>1211GV</v>
          </cell>
        </row>
        <row r="54">
          <cell r="A54">
            <v>1067</v>
          </cell>
          <cell r="B54"/>
          <cell r="C54"/>
          <cell r="D54" t="str">
            <v>AH</v>
          </cell>
          <cell r="E54" t="str">
            <v>NL1816JX195X</v>
          </cell>
          <cell r="F54">
            <v>525156</v>
          </cell>
          <cell r="G54">
            <v>6907450</v>
          </cell>
          <cell r="H54" t="str">
            <v>Z</v>
          </cell>
          <cell r="I54" t="str">
            <v>Van Ostadelaan 294</v>
          </cell>
          <cell r="J54" t="str">
            <v>1816JH</v>
          </cell>
        </row>
        <row r="55">
          <cell r="A55">
            <v>1068</v>
          </cell>
          <cell r="B55"/>
          <cell r="C55"/>
          <cell r="D55" t="str">
            <v>AH</v>
          </cell>
          <cell r="E55" t="str">
            <v>NL2741EC043X</v>
          </cell>
          <cell r="F55">
            <v>517185</v>
          </cell>
          <cell r="G55">
            <v>6801437</v>
          </cell>
          <cell r="H55" t="str">
            <v>P</v>
          </cell>
          <cell r="I55" t="str">
            <v>Koningin Wilhelminaplein 43</v>
          </cell>
          <cell r="J55" t="str">
            <v>2741EC</v>
          </cell>
        </row>
        <row r="56">
          <cell r="A56">
            <v>1069</v>
          </cell>
          <cell r="B56"/>
          <cell r="C56"/>
          <cell r="D56" t="str">
            <v>AH</v>
          </cell>
          <cell r="E56" t="str">
            <v>NL2343CH075X</v>
          </cell>
          <cell r="F56">
            <v>497112</v>
          </cell>
          <cell r="G56">
            <v>6826460</v>
          </cell>
          <cell r="H56" t="str">
            <v>P</v>
          </cell>
          <cell r="I56" t="str">
            <v>Irislaan 83</v>
          </cell>
          <cell r="J56" t="str">
            <v>2343CH</v>
          </cell>
        </row>
        <row r="57">
          <cell r="A57">
            <v>1071</v>
          </cell>
          <cell r="B57"/>
          <cell r="C57"/>
          <cell r="D57" t="str">
            <v>AH</v>
          </cell>
          <cell r="E57" t="str">
            <v>NL4901JD011X</v>
          </cell>
          <cell r="F57">
            <v>540542</v>
          </cell>
          <cell r="G57">
            <v>6728344</v>
          </cell>
          <cell r="H57" t="str">
            <v>T</v>
          </cell>
          <cell r="I57" t="str">
            <v>Keiweg 11</v>
          </cell>
          <cell r="J57" t="str">
            <v>4901JD</v>
          </cell>
        </row>
        <row r="58">
          <cell r="A58">
            <v>1072</v>
          </cell>
          <cell r="B58"/>
          <cell r="C58"/>
          <cell r="D58" t="str">
            <v>AH</v>
          </cell>
          <cell r="E58" t="str">
            <v>NL7415DH009X</v>
          </cell>
          <cell r="F58">
            <v>685338</v>
          </cell>
          <cell r="G58">
            <v>6841168</v>
          </cell>
          <cell r="H58" t="str">
            <v>O</v>
          </cell>
          <cell r="I58" t="str">
            <v>Karel de Groteplein 20</v>
          </cell>
          <cell r="J58" t="str">
            <v>7415DH</v>
          </cell>
        </row>
        <row r="59">
          <cell r="A59">
            <v>1073</v>
          </cell>
          <cell r="B59"/>
          <cell r="C59"/>
          <cell r="D59" t="str">
            <v>AH</v>
          </cell>
          <cell r="E59" t="str">
            <v>NL1187LZ162X</v>
          </cell>
          <cell r="F59">
            <v>536729</v>
          </cell>
          <cell r="G59">
            <v>6843699</v>
          </cell>
          <cell r="H59" t="str">
            <v>Z</v>
          </cell>
          <cell r="I59" t="str">
            <v>Westwijkplein 90</v>
          </cell>
          <cell r="J59" t="str">
            <v>1187LV</v>
          </cell>
        </row>
        <row r="60">
          <cell r="A60">
            <v>1074</v>
          </cell>
          <cell r="B60"/>
          <cell r="C60"/>
          <cell r="D60" t="str">
            <v>AH</v>
          </cell>
          <cell r="E60" t="str">
            <v>NL6441CM006X</v>
          </cell>
          <cell r="F60">
            <v>663832</v>
          </cell>
          <cell r="G60">
            <v>6604435</v>
          </cell>
          <cell r="H60" t="str">
            <v>T</v>
          </cell>
          <cell r="I60" t="str">
            <v>Schiffelerstraat 8</v>
          </cell>
          <cell r="J60" t="str">
            <v>6441CN</v>
          </cell>
        </row>
        <row r="61">
          <cell r="A61">
            <v>1075</v>
          </cell>
          <cell r="B61"/>
          <cell r="C61"/>
          <cell r="D61" t="str">
            <v>AH</v>
          </cell>
          <cell r="E61" t="str">
            <v>NL1813BM007X</v>
          </cell>
          <cell r="F61">
            <v>527886</v>
          </cell>
          <cell r="G61">
            <v>6905139</v>
          </cell>
          <cell r="H61" t="str">
            <v>Z</v>
          </cell>
          <cell r="I61" t="str">
            <v>Geert Groteplein 7</v>
          </cell>
          <cell r="J61" t="str">
            <v>1813BM</v>
          </cell>
        </row>
        <row r="62">
          <cell r="A62">
            <v>1076</v>
          </cell>
          <cell r="B62"/>
          <cell r="C62"/>
          <cell r="D62" t="str">
            <v>AH</v>
          </cell>
          <cell r="E62" t="str">
            <v>NL1181DD014X</v>
          </cell>
          <cell r="F62">
            <v>540997</v>
          </cell>
          <cell r="G62">
            <v>6850139</v>
          </cell>
          <cell r="H62" t="str">
            <v>Z</v>
          </cell>
          <cell r="I62" t="str">
            <v>Bourgondischelaan 14</v>
          </cell>
          <cell r="J62" t="str">
            <v>1181DD</v>
          </cell>
        </row>
        <row r="63">
          <cell r="A63">
            <v>1077</v>
          </cell>
          <cell r="B63"/>
          <cell r="C63"/>
          <cell r="D63" t="str">
            <v>AH</v>
          </cell>
          <cell r="E63" t="str">
            <v>NL5644GJ003X</v>
          </cell>
          <cell r="F63">
            <v>610667</v>
          </cell>
          <cell r="G63">
            <v>6688432</v>
          </cell>
          <cell r="H63" t="str">
            <v>T</v>
          </cell>
          <cell r="I63" t="str">
            <v>Roostenlaan 112</v>
          </cell>
          <cell r="J63" t="str">
            <v>5644GJ</v>
          </cell>
        </row>
        <row r="64">
          <cell r="A64">
            <v>1078</v>
          </cell>
          <cell r="B64"/>
          <cell r="C64"/>
          <cell r="D64" t="str">
            <v>AH</v>
          </cell>
          <cell r="E64" t="str">
            <v>NL3581AD055X</v>
          </cell>
          <cell r="F64">
            <v>570571</v>
          </cell>
          <cell r="G64">
            <v>6809103</v>
          </cell>
          <cell r="H64" t="str">
            <v>Z</v>
          </cell>
          <cell r="I64" t="str">
            <v>Nachtegaalstraat 55</v>
          </cell>
          <cell r="J64" t="str">
            <v>3581AD</v>
          </cell>
        </row>
        <row r="65">
          <cell r="A65">
            <v>1079</v>
          </cell>
          <cell r="B65"/>
          <cell r="C65"/>
          <cell r="D65" t="str">
            <v>AH</v>
          </cell>
          <cell r="E65" t="str">
            <v>NL3078AL053X</v>
          </cell>
          <cell r="F65">
            <v>505482</v>
          </cell>
          <cell r="G65">
            <v>6772142</v>
          </cell>
          <cell r="H65" t="str">
            <v>P</v>
          </cell>
          <cell r="I65" t="str">
            <v>Keizerswaard 33</v>
          </cell>
          <cell r="J65" t="str">
            <v>3078AL</v>
          </cell>
        </row>
        <row r="66">
          <cell r="A66">
            <v>1080</v>
          </cell>
          <cell r="B66"/>
          <cell r="C66"/>
          <cell r="D66" t="str">
            <v>AH XL</v>
          </cell>
          <cell r="E66" t="str">
            <v>NL1082KR008X</v>
          </cell>
          <cell r="F66">
            <v>542305</v>
          </cell>
          <cell r="G66">
            <v>6852410</v>
          </cell>
          <cell r="H66" t="str">
            <v>Z</v>
          </cell>
          <cell r="I66" t="str">
            <v>Gelderlandplein 47</v>
          </cell>
          <cell r="J66" t="str">
            <v>1082KZ</v>
          </cell>
        </row>
        <row r="67">
          <cell r="A67">
            <v>1081</v>
          </cell>
          <cell r="B67"/>
          <cell r="C67"/>
          <cell r="D67" t="str">
            <v>AH</v>
          </cell>
          <cell r="E67" t="str">
            <v>NL2645EX001X</v>
          </cell>
          <cell r="F67">
            <v>488323</v>
          </cell>
          <cell r="G67">
            <v>6793576</v>
          </cell>
          <cell r="H67" t="str">
            <v>P</v>
          </cell>
          <cell r="I67" t="str">
            <v>Gouden Rijderplein 1</v>
          </cell>
          <cell r="J67" t="str">
            <v>2645EX</v>
          </cell>
        </row>
        <row r="68">
          <cell r="A68">
            <v>1082</v>
          </cell>
          <cell r="B68"/>
          <cell r="C68"/>
          <cell r="D68" t="str">
            <v>AH</v>
          </cell>
          <cell r="E68" t="str">
            <v>NL5554HN024X</v>
          </cell>
          <cell r="F68">
            <v>607000</v>
          </cell>
          <cell r="G68">
            <v>6676598</v>
          </cell>
          <cell r="H68" t="str">
            <v>T</v>
          </cell>
          <cell r="I68" t="str">
            <v>Corridor 24</v>
          </cell>
          <cell r="J68" t="str">
            <v>5554HN</v>
          </cell>
        </row>
        <row r="69">
          <cell r="A69">
            <v>1083</v>
          </cell>
          <cell r="B69"/>
          <cell r="C69"/>
          <cell r="D69" t="str">
            <v>AH</v>
          </cell>
          <cell r="E69" t="str">
            <v>NL1382CE020X</v>
          </cell>
          <cell r="F69">
            <v>559646</v>
          </cell>
          <cell r="G69">
            <v>6848815</v>
          </cell>
          <cell r="H69" t="str">
            <v>Z</v>
          </cell>
          <cell r="I69" t="str">
            <v>Amstellandlaan 20</v>
          </cell>
          <cell r="J69" t="str">
            <v>1382CE</v>
          </cell>
        </row>
        <row r="70">
          <cell r="A70">
            <v>1085</v>
          </cell>
          <cell r="B70"/>
          <cell r="C70"/>
          <cell r="D70" t="str">
            <v>AH</v>
          </cell>
          <cell r="E70" t="str">
            <v>NL7001DP014X</v>
          </cell>
          <cell r="F70">
            <v>700181</v>
          </cell>
          <cell r="G70">
            <v>6786547</v>
          </cell>
          <cell r="H70" t="str">
            <v>O</v>
          </cell>
          <cell r="I70" t="str">
            <v>Rozengaardseweg 18</v>
          </cell>
          <cell r="J70" t="str">
            <v>7001DP</v>
          </cell>
        </row>
        <row r="71">
          <cell r="A71">
            <v>1086</v>
          </cell>
          <cell r="B71"/>
          <cell r="C71"/>
          <cell r="D71" t="str">
            <v>AH</v>
          </cell>
          <cell r="E71" t="str">
            <v>NL7605AD169X</v>
          </cell>
          <cell r="F71">
            <v>739549</v>
          </cell>
          <cell r="G71">
            <v>6855654</v>
          </cell>
          <cell r="H71" t="str">
            <v>O</v>
          </cell>
          <cell r="I71" t="str">
            <v>Nieuwstraat 169</v>
          </cell>
          <cell r="J71" t="str">
            <v>7605AD</v>
          </cell>
        </row>
        <row r="72">
          <cell r="A72">
            <v>1088</v>
          </cell>
          <cell r="B72"/>
          <cell r="C72"/>
          <cell r="D72" t="str">
            <v>AH</v>
          </cell>
          <cell r="E72" t="str">
            <v>NL1945SE002X</v>
          </cell>
          <cell r="F72">
            <v>518593</v>
          </cell>
          <cell r="G72">
            <v>6882821</v>
          </cell>
          <cell r="H72" t="str">
            <v>Z</v>
          </cell>
          <cell r="I72" t="str">
            <v>Wijkerbaan 2</v>
          </cell>
          <cell r="J72" t="str">
            <v>1945SE</v>
          </cell>
        </row>
        <row r="73">
          <cell r="A73">
            <v>1089</v>
          </cell>
          <cell r="B73"/>
          <cell r="C73"/>
          <cell r="D73" t="str">
            <v>AH</v>
          </cell>
          <cell r="E73" t="str">
            <v>NL2522EH035X</v>
          </cell>
          <cell r="F73">
            <v>481412</v>
          </cell>
          <cell r="G73">
            <v>6803600</v>
          </cell>
          <cell r="H73" t="str">
            <v>P</v>
          </cell>
          <cell r="I73" t="str">
            <v>Lorentzplein 76</v>
          </cell>
          <cell r="J73" t="str">
            <v>2522EH</v>
          </cell>
        </row>
        <row r="74">
          <cell r="A74">
            <v>1090</v>
          </cell>
          <cell r="B74"/>
          <cell r="C74"/>
          <cell r="D74" t="str">
            <v>AH</v>
          </cell>
          <cell r="E74" t="str">
            <v>NL1075XR186X</v>
          </cell>
          <cell r="F74">
            <v>539963</v>
          </cell>
          <cell r="G74">
            <v>6856408</v>
          </cell>
          <cell r="H74" t="str">
            <v>Z</v>
          </cell>
          <cell r="I74" t="str">
            <v>Amstelveenseweg 186</v>
          </cell>
          <cell r="J74" t="str">
            <v>1075XR</v>
          </cell>
        </row>
        <row r="75">
          <cell r="A75">
            <v>1091</v>
          </cell>
          <cell r="B75"/>
          <cell r="C75"/>
          <cell r="D75" t="str">
            <v>AH</v>
          </cell>
          <cell r="E75" t="str">
            <v>NL2241EB004X</v>
          </cell>
          <cell r="F75">
            <v>489719</v>
          </cell>
          <cell r="G75">
            <v>6818588</v>
          </cell>
          <cell r="H75" t="str">
            <v>P</v>
          </cell>
          <cell r="I75" t="str">
            <v>Stadhoudersplein 4</v>
          </cell>
          <cell r="J75" t="str">
            <v>2241EB</v>
          </cell>
        </row>
        <row r="76">
          <cell r="A76">
            <v>1092</v>
          </cell>
          <cell r="B76"/>
          <cell r="C76"/>
          <cell r="D76" t="str">
            <v>AH</v>
          </cell>
          <cell r="E76" t="str">
            <v>NL4007TK001X</v>
          </cell>
          <cell r="F76">
            <v>600570</v>
          </cell>
          <cell r="G76">
            <v>6769096</v>
          </cell>
          <cell r="H76" t="str">
            <v>T</v>
          </cell>
          <cell r="I76" t="str">
            <v>Kamperfoelie 1</v>
          </cell>
          <cell r="J76" t="str">
            <v>4007TK</v>
          </cell>
        </row>
        <row r="77">
          <cell r="A77">
            <v>1093</v>
          </cell>
          <cell r="B77"/>
          <cell r="C77"/>
          <cell r="D77" t="str">
            <v>AH</v>
          </cell>
          <cell r="E77" t="str">
            <v>NL9741EH042X</v>
          </cell>
          <cell r="F77">
            <v>728576</v>
          </cell>
          <cell r="G77">
            <v>7018455</v>
          </cell>
          <cell r="H77" t="str">
            <v>O</v>
          </cell>
          <cell r="I77" t="str">
            <v>Eikenlaan 39</v>
          </cell>
          <cell r="J77" t="str">
            <v>9741EH</v>
          </cell>
        </row>
        <row r="78">
          <cell r="A78">
            <v>1094</v>
          </cell>
          <cell r="B78"/>
          <cell r="C78"/>
          <cell r="D78" t="str">
            <v>AH</v>
          </cell>
          <cell r="E78" t="str">
            <v>NL4001CB002X</v>
          </cell>
          <cell r="F78">
            <v>603639</v>
          </cell>
          <cell r="G78">
            <v>6772382</v>
          </cell>
          <cell r="H78" t="str">
            <v>T</v>
          </cell>
          <cell r="I78" t="str">
            <v>Molenstraatje 2</v>
          </cell>
          <cell r="J78" t="str">
            <v>4001CB</v>
          </cell>
        </row>
        <row r="79">
          <cell r="A79">
            <v>1095</v>
          </cell>
          <cell r="B79" t="str">
            <v>Sluiting</v>
          </cell>
          <cell r="C79">
            <v>42433</v>
          </cell>
          <cell r="D79" t="str">
            <v>AH</v>
          </cell>
          <cell r="E79" t="str">
            <v>NL5044JC033X</v>
          </cell>
          <cell r="F79">
            <v>560321</v>
          </cell>
          <cell r="G79">
            <v>6716331</v>
          </cell>
          <cell r="H79" t="str">
            <v>T</v>
          </cell>
          <cell r="I79" t="str">
            <v>Paletplein 33</v>
          </cell>
          <cell r="J79" t="str">
            <v>5044JC</v>
          </cell>
        </row>
        <row r="80">
          <cell r="A80">
            <v>1095</v>
          </cell>
          <cell r="B80" t="str">
            <v>Nieuw</v>
          </cell>
          <cell r="C80">
            <v>42439</v>
          </cell>
          <cell r="D80" t="str">
            <v>AH</v>
          </cell>
          <cell r="E80" t="str">
            <v>NL5044JC002X</v>
          </cell>
          <cell r="F80">
            <v>560367</v>
          </cell>
          <cell r="G80">
            <v>6716332</v>
          </cell>
          <cell r="H80" t="str">
            <v>T</v>
          </cell>
          <cell r="I80" t="str">
            <v>Umberstraat 2</v>
          </cell>
          <cell r="J80" t="str">
            <v>5044JC</v>
          </cell>
        </row>
        <row r="81">
          <cell r="A81">
            <v>1096</v>
          </cell>
          <cell r="B81"/>
          <cell r="C81"/>
          <cell r="D81" t="str">
            <v>AH</v>
          </cell>
          <cell r="E81" t="str">
            <v>NL7811HT165X</v>
          </cell>
          <cell r="F81">
            <v>766672</v>
          </cell>
          <cell r="G81">
            <v>6934858</v>
          </cell>
          <cell r="H81" t="str">
            <v>O</v>
          </cell>
          <cell r="I81" t="str">
            <v>Baander 165</v>
          </cell>
          <cell r="J81" t="str">
            <v>7811HT</v>
          </cell>
        </row>
        <row r="82">
          <cell r="A82">
            <v>1097</v>
          </cell>
          <cell r="B82"/>
          <cell r="C82"/>
          <cell r="D82" t="str">
            <v>AH</v>
          </cell>
          <cell r="E82" t="str">
            <v>NL5038WN034X</v>
          </cell>
          <cell r="F82">
            <v>566046</v>
          </cell>
          <cell r="G82">
            <v>6712512</v>
          </cell>
          <cell r="H82" t="str">
            <v>T</v>
          </cell>
          <cell r="I82" t="str">
            <v>Piusplein 34</v>
          </cell>
          <cell r="J82" t="str">
            <v>5038WN</v>
          </cell>
        </row>
        <row r="83">
          <cell r="A83">
            <v>1098</v>
          </cell>
          <cell r="B83"/>
          <cell r="C83"/>
          <cell r="D83" t="str">
            <v>AH</v>
          </cell>
          <cell r="E83" t="str">
            <v>NL1403EH088X</v>
          </cell>
          <cell r="F83">
            <v>576447</v>
          </cell>
          <cell r="G83">
            <v>6841156</v>
          </cell>
          <cell r="H83" t="str">
            <v>Z</v>
          </cell>
          <cell r="I83" t="str">
            <v>Koekoeklaan 88</v>
          </cell>
          <cell r="J83" t="str">
            <v>1403EH</v>
          </cell>
        </row>
        <row r="84">
          <cell r="A84">
            <v>1100</v>
          </cell>
          <cell r="B84"/>
          <cell r="C84"/>
          <cell r="D84" t="str">
            <v>AH</v>
          </cell>
          <cell r="E84" t="str">
            <v>NL5224AA001X</v>
          </cell>
          <cell r="F84">
            <v>585567</v>
          </cell>
          <cell r="G84">
            <v>6737858</v>
          </cell>
          <cell r="H84" t="str">
            <v>T</v>
          </cell>
          <cell r="I84" t="str">
            <v>Helftheuvelpassage 1</v>
          </cell>
          <cell r="J84" t="str">
            <v>5224AA</v>
          </cell>
        </row>
        <row r="85">
          <cell r="A85">
            <v>1101</v>
          </cell>
          <cell r="B85"/>
          <cell r="C85"/>
          <cell r="D85" t="str">
            <v>AH</v>
          </cell>
          <cell r="E85" t="str">
            <v>NL6828CT004X</v>
          </cell>
          <cell r="F85">
            <v>657709</v>
          </cell>
          <cell r="G85">
            <v>6789374</v>
          </cell>
          <cell r="H85" t="str">
            <v>O</v>
          </cell>
          <cell r="I85" t="str">
            <v>Velperbuitensingel 4</v>
          </cell>
          <cell r="J85" t="str">
            <v>6828CT</v>
          </cell>
        </row>
        <row r="86">
          <cell r="A86">
            <v>1102</v>
          </cell>
          <cell r="B86"/>
          <cell r="C86"/>
          <cell r="D86" t="str">
            <v>AH</v>
          </cell>
          <cell r="E86" t="str">
            <v>NL4536AJ141X</v>
          </cell>
          <cell r="F86">
            <v>427754</v>
          </cell>
          <cell r="G86">
            <v>6670641</v>
          </cell>
          <cell r="H86" t="str">
            <v>T</v>
          </cell>
          <cell r="I86" t="str">
            <v>Bellamystraat 141</v>
          </cell>
          <cell r="J86" t="str">
            <v>4536AJ</v>
          </cell>
        </row>
        <row r="87">
          <cell r="A87">
            <v>1103</v>
          </cell>
          <cell r="B87"/>
          <cell r="C87"/>
          <cell r="D87" t="str">
            <v>AH</v>
          </cell>
          <cell r="E87" t="str">
            <v>NL6707AA375X</v>
          </cell>
          <cell r="F87">
            <v>630246</v>
          </cell>
          <cell r="G87">
            <v>6787145</v>
          </cell>
          <cell r="H87" t="str">
            <v>O</v>
          </cell>
          <cell r="I87" t="str">
            <v>Stadsbrink 375</v>
          </cell>
          <cell r="J87" t="str">
            <v>6707AA</v>
          </cell>
        </row>
        <row r="88">
          <cell r="A88">
            <v>1105</v>
          </cell>
          <cell r="B88"/>
          <cell r="C88"/>
          <cell r="D88" t="str">
            <v>AH</v>
          </cell>
          <cell r="E88" t="str">
            <v>NL1055EK005X</v>
          </cell>
          <cell r="F88">
            <v>538961</v>
          </cell>
          <cell r="G88">
            <v>6861218</v>
          </cell>
          <cell r="H88" t="str">
            <v>Z</v>
          </cell>
          <cell r="I88" t="str">
            <v>Gulden Winckelplantsoen 5</v>
          </cell>
          <cell r="J88" t="str">
            <v>1055EK</v>
          </cell>
        </row>
        <row r="89">
          <cell r="A89">
            <v>1106</v>
          </cell>
          <cell r="B89"/>
          <cell r="C89"/>
          <cell r="D89" t="str">
            <v>AH XL</v>
          </cell>
          <cell r="E89" t="str">
            <v>NL1111JD200X</v>
          </cell>
          <cell r="F89">
            <v>551775</v>
          </cell>
          <cell r="G89">
            <v>6854575</v>
          </cell>
          <cell r="H89" t="str">
            <v>Z</v>
          </cell>
          <cell r="I89" t="str">
            <v>Diemerplein 200</v>
          </cell>
          <cell r="J89" t="str">
            <v>1111JD</v>
          </cell>
        </row>
        <row r="90">
          <cell r="A90">
            <v>1107</v>
          </cell>
          <cell r="B90"/>
          <cell r="C90"/>
          <cell r="D90" t="str">
            <v>AH</v>
          </cell>
          <cell r="E90" t="str">
            <v>NL2251BD045X</v>
          </cell>
          <cell r="F90">
            <v>494701</v>
          </cell>
          <cell r="G90">
            <v>6815309</v>
          </cell>
          <cell r="H90" t="str">
            <v>P</v>
          </cell>
          <cell r="I90" t="str">
            <v>Schoolstraat 1</v>
          </cell>
          <cell r="J90" t="str">
            <v>2251BD</v>
          </cell>
        </row>
        <row r="91">
          <cell r="A91">
            <v>1108</v>
          </cell>
          <cell r="B91"/>
          <cell r="C91"/>
          <cell r="D91" t="str">
            <v>AH</v>
          </cell>
          <cell r="E91" t="str">
            <v>NL6832AM004X</v>
          </cell>
          <cell r="F91">
            <v>656873</v>
          </cell>
          <cell r="G91">
            <v>6786714</v>
          </cell>
          <cell r="H91" t="str">
            <v>O</v>
          </cell>
          <cell r="I91" t="str">
            <v>Drieslag 4</v>
          </cell>
          <cell r="J91" t="str">
            <v>6832AM</v>
          </cell>
        </row>
        <row r="92">
          <cell r="A92">
            <v>1109</v>
          </cell>
          <cell r="B92"/>
          <cell r="C92"/>
          <cell r="D92" t="str">
            <v>AH</v>
          </cell>
          <cell r="E92" t="str">
            <v>NL2273JG339X</v>
          </cell>
          <cell r="F92">
            <v>484826</v>
          </cell>
          <cell r="G92">
            <v>6806153</v>
          </cell>
          <cell r="H92" t="str">
            <v>P</v>
          </cell>
          <cell r="I92" t="str">
            <v>Koningin Julianalaan 263</v>
          </cell>
          <cell r="J92" t="str">
            <v>2273JG</v>
          </cell>
        </row>
        <row r="93">
          <cell r="A93">
            <v>1110</v>
          </cell>
          <cell r="B93"/>
          <cell r="C93"/>
          <cell r="D93" t="str">
            <v>AH</v>
          </cell>
          <cell r="E93" t="str">
            <v>NL1063MG002X</v>
          </cell>
          <cell r="F93">
            <v>536401</v>
          </cell>
          <cell r="G93">
            <v>6861424</v>
          </cell>
          <cell r="H93" t="str">
            <v>Z</v>
          </cell>
          <cell r="I93" t="str">
            <v>Willem Kraanstraat 2</v>
          </cell>
          <cell r="J93" t="str">
            <v>1063MG</v>
          </cell>
        </row>
        <row r="94">
          <cell r="A94">
            <v>1111</v>
          </cell>
          <cell r="B94"/>
          <cell r="C94"/>
          <cell r="D94" t="str">
            <v>AH</v>
          </cell>
          <cell r="E94" t="str">
            <v>NL3181AT071X</v>
          </cell>
          <cell r="F94">
            <v>472665</v>
          </cell>
          <cell r="G94">
            <v>6775226</v>
          </cell>
          <cell r="H94" t="str">
            <v>P</v>
          </cell>
          <cell r="I94" t="str">
            <v>Molenweg 71</v>
          </cell>
          <cell r="J94" t="str">
            <v>3181AT</v>
          </cell>
        </row>
        <row r="95">
          <cell r="A95">
            <v>1112</v>
          </cell>
          <cell r="B95"/>
          <cell r="C95"/>
          <cell r="D95" t="str">
            <v>AH</v>
          </cell>
          <cell r="E95" t="str">
            <v>NL1017HA244X</v>
          </cell>
          <cell r="F95">
            <v>543997</v>
          </cell>
          <cell r="G95">
            <v>6858320</v>
          </cell>
          <cell r="H95" t="str">
            <v>Z</v>
          </cell>
          <cell r="I95" t="str">
            <v>Vijzelstraat 113</v>
          </cell>
          <cell r="J95" t="str">
            <v>1017HJ</v>
          </cell>
        </row>
        <row r="96">
          <cell r="A96">
            <v>1113</v>
          </cell>
          <cell r="B96"/>
          <cell r="C96"/>
          <cell r="D96" t="str">
            <v>AH</v>
          </cell>
          <cell r="E96" t="str">
            <v>NL2566AC008X</v>
          </cell>
          <cell r="F96">
            <v>472057</v>
          </cell>
          <cell r="G96">
            <v>6804422</v>
          </cell>
          <cell r="H96" t="str">
            <v>P</v>
          </cell>
          <cell r="I96" t="str">
            <v>De Savornin Lohmanplein 20</v>
          </cell>
          <cell r="J96" t="str">
            <v>2566AC</v>
          </cell>
        </row>
        <row r="97">
          <cell r="A97">
            <v>1114</v>
          </cell>
          <cell r="B97"/>
          <cell r="C97"/>
          <cell r="D97" t="str">
            <v>AH</v>
          </cell>
          <cell r="E97" t="str">
            <v>NL3851XV009X</v>
          </cell>
          <cell r="F97">
            <v>626076</v>
          </cell>
          <cell r="G97">
            <v>6847233</v>
          </cell>
          <cell r="H97" t="str">
            <v>O</v>
          </cell>
          <cell r="I97" t="str">
            <v>Branderskamp 7</v>
          </cell>
          <cell r="J97" t="str">
            <v>3851XV</v>
          </cell>
        </row>
        <row r="98">
          <cell r="A98">
            <v>1116</v>
          </cell>
          <cell r="B98"/>
          <cell r="C98"/>
          <cell r="D98" t="str">
            <v>AH</v>
          </cell>
          <cell r="E98" t="str">
            <v>NL8225HN040X</v>
          </cell>
          <cell r="F98">
            <v>610308</v>
          </cell>
          <cell r="G98">
            <v>6883714</v>
          </cell>
          <cell r="H98" t="str">
            <v>Z</v>
          </cell>
          <cell r="I98" t="str">
            <v>Kamp 4222</v>
          </cell>
          <cell r="J98" t="str">
            <v>8225HN</v>
          </cell>
        </row>
        <row r="99">
          <cell r="A99">
            <v>1117</v>
          </cell>
          <cell r="B99"/>
          <cell r="C99"/>
          <cell r="D99" t="str">
            <v>AH</v>
          </cell>
          <cell r="E99" t="str">
            <v>NL1053KK037X</v>
          </cell>
          <cell r="F99">
            <v>541697</v>
          </cell>
          <cell r="G99">
            <v>6859695</v>
          </cell>
          <cell r="H99" t="str">
            <v>Z</v>
          </cell>
          <cell r="I99" t="str">
            <v>Bilderdijkstraat 37</v>
          </cell>
          <cell r="J99" t="str">
            <v>1053KK</v>
          </cell>
        </row>
        <row r="100">
          <cell r="A100">
            <v>1118</v>
          </cell>
          <cell r="B100"/>
          <cell r="C100"/>
          <cell r="D100" t="str">
            <v>AH</v>
          </cell>
          <cell r="E100" t="str">
            <v>NL3765CT020X</v>
          </cell>
          <cell r="F100">
            <v>588466</v>
          </cell>
          <cell r="G100">
            <v>6823675</v>
          </cell>
          <cell r="H100" t="str">
            <v>Z</v>
          </cell>
          <cell r="I100" t="str">
            <v>Smitsweg 20</v>
          </cell>
          <cell r="J100" t="str">
            <v>3765CT</v>
          </cell>
        </row>
        <row r="101">
          <cell r="A101">
            <v>1121</v>
          </cell>
          <cell r="B101"/>
          <cell r="C101"/>
          <cell r="D101" t="str">
            <v>AH</v>
          </cell>
          <cell r="E101" t="str">
            <v>NL9203EA085X</v>
          </cell>
          <cell r="F101">
            <v>678321</v>
          </cell>
          <cell r="G101">
            <v>6994854</v>
          </cell>
          <cell r="H101" t="str">
            <v>O</v>
          </cell>
          <cell r="I101" t="str">
            <v>De Marke 33</v>
          </cell>
          <cell r="J101" t="str">
            <v>9203DV</v>
          </cell>
        </row>
        <row r="102">
          <cell r="A102">
            <v>1122</v>
          </cell>
          <cell r="B102"/>
          <cell r="C102"/>
          <cell r="D102" t="str">
            <v>AH</v>
          </cell>
          <cell r="E102" t="str">
            <v>NL9501DE012X</v>
          </cell>
          <cell r="F102">
            <v>773517</v>
          </cell>
          <cell r="G102">
            <v>6972953</v>
          </cell>
          <cell r="H102" t="str">
            <v>O</v>
          </cell>
          <cell r="I102" t="str">
            <v>Gandhiplein 12</v>
          </cell>
          <cell r="J102" t="str">
            <v>9501DE</v>
          </cell>
        </row>
        <row r="103">
          <cell r="A103">
            <v>1123</v>
          </cell>
          <cell r="B103"/>
          <cell r="C103"/>
          <cell r="D103" t="str">
            <v>AH</v>
          </cell>
          <cell r="E103" t="str">
            <v>NL1961JB085X</v>
          </cell>
          <cell r="F103">
            <v>518961</v>
          </cell>
          <cell r="G103">
            <v>6885230</v>
          </cell>
          <cell r="H103" t="str">
            <v>Z</v>
          </cell>
          <cell r="I103" t="str">
            <v>Kerkweg 85</v>
          </cell>
          <cell r="J103" t="str">
            <v>1961JB</v>
          </cell>
        </row>
        <row r="104">
          <cell r="A104">
            <v>1126</v>
          </cell>
          <cell r="B104"/>
          <cell r="C104"/>
          <cell r="D104" t="str">
            <v>AH</v>
          </cell>
          <cell r="E104" t="str">
            <v>NL7442AA006X</v>
          </cell>
          <cell r="F104">
            <v>719107</v>
          </cell>
          <cell r="G104">
            <v>6858512</v>
          </cell>
          <cell r="H104" t="str">
            <v>O</v>
          </cell>
          <cell r="I104" t="str">
            <v>Spoelerstraat 6</v>
          </cell>
          <cell r="J104" t="str">
            <v>7442AA</v>
          </cell>
        </row>
        <row r="105">
          <cell r="A105">
            <v>1127</v>
          </cell>
          <cell r="B105"/>
          <cell r="C105"/>
          <cell r="D105" t="str">
            <v>AH</v>
          </cell>
          <cell r="E105" t="str">
            <v>NL2678CL076X</v>
          </cell>
          <cell r="F105">
            <v>472680</v>
          </cell>
          <cell r="G105">
            <v>6787990</v>
          </cell>
          <cell r="H105" t="str">
            <v>P</v>
          </cell>
          <cell r="I105" t="str">
            <v>Hoofdstraat 76</v>
          </cell>
          <cell r="J105" t="str">
            <v>2678CL</v>
          </cell>
        </row>
        <row r="106">
          <cell r="A106">
            <v>1128</v>
          </cell>
          <cell r="B106"/>
          <cell r="C106"/>
          <cell r="D106" t="str">
            <v>AH</v>
          </cell>
          <cell r="E106" t="str">
            <v>NL5261EC007X</v>
          </cell>
          <cell r="F106">
            <v>589361</v>
          </cell>
          <cell r="G106">
            <v>6730940</v>
          </cell>
          <cell r="H106" t="str">
            <v>T</v>
          </cell>
          <cell r="I106" t="str">
            <v>Marktveldpassage 6</v>
          </cell>
          <cell r="J106" t="str">
            <v>5261EC</v>
          </cell>
        </row>
        <row r="107">
          <cell r="A107">
            <v>1129</v>
          </cell>
          <cell r="B107"/>
          <cell r="C107"/>
          <cell r="D107" t="str">
            <v>AH</v>
          </cell>
          <cell r="E107" t="str">
            <v>NL3732CM008X</v>
          </cell>
          <cell r="F107">
            <v>576264</v>
          </cell>
          <cell r="G107">
            <v>6812356</v>
          </cell>
          <cell r="H107" t="str">
            <v>Z</v>
          </cell>
          <cell r="I107" t="str">
            <v>Herenweg 8</v>
          </cell>
          <cell r="J107" t="str">
            <v>3732CM</v>
          </cell>
        </row>
        <row r="108">
          <cell r="A108">
            <v>1130</v>
          </cell>
          <cell r="B108"/>
          <cell r="C108"/>
          <cell r="D108" t="str">
            <v>AH</v>
          </cell>
          <cell r="E108" t="str">
            <v>NL4624BC031X</v>
          </cell>
          <cell r="F108">
            <v>479269</v>
          </cell>
          <cell r="G108">
            <v>6700082</v>
          </cell>
          <cell r="H108" t="str">
            <v>P</v>
          </cell>
          <cell r="I108" t="str">
            <v>Zonneplein 31</v>
          </cell>
          <cell r="J108" t="str">
            <v>4624BC</v>
          </cell>
        </row>
        <row r="109">
          <cell r="A109">
            <v>1131</v>
          </cell>
          <cell r="B109"/>
          <cell r="C109"/>
          <cell r="D109" t="str">
            <v>AH</v>
          </cell>
          <cell r="E109" t="str">
            <v>NL1741JA076X</v>
          </cell>
          <cell r="F109">
            <v>533394</v>
          </cell>
          <cell r="G109">
            <v>6936156</v>
          </cell>
          <cell r="H109" t="str">
            <v>Z</v>
          </cell>
          <cell r="I109" t="str">
            <v>Makado Centrum 76</v>
          </cell>
          <cell r="J109" t="str">
            <v>1741JA</v>
          </cell>
        </row>
        <row r="110">
          <cell r="A110">
            <v>1132</v>
          </cell>
          <cell r="B110"/>
          <cell r="C110"/>
          <cell r="D110" t="str">
            <v>AH</v>
          </cell>
          <cell r="E110" t="str">
            <v>NL2011PJ010X</v>
          </cell>
          <cell r="F110">
            <v>515433</v>
          </cell>
          <cell r="G110">
            <v>6862217</v>
          </cell>
          <cell r="H110" t="str">
            <v>Z</v>
          </cell>
          <cell r="I110" t="str">
            <v>Kruisstraat 10</v>
          </cell>
          <cell r="J110" t="str">
            <v>2011PX</v>
          </cell>
        </row>
        <row r="111">
          <cell r="A111">
            <v>1133</v>
          </cell>
          <cell r="B111"/>
          <cell r="C111"/>
          <cell r="D111" t="str">
            <v>AH XL</v>
          </cell>
          <cell r="E111" t="str">
            <v>NL1503MC005X</v>
          </cell>
          <cell r="F111">
            <v>537812</v>
          </cell>
          <cell r="G111">
            <v>6873131</v>
          </cell>
          <cell r="H111" t="str">
            <v>Z</v>
          </cell>
          <cell r="I111" t="str">
            <v>Vrieschgroenstraat 5</v>
          </cell>
          <cell r="J111" t="str">
            <v>1503MC</v>
          </cell>
        </row>
        <row r="112">
          <cell r="A112">
            <v>1134</v>
          </cell>
          <cell r="B112"/>
          <cell r="C112"/>
          <cell r="D112" t="str">
            <v>AH</v>
          </cell>
          <cell r="E112" t="str">
            <v>NL2981ET025X</v>
          </cell>
          <cell r="F112">
            <v>511257</v>
          </cell>
          <cell r="G112">
            <v>6769141</v>
          </cell>
          <cell r="H112" t="str">
            <v>P</v>
          </cell>
          <cell r="I112" t="str">
            <v>Ridderhof 25</v>
          </cell>
          <cell r="J112" t="str">
            <v>2981ET</v>
          </cell>
        </row>
        <row r="113">
          <cell r="A113">
            <v>1135</v>
          </cell>
          <cell r="B113"/>
          <cell r="C113"/>
          <cell r="D113" t="str">
            <v>AH</v>
          </cell>
          <cell r="E113" t="str">
            <v>NL2037AB012X</v>
          </cell>
          <cell r="F113">
            <v>517557</v>
          </cell>
          <cell r="G113">
            <v>6857646</v>
          </cell>
          <cell r="H113" t="str">
            <v>Z</v>
          </cell>
          <cell r="I113" t="str">
            <v>Menton Passage 12</v>
          </cell>
          <cell r="J113" t="str">
            <v>2037AB</v>
          </cell>
        </row>
        <row r="114">
          <cell r="A114">
            <v>1137</v>
          </cell>
          <cell r="B114"/>
          <cell r="C114"/>
          <cell r="D114" t="str">
            <v>AH</v>
          </cell>
          <cell r="E114" t="str">
            <v>NL5711EM039X</v>
          </cell>
          <cell r="F114">
            <v>635042</v>
          </cell>
          <cell r="G114">
            <v>6681750</v>
          </cell>
          <cell r="H114" t="str">
            <v>T</v>
          </cell>
          <cell r="I114" t="str">
            <v>Postelstraat 39</v>
          </cell>
          <cell r="J114" t="str">
            <v>5711EM</v>
          </cell>
        </row>
        <row r="115">
          <cell r="A115">
            <v>1138</v>
          </cell>
          <cell r="B115"/>
          <cell r="C115"/>
          <cell r="D115" t="str">
            <v>AH</v>
          </cell>
          <cell r="E115" t="str">
            <v>NL3085ER110X</v>
          </cell>
          <cell r="F115">
            <v>499361</v>
          </cell>
          <cell r="G115">
            <v>6769802</v>
          </cell>
          <cell r="H115" t="str">
            <v>P</v>
          </cell>
          <cell r="I115" t="str">
            <v>Slinge 191</v>
          </cell>
          <cell r="J115" t="str">
            <v>3085ER</v>
          </cell>
        </row>
        <row r="116">
          <cell r="A116">
            <v>1140</v>
          </cell>
          <cell r="B116"/>
          <cell r="C116"/>
          <cell r="D116" t="str">
            <v>AH</v>
          </cell>
          <cell r="E116" t="str">
            <v>NL6861GR001X</v>
          </cell>
          <cell r="F116">
            <v>649787</v>
          </cell>
          <cell r="G116">
            <v>6790256</v>
          </cell>
          <cell r="H116" t="str">
            <v>O</v>
          </cell>
          <cell r="I116" t="str">
            <v>Pastoor Bruggemanlaan 1</v>
          </cell>
          <cell r="J116" t="str">
            <v>6861GR</v>
          </cell>
        </row>
        <row r="117">
          <cell r="A117">
            <v>1141</v>
          </cell>
          <cell r="B117"/>
          <cell r="C117"/>
          <cell r="D117" t="str">
            <v>AH</v>
          </cell>
          <cell r="E117" t="str">
            <v>NL8161CL015X</v>
          </cell>
          <cell r="F117">
            <v>665503</v>
          </cell>
          <cell r="G117">
            <v>6855832</v>
          </cell>
          <cell r="H117" t="str">
            <v>O</v>
          </cell>
          <cell r="I117" t="str">
            <v>Markt 15</v>
          </cell>
          <cell r="J117" t="str">
            <v>8161CL</v>
          </cell>
        </row>
        <row r="118">
          <cell r="A118">
            <v>1142</v>
          </cell>
          <cell r="B118"/>
          <cell r="C118"/>
          <cell r="D118" t="str">
            <v>AH</v>
          </cell>
          <cell r="E118" t="str">
            <v>NL4204BS003X</v>
          </cell>
          <cell r="F118">
            <v>551750</v>
          </cell>
          <cell r="G118">
            <v>6763028</v>
          </cell>
          <cell r="H118" t="str">
            <v>P</v>
          </cell>
          <cell r="I118" t="str">
            <v>Piazza Center 74</v>
          </cell>
          <cell r="J118" t="str">
            <v>4204BS</v>
          </cell>
        </row>
        <row r="119">
          <cell r="A119">
            <v>1143</v>
          </cell>
          <cell r="B119"/>
          <cell r="C119"/>
          <cell r="D119" t="str">
            <v>AH</v>
          </cell>
          <cell r="E119" t="str">
            <v>NL4904AW103X</v>
          </cell>
          <cell r="F119">
            <v>540251</v>
          </cell>
          <cell r="G119">
            <v>6725510</v>
          </cell>
          <cell r="H119" t="str">
            <v>T</v>
          </cell>
          <cell r="I119" t="str">
            <v>Zuiderhout 103</v>
          </cell>
          <cell r="J119" t="str">
            <v>4904AW</v>
          </cell>
        </row>
        <row r="120">
          <cell r="A120">
            <v>1144</v>
          </cell>
          <cell r="B120"/>
          <cell r="C120"/>
          <cell r="D120" t="str">
            <v>AH</v>
          </cell>
          <cell r="E120" t="str">
            <v>NL2597GV917X</v>
          </cell>
          <cell r="F120">
            <v>480779</v>
          </cell>
          <cell r="G120">
            <v>6811412</v>
          </cell>
          <cell r="H120" t="str">
            <v>P</v>
          </cell>
          <cell r="I120" t="str">
            <v>Theo Mann-Bouwmeesterln 9</v>
          </cell>
          <cell r="J120" t="str">
            <v>2597GV</v>
          </cell>
        </row>
        <row r="121">
          <cell r="A121">
            <v>1146</v>
          </cell>
          <cell r="B121"/>
          <cell r="C121"/>
          <cell r="D121" t="str">
            <v>AH</v>
          </cell>
          <cell r="E121" t="str">
            <v>NL1025GB310X</v>
          </cell>
          <cell r="F121">
            <v>549208</v>
          </cell>
          <cell r="G121">
            <v>6864651</v>
          </cell>
          <cell r="H121" t="str">
            <v>Z</v>
          </cell>
          <cell r="I121" t="str">
            <v>Buikslotermeerplein 310</v>
          </cell>
          <cell r="J121" t="str">
            <v>1025GB</v>
          </cell>
        </row>
        <row r="122">
          <cell r="A122">
            <v>1147</v>
          </cell>
          <cell r="B122" t="str">
            <v>Sluiting</v>
          </cell>
          <cell r="C122" t="str">
            <v>Relocatie 12-03-2016</v>
          </cell>
          <cell r="D122" t="str">
            <v>AH</v>
          </cell>
          <cell r="E122" t="str">
            <v>NL2624ER015X</v>
          </cell>
          <cell r="F122">
            <v>483880</v>
          </cell>
          <cell r="G122">
            <v>6791838</v>
          </cell>
          <cell r="H122" t="str">
            <v>P</v>
          </cell>
          <cell r="I122" t="str">
            <v>Martinus Nijhofflaan 15</v>
          </cell>
          <cell r="J122" t="str">
            <v>2624ER</v>
          </cell>
        </row>
        <row r="123">
          <cell r="A123">
            <v>1147</v>
          </cell>
          <cell r="B123" t="str">
            <v>Nieuw</v>
          </cell>
          <cell r="C123">
            <v>42445</v>
          </cell>
          <cell r="D123" t="str">
            <v>AH</v>
          </cell>
          <cell r="E123" t="str">
            <v>NL2624BC016X</v>
          </cell>
          <cell r="F123">
            <v>484332</v>
          </cell>
          <cell r="G123">
            <v>6792453</v>
          </cell>
          <cell r="H123" t="str">
            <v>P</v>
          </cell>
          <cell r="I123" t="str">
            <v>Mercuriusweg 16</v>
          </cell>
          <cell r="J123" t="str">
            <v>2624BC</v>
          </cell>
        </row>
        <row r="124">
          <cell r="A124">
            <v>1148</v>
          </cell>
          <cell r="B124"/>
          <cell r="C124"/>
          <cell r="D124" t="str">
            <v>AH</v>
          </cell>
          <cell r="E124" t="str">
            <v>NL2022BA018X</v>
          </cell>
          <cell r="F124">
            <v>516509</v>
          </cell>
          <cell r="G124">
            <v>6864861</v>
          </cell>
          <cell r="H124" t="str">
            <v>Z</v>
          </cell>
          <cell r="I124" t="str">
            <v>Soendaplein 18</v>
          </cell>
          <cell r="J124" t="str">
            <v>2022BA</v>
          </cell>
        </row>
        <row r="125">
          <cell r="A125">
            <v>1149</v>
          </cell>
          <cell r="B125"/>
          <cell r="C125"/>
          <cell r="D125" t="str">
            <v>AH</v>
          </cell>
          <cell r="E125" t="str">
            <v>NL2562HC118X</v>
          </cell>
          <cell r="F125">
            <v>476072</v>
          </cell>
          <cell r="G125">
            <v>6806284</v>
          </cell>
          <cell r="H125" t="str">
            <v>P</v>
          </cell>
          <cell r="I125" t="str">
            <v>Weimarstraat 118</v>
          </cell>
          <cell r="J125" t="str">
            <v>2562HC</v>
          </cell>
        </row>
        <row r="126">
          <cell r="A126">
            <v>1151</v>
          </cell>
          <cell r="B126"/>
          <cell r="C126"/>
          <cell r="D126" t="str">
            <v>AH</v>
          </cell>
          <cell r="E126" t="str">
            <v>NL2262AB048X</v>
          </cell>
          <cell r="F126">
            <v>487265</v>
          </cell>
          <cell r="G126">
            <v>6808169</v>
          </cell>
          <cell r="H126" t="str">
            <v>P</v>
          </cell>
          <cell r="I126" t="str">
            <v>Weigelia 48</v>
          </cell>
          <cell r="J126" t="str">
            <v>2262AB</v>
          </cell>
        </row>
        <row r="127">
          <cell r="A127">
            <v>1152</v>
          </cell>
          <cell r="B127"/>
          <cell r="C127"/>
          <cell r="D127" t="str">
            <v>AH</v>
          </cell>
          <cell r="E127" t="str">
            <v>NL3961VM005X</v>
          </cell>
          <cell r="F127">
            <v>594151</v>
          </cell>
          <cell r="G127">
            <v>6787845</v>
          </cell>
          <cell r="H127" t="str">
            <v>Z</v>
          </cell>
          <cell r="I127" t="str">
            <v>Steenstraat 5</v>
          </cell>
          <cell r="J127" t="str">
            <v>3961VM</v>
          </cell>
        </row>
        <row r="128">
          <cell r="A128">
            <v>1153</v>
          </cell>
          <cell r="B128"/>
          <cell r="C128"/>
          <cell r="D128" t="str">
            <v>AH</v>
          </cell>
          <cell r="E128" t="str">
            <v>NL6224JJ121X</v>
          </cell>
          <cell r="F128">
            <v>635185</v>
          </cell>
          <cell r="G128">
            <v>6587225</v>
          </cell>
          <cell r="H128" t="str">
            <v>T</v>
          </cell>
          <cell r="I128" t="str">
            <v>Scharnerweg 110</v>
          </cell>
          <cell r="J128" t="str">
            <v>6224JJ</v>
          </cell>
        </row>
        <row r="129">
          <cell r="A129">
            <v>1154</v>
          </cell>
          <cell r="B129"/>
          <cell r="C129"/>
          <cell r="D129" t="str">
            <v>AH</v>
          </cell>
          <cell r="E129" t="str">
            <v>NL2951EH041X</v>
          </cell>
          <cell r="F129">
            <v>517846</v>
          </cell>
          <cell r="G129">
            <v>6767999</v>
          </cell>
          <cell r="H129" t="str">
            <v>P</v>
          </cell>
          <cell r="I129" t="str">
            <v>Makado-Center 41</v>
          </cell>
          <cell r="J129" t="str">
            <v>2951EH</v>
          </cell>
        </row>
        <row r="130">
          <cell r="A130">
            <v>1155</v>
          </cell>
          <cell r="B130"/>
          <cell r="C130"/>
          <cell r="D130" t="str">
            <v>AH</v>
          </cell>
          <cell r="E130" t="str">
            <v>NL1216HX105X</v>
          </cell>
          <cell r="F130">
            <v>571691</v>
          </cell>
          <cell r="G130">
            <v>6831472</v>
          </cell>
          <cell r="H130" t="str">
            <v>Z</v>
          </cell>
          <cell r="I130" t="str">
            <v>Kapittelweg 105</v>
          </cell>
          <cell r="J130" t="str">
            <v>1216HX</v>
          </cell>
        </row>
        <row r="131">
          <cell r="A131">
            <v>1157</v>
          </cell>
          <cell r="B131"/>
          <cell r="C131"/>
          <cell r="D131" t="str">
            <v>AH</v>
          </cell>
          <cell r="E131" t="str">
            <v>NL3825ME001X</v>
          </cell>
          <cell r="F131">
            <v>603879</v>
          </cell>
          <cell r="G131">
            <v>6828065</v>
          </cell>
          <cell r="H131" t="str">
            <v>Z</v>
          </cell>
          <cell r="I131" t="str">
            <v>Buma 1</v>
          </cell>
          <cell r="J131" t="str">
            <v>3825ME</v>
          </cell>
        </row>
        <row r="132">
          <cell r="A132">
            <v>1158</v>
          </cell>
          <cell r="B132"/>
          <cell r="C132"/>
          <cell r="D132" t="str">
            <v>AH</v>
          </cell>
          <cell r="E132" t="str">
            <v>NL3069EA013X</v>
          </cell>
          <cell r="F132">
            <v>506508</v>
          </cell>
          <cell r="G132">
            <v>6785812</v>
          </cell>
          <cell r="H132" t="str">
            <v>P</v>
          </cell>
          <cell r="I132" t="str">
            <v>Hesseplaats 13</v>
          </cell>
          <cell r="J132" t="str">
            <v>3069EA</v>
          </cell>
        </row>
        <row r="133">
          <cell r="A133">
            <v>1159</v>
          </cell>
          <cell r="B133"/>
          <cell r="C133"/>
          <cell r="D133" t="str">
            <v>AH</v>
          </cell>
          <cell r="E133" t="str">
            <v>NL7941BB001X</v>
          </cell>
          <cell r="F133">
            <v>688230</v>
          </cell>
          <cell r="G133">
            <v>6919653</v>
          </cell>
          <cell r="H133" t="str">
            <v>O</v>
          </cell>
          <cell r="I133" t="str">
            <v>Grote Akkerstraat 1</v>
          </cell>
          <cell r="J133" t="str">
            <v>7941BB</v>
          </cell>
        </row>
        <row r="134">
          <cell r="A134">
            <v>1160</v>
          </cell>
          <cell r="B134"/>
          <cell r="C134"/>
          <cell r="D134" t="str">
            <v>AH</v>
          </cell>
          <cell r="E134" t="str">
            <v>NL4501AK002X</v>
          </cell>
          <cell r="F134">
            <v>387351</v>
          </cell>
          <cell r="G134">
            <v>6671565</v>
          </cell>
          <cell r="H134" t="str">
            <v>T</v>
          </cell>
          <cell r="I134" t="str">
            <v>Torenweidelaan 2</v>
          </cell>
          <cell r="J134" t="str">
            <v>4501AK</v>
          </cell>
        </row>
        <row r="135">
          <cell r="A135">
            <v>1161</v>
          </cell>
          <cell r="B135"/>
          <cell r="C135"/>
          <cell r="D135" t="str">
            <v>AH</v>
          </cell>
          <cell r="E135" t="str">
            <v>NL9603AA006X</v>
          </cell>
          <cell r="F135">
            <v>751158</v>
          </cell>
          <cell r="G135">
            <v>7004176</v>
          </cell>
          <cell r="H135" t="str">
            <v>O</v>
          </cell>
          <cell r="I135" t="str">
            <v>Gorecht-Oost 6</v>
          </cell>
          <cell r="J135" t="str">
            <v>9603AA</v>
          </cell>
        </row>
        <row r="136">
          <cell r="A136">
            <v>1162</v>
          </cell>
          <cell r="B136"/>
          <cell r="C136"/>
          <cell r="D136" t="str">
            <v>AH</v>
          </cell>
          <cell r="E136" t="str">
            <v>NL1186EX144X</v>
          </cell>
          <cell r="F136">
            <v>541528</v>
          </cell>
          <cell r="G136">
            <v>6844848</v>
          </cell>
          <cell r="H136" t="str">
            <v>Z</v>
          </cell>
          <cell r="I136" t="str">
            <v>Groenhof 144</v>
          </cell>
          <cell r="J136" t="str">
            <v>1186EX</v>
          </cell>
        </row>
        <row r="137">
          <cell r="A137">
            <v>1163</v>
          </cell>
          <cell r="B137"/>
          <cell r="C137"/>
          <cell r="D137" t="str">
            <v>AH</v>
          </cell>
          <cell r="E137" t="str">
            <v>NL1067JS008X</v>
          </cell>
          <cell r="F137">
            <v>533944</v>
          </cell>
          <cell r="G137">
            <v>6860911</v>
          </cell>
          <cell r="H137" t="str">
            <v>Z</v>
          </cell>
          <cell r="I137" t="str">
            <v>Lambertus Zijlplein 8</v>
          </cell>
          <cell r="J137" t="str">
            <v>1067JS</v>
          </cell>
        </row>
        <row r="138">
          <cell r="A138">
            <v>1165</v>
          </cell>
          <cell r="B138"/>
          <cell r="C138"/>
          <cell r="D138" t="str">
            <v>AH</v>
          </cell>
          <cell r="E138" t="str">
            <v>NL5461KS006X</v>
          </cell>
          <cell r="F138">
            <v>616954</v>
          </cell>
          <cell r="G138">
            <v>6723298</v>
          </cell>
          <cell r="H138" t="str">
            <v>T</v>
          </cell>
          <cell r="I138" t="str">
            <v>Stadhuisplein 6</v>
          </cell>
          <cell r="J138" t="str">
            <v>5461KS</v>
          </cell>
        </row>
        <row r="139">
          <cell r="A139">
            <v>1166</v>
          </cell>
          <cell r="B139"/>
          <cell r="C139"/>
          <cell r="D139" t="str">
            <v>AH</v>
          </cell>
          <cell r="E139" t="str">
            <v>NL1411HB003X</v>
          </cell>
          <cell r="F139">
            <v>574886</v>
          </cell>
          <cell r="G139">
            <v>6844750</v>
          </cell>
          <cell r="H139" t="str">
            <v>Z</v>
          </cell>
          <cell r="I139" t="str">
            <v>Amersfoortsestraatweg 3</v>
          </cell>
          <cell r="J139" t="str">
            <v>1411HB</v>
          </cell>
        </row>
        <row r="140">
          <cell r="A140">
            <v>1168</v>
          </cell>
          <cell r="B140"/>
          <cell r="C140"/>
          <cell r="D140" t="str">
            <v>AH</v>
          </cell>
          <cell r="E140" t="str">
            <v>NL1183JG070X</v>
          </cell>
          <cell r="F140">
            <v>542088</v>
          </cell>
          <cell r="G140">
            <v>6849090</v>
          </cell>
          <cell r="H140" t="str">
            <v>Z</v>
          </cell>
          <cell r="I140" t="str">
            <v>Westelijk Halfrond 70</v>
          </cell>
          <cell r="J140" t="str">
            <v>1183JG</v>
          </cell>
        </row>
        <row r="141">
          <cell r="A141">
            <v>1169</v>
          </cell>
          <cell r="B141" t="str">
            <v>Sluiting</v>
          </cell>
          <cell r="C141">
            <v>42433</v>
          </cell>
          <cell r="D141" t="str">
            <v>AH</v>
          </cell>
          <cell r="E141" t="str">
            <v>NL6466CX022X</v>
          </cell>
          <cell r="F141">
            <v>670247</v>
          </cell>
          <cell r="G141">
            <v>6588672</v>
          </cell>
          <cell r="H141" t="str">
            <v>T</v>
          </cell>
          <cell r="I141" t="str">
            <v>Carboonplein 22</v>
          </cell>
          <cell r="J141" t="str">
            <v>6466CX</v>
          </cell>
        </row>
        <row r="142">
          <cell r="A142">
            <v>1170</v>
          </cell>
          <cell r="B142"/>
          <cell r="C142"/>
          <cell r="D142" t="str">
            <v>AH</v>
          </cell>
          <cell r="E142" t="str">
            <v>NL1171BD002X</v>
          </cell>
          <cell r="F142">
            <v>531316</v>
          </cell>
          <cell r="G142">
            <v>6853805</v>
          </cell>
          <cell r="H142" t="str">
            <v>Z</v>
          </cell>
          <cell r="I142" t="str">
            <v>Zeemanlaan 2</v>
          </cell>
          <cell r="J142" t="str">
            <v>1171BD</v>
          </cell>
        </row>
        <row r="143">
          <cell r="A143">
            <v>1172</v>
          </cell>
          <cell r="B143"/>
          <cell r="C143"/>
          <cell r="D143" t="str">
            <v>AH</v>
          </cell>
          <cell r="E143" t="str">
            <v>NL7545BC063X</v>
          </cell>
          <cell r="F143">
            <v>762992</v>
          </cell>
          <cell r="G143">
            <v>6831060</v>
          </cell>
          <cell r="H143" t="str">
            <v>O</v>
          </cell>
          <cell r="I143" t="str">
            <v>Wethouder Nijhuisstraat 164</v>
          </cell>
          <cell r="J143" t="str">
            <v>7545NM</v>
          </cell>
        </row>
        <row r="144">
          <cell r="A144">
            <v>1173</v>
          </cell>
          <cell r="B144"/>
          <cell r="C144"/>
          <cell r="D144" t="str">
            <v>AH</v>
          </cell>
          <cell r="E144" t="str">
            <v>NL3512AP025X</v>
          </cell>
          <cell r="F144">
            <v>569296</v>
          </cell>
          <cell r="G144">
            <v>6809719</v>
          </cell>
          <cell r="H144" t="str">
            <v>Z</v>
          </cell>
          <cell r="I144" t="str">
            <v>Voorstraat 38</v>
          </cell>
          <cell r="J144" t="str">
            <v>3512AP</v>
          </cell>
        </row>
        <row r="145">
          <cell r="A145">
            <v>1174</v>
          </cell>
          <cell r="B145"/>
          <cell r="C145"/>
          <cell r="D145" t="str">
            <v>AH</v>
          </cell>
          <cell r="E145" t="str">
            <v>NL4817PV030X</v>
          </cell>
          <cell r="F145">
            <v>536110</v>
          </cell>
          <cell r="G145">
            <v>6718750</v>
          </cell>
          <cell r="H145" t="str">
            <v>T</v>
          </cell>
          <cell r="I145" t="str">
            <v>Bisschopshoeve 30</v>
          </cell>
          <cell r="J145" t="str">
            <v>4817PV</v>
          </cell>
        </row>
        <row r="146">
          <cell r="A146">
            <v>1175</v>
          </cell>
          <cell r="B146"/>
          <cell r="C146"/>
          <cell r="D146" t="str">
            <v>AH</v>
          </cell>
          <cell r="E146" t="str">
            <v>NL5931NS002X</v>
          </cell>
          <cell r="F146">
            <v>682836</v>
          </cell>
          <cell r="G146">
            <v>6674434</v>
          </cell>
          <cell r="H146" t="str">
            <v>T</v>
          </cell>
          <cell r="I146" t="str">
            <v>Raadhuislaan 48</v>
          </cell>
          <cell r="J146" t="str">
            <v>5931NS</v>
          </cell>
        </row>
        <row r="147">
          <cell r="A147">
            <v>1176</v>
          </cell>
          <cell r="B147"/>
          <cell r="C147"/>
          <cell r="D147" t="str">
            <v>AH</v>
          </cell>
          <cell r="E147" t="str">
            <v>NL3601DE138X</v>
          </cell>
          <cell r="F147">
            <v>560910</v>
          </cell>
          <cell r="G147">
            <v>6818597</v>
          </cell>
          <cell r="H147" t="str">
            <v>Z</v>
          </cell>
          <cell r="I147" t="str">
            <v>Dr. Plesmanlaan 138</v>
          </cell>
          <cell r="J147" t="str">
            <v>3601DE</v>
          </cell>
        </row>
        <row r="148">
          <cell r="A148">
            <v>1177</v>
          </cell>
          <cell r="B148"/>
          <cell r="C148"/>
          <cell r="D148" t="str">
            <v>AH</v>
          </cell>
          <cell r="E148" t="str">
            <v>NL3941JK025X</v>
          </cell>
          <cell r="F148">
            <v>594300</v>
          </cell>
          <cell r="G148">
            <v>6798829</v>
          </cell>
          <cell r="H148" t="str">
            <v>Z</v>
          </cell>
          <cell r="I148" t="str">
            <v>Dorpsstraat 25</v>
          </cell>
          <cell r="J148" t="str">
            <v>3941JK</v>
          </cell>
        </row>
        <row r="149">
          <cell r="A149">
            <v>1178</v>
          </cell>
          <cell r="B149"/>
          <cell r="C149"/>
          <cell r="D149" t="str">
            <v>AH</v>
          </cell>
          <cell r="E149" t="str">
            <v>NL6531HE205X</v>
          </cell>
          <cell r="F149">
            <v>650440</v>
          </cell>
          <cell r="G149">
            <v>6761992</v>
          </cell>
          <cell r="H149" t="str">
            <v>T</v>
          </cell>
          <cell r="I149" t="str">
            <v>Groenestraat 193</v>
          </cell>
          <cell r="J149" t="str">
            <v>6531HE</v>
          </cell>
        </row>
        <row r="150">
          <cell r="A150">
            <v>1179</v>
          </cell>
          <cell r="B150"/>
          <cell r="C150"/>
          <cell r="D150" t="str">
            <v>AH</v>
          </cell>
          <cell r="E150" t="str">
            <v>NL5629PX002X</v>
          </cell>
          <cell r="F150">
            <v>608648</v>
          </cell>
          <cell r="G150">
            <v>6700808</v>
          </cell>
          <cell r="H150" t="str">
            <v>T</v>
          </cell>
          <cell r="I150" t="str">
            <v>Ouverture 214</v>
          </cell>
          <cell r="J150" t="str">
            <v>5629PX</v>
          </cell>
        </row>
        <row r="151">
          <cell r="A151">
            <v>1180</v>
          </cell>
          <cell r="B151"/>
          <cell r="C151"/>
          <cell r="D151" t="str">
            <v>AH</v>
          </cell>
          <cell r="E151" t="str">
            <v>NL2402EN002X</v>
          </cell>
          <cell r="F151">
            <v>519721</v>
          </cell>
          <cell r="G151">
            <v>6818656</v>
          </cell>
          <cell r="H151" t="str">
            <v>P</v>
          </cell>
          <cell r="I151" t="str">
            <v>Ridderhof 2</v>
          </cell>
          <cell r="J151" t="str">
            <v>2402EN</v>
          </cell>
        </row>
        <row r="152">
          <cell r="A152">
            <v>1181</v>
          </cell>
          <cell r="B152"/>
          <cell r="C152"/>
          <cell r="D152" t="str">
            <v>AH</v>
          </cell>
          <cell r="E152" t="str">
            <v>NL3881SH002X</v>
          </cell>
          <cell r="F152">
            <v>623748</v>
          </cell>
          <cell r="G152">
            <v>6839701</v>
          </cell>
          <cell r="H152" t="str">
            <v>O</v>
          </cell>
          <cell r="I152" t="str">
            <v>Voorthuizerstraat 2</v>
          </cell>
          <cell r="J152" t="str">
            <v>3881SH</v>
          </cell>
        </row>
        <row r="153">
          <cell r="A153">
            <v>1182</v>
          </cell>
          <cell r="B153"/>
          <cell r="C153"/>
          <cell r="D153" t="str">
            <v>AH</v>
          </cell>
          <cell r="E153" t="str">
            <v>NL3262VR019X</v>
          </cell>
          <cell r="F153">
            <v>489803</v>
          </cell>
          <cell r="G153">
            <v>6760205</v>
          </cell>
          <cell r="H153" t="str">
            <v>P</v>
          </cell>
          <cell r="I153" t="str">
            <v>Beijersehof 19</v>
          </cell>
          <cell r="J153" t="str">
            <v>3262VR</v>
          </cell>
        </row>
        <row r="154">
          <cell r="A154">
            <v>1184</v>
          </cell>
          <cell r="B154"/>
          <cell r="C154"/>
          <cell r="D154" t="str">
            <v>AH</v>
          </cell>
          <cell r="E154" t="str">
            <v>NL9743BA035X</v>
          </cell>
          <cell r="F154">
            <v>725938</v>
          </cell>
          <cell r="G154">
            <v>7016762</v>
          </cell>
          <cell r="H154" t="str">
            <v>O</v>
          </cell>
          <cell r="I154" t="str">
            <v>Siersteenlaan 464</v>
          </cell>
          <cell r="J154" t="str">
            <v>9743ES</v>
          </cell>
        </row>
        <row r="155">
          <cell r="A155">
            <v>1185</v>
          </cell>
          <cell r="B155"/>
          <cell r="C155"/>
          <cell r="D155" t="str">
            <v>AH</v>
          </cell>
          <cell r="E155" t="str">
            <v>NL1791AM109X</v>
          </cell>
          <cell r="F155">
            <v>533528</v>
          </cell>
          <cell r="G155">
            <v>6985586</v>
          </cell>
          <cell r="H155" t="str">
            <v>Z</v>
          </cell>
          <cell r="I155" t="str">
            <v>Waalderstraat 48</v>
          </cell>
          <cell r="J155" t="str">
            <v>1791EC</v>
          </cell>
        </row>
        <row r="156">
          <cell r="A156">
            <v>1186</v>
          </cell>
          <cell r="B156"/>
          <cell r="C156"/>
          <cell r="D156" t="str">
            <v>AH</v>
          </cell>
          <cell r="E156" t="str">
            <v>NL1902EJ027X</v>
          </cell>
          <cell r="F156">
            <v>519824</v>
          </cell>
          <cell r="G156">
            <v>6892731</v>
          </cell>
          <cell r="H156" t="str">
            <v>Z</v>
          </cell>
          <cell r="I156" t="str">
            <v>Geesterduin 27</v>
          </cell>
          <cell r="J156" t="str">
            <v>1902EJ</v>
          </cell>
        </row>
        <row r="157">
          <cell r="A157">
            <v>1187</v>
          </cell>
          <cell r="B157"/>
          <cell r="C157"/>
          <cell r="D157" t="str">
            <v>AH</v>
          </cell>
          <cell r="E157" t="str">
            <v>NL5751KS001X</v>
          </cell>
          <cell r="F157">
            <v>644624</v>
          </cell>
          <cell r="G157">
            <v>6696002</v>
          </cell>
          <cell r="H157" t="str">
            <v>T</v>
          </cell>
          <cell r="I157" t="str">
            <v>Wolfsberg 20</v>
          </cell>
          <cell r="J157" t="str">
            <v>5751GX</v>
          </cell>
        </row>
        <row r="158">
          <cell r="A158">
            <v>1188</v>
          </cell>
          <cell r="B158"/>
          <cell r="C158"/>
          <cell r="D158" t="str">
            <v>AH</v>
          </cell>
          <cell r="E158" t="str">
            <v>NL5632DC149X</v>
          </cell>
          <cell r="F158">
            <v>610872</v>
          </cell>
          <cell r="G158">
            <v>6697433</v>
          </cell>
          <cell r="H158" t="str">
            <v>T</v>
          </cell>
          <cell r="I158" t="str">
            <v>Orionstraat 149</v>
          </cell>
          <cell r="J158" t="str">
            <v>5632DC</v>
          </cell>
        </row>
        <row r="159">
          <cell r="A159">
            <v>1189</v>
          </cell>
          <cell r="B159"/>
          <cell r="C159"/>
          <cell r="D159" t="str">
            <v>AH</v>
          </cell>
          <cell r="E159" t="str">
            <v>NL5011LR052X</v>
          </cell>
          <cell r="F159">
            <v>565554</v>
          </cell>
          <cell r="G159">
            <v>6717762</v>
          </cell>
          <cell r="H159" t="str">
            <v>T</v>
          </cell>
          <cell r="I159" t="str">
            <v>Wagnerplein 52</v>
          </cell>
          <cell r="J159" t="str">
            <v>5011LR</v>
          </cell>
        </row>
        <row r="160">
          <cell r="A160">
            <v>1191</v>
          </cell>
          <cell r="B160" t="str">
            <v>Sluiting</v>
          </cell>
          <cell r="C160">
            <v>42462</v>
          </cell>
          <cell r="D160" t="str">
            <v>AH</v>
          </cell>
          <cell r="E160" t="str">
            <v>NL5701AL131X</v>
          </cell>
          <cell r="F160">
            <v>630214</v>
          </cell>
          <cell r="G160">
            <v>6700581</v>
          </cell>
          <cell r="H160" t="str">
            <v>T</v>
          </cell>
          <cell r="I160" t="str">
            <v>Dijksestraat 131</v>
          </cell>
          <cell r="J160" t="str">
            <v>5701AL</v>
          </cell>
        </row>
        <row r="161">
          <cell r="A161">
            <v>1192</v>
          </cell>
          <cell r="B161"/>
          <cell r="C161"/>
          <cell r="D161" t="str">
            <v>AH</v>
          </cell>
          <cell r="E161" t="str">
            <v>NL5664HN081X</v>
          </cell>
          <cell r="F161">
            <v>618157</v>
          </cell>
          <cell r="G161">
            <v>6688982</v>
          </cell>
          <cell r="H161" t="str">
            <v>T</v>
          </cell>
          <cell r="I161" t="str">
            <v>Heuvel 81</v>
          </cell>
          <cell r="J161" t="str">
            <v>5664HN</v>
          </cell>
        </row>
        <row r="162">
          <cell r="A162">
            <v>1193</v>
          </cell>
          <cell r="B162"/>
          <cell r="C162"/>
          <cell r="D162" t="str">
            <v>AH</v>
          </cell>
          <cell r="E162" t="str">
            <v>NL7552WZ010X</v>
          </cell>
          <cell r="F162">
            <v>758448</v>
          </cell>
          <cell r="G162">
            <v>6840035</v>
          </cell>
          <cell r="H162" t="str">
            <v>O</v>
          </cell>
          <cell r="I162" t="str">
            <v>Willem de Merodestraat 10</v>
          </cell>
          <cell r="J162" t="str">
            <v>7552WZ</v>
          </cell>
        </row>
        <row r="163">
          <cell r="A163">
            <v>1194</v>
          </cell>
          <cell r="B163"/>
          <cell r="C163"/>
          <cell r="D163" t="str">
            <v>AH</v>
          </cell>
          <cell r="E163" t="str">
            <v>NL6211TA004X</v>
          </cell>
          <cell r="F163">
            <v>632401</v>
          </cell>
          <cell r="G163">
            <v>6587473</v>
          </cell>
          <cell r="H163" t="str">
            <v>T</v>
          </cell>
          <cell r="I163" t="str">
            <v>Helmstraat 4</v>
          </cell>
          <cell r="J163" t="str">
            <v>6211TA</v>
          </cell>
        </row>
        <row r="164">
          <cell r="A164">
            <v>1195</v>
          </cell>
          <cell r="B164"/>
          <cell r="C164"/>
          <cell r="D164" t="str">
            <v>AH</v>
          </cell>
          <cell r="E164" t="str">
            <v>NL2161EV067X</v>
          </cell>
          <cell r="F164">
            <v>506919</v>
          </cell>
          <cell r="G164">
            <v>6839885</v>
          </cell>
          <cell r="H164" t="str">
            <v>Z</v>
          </cell>
          <cell r="I164" t="str">
            <v>Blokhuis 67</v>
          </cell>
          <cell r="J164" t="str">
            <v>2161EV</v>
          </cell>
        </row>
        <row r="165">
          <cell r="A165">
            <v>1196</v>
          </cell>
          <cell r="B165"/>
          <cell r="C165"/>
          <cell r="D165" t="str">
            <v>AH</v>
          </cell>
          <cell r="E165" t="str">
            <v>NL2613ZE001X</v>
          </cell>
          <cell r="F165">
            <v>482813</v>
          </cell>
          <cell r="G165">
            <v>6795115</v>
          </cell>
          <cell r="H165" t="str">
            <v>P</v>
          </cell>
          <cell r="I165" t="str">
            <v>W.H. van Leeuwenlaan 1</v>
          </cell>
          <cell r="J165" t="str">
            <v>2613ZE</v>
          </cell>
        </row>
        <row r="166">
          <cell r="A166">
            <v>1197</v>
          </cell>
          <cell r="B166"/>
          <cell r="C166"/>
          <cell r="D166" t="str">
            <v>AH</v>
          </cell>
          <cell r="E166" t="str">
            <v>NL3332EH030X</v>
          </cell>
          <cell r="F166">
            <v>517419</v>
          </cell>
          <cell r="G166">
            <v>6760598</v>
          </cell>
          <cell r="H166" t="str">
            <v>P</v>
          </cell>
          <cell r="I166" t="str">
            <v>Hof van Holland 30</v>
          </cell>
          <cell r="J166" t="str">
            <v>3332EH</v>
          </cell>
        </row>
        <row r="167">
          <cell r="A167">
            <v>1198</v>
          </cell>
          <cell r="B167"/>
          <cell r="C167"/>
          <cell r="D167" t="str">
            <v>AH</v>
          </cell>
          <cell r="E167" t="str">
            <v>NL5242CZ010X</v>
          </cell>
          <cell r="F167">
            <v>596841</v>
          </cell>
          <cell r="G167">
            <v>6740391</v>
          </cell>
          <cell r="H167" t="str">
            <v>T</v>
          </cell>
          <cell r="I167" t="str">
            <v>Molenhoekpassage 5</v>
          </cell>
          <cell r="J167" t="str">
            <v>5242CZ</v>
          </cell>
        </row>
        <row r="168">
          <cell r="A168">
            <v>1199</v>
          </cell>
          <cell r="B168"/>
          <cell r="C168"/>
          <cell r="D168" t="str">
            <v>AH</v>
          </cell>
          <cell r="E168" t="str">
            <v>NL6041GM074X</v>
          </cell>
          <cell r="F168">
            <v>666611</v>
          </cell>
          <cell r="G168">
            <v>6648519</v>
          </cell>
          <cell r="H168" t="str">
            <v>T</v>
          </cell>
          <cell r="I168" t="str">
            <v>Godsweerdersingel 74</v>
          </cell>
          <cell r="J168" t="str">
            <v>6041GM</v>
          </cell>
        </row>
        <row r="169">
          <cell r="A169">
            <v>1201</v>
          </cell>
          <cell r="B169"/>
          <cell r="C169"/>
          <cell r="D169" t="str">
            <v>AH</v>
          </cell>
          <cell r="E169" t="str">
            <v>NL4645BA009X</v>
          </cell>
          <cell r="F169">
            <v>488543</v>
          </cell>
          <cell r="G169">
            <v>6677097</v>
          </cell>
          <cell r="H169" t="str">
            <v>T</v>
          </cell>
          <cell r="I169" t="str">
            <v>Antwerpsestraat 9</v>
          </cell>
          <cell r="J169" t="str">
            <v>4645BA</v>
          </cell>
        </row>
        <row r="170">
          <cell r="A170">
            <v>1202</v>
          </cell>
          <cell r="B170"/>
          <cell r="C170"/>
          <cell r="D170" t="str">
            <v>AH</v>
          </cell>
          <cell r="E170" t="str">
            <v>NL3255XB002X</v>
          </cell>
          <cell r="F170">
            <v>468579</v>
          </cell>
          <cell r="G170">
            <v>6736694</v>
          </cell>
          <cell r="H170" t="str">
            <v>P</v>
          </cell>
          <cell r="I170" t="str">
            <v>Dabbestraat 2</v>
          </cell>
          <cell r="J170" t="str">
            <v>3255XB</v>
          </cell>
        </row>
        <row r="171">
          <cell r="A171">
            <v>1204</v>
          </cell>
          <cell r="B171"/>
          <cell r="C171"/>
          <cell r="D171" t="str">
            <v>AH</v>
          </cell>
          <cell r="E171" t="str">
            <v>NL3995XM012X</v>
          </cell>
          <cell r="F171">
            <v>575785</v>
          </cell>
          <cell r="G171">
            <v>6795637</v>
          </cell>
          <cell r="H171" t="str">
            <v>Z</v>
          </cell>
          <cell r="I171" t="str">
            <v>Cardo 12</v>
          </cell>
          <cell r="J171" t="str">
            <v>3995XM</v>
          </cell>
        </row>
        <row r="172">
          <cell r="A172">
            <v>1205</v>
          </cell>
          <cell r="B172"/>
          <cell r="C172"/>
          <cell r="D172" t="str">
            <v>AH</v>
          </cell>
          <cell r="E172" t="str">
            <v>NL5061HL077X</v>
          </cell>
          <cell r="F172">
            <v>577506</v>
          </cell>
          <cell r="G172">
            <v>6716975</v>
          </cell>
          <cell r="H172" t="str">
            <v>T</v>
          </cell>
          <cell r="I172" t="str">
            <v>Dorpsstraat 34</v>
          </cell>
          <cell r="J172" t="str">
            <v>5061HL</v>
          </cell>
        </row>
        <row r="173">
          <cell r="A173">
            <v>1206</v>
          </cell>
          <cell r="B173"/>
          <cell r="C173"/>
          <cell r="D173" t="str">
            <v>AH</v>
          </cell>
          <cell r="E173" t="str">
            <v>NL9715HH005X</v>
          </cell>
          <cell r="F173">
            <v>730500</v>
          </cell>
          <cell r="G173">
            <v>7018179</v>
          </cell>
          <cell r="H173" t="str">
            <v>O</v>
          </cell>
          <cell r="I173" t="str">
            <v>Floresplein 13</v>
          </cell>
          <cell r="J173" t="str">
            <v>9715HH</v>
          </cell>
        </row>
        <row r="174">
          <cell r="A174">
            <v>1207</v>
          </cell>
          <cell r="B174"/>
          <cell r="C174"/>
          <cell r="D174" t="str">
            <v>AH</v>
          </cell>
          <cell r="E174" t="str">
            <v>NL2716CW001X</v>
          </cell>
          <cell r="F174">
            <v>496866</v>
          </cell>
          <cell r="G174">
            <v>6802821</v>
          </cell>
          <cell r="H174" t="str">
            <v>P</v>
          </cell>
          <cell r="I174" t="str">
            <v>Middelwaard 93</v>
          </cell>
          <cell r="J174" t="str">
            <v>2716CW</v>
          </cell>
        </row>
        <row r="175">
          <cell r="A175">
            <v>1208</v>
          </cell>
          <cell r="B175"/>
          <cell r="C175"/>
          <cell r="D175" t="str">
            <v>AH</v>
          </cell>
          <cell r="E175" t="str">
            <v>NL5654AZ003X</v>
          </cell>
          <cell r="F175">
            <v>607431</v>
          </cell>
          <cell r="G175">
            <v>6688966</v>
          </cell>
          <cell r="H175" t="str">
            <v>T</v>
          </cell>
          <cell r="I175" t="str">
            <v>Franz Leharplein 19</v>
          </cell>
          <cell r="J175" t="str">
            <v>5654AZ</v>
          </cell>
        </row>
        <row r="176">
          <cell r="A176">
            <v>1209</v>
          </cell>
          <cell r="B176"/>
          <cell r="C176"/>
          <cell r="D176" t="str">
            <v>AH</v>
          </cell>
          <cell r="E176" t="str">
            <v>NL8071GA018X</v>
          </cell>
          <cell r="F176">
            <v>642814</v>
          </cell>
          <cell r="G176">
            <v>6860854</v>
          </cell>
          <cell r="H176" t="str">
            <v>O</v>
          </cell>
          <cell r="I176" t="str">
            <v>Harderwijkerweg 18</v>
          </cell>
          <cell r="J176" t="str">
            <v>8071GA</v>
          </cell>
        </row>
        <row r="177">
          <cell r="A177">
            <v>1210</v>
          </cell>
          <cell r="B177"/>
          <cell r="C177"/>
          <cell r="D177" t="str">
            <v>AH</v>
          </cell>
          <cell r="E177" t="str">
            <v>NL2406BT061X</v>
          </cell>
          <cell r="F177">
            <v>518758</v>
          </cell>
          <cell r="G177">
            <v>6816043</v>
          </cell>
          <cell r="H177" t="str">
            <v>P</v>
          </cell>
          <cell r="I177" t="str">
            <v>De Aarhof 61</v>
          </cell>
          <cell r="J177" t="str">
            <v>2406BT</v>
          </cell>
        </row>
        <row r="178">
          <cell r="A178">
            <v>1211</v>
          </cell>
          <cell r="B178"/>
          <cell r="C178"/>
          <cell r="D178" t="str">
            <v>AH</v>
          </cell>
          <cell r="E178" t="str">
            <v>NL3841GL002X</v>
          </cell>
          <cell r="F178">
            <v>625199</v>
          </cell>
          <cell r="G178">
            <v>6855554</v>
          </cell>
          <cell r="H178" t="str">
            <v>O</v>
          </cell>
          <cell r="I178" t="str">
            <v>Selhorstweg 2</v>
          </cell>
          <cell r="J178" t="str">
            <v>3841GL</v>
          </cell>
        </row>
        <row r="179">
          <cell r="A179">
            <v>1212</v>
          </cell>
          <cell r="B179"/>
          <cell r="C179"/>
          <cell r="D179" t="str">
            <v>AH</v>
          </cell>
          <cell r="E179" t="str">
            <v>NL3011SN049X</v>
          </cell>
          <cell r="F179">
            <v>499732</v>
          </cell>
          <cell r="G179">
            <v>6778419</v>
          </cell>
          <cell r="H179" t="str">
            <v>P</v>
          </cell>
          <cell r="I179" t="str">
            <v>Groenendaal 49</v>
          </cell>
          <cell r="J179" t="str">
            <v>3011SN</v>
          </cell>
        </row>
        <row r="180">
          <cell r="A180">
            <v>1213</v>
          </cell>
          <cell r="B180"/>
          <cell r="C180"/>
          <cell r="D180" t="str">
            <v>AH</v>
          </cell>
          <cell r="E180" t="str">
            <v>NL3641AL025X</v>
          </cell>
          <cell r="F180">
            <v>541185</v>
          </cell>
          <cell r="G180">
            <v>6829830</v>
          </cell>
          <cell r="H180" t="str">
            <v>Z</v>
          </cell>
          <cell r="I180" t="str">
            <v>De Passage 26</v>
          </cell>
          <cell r="J180" t="str">
            <v>3641AK</v>
          </cell>
        </row>
        <row r="181">
          <cell r="A181">
            <v>1214</v>
          </cell>
          <cell r="B181"/>
          <cell r="C181"/>
          <cell r="D181" t="str">
            <v>AH</v>
          </cell>
          <cell r="E181" t="str">
            <v>NL3704KA132X</v>
          </cell>
          <cell r="F181">
            <v>580408</v>
          </cell>
          <cell r="G181">
            <v>6807548</v>
          </cell>
          <cell r="H181" t="str">
            <v>Z</v>
          </cell>
          <cell r="I181" t="str">
            <v>De Clomp 3132</v>
          </cell>
          <cell r="J181" t="str">
            <v>3704KA</v>
          </cell>
        </row>
        <row r="182">
          <cell r="A182">
            <v>1215</v>
          </cell>
          <cell r="B182"/>
          <cell r="C182"/>
          <cell r="D182" t="str">
            <v>AH</v>
          </cell>
          <cell r="E182" t="str">
            <v>NL2317PB044X</v>
          </cell>
          <cell r="F182">
            <v>500926</v>
          </cell>
          <cell r="G182">
            <v>6824402</v>
          </cell>
          <cell r="H182" t="str">
            <v>P</v>
          </cell>
          <cell r="I182" t="str">
            <v>Kopermolen 44</v>
          </cell>
          <cell r="J182" t="str">
            <v>2317PB</v>
          </cell>
        </row>
        <row r="183">
          <cell r="A183">
            <v>1216</v>
          </cell>
          <cell r="B183"/>
          <cell r="C183"/>
          <cell r="D183" t="str">
            <v>AH</v>
          </cell>
          <cell r="E183" t="str">
            <v>NL2592CK325X</v>
          </cell>
          <cell r="F183">
            <v>484418</v>
          </cell>
          <cell r="G183">
            <v>6809184</v>
          </cell>
          <cell r="H183" t="str">
            <v>P</v>
          </cell>
          <cell r="I183" t="str">
            <v>Het Kleine Loo 342</v>
          </cell>
          <cell r="J183" t="str">
            <v>2592CK</v>
          </cell>
        </row>
        <row r="184">
          <cell r="A184">
            <v>1217</v>
          </cell>
          <cell r="B184"/>
          <cell r="C184"/>
          <cell r="D184" t="str">
            <v>AH</v>
          </cell>
          <cell r="E184" t="str">
            <v>NL1851HT061X</v>
          </cell>
          <cell r="F184">
            <v>523899</v>
          </cell>
          <cell r="G184">
            <v>6902622</v>
          </cell>
          <cell r="H184" t="str">
            <v>Z</v>
          </cell>
          <cell r="I184" t="str">
            <v>'t Loo 61</v>
          </cell>
          <cell r="J184" t="str">
            <v>1851HT</v>
          </cell>
        </row>
        <row r="185">
          <cell r="A185">
            <v>1219</v>
          </cell>
          <cell r="B185"/>
          <cell r="C185"/>
          <cell r="D185" t="str">
            <v>AH</v>
          </cell>
          <cell r="E185" t="str">
            <v>NL5233AP045X</v>
          </cell>
          <cell r="F185">
            <v>590923</v>
          </cell>
          <cell r="G185">
            <v>6740882</v>
          </cell>
          <cell r="H185" t="str">
            <v>T</v>
          </cell>
          <cell r="I185" t="str">
            <v>Rompertpassage 45</v>
          </cell>
          <cell r="J185" t="str">
            <v>5233AP</v>
          </cell>
        </row>
        <row r="186">
          <cell r="A186">
            <v>1220</v>
          </cell>
          <cell r="B186"/>
          <cell r="C186"/>
          <cell r="D186" t="str">
            <v>AH</v>
          </cell>
          <cell r="E186" t="str">
            <v>NL8032JX061X</v>
          </cell>
          <cell r="F186">
            <v>678659</v>
          </cell>
          <cell r="G186">
            <v>6888663</v>
          </cell>
          <cell r="H186" t="str">
            <v>O</v>
          </cell>
          <cell r="I186" t="str">
            <v>Dobbe 61</v>
          </cell>
          <cell r="J186" t="str">
            <v>8032JX</v>
          </cell>
        </row>
        <row r="187">
          <cell r="A187">
            <v>1221</v>
          </cell>
          <cell r="B187"/>
          <cell r="C187"/>
          <cell r="D187" t="str">
            <v>AH</v>
          </cell>
          <cell r="E187" t="str">
            <v>NL6901JE003X</v>
          </cell>
          <cell r="F187">
            <v>675918</v>
          </cell>
          <cell r="G187">
            <v>6780027</v>
          </cell>
          <cell r="H187" t="str">
            <v>O</v>
          </cell>
          <cell r="I187" t="str">
            <v>Kampsingel 2</v>
          </cell>
          <cell r="J187" t="str">
            <v>6901JE</v>
          </cell>
        </row>
        <row r="188">
          <cell r="A188">
            <v>1222</v>
          </cell>
          <cell r="B188"/>
          <cell r="C188"/>
          <cell r="D188" t="str">
            <v>AH</v>
          </cell>
          <cell r="E188" t="str">
            <v>NL5344AM002X</v>
          </cell>
          <cell r="F188">
            <v>612899</v>
          </cell>
          <cell r="G188">
            <v>6748327</v>
          </cell>
          <cell r="H188" t="str">
            <v>T</v>
          </cell>
          <cell r="I188" t="str">
            <v>Sterrebos 2</v>
          </cell>
          <cell r="J188" t="str">
            <v>5344AM</v>
          </cell>
        </row>
        <row r="189">
          <cell r="A189">
            <v>1224</v>
          </cell>
          <cell r="B189"/>
          <cell r="C189"/>
          <cell r="D189" t="str">
            <v>AH</v>
          </cell>
          <cell r="E189" t="str">
            <v>NL2904EB006X</v>
          </cell>
          <cell r="F189">
            <v>511794</v>
          </cell>
          <cell r="G189">
            <v>6781124</v>
          </cell>
          <cell r="H189" t="str">
            <v>P</v>
          </cell>
          <cell r="I189" t="str">
            <v>Amsteldiep 45</v>
          </cell>
          <cell r="J189" t="str">
            <v>2904EB</v>
          </cell>
        </row>
        <row r="190">
          <cell r="A190">
            <v>1225</v>
          </cell>
          <cell r="B190"/>
          <cell r="C190"/>
          <cell r="D190" t="str">
            <v>AH</v>
          </cell>
          <cell r="E190" t="str">
            <v>NL3121CA001X</v>
          </cell>
          <cell r="F190">
            <v>486717</v>
          </cell>
          <cell r="G190">
            <v>6780676</v>
          </cell>
          <cell r="H190" t="str">
            <v>P</v>
          </cell>
          <cell r="I190" t="str">
            <v>Hof van Spaland 1</v>
          </cell>
          <cell r="J190" t="str">
            <v>3121CA</v>
          </cell>
        </row>
        <row r="191">
          <cell r="A191">
            <v>1226</v>
          </cell>
          <cell r="B191"/>
          <cell r="C191"/>
          <cell r="D191" t="str">
            <v>AH</v>
          </cell>
          <cell r="E191" t="str">
            <v>NL2561DE120X</v>
          </cell>
          <cell r="F191">
            <v>474592</v>
          </cell>
          <cell r="G191">
            <v>6807166</v>
          </cell>
          <cell r="H191" t="str">
            <v>P</v>
          </cell>
          <cell r="I191" t="str">
            <v>Fahrenheitstraat 709</v>
          </cell>
          <cell r="J191" t="str">
            <v>2561DE</v>
          </cell>
        </row>
        <row r="192">
          <cell r="A192">
            <v>1227</v>
          </cell>
          <cell r="B192"/>
          <cell r="C192"/>
          <cell r="D192" t="str">
            <v>AH</v>
          </cell>
          <cell r="E192" t="str">
            <v>NL7542LA002X</v>
          </cell>
          <cell r="F192">
            <v>767328</v>
          </cell>
          <cell r="G192">
            <v>6827464</v>
          </cell>
          <cell r="H192" t="str">
            <v>O</v>
          </cell>
          <cell r="I192" t="str">
            <v>Veldhoflanden 2</v>
          </cell>
          <cell r="J192" t="str">
            <v>7542LA</v>
          </cell>
        </row>
        <row r="193">
          <cell r="A193">
            <v>1229</v>
          </cell>
          <cell r="B193"/>
          <cell r="C193"/>
          <cell r="D193" t="str">
            <v>AH</v>
          </cell>
          <cell r="E193" t="str">
            <v>NL7607SM001X</v>
          </cell>
          <cell r="F193">
            <v>740761</v>
          </cell>
          <cell r="G193">
            <v>6857050</v>
          </cell>
          <cell r="H193" t="str">
            <v>O</v>
          </cell>
          <cell r="I193" t="str">
            <v>Rosa Luxemburgstraat 1</v>
          </cell>
          <cell r="J193" t="str">
            <v>7607SM</v>
          </cell>
        </row>
        <row r="194">
          <cell r="A194">
            <v>1230</v>
          </cell>
          <cell r="B194"/>
          <cell r="C194"/>
          <cell r="D194" t="str">
            <v>AH</v>
          </cell>
          <cell r="E194" t="str">
            <v>NL3083CX622X</v>
          </cell>
          <cell r="F194">
            <v>499554</v>
          </cell>
          <cell r="G194">
            <v>6772246</v>
          </cell>
          <cell r="H194" t="str">
            <v>P</v>
          </cell>
          <cell r="I194" t="str">
            <v>Zuidplein 622</v>
          </cell>
          <cell r="J194" t="str">
            <v>3083CX</v>
          </cell>
        </row>
        <row r="195">
          <cell r="A195">
            <v>1232</v>
          </cell>
          <cell r="B195"/>
          <cell r="C195"/>
          <cell r="D195" t="str">
            <v>AH</v>
          </cell>
          <cell r="E195" t="str">
            <v>NL2135DS099X</v>
          </cell>
          <cell r="F195">
            <v>518648</v>
          </cell>
          <cell r="G195">
            <v>6847213</v>
          </cell>
          <cell r="H195" t="str">
            <v>Z</v>
          </cell>
          <cell r="I195" t="str">
            <v>Markenburg 99</v>
          </cell>
          <cell r="J195" t="str">
            <v>2135DS</v>
          </cell>
        </row>
        <row r="196">
          <cell r="A196">
            <v>1235</v>
          </cell>
          <cell r="B196"/>
          <cell r="C196"/>
          <cell r="D196" t="str">
            <v>AH</v>
          </cell>
          <cell r="E196" t="str">
            <v>NL8242BD001X</v>
          </cell>
          <cell r="F196">
            <v>607254</v>
          </cell>
          <cell r="G196">
            <v>6886506</v>
          </cell>
          <cell r="H196" t="str">
            <v>Z</v>
          </cell>
          <cell r="I196" t="str">
            <v>Kempenaar 341</v>
          </cell>
          <cell r="J196" t="str">
            <v>8242BD</v>
          </cell>
        </row>
        <row r="197">
          <cell r="A197">
            <v>1236</v>
          </cell>
          <cell r="B197"/>
          <cell r="C197"/>
          <cell r="D197" t="str">
            <v>AH</v>
          </cell>
          <cell r="E197" t="str">
            <v>NL9712BA001X</v>
          </cell>
          <cell r="F197">
            <v>729798</v>
          </cell>
          <cell r="G197">
            <v>7015291</v>
          </cell>
          <cell r="H197" t="str">
            <v>O</v>
          </cell>
          <cell r="I197" t="str">
            <v>Akerkhof 1</v>
          </cell>
          <cell r="J197" t="str">
            <v>9712BA</v>
          </cell>
        </row>
        <row r="198">
          <cell r="A198">
            <v>1237</v>
          </cell>
          <cell r="B198"/>
          <cell r="C198"/>
          <cell r="D198" t="str">
            <v>AH</v>
          </cell>
          <cell r="E198" t="str">
            <v>NL8911BK002X</v>
          </cell>
          <cell r="F198">
            <v>643965</v>
          </cell>
          <cell r="G198">
            <v>7011982</v>
          </cell>
          <cell r="H198" t="str">
            <v>O</v>
          </cell>
          <cell r="I198" t="str">
            <v>Prins Hendrikstraat 2</v>
          </cell>
          <cell r="J198" t="str">
            <v>8911BK</v>
          </cell>
        </row>
        <row r="199">
          <cell r="A199">
            <v>1238</v>
          </cell>
          <cell r="B199"/>
          <cell r="C199"/>
          <cell r="D199" t="str">
            <v>AH</v>
          </cell>
          <cell r="E199" t="str">
            <v>NL4823JV026X</v>
          </cell>
          <cell r="F199">
            <v>527462</v>
          </cell>
          <cell r="G199">
            <v>6724688</v>
          </cell>
          <cell r="H199" t="str">
            <v>T</v>
          </cell>
          <cell r="I199" t="str">
            <v>Heksenwaag 2</v>
          </cell>
          <cell r="J199" t="str">
            <v>4823JV</v>
          </cell>
        </row>
        <row r="200">
          <cell r="A200">
            <v>1239</v>
          </cell>
          <cell r="B200"/>
          <cell r="C200"/>
          <cell r="D200" t="str">
            <v>AH</v>
          </cell>
          <cell r="E200" t="str">
            <v>NL2724NA012X</v>
          </cell>
          <cell r="F200">
            <v>502173</v>
          </cell>
          <cell r="G200">
            <v>6804080</v>
          </cell>
          <cell r="H200" t="str">
            <v>P</v>
          </cell>
          <cell r="I200" t="str">
            <v>Petuniatuin 12</v>
          </cell>
          <cell r="J200" t="str">
            <v>2724NA</v>
          </cell>
        </row>
        <row r="201">
          <cell r="A201">
            <v>1242</v>
          </cell>
          <cell r="B201"/>
          <cell r="C201"/>
          <cell r="D201" t="str">
            <v>AH</v>
          </cell>
          <cell r="E201" t="str">
            <v>NL7558CZ083X</v>
          </cell>
          <cell r="F201">
            <v>759324</v>
          </cell>
          <cell r="G201">
            <v>6844137</v>
          </cell>
          <cell r="H201" t="str">
            <v>O</v>
          </cell>
          <cell r="I201" t="str">
            <v>Christiaan Langefeldstr 83</v>
          </cell>
          <cell r="J201" t="str">
            <v>7558CZ</v>
          </cell>
        </row>
        <row r="202">
          <cell r="A202">
            <v>1243</v>
          </cell>
          <cell r="B202"/>
          <cell r="C202"/>
          <cell r="D202" t="str">
            <v>AH</v>
          </cell>
          <cell r="E202" t="str">
            <v>NL9711HK009X</v>
          </cell>
          <cell r="F202">
            <v>729494</v>
          </cell>
          <cell r="G202">
            <v>7015172</v>
          </cell>
          <cell r="H202" t="str">
            <v>O</v>
          </cell>
          <cell r="I202" t="str">
            <v>Brugstraat 14</v>
          </cell>
          <cell r="J202" t="str">
            <v>9711HX</v>
          </cell>
        </row>
        <row r="203">
          <cell r="A203">
            <v>1244</v>
          </cell>
          <cell r="B203"/>
          <cell r="C203"/>
          <cell r="D203" t="str">
            <v>AH</v>
          </cell>
          <cell r="E203" t="str">
            <v>NL1411CX021X</v>
          </cell>
          <cell r="F203">
            <v>574085</v>
          </cell>
          <cell r="G203">
            <v>6846186</v>
          </cell>
          <cell r="H203" t="str">
            <v>Z</v>
          </cell>
          <cell r="I203" t="str">
            <v>Marktstraat 21</v>
          </cell>
          <cell r="J203" t="str">
            <v>1411CX</v>
          </cell>
        </row>
        <row r="204">
          <cell r="A204">
            <v>1246</v>
          </cell>
          <cell r="B204"/>
          <cell r="C204"/>
          <cell r="D204" t="str">
            <v>AH</v>
          </cell>
          <cell r="E204" t="str">
            <v>NL2725PE150X</v>
          </cell>
          <cell r="F204">
            <v>499863</v>
          </cell>
          <cell r="G204">
            <v>6805409</v>
          </cell>
          <cell r="H204" t="str">
            <v>P</v>
          </cell>
          <cell r="I204" t="str">
            <v>Broekwegzijde 150</v>
          </cell>
          <cell r="J204" t="str">
            <v>2725PE</v>
          </cell>
        </row>
        <row r="205">
          <cell r="A205">
            <v>1247</v>
          </cell>
          <cell r="B205"/>
          <cell r="C205"/>
          <cell r="D205" t="str">
            <v>AH</v>
          </cell>
          <cell r="E205" t="str">
            <v>NL3605KJ379X</v>
          </cell>
          <cell r="F205">
            <v>559447</v>
          </cell>
          <cell r="G205">
            <v>6816982</v>
          </cell>
          <cell r="H205" t="str">
            <v>Z</v>
          </cell>
          <cell r="I205" t="str">
            <v>Bisonspoor 1078</v>
          </cell>
          <cell r="J205" t="str">
            <v>3605KJ</v>
          </cell>
        </row>
        <row r="206">
          <cell r="A206">
            <v>1248</v>
          </cell>
          <cell r="B206"/>
          <cell r="C206"/>
          <cell r="D206" t="str">
            <v>AH</v>
          </cell>
          <cell r="E206" t="str">
            <v>NL3722AR030X</v>
          </cell>
          <cell r="F206">
            <v>579318</v>
          </cell>
          <cell r="G206">
            <v>6815797</v>
          </cell>
          <cell r="H206" t="str">
            <v>Z</v>
          </cell>
          <cell r="I206" t="str">
            <v>De Kwinkelier 30</v>
          </cell>
          <cell r="J206" t="str">
            <v>3722AR</v>
          </cell>
        </row>
        <row r="207">
          <cell r="A207">
            <v>1249</v>
          </cell>
          <cell r="B207"/>
          <cell r="C207"/>
          <cell r="D207" t="str">
            <v>AH</v>
          </cell>
          <cell r="E207" t="str">
            <v>NL3524BR180X</v>
          </cell>
          <cell r="F207">
            <v>571334</v>
          </cell>
          <cell r="G207">
            <v>6804349</v>
          </cell>
          <cell r="H207" t="str">
            <v>Z</v>
          </cell>
          <cell r="I207" t="str">
            <v>Hondsrug 60</v>
          </cell>
          <cell r="J207" t="str">
            <v>3524BR</v>
          </cell>
        </row>
        <row r="208">
          <cell r="A208">
            <v>1250</v>
          </cell>
          <cell r="B208"/>
          <cell r="C208"/>
          <cell r="D208" t="str">
            <v>AH</v>
          </cell>
          <cell r="E208" t="str">
            <v>NL5632KG070X</v>
          </cell>
          <cell r="F208">
            <v>610740</v>
          </cell>
          <cell r="G208">
            <v>6698632</v>
          </cell>
          <cell r="H208" t="str">
            <v>T</v>
          </cell>
          <cell r="I208" t="str">
            <v>Tarwelaan 70</v>
          </cell>
          <cell r="J208" t="str">
            <v>5632KG</v>
          </cell>
        </row>
        <row r="209">
          <cell r="A209">
            <v>1251</v>
          </cell>
          <cell r="B209"/>
          <cell r="C209"/>
          <cell r="D209" t="str">
            <v>AH</v>
          </cell>
          <cell r="E209" t="str">
            <v>NL1941EC037X</v>
          </cell>
          <cell r="F209">
            <v>518212</v>
          </cell>
          <cell r="G209">
            <v>6880021</v>
          </cell>
          <cell r="H209" t="str">
            <v>Z</v>
          </cell>
          <cell r="I209" t="str">
            <v>Beverhof 37B</v>
          </cell>
          <cell r="J209" t="str">
            <v>1941EC</v>
          </cell>
        </row>
        <row r="210">
          <cell r="A210">
            <v>1252</v>
          </cell>
          <cell r="B210"/>
          <cell r="C210"/>
          <cell r="D210" t="str">
            <v>AH</v>
          </cell>
          <cell r="E210" t="str">
            <v>NL5081AC052X</v>
          </cell>
          <cell r="F210">
            <v>571239</v>
          </cell>
          <cell r="G210">
            <v>6699592</v>
          </cell>
          <cell r="H210" t="str">
            <v>T</v>
          </cell>
          <cell r="I210" t="str">
            <v>Gelderstraat 52</v>
          </cell>
          <cell r="J210" t="str">
            <v>5081AC</v>
          </cell>
        </row>
        <row r="211">
          <cell r="A211">
            <v>1253</v>
          </cell>
          <cell r="B211"/>
          <cell r="C211"/>
          <cell r="D211" t="str">
            <v>AH</v>
          </cell>
          <cell r="E211" t="str">
            <v>NL2151NN185X</v>
          </cell>
          <cell r="F211">
            <v>513788</v>
          </cell>
          <cell r="G211">
            <v>6841533</v>
          </cell>
          <cell r="H211" t="str">
            <v>Z</v>
          </cell>
          <cell r="I211" t="str">
            <v>Handelplein 185</v>
          </cell>
          <cell r="J211" t="str">
            <v>2151NN</v>
          </cell>
        </row>
        <row r="212">
          <cell r="A212">
            <v>1254</v>
          </cell>
          <cell r="B212"/>
          <cell r="C212"/>
          <cell r="D212" t="str">
            <v>AH</v>
          </cell>
          <cell r="E212" t="str">
            <v>NL3905SH007X</v>
          </cell>
          <cell r="F212">
            <v>615245</v>
          </cell>
          <cell r="G212">
            <v>6797726</v>
          </cell>
          <cell r="H212" t="str">
            <v>O</v>
          </cell>
          <cell r="I212" t="str">
            <v>Veenslag 7</v>
          </cell>
          <cell r="J212" t="str">
            <v>3905SH</v>
          </cell>
        </row>
        <row r="213">
          <cell r="A213">
            <v>1255</v>
          </cell>
          <cell r="B213"/>
          <cell r="C213"/>
          <cell r="D213" t="str">
            <v>AH</v>
          </cell>
          <cell r="E213" t="str">
            <v>NL5663SC220X</v>
          </cell>
          <cell r="F213">
            <v>616332</v>
          </cell>
          <cell r="G213">
            <v>6687364</v>
          </cell>
          <cell r="H213" t="str">
            <v>T</v>
          </cell>
          <cell r="I213" t="str">
            <v>Laan van Tolkien 220</v>
          </cell>
          <cell r="J213" t="str">
            <v>5663SC</v>
          </cell>
        </row>
        <row r="214">
          <cell r="A214">
            <v>1256</v>
          </cell>
          <cell r="B214"/>
          <cell r="C214"/>
          <cell r="D214" t="str">
            <v>AH</v>
          </cell>
          <cell r="E214" t="str">
            <v>NL5671GG022X</v>
          </cell>
          <cell r="F214">
            <v>616568</v>
          </cell>
          <cell r="G214">
            <v>6697787</v>
          </cell>
          <cell r="H214" t="str">
            <v>T</v>
          </cell>
          <cell r="I214" t="str">
            <v>Parkstraat 22</v>
          </cell>
          <cell r="J214" t="str">
            <v>5671GG</v>
          </cell>
        </row>
        <row r="215">
          <cell r="A215">
            <v>1259</v>
          </cell>
          <cell r="B215"/>
          <cell r="C215"/>
          <cell r="D215" t="str">
            <v>AH</v>
          </cell>
          <cell r="E215" t="str">
            <v>NL8601HK035X</v>
          </cell>
          <cell r="F215">
            <v>628778</v>
          </cell>
          <cell r="G215">
            <v>6981377</v>
          </cell>
          <cell r="H215" t="str">
            <v>O</v>
          </cell>
          <cell r="I215" t="str">
            <v>Sint Antoniusplein 35</v>
          </cell>
          <cell r="J215" t="str">
            <v>8601HK</v>
          </cell>
        </row>
        <row r="216">
          <cell r="A216">
            <v>1260</v>
          </cell>
          <cell r="B216"/>
          <cell r="C216"/>
          <cell r="D216" t="str">
            <v>AH</v>
          </cell>
          <cell r="E216" t="str">
            <v>NL4461DB044X</v>
          </cell>
          <cell r="F216">
            <v>432189</v>
          </cell>
          <cell r="G216">
            <v>6703266</v>
          </cell>
          <cell r="H216" t="str">
            <v>P</v>
          </cell>
          <cell r="I216" t="str">
            <v>Kolveniershof 44</v>
          </cell>
          <cell r="J216" t="str">
            <v>4461DB</v>
          </cell>
        </row>
        <row r="217">
          <cell r="A217">
            <v>1261</v>
          </cell>
          <cell r="B217"/>
          <cell r="C217"/>
          <cell r="D217" t="str">
            <v>AH</v>
          </cell>
          <cell r="E217" t="str">
            <v>NL7329DH234X</v>
          </cell>
          <cell r="F217">
            <v>667773</v>
          </cell>
          <cell r="G217">
            <v>6828034</v>
          </cell>
          <cell r="H217" t="str">
            <v>O</v>
          </cell>
          <cell r="I217" t="str">
            <v>De Eglantier 234</v>
          </cell>
          <cell r="J217" t="str">
            <v>7329DH</v>
          </cell>
        </row>
        <row r="218">
          <cell r="A218">
            <v>1262</v>
          </cell>
          <cell r="B218"/>
          <cell r="C218"/>
          <cell r="D218" t="str">
            <v>AH</v>
          </cell>
          <cell r="E218" t="str">
            <v>NL1506TX004X</v>
          </cell>
          <cell r="F218">
            <v>535791</v>
          </cell>
          <cell r="G218">
            <v>6872015</v>
          </cell>
          <cell r="H218" t="str">
            <v>Z</v>
          </cell>
          <cell r="I218" t="str">
            <v>Hermitage 4</v>
          </cell>
          <cell r="J218" t="str">
            <v>1506TX</v>
          </cell>
        </row>
        <row r="219">
          <cell r="A219">
            <v>1263</v>
          </cell>
          <cell r="B219"/>
          <cell r="C219"/>
          <cell r="D219" t="str">
            <v>AH</v>
          </cell>
          <cell r="E219" t="str">
            <v>NL3011BP024X</v>
          </cell>
          <cell r="F219">
            <v>498013</v>
          </cell>
          <cell r="G219">
            <v>6776474</v>
          </cell>
          <cell r="H219" t="str">
            <v>P</v>
          </cell>
          <cell r="I219" t="str">
            <v>Vasteland 108</v>
          </cell>
          <cell r="J219" t="str">
            <v>3011BP</v>
          </cell>
        </row>
        <row r="220">
          <cell r="A220">
            <v>1264</v>
          </cell>
          <cell r="B220"/>
          <cell r="C220"/>
          <cell r="D220" t="str">
            <v>AH</v>
          </cell>
          <cell r="E220" t="str">
            <v>NL4615PA003X</v>
          </cell>
          <cell r="F220">
            <v>475447</v>
          </cell>
          <cell r="G220">
            <v>6701456</v>
          </cell>
          <cell r="H220" t="str">
            <v>T</v>
          </cell>
          <cell r="I220" t="str">
            <v>Markiezaatsweg 3</v>
          </cell>
          <cell r="J220" t="str">
            <v>4615PA</v>
          </cell>
        </row>
        <row r="221">
          <cell r="A221">
            <v>1265</v>
          </cell>
          <cell r="B221"/>
          <cell r="C221"/>
          <cell r="D221" t="str">
            <v>AH</v>
          </cell>
          <cell r="E221" t="str">
            <v>NL4907XP053X</v>
          </cell>
          <cell r="F221">
            <v>540833</v>
          </cell>
          <cell r="G221">
            <v>6731217</v>
          </cell>
          <cell r="H221" t="str">
            <v>T</v>
          </cell>
          <cell r="I221" t="str">
            <v>Arkendonk 53</v>
          </cell>
          <cell r="J221" t="str">
            <v>4907XP</v>
          </cell>
        </row>
        <row r="222">
          <cell r="A222">
            <v>1266</v>
          </cell>
          <cell r="B222"/>
          <cell r="C222"/>
          <cell r="D222" t="str">
            <v>AH</v>
          </cell>
          <cell r="E222" t="str">
            <v>NL3971EE001X</v>
          </cell>
          <cell r="F222">
            <v>587836</v>
          </cell>
          <cell r="G222">
            <v>6802279</v>
          </cell>
          <cell r="H222" t="str">
            <v>Z</v>
          </cell>
          <cell r="I222" t="str">
            <v>Binnenhof 1</v>
          </cell>
          <cell r="J222" t="str">
            <v>3971EE</v>
          </cell>
        </row>
        <row r="223">
          <cell r="A223">
            <v>1267</v>
          </cell>
          <cell r="B223"/>
          <cell r="C223"/>
          <cell r="D223" t="str">
            <v>AH</v>
          </cell>
          <cell r="E223" t="str">
            <v>NL5801BX008X</v>
          </cell>
          <cell r="F223">
            <v>664188</v>
          </cell>
          <cell r="G223">
            <v>6706766</v>
          </cell>
          <cell r="H223" t="str">
            <v>T</v>
          </cell>
          <cell r="I223" t="str">
            <v>Gouden Leeuw 8</v>
          </cell>
          <cell r="J223" t="str">
            <v>5801BX</v>
          </cell>
        </row>
        <row r="224">
          <cell r="A224">
            <v>1268</v>
          </cell>
          <cell r="B224" t="str">
            <v>Sluiting</v>
          </cell>
          <cell r="C224" t="str">
            <v>Relocatie 11-03-2016</v>
          </cell>
          <cell r="D224" t="str">
            <v>AH</v>
          </cell>
          <cell r="E224" t="str">
            <v>NL6711AV041X</v>
          </cell>
          <cell r="F224">
            <v>630790</v>
          </cell>
          <cell r="G224">
            <v>6800543</v>
          </cell>
          <cell r="H224" t="str">
            <v>O</v>
          </cell>
          <cell r="I224" t="str">
            <v>Achterdoelen 41</v>
          </cell>
          <cell r="J224" t="str">
            <v>6711AV</v>
          </cell>
        </row>
        <row r="225">
          <cell r="A225">
            <v>1268</v>
          </cell>
          <cell r="B225" t="str">
            <v>Nieuw</v>
          </cell>
          <cell r="C225">
            <v>42445</v>
          </cell>
          <cell r="D225" t="str">
            <v>AH</v>
          </cell>
          <cell r="E225" t="str">
            <v>NL6711CD001X</v>
          </cell>
          <cell r="F225">
            <v>630651</v>
          </cell>
          <cell r="G225">
            <v>6801148</v>
          </cell>
          <cell r="H225" t="str">
            <v>O</v>
          </cell>
          <cell r="I225" t="str">
            <v>Bunschoterplein 1</v>
          </cell>
          <cell r="J225" t="str">
            <v>6711CD</v>
          </cell>
        </row>
        <row r="226">
          <cell r="A226">
            <v>1269</v>
          </cell>
          <cell r="B226"/>
          <cell r="C226"/>
          <cell r="D226" t="str">
            <v>AH</v>
          </cell>
          <cell r="E226" t="str">
            <v>NL1705GS011X</v>
          </cell>
          <cell r="F226">
            <v>536706</v>
          </cell>
          <cell r="G226">
            <v>6910766</v>
          </cell>
          <cell r="H226" t="str">
            <v>Z</v>
          </cell>
          <cell r="I226" t="str">
            <v>A C op 't Landtplantsoen 11</v>
          </cell>
          <cell r="J226" t="str">
            <v>1705GS</v>
          </cell>
        </row>
        <row r="227">
          <cell r="A227">
            <v>1271</v>
          </cell>
          <cell r="B227"/>
          <cell r="C227"/>
          <cell r="D227" t="str">
            <v>AH</v>
          </cell>
          <cell r="E227" t="str">
            <v>NL5501KA008X</v>
          </cell>
          <cell r="F227">
            <v>601173</v>
          </cell>
          <cell r="G227">
            <v>6688654</v>
          </cell>
          <cell r="H227" t="str">
            <v>T</v>
          </cell>
          <cell r="I227" t="str">
            <v>Meiveld 8</v>
          </cell>
          <cell r="J227" t="str">
            <v>5501KA</v>
          </cell>
        </row>
        <row r="228">
          <cell r="A228">
            <v>1273</v>
          </cell>
          <cell r="B228"/>
          <cell r="C228"/>
          <cell r="D228" t="str">
            <v>AH</v>
          </cell>
          <cell r="E228" t="str">
            <v>NL2914KD092X</v>
          </cell>
          <cell r="F228">
            <v>513720</v>
          </cell>
          <cell r="G228">
            <v>6786691</v>
          </cell>
          <cell r="H228" t="str">
            <v>P</v>
          </cell>
          <cell r="I228" t="str">
            <v>Reigerhof 150</v>
          </cell>
          <cell r="J228" t="str">
            <v>2914KE</v>
          </cell>
        </row>
        <row r="229">
          <cell r="A229">
            <v>1274</v>
          </cell>
          <cell r="B229"/>
          <cell r="C229"/>
          <cell r="D229" t="str">
            <v>AH</v>
          </cell>
          <cell r="E229" t="str">
            <v>NL2804XA004X</v>
          </cell>
          <cell r="F229">
            <v>523197</v>
          </cell>
          <cell r="G229">
            <v>6798432</v>
          </cell>
          <cell r="H229" t="str">
            <v>P</v>
          </cell>
          <cell r="I229" t="str">
            <v>Lekkenburg 3</v>
          </cell>
          <cell r="J229" t="str">
            <v>2804XA</v>
          </cell>
        </row>
        <row r="230">
          <cell r="A230">
            <v>1275</v>
          </cell>
          <cell r="B230"/>
          <cell r="C230"/>
          <cell r="D230" t="str">
            <v>AH</v>
          </cell>
          <cell r="E230" t="str">
            <v>NL1334HE001X</v>
          </cell>
          <cell r="F230">
            <v>587210</v>
          </cell>
          <cell r="G230">
            <v>6864250</v>
          </cell>
          <cell r="H230" t="str">
            <v>Z</v>
          </cell>
          <cell r="I230" t="str">
            <v>Rio de Janeiroplein 1</v>
          </cell>
          <cell r="J230" t="str">
            <v>1334HE</v>
          </cell>
        </row>
        <row r="231">
          <cell r="A231">
            <v>1276</v>
          </cell>
          <cell r="B231"/>
          <cell r="C231"/>
          <cell r="D231" t="str">
            <v>AH</v>
          </cell>
          <cell r="E231" t="str">
            <v>NL1055DR117X</v>
          </cell>
          <cell r="F231">
            <v>539938</v>
          </cell>
          <cell r="G231">
            <v>6861767</v>
          </cell>
          <cell r="H231" t="str">
            <v>Z</v>
          </cell>
          <cell r="I231" t="str">
            <v>Bos en Lommerweg 117</v>
          </cell>
          <cell r="J231" t="str">
            <v>1055DR</v>
          </cell>
        </row>
        <row r="232">
          <cell r="A232">
            <v>1277</v>
          </cell>
          <cell r="B232"/>
          <cell r="C232"/>
          <cell r="D232" t="str">
            <v>AH</v>
          </cell>
          <cell r="E232" t="str">
            <v>NL2907ME038X</v>
          </cell>
          <cell r="F232">
            <v>509839</v>
          </cell>
          <cell r="G232">
            <v>6784113</v>
          </cell>
          <cell r="H232" t="str">
            <v>P</v>
          </cell>
          <cell r="I232" t="str">
            <v>Picassopassage 38</v>
          </cell>
          <cell r="J232" t="str">
            <v>2907ME</v>
          </cell>
        </row>
        <row r="233">
          <cell r="A233">
            <v>1278</v>
          </cell>
          <cell r="B233"/>
          <cell r="C233"/>
          <cell r="D233" t="str">
            <v>AH</v>
          </cell>
          <cell r="E233" t="str">
            <v>NL5683AS021X</v>
          </cell>
          <cell r="F233">
            <v>599838</v>
          </cell>
          <cell r="G233">
            <v>6704795</v>
          </cell>
          <cell r="H233" t="str">
            <v>T</v>
          </cell>
          <cell r="I233" t="str">
            <v>Boterhoek 17</v>
          </cell>
          <cell r="J233" t="str">
            <v>5683AS</v>
          </cell>
        </row>
        <row r="234">
          <cell r="A234">
            <v>1279</v>
          </cell>
          <cell r="B234"/>
          <cell r="C234"/>
          <cell r="D234" t="str">
            <v>AH</v>
          </cell>
          <cell r="E234" t="str">
            <v>NL3891ET026X</v>
          </cell>
          <cell r="F234">
            <v>616165</v>
          </cell>
          <cell r="G234">
            <v>6852437</v>
          </cell>
          <cell r="H234" t="str">
            <v>O</v>
          </cell>
          <cell r="I234" t="str">
            <v>Kerkstraat 26</v>
          </cell>
          <cell r="J234" t="str">
            <v>3891ET</v>
          </cell>
        </row>
        <row r="235">
          <cell r="A235">
            <v>1280</v>
          </cell>
          <cell r="B235"/>
          <cell r="C235"/>
          <cell r="D235" t="str">
            <v>AH</v>
          </cell>
          <cell r="E235" t="str">
            <v>NL9934BC026X</v>
          </cell>
          <cell r="F235">
            <v>770506</v>
          </cell>
          <cell r="G235">
            <v>7036915</v>
          </cell>
          <cell r="H235" t="str">
            <v>O</v>
          </cell>
          <cell r="I235" t="str">
            <v>Willemstraat 26</v>
          </cell>
          <cell r="J235" t="str">
            <v>9934BC</v>
          </cell>
        </row>
        <row r="236">
          <cell r="A236">
            <v>1282</v>
          </cell>
          <cell r="B236"/>
          <cell r="C236"/>
          <cell r="D236" t="str">
            <v>AH</v>
          </cell>
          <cell r="E236" t="str">
            <v>NL1056BJ087X</v>
          </cell>
          <cell r="F236">
            <v>540598</v>
          </cell>
          <cell r="G236">
            <v>6860508</v>
          </cell>
          <cell r="H236" t="str">
            <v>Z</v>
          </cell>
          <cell r="I236" t="str">
            <v>Jan van Galenstraat 87</v>
          </cell>
          <cell r="J236" t="str">
            <v>1056BJ</v>
          </cell>
        </row>
        <row r="237">
          <cell r="A237">
            <v>1283</v>
          </cell>
          <cell r="B237"/>
          <cell r="C237"/>
          <cell r="D237" t="str">
            <v>AH</v>
          </cell>
          <cell r="E237" t="str">
            <v>NL7271AE001X</v>
          </cell>
          <cell r="F237">
            <v>725599</v>
          </cell>
          <cell r="G237">
            <v>6813818</v>
          </cell>
          <cell r="H237" t="str">
            <v>O</v>
          </cell>
          <cell r="I237" t="str">
            <v>Lichtenhorst 1</v>
          </cell>
          <cell r="J237" t="str">
            <v>7271AE</v>
          </cell>
        </row>
        <row r="238">
          <cell r="A238">
            <v>1284</v>
          </cell>
          <cell r="B238"/>
          <cell r="C238"/>
          <cell r="D238" t="str">
            <v>AH</v>
          </cell>
          <cell r="E238" t="str">
            <v>NL1035EG035X</v>
          </cell>
          <cell r="F238">
            <v>544193</v>
          </cell>
          <cell r="G238">
            <v>6868243</v>
          </cell>
          <cell r="H238" t="str">
            <v>Z</v>
          </cell>
          <cell r="I238" t="str">
            <v>Molenwijk 35</v>
          </cell>
          <cell r="J238" t="str">
            <v>1035EG</v>
          </cell>
        </row>
        <row r="239">
          <cell r="A239">
            <v>1286</v>
          </cell>
          <cell r="B239"/>
          <cell r="C239"/>
          <cell r="D239" t="str">
            <v>AH</v>
          </cell>
          <cell r="E239" t="str">
            <v>NL3371VG016X</v>
          </cell>
          <cell r="F239">
            <v>537326</v>
          </cell>
          <cell r="G239">
            <v>6761010</v>
          </cell>
          <cell r="H239" t="str">
            <v>P</v>
          </cell>
          <cell r="I239" t="str">
            <v>Talmastraat 16</v>
          </cell>
          <cell r="J239" t="str">
            <v>3371VG</v>
          </cell>
        </row>
        <row r="240">
          <cell r="A240">
            <v>1287</v>
          </cell>
          <cell r="B240"/>
          <cell r="C240"/>
          <cell r="D240" t="str">
            <v>AH</v>
          </cell>
          <cell r="E240" t="str">
            <v>NL2582BE090X</v>
          </cell>
          <cell r="F240">
            <v>475584</v>
          </cell>
          <cell r="G240">
            <v>6809572</v>
          </cell>
          <cell r="H240" t="str">
            <v>P</v>
          </cell>
          <cell r="I240" t="str">
            <v>Frederik Hendriklaan 80</v>
          </cell>
          <cell r="J240" t="str">
            <v>2582BE</v>
          </cell>
        </row>
        <row r="241">
          <cell r="A241">
            <v>1288</v>
          </cell>
          <cell r="B241"/>
          <cell r="C241"/>
          <cell r="D241" t="str">
            <v>AH</v>
          </cell>
          <cell r="E241" t="str">
            <v>NL1214AX177X</v>
          </cell>
          <cell r="F241">
            <v>574675</v>
          </cell>
          <cell r="G241">
            <v>6831557</v>
          </cell>
          <cell r="H241" t="str">
            <v>Z</v>
          </cell>
          <cell r="I241" t="str">
            <v>Gijsbrecht van Amstelstr 177</v>
          </cell>
          <cell r="J241" t="str">
            <v>1214AX</v>
          </cell>
        </row>
        <row r="242">
          <cell r="A242">
            <v>1289</v>
          </cell>
          <cell r="B242"/>
          <cell r="C242"/>
          <cell r="D242" t="str">
            <v>AH</v>
          </cell>
          <cell r="E242" t="str">
            <v>NL1057DW065X</v>
          </cell>
          <cell r="F242">
            <v>539865</v>
          </cell>
          <cell r="G242">
            <v>6858575</v>
          </cell>
          <cell r="H242" t="str">
            <v>Z</v>
          </cell>
          <cell r="I242" t="str">
            <v>Postjesweg 65</v>
          </cell>
          <cell r="J242" t="str">
            <v>1057DW</v>
          </cell>
        </row>
        <row r="243">
          <cell r="A243">
            <v>1290</v>
          </cell>
          <cell r="B243"/>
          <cell r="C243"/>
          <cell r="D243" t="str">
            <v>AH</v>
          </cell>
          <cell r="E243" t="str">
            <v>NL2547EA281X</v>
          </cell>
          <cell r="F243">
            <v>474767</v>
          </cell>
          <cell r="G243">
            <v>6803802</v>
          </cell>
          <cell r="H243" t="str">
            <v>P</v>
          </cell>
          <cell r="I243" t="str">
            <v>Escamplaan 281</v>
          </cell>
          <cell r="J243" t="str">
            <v>2547EA</v>
          </cell>
        </row>
        <row r="244">
          <cell r="A244">
            <v>1291</v>
          </cell>
          <cell r="B244"/>
          <cell r="C244"/>
          <cell r="D244" t="str">
            <v>AH</v>
          </cell>
          <cell r="E244" t="str">
            <v>NL6871AR118X</v>
          </cell>
          <cell r="F244">
            <v>636910</v>
          </cell>
          <cell r="G244">
            <v>6787348</v>
          </cell>
          <cell r="H244" t="str">
            <v>O</v>
          </cell>
          <cell r="I244" t="str">
            <v>Dorpsstraat 118</v>
          </cell>
          <cell r="J244" t="str">
            <v>6871AR</v>
          </cell>
        </row>
        <row r="245">
          <cell r="A245">
            <v>1294</v>
          </cell>
          <cell r="B245"/>
          <cell r="C245"/>
          <cell r="D245" t="str">
            <v>AH</v>
          </cell>
          <cell r="E245" t="str">
            <v>NL3511DP149X</v>
          </cell>
          <cell r="F245">
            <v>568597</v>
          </cell>
          <cell r="G245">
            <v>6808755</v>
          </cell>
          <cell r="H245" t="str">
            <v>Z</v>
          </cell>
          <cell r="I245" t="str">
            <v>Godebaldkwartier 149</v>
          </cell>
          <cell r="J245" t="str">
            <v>3511DP</v>
          </cell>
        </row>
        <row r="246">
          <cell r="A246">
            <v>1295</v>
          </cell>
          <cell r="B246"/>
          <cell r="C246"/>
          <cell r="D246" t="str">
            <v>AH</v>
          </cell>
          <cell r="E246" t="str">
            <v>NL8043LS010X</v>
          </cell>
          <cell r="F246">
            <v>673362</v>
          </cell>
          <cell r="G246">
            <v>6889561</v>
          </cell>
          <cell r="H246" t="str">
            <v>O</v>
          </cell>
          <cell r="I246" t="str">
            <v>Wade 10</v>
          </cell>
          <cell r="J246" t="str">
            <v>8043LS</v>
          </cell>
        </row>
        <row r="247">
          <cell r="A247">
            <v>1296</v>
          </cell>
          <cell r="B247"/>
          <cell r="C247"/>
          <cell r="D247" t="str">
            <v>AH</v>
          </cell>
          <cell r="E247" t="str">
            <v>NL9363AR064X</v>
          </cell>
          <cell r="F247">
            <v>697004</v>
          </cell>
          <cell r="G247">
            <v>7001900</v>
          </cell>
          <cell r="H247" t="str">
            <v>O</v>
          </cell>
          <cell r="I247" t="str">
            <v>Wendtsteinweg 64</v>
          </cell>
          <cell r="J247" t="str">
            <v>9363AR</v>
          </cell>
        </row>
        <row r="248">
          <cell r="A248">
            <v>1298</v>
          </cell>
          <cell r="B248"/>
          <cell r="C248"/>
          <cell r="D248" t="str">
            <v>AH</v>
          </cell>
          <cell r="E248" t="str">
            <v>NL2596CK033X</v>
          </cell>
          <cell r="F248">
            <v>480395</v>
          </cell>
          <cell r="G248">
            <v>6808824</v>
          </cell>
          <cell r="H248" t="str">
            <v>P</v>
          </cell>
          <cell r="I248" t="str">
            <v>Weissenbruchstraat 116</v>
          </cell>
          <cell r="J248" t="str">
            <v>2596GK</v>
          </cell>
        </row>
        <row r="249">
          <cell r="A249">
            <v>1300</v>
          </cell>
          <cell r="B249"/>
          <cell r="C249"/>
          <cell r="D249" t="str">
            <v>AH</v>
          </cell>
          <cell r="E249" t="str">
            <v>NL2552XS008X</v>
          </cell>
          <cell r="F249">
            <v>472693</v>
          </cell>
          <cell r="G249">
            <v>6802394</v>
          </cell>
          <cell r="H249" t="str">
            <v>P</v>
          </cell>
          <cell r="I249" t="str">
            <v>Hildo Kroplaan 20</v>
          </cell>
          <cell r="J249" t="str">
            <v>2552XS</v>
          </cell>
        </row>
        <row r="250">
          <cell r="A250">
            <v>1301</v>
          </cell>
          <cell r="B250"/>
          <cell r="C250"/>
          <cell r="D250" t="str">
            <v>AH</v>
          </cell>
          <cell r="E250" t="str">
            <v>NL3111NP038X</v>
          </cell>
          <cell r="F250">
            <v>489388</v>
          </cell>
          <cell r="G250">
            <v>6777821</v>
          </cell>
          <cell r="H250" t="str">
            <v>P</v>
          </cell>
          <cell r="I250" t="str">
            <v>Lange Kerkstraat 34</v>
          </cell>
          <cell r="J250" t="str">
            <v>3111NP</v>
          </cell>
        </row>
        <row r="251">
          <cell r="A251">
            <v>1302</v>
          </cell>
          <cell r="B251"/>
          <cell r="C251"/>
          <cell r="D251" t="str">
            <v>AH</v>
          </cell>
          <cell r="E251" t="str">
            <v>NL1071NB149X</v>
          </cell>
          <cell r="F251">
            <v>541458</v>
          </cell>
          <cell r="G251">
            <v>6856655</v>
          </cell>
          <cell r="H251" t="str">
            <v>Z</v>
          </cell>
          <cell r="I251" t="str">
            <v>Johannes Verhulststraat 149</v>
          </cell>
          <cell r="J251" t="str">
            <v>1071NB</v>
          </cell>
        </row>
        <row r="252">
          <cell r="A252">
            <v>1303</v>
          </cell>
          <cell r="B252"/>
          <cell r="C252"/>
          <cell r="D252" t="str">
            <v>AH</v>
          </cell>
          <cell r="E252" t="str">
            <v>NL6679EN057X</v>
          </cell>
          <cell r="F252">
            <v>649135</v>
          </cell>
          <cell r="G252">
            <v>6770719</v>
          </cell>
          <cell r="H252" t="str">
            <v>T</v>
          </cell>
          <cell r="I252" t="str">
            <v>Jonagoldstraat 57</v>
          </cell>
          <cell r="J252" t="str">
            <v>6515EN</v>
          </cell>
        </row>
        <row r="253">
          <cell r="A253">
            <v>1304</v>
          </cell>
          <cell r="B253"/>
          <cell r="C253"/>
          <cell r="D253" t="str">
            <v>AH</v>
          </cell>
          <cell r="E253" t="str">
            <v>NL4701BM009X</v>
          </cell>
          <cell r="F253">
            <v>495143</v>
          </cell>
          <cell r="G253">
            <v>6708252</v>
          </cell>
          <cell r="H253" t="str">
            <v>T</v>
          </cell>
          <cell r="I253" t="str">
            <v>Laan van Brabant 9</v>
          </cell>
          <cell r="J253" t="str">
            <v>4701BM</v>
          </cell>
        </row>
        <row r="254">
          <cell r="A254">
            <v>1305</v>
          </cell>
          <cell r="B254"/>
          <cell r="C254"/>
          <cell r="D254" t="str">
            <v>AH</v>
          </cell>
          <cell r="E254" t="str">
            <v>NL5051NP019X</v>
          </cell>
          <cell r="F254">
            <v>563687</v>
          </cell>
          <cell r="G254">
            <v>6706406</v>
          </cell>
          <cell r="H254" t="str">
            <v>T</v>
          </cell>
          <cell r="I254" t="str">
            <v>De Hovel 19</v>
          </cell>
          <cell r="J254" t="str">
            <v>5051NP</v>
          </cell>
        </row>
        <row r="255">
          <cell r="A255">
            <v>1308</v>
          </cell>
          <cell r="B255"/>
          <cell r="C255"/>
          <cell r="D255" t="str">
            <v>AH</v>
          </cell>
          <cell r="E255" t="str">
            <v>NL9721CX004X</v>
          </cell>
          <cell r="F255">
            <v>731497</v>
          </cell>
          <cell r="G255">
            <v>7011805</v>
          </cell>
          <cell r="H255" t="str">
            <v>O</v>
          </cell>
          <cell r="I255" t="str">
            <v>Helperplein 4</v>
          </cell>
          <cell r="J255" t="str">
            <v>9721CX</v>
          </cell>
        </row>
        <row r="256">
          <cell r="A256">
            <v>1310</v>
          </cell>
          <cell r="B256"/>
          <cell r="C256"/>
          <cell r="D256" t="str">
            <v>AH</v>
          </cell>
          <cell r="E256" t="str">
            <v>NL1934PA011X</v>
          </cell>
          <cell r="F256">
            <v>516873</v>
          </cell>
          <cell r="G256">
            <v>6905056</v>
          </cell>
          <cell r="H256" t="str">
            <v>Z</v>
          </cell>
          <cell r="I256" t="str">
            <v>Nieuwe Egmonderstraatweg 11</v>
          </cell>
          <cell r="J256" t="str">
            <v>1934PA</v>
          </cell>
        </row>
        <row r="257">
          <cell r="A257">
            <v>1311</v>
          </cell>
          <cell r="B257"/>
          <cell r="C257"/>
          <cell r="D257" t="str">
            <v>AH</v>
          </cell>
          <cell r="E257" t="str">
            <v>NL3511ZK008X</v>
          </cell>
          <cell r="F257">
            <v>569775</v>
          </cell>
          <cell r="G257">
            <v>6807575</v>
          </cell>
          <cell r="H257" t="str">
            <v>Z</v>
          </cell>
          <cell r="I257" t="str">
            <v>Twijnstraat 8</v>
          </cell>
          <cell r="J257" t="str">
            <v>3511ZK</v>
          </cell>
        </row>
        <row r="258">
          <cell r="A258">
            <v>1312</v>
          </cell>
          <cell r="B258"/>
          <cell r="C258"/>
          <cell r="D258" t="str">
            <v>AH</v>
          </cell>
          <cell r="E258" t="str">
            <v>NL1223DP274X</v>
          </cell>
          <cell r="F258">
            <v>577374</v>
          </cell>
          <cell r="G258">
            <v>6834506</v>
          </cell>
          <cell r="H258" t="str">
            <v>Z</v>
          </cell>
          <cell r="I258" t="str">
            <v>Seinstraat 13</v>
          </cell>
          <cell r="J258" t="str">
            <v>1223DE</v>
          </cell>
        </row>
        <row r="259">
          <cell r="A259">
            <v>1314</v>
          </cell>
          <cell r="B259"/>
          <cell r="C259"/>
          <cell r="D259" t="str">
            <v>AH</v>
          </cell>
          <cell r="E259" t="str">
            <v>NL1012CR022X</v>
          </cell>
          <cell r="F259">
            <v>544820</v>
          </cell>
          <cell r="G259">
            <v>6860131</v>
          </cell>
          <cell r="H259" t="str">
            <v>Z</v>
          </cell>
          <cell r="I259" t="str">
            <v>Nieuwmarkt 18</v>
          </cell>
          <cell r="J259" t="str">
            <v>1012CR</v>
          </cell>
        </row>
        <row r="260">
          <cell r="A260">
            <v>1315</v>
          </cell>
          <cell r="B260"/>
          <cell r="C260"/>
          <cell r="D260" t="str">
            <v>AH</v>
          </cell>
          <cell r="E260" t="str">
            <v>NL1092XB141X</v>
          </cell>
          <cell r="F260">
            <v>547081</v>
          </cell>
          <cell r="G260">
            <v>6856862</v>
          </cell>
          <cell r="H260" t="str">
            <v>Z</v>
          </cell>
          <cell r="I260" t="str">
            <v>Krugerplein 3</v>
          </cell>
          <cell r="J260" t="str">
            <v>1092JZ</v>
          </cell>
        </row>
        <row r="261">
          <cell r="A261">
            <v>1316</v>
          </cell>
          <cell r="B261"/>
          <cell r="C261"/>
          <cell r="D261" t="str">
            <v>AH</v>
          </cell>
          <cell r="E261" t="str">
            <v>NL3533GJ063X</v>
          </cell>
          <cell r="F261">
            <v>565534</v>
          </cell>
          <cell r="G261">
            <v>6808132</v>
          </cell>
          <cell r="H261" t="str">
            <v>Z</v>
          </cell>
          <cell r="I261" t="str">
            <v>Handelstraat 63</v>
          </cell>
          <cell r="J261" t="str">
            <v>3533GJ</v>
          </cell>
        </row>
        <row r="262">
          <cell r="A262">
            <v>1317</v>
          </cell>
          <cell r="B262"/>
          <cell r="C262"/>
          <cell r="D262" t="str">
            <v>AH</v>
          </cell>
          <cell r="E262" t="str">
            <v>NL3816NR043X</v>
          </cell>
          <cell r="F262">
            <v>601117</v>
          </cell>
          <cell r="G262">
            <v>6819865</v>
          </cell>
          <cell r="H262" t="str">
            <v>Z</v>
          </cell>
          <cell r="I262" t="str">
            <v>Euterpeplein 43</v>
          </cell>
          <cell r="J262" t="str">
            <v>3816NR</v>
          </cell>
        </row>
        <row r="263">
          <cell r="A263">
            <v>1318</v>
          </cell>
          <cell r="B263"/>
          <cell r="C263"/>
          <cell r="D263" t="str">
            <v>AH</v>
          </cell>
          <cell r="E263" t="str">
            <v>NL1076NN085X</v>
          </cell>
          <cell r="F263">
            <v>540855</v>
          </cell>
          <cell r="G263">
            <v>6855240</v>
          </cell>
          <cell r="H263" t="str">
            <v>Z</v>
          </cell>
          <cell r="I263" t="str">
            <v>Stadionweg 159</v>
          </cell>
          <cell r="J263" t="str">
            <v>1076NN</v>
          </cell>
        </row>
        <row r="264">
          <cell r="A264">
            <v>1319</v>
          </cell>
          <cell r="B264"/>
          <cell r="C264"/>
          <cell r="D264" t="str">
            <v>AH</v>
          </cell>
          <cell r="E264" t="str">
            <v>NL3401BJ004X</v>
          </cell>
          <cell r="F264">
            <v>560335</v>
          </cell>
          <cell r="G264">
            <v>6795673</v>
          </cell>
          <cell r="H264" t="str">
            <v>P</v>
          </cell>
          <cell r="I264" t="str">
            <v>Basiliekpad 4</v>
          </cell>
          <cell r="J264" t="str">
            <v>3401BJ</v>
          </cell>
        </row>
        <row r="265">
          <cell r="A265">
            <v>1320</v>
          </cell>
          <cell r="B265"/>
          <cell r="C265"/>
          <cell r="D265" t="str">
            <v>AH</v>
          </cell>
          <cell r="E265" t="str">
            <v>NL3531BW058X</v>
          </cell>
          <cell r="F265">
            <v>567510</v>
          </cell>
          <cell r="G265">
            <v>6809265</v>
          </cell>
          <cell r="H265" t="str">
            <v>Z</v>
          </cell>
          <cell r="I265" t="str">
            <v>Damstraat 58</v>
          </cell>
          <cell r="J265" t="str">
            <v>3531BW</v>
          </cell>
        </row>
        <row r="266">
          <cell r="A266">
            <v>1321</v>
          </cell>
          <cell r="B266"/>
          <cell r="C266"/>
          <cell r="D266" t="str">
            <v>AH</v>
          </cell>
          <cell r="E266" t="str">
            <v>NL1018AV708X</v>
          </cell>
          <cell r="F266">
            <v>547573</v>
          </cell>
          <cell r="G266">
            <v>6859024</v>
          </cell>
          <cell r="H266" t="str">
            <v>Z</v>
          </cell>
          <cell r="I266" t="str">
            <v>Sarphatistraat 670</v>
          </cell>
          <cell r="J266" t="str">
            <v>1018AV</v>
          </cell>
        </row>
        <row r="267">
          <cell r="A267">
            <v>1322</v>
          </cell>
          <cell r="B267"/>
          <cell r="C267"/>
          <cell r="D267" t="str">
            <v>AH</v>
          </cell>
          <cell r="E267" t="str">
            <v>NL3581KM066X</v>
          </cell>
          <cell r="F267">
            <v>571029</v>
          </cell>
          <cell r="G267">
            <v>6808608</v>
          </cell>
          <cell r="H267" t="str">
            <v>Z</v>
          </cell>
          <cell r="I267" t="str">
            <v>Burg Reigerstraat 57</v>
          </cell>
          <cell r="J267" t="str">
            <v>3581KM</v>
          </cell>
        </row>
        <row r="268">
          <cell r="A268">
            <v>1324</v>
          </cell>
          <cell r="B268"/>
          <cell r="C268"/>
          <cell r="D268" t="str">
            <v>AH</v>
          </cell>
          <cell r="E268" t="str">
            <v>NL4841GB055X</v>
          </cell>
          <cell r="F268">
            <v>524499</v>
          </cell>
          <cell r="G268">
            <v>6721301</v>
          </cell>
          <cell r="H268" t="str">
            <v>T</v>
          </cell>
          <cell r="I268" t="str">
            <v>Beeksestraat 55</v>
          </cell>
          <cell r="J268" t="str">
            <v>4841GB</v>
          </cell>
        </row>
        <row r="269">
          <cell r="A269">
            <v>1326</v>
          </cell>
          <cell r="B269"/>
          <cell r="C269"/>
          <cell r="D269" t="str">
            <v>AH</v>
          </cell>
          <cell r="E269" t="str">
            <v>NL1394CS010X</v>
          </cell>
          <cell r="F269">
            <v>560978</v>
          </cell>
          <cell r="G269">
            <v>6840351</v>
          </cell>
          <cell r="H269" t="str">
            <v>Z</v>
          </cell>
          <cell r="I269" t="str">
            <v>Voorstraat 10</v>
          </cell>
          <cell r="J269" t="str">
            <v>1394CS</v>
          </cell>
        </row>
        <row r="270">
          <cell r="A270">
            <v>1327</v>
          </cell>
          <cell r="B270"/>
          <cell r="C270"/>
          <cell r="D270" t="str">
            <v>AH</v>
          </cell>
          <cell r="E270" t="str">
            <v>NL3431LN065X</v>
          </cell>
          <cell r="F270">
            <v>564935</v>
          </cell>
          <cell r="G270">
            <v>6797548</v>
          </cell>
          <cell r="H270" t="str">
            <v>Z</v>
          </cell>
          <cell r="I270" t="str">
            <v>Passage 65</v>
          </cell>
          <cell r="J270" t="str">
            <v>3431LN</v>
          </cell>
        </row>
        <row r="271">
          <cell r="A271">
            <v>1328</v>
          </cell>
          <cell r="B271"/>
          <cell r="C271"/>
          <cell r="D271" t="str">
            <v>AH</v>
          </cell>
          <cell r="E271" t="str">
            <v>NL1054JW454X</v>
          </cell>
          <cell r="F271">
            <v>540638</v>
          </cell>
          <cell r="G271">
            <v>6857707</v>
          </cell>
          <cell r="H271" t="str">
            <v>Z</v>
          </cell>
          <cell r="I271" t="str">
            <v>Overtoom 454</v>
          </cell>
          <cell r="J271" t="str">
            <v>1054JW</v>
          </cell>
        </row>
        <row r="272">
          <cell r="A272">
            <v>1329</v>
          </cell>
          <cell r="B272"/>
          <cell r="C272"/>
          <cell r="D272" t="str">
            <v>AH</v>
          </cell>
          <cell r="E272" t="str">
            <v>NL3621AB014X</v>
          </cell>
          <cell r="F272">
            <v>556362</v>
          </cell>
          <cell r="G272">
            <v>6823428</v>
          </cell>
          <cell r="H272" t="str">
            <v>Z</v>
          </cell>
          <cell r="I272" t="str">
            <v>Markt 10</v>
          </cell>
          <cell r="J272" t="str">
            <v>3621AB</v>
          </cell>
        </row>
        <row r="273">
          <cell r="A273">
            <v>1330</v>
          </cell>
          <cell r="B273"/>
          <cell r="C273"/>
          <cell r="D273" t="str">
            <v>AH</v>
          </cell>
          <cell r="E273" t="str">
            <v>NL9712HA019X</v>
          </cell>
          <cell r="F273">
            <v>730294</v>
          </cell>
          <cell r="G273">
            <v>7015955</v>
          </cell>
          <cell r="H273" t="str">
            <v>O</v>
          </cell>
          <cell r="I273" t="str">
            <v>Oude Ebbingestraat 19</v>
          </cell>
          <cell r="J273" t="str">
            <v>9712HA</v>
          </cell>
        </row>
        <row r="274">
          <cell r="A274">
            <v>1332</v>
          </cell>
          <cell r="B274"/>
          <cell r="C274"/>
          <cell r="D274" t="str">
            <v>AH</v>
          </cell>
          <cell r="E274" t="str">
            <v>NL2492JR055X</v>
          </cell>
          <cell r="F274">
            <v>489556</v>
          </cell>
          <cell r="G274">
            <v>6804213</v>
          </cell>
          <cell r="H274" t="str">
            <v>P</v>
          </cell>
          <cell r="I274" t="str">
            <v>Simon Carmiggelthof 55</v>
          </cell>
          <cell r="J274" t="str">
            <v>2492JR</v>
          </cell>
        </row>
        <row r="275">
          <cell r="A275">
            <v>1333</v>
          </cell>
          <cell r="B275"/>
          <cell r="C275"/>
          <cell r="D275" t="str">
            <v>AH</v>
          </cell>
          <cell r="E275" t="str">
            <v>NL3911LP069X</v>
          </cell>
          <cell r="F275">
            <v>619280</v>
          </cell>
          <cell r="G275">
            <v>6784922</v>
          </cell>
          <cell r="H275" t="str">
            <v>T</v>
          </cell>
          <cell r="I275" t="str">
            <v>M.W. van de Waalstraat 2</v>
          </cell>
          <cell r="J275" t="str">
            <v>3911LP</v>
          </cell>
        </row>
        <row r="276">
          <cell r="A276">
            <v>1335</v>
          </cell>
          <cell r="B276"/>
          <cell r="C276"/>
          <cell r="D276" t="str">
            <v>AH</v>
          </cell>
          <cell r="E276" t="str">
            <v>NL1062JB256X</v>
          </cell>
          <cell r="F276">
            <v>538260</v>
          </cell>
          <cell r="G276">
            <v>6855728</v>
          </cell>
          <cell r="H276" t="str">
            <v>Z</v>
          </cell>
          <cell r="I276" t="str">
            <v>Delflandplein 31</v>
          </cell>
          <cell r="J276" t="str">
            <v>1062HP</v>
          </cell>
        </row>
        <row r="277">
          <cell r="A277">
            <v>1338</v>
          </cell>
          <cell r="B277"/>
          <cell r="C277"/>
          <cell r="D277" t="str">
            <v>AH</v>
          </cell>
          <cell r="E277" t="str">
            <v>NL1013ZM003X</v>
          </cell>
          <cell r="F277">
            <v>542373</v>
          </cell>
          <cell r="G277">
            <v>6863637</v>
          </cell>
          <cell r="H277" t="str">
            <v>Z</v>
          </cell>
          <cell r="I277" t="str">
            <v>Spaarndammerdijk 3</v>
          </cell>
          <cell r="J277" t="str">
            <v>1013ZM</v>
          </cell>
        </row>
        <row r="278">
          <cell r="A278">
            <v>1340</v>
          </cell>
          <cell r="B278"/>
          <cell r="C278"/>
          <cell r="D278" t="str">
            <v>AH</v>
          </cell>
          <cell r="E278" t="str">
            <v>NL1062JR295X</v>
          </cell>
          <cell r="F278">
            <v>537963</v>
          </cell>
          <cell r="G278">
            <v>6858506</v>
          </cell>
          <cell r="H278" t="str">
            <v>Z</v>
          </cell>
          <cell r="I278" t="str">
            <v>August Allebeplein 12</v>
          </cell>
          <cell r="J278" t="str">
            <v>1062AC</v>
          </cell>
        </row>
        <row r="279">
          <cell r="A279">
            <v>1341</v>
          </cell>
          <cell r="B279"/>
          <cell r="C279"/>
          <cell r="D279" t="str">
            <v>AH</v>
          </cell>
          <cell r="E279" t="str">
            <v>NL3812DD113X</v>
          </cell>
          <cell r="F279">
            <v>596809</v>
          </cell>
          <cell r="G279">
            <v>6821419</v>
          </cell>
          <cell r="H279" t="str">
            <v>Z</v>
          </cell>
          <cell r="I279" t="str">
            <v>Noordewierweg 113</v>
          </cell>
          <cell r="J279" t="str">
            <v>3812DD</v>
          </cell>
        </row>
        <row r="280">
          <cell r="A280">
            <v>1342</v>
          </cell>
          <cell r="B280"/>
          <cell r="C280"/>
          <cell r="D280" t="str">
            <v>AH</v>
          </cell>
          <cell r="E280" t="str">
            <v>NL3039KM021X</v>
          </cell>
          <cell r="F280">
            <v>496197</v>
          </cell>
          <cell r="G280">
            <v>6779437</v>
          </cell>
          <cell r="H280" t="str">
            <v>P</v>
          </cell>
          <cell r="I280" t="str">
            <v>Bentinckplein 40</v>
          </cell>
          <cell r="J280" t="str">
            <v>3039KM</v>
          </cell>
        </row>
        <row r="281">
          <cell r="A281">
            <v>1343</v>
          </cell>
          <cell r="B281"/>
          <cell r="C281"/>
          <cell r="D281" t="str">
            <v>AH</v>
          </cell>
          <cell r="E281" t="str">
            <v>NL2593AB075X</v>
          </cell>
          <cell r="F281">
            <v>481797</v>
          </cell>
          <cell r="G281">
            <v>6807777</v>
          </cell>
          <cell r="H281" t="str">
            <v>P</v>
          </cell>
          <cell r="I281" t="str">
            <v>Theresiastraat 75</v>
          </cell>
          <cell r="J281" t="str">
            <v>2593AB</v>
          </cell>
        </row>
        <row r="282">
          <cell r="A282">
            <v>1344</v>
          </cell>
          <cell r="B282"/>
          <cell r="C282"/>
          <cell r="D282" t="str">
            <v>AH</v>
          </cell>
          <cell r="E282" t="str">
            <v>NL1274SV048X</v>
          </cell>
          <cell r="F282">
            <v>585166</v>
          </cell>
          <cell r="G282">
            <v>6845818</v>
          </cell>
          <cell r="H282" t="str">
            <v>Z</v>
          </cell>
          <cell r="I282" t="str">
            <v>Oostermeent-Zuid 48</v>
          </cell>
          <cell r="J282" t="str">
            <v>1274SV</v>
          </cell>
        </row>
        <row r="283">
          <cell r="A283">
            <v>1345</v>
          </cell>
          <cell r="B283"/>
          <cell r="C283"/>
          <cell r="D283" t="str">
            <v>AH</v>
          </cell>
          <cell r="E283" t="str">
            <v>NL2993EH010X</v>
          </cell>
          <cell r="F283">
            <v>500242</v>
          </cell>
          <cell r="G283">
            <v>6764751</v>
          </cell>
          <cell r="H283" t="str">
            <v>P</v>
          </cell>
          <cell r="I283" t="str">
            <v>Van Beuningenhaven 10</v>
          </cell>
          <cell r="J283" t="str">
            <v>2993EH</v>
          </cell>
        </row>
        <row r="284">
          <cell r="A284">
            <v>1347</v>
          </cell>
          <cell r="B284"/>
          <cell r="C284"/>
          <cell r="D284" t="str">
            <v>AH</v>
          </cell>
          <cell r="E284" t="str">
            <v>NL1104SE389X</v>
          </cell>
          <cell r="F284">
            <v>553576</v>
          </cell>
          <cell r="G284">
            <v>6849814</v>
          </cell>
          <cell r="H284" t="str">
            <v>Z</v>
          </cell>
          <cell r="I284" t="str">
            <v>Karspeldreef 1389</v>
          </cell>
          <cell r="J284" t="str">
            <v>1104SE</v>
          </cell>
        </row>
        <row r="285">
          <cell r="A285">
            <v>1348</v>
          </cell>
          <cell r="B285"/>
          <cell r="C285"/>
          <cell r="D285" t="str">
            <v>AH</v>
          </cell>
          <cell r="E285" t="str">
            <v>NL2106AG019X</v>
          </cell>
          <cell r="F285">
            <v>512115</v>
          </cell>
          <cell r="G285">
            <v>6857693</v>
          </cell>
          <cell r="H285" t="str">
            <v>Z</v>
          </cell>
          <cell r="I285" t="str">
            <v>Zandvoortselaan 169</v>
          </cell>
          <cell r="J285" t="str">
            <v>2106AM</v>
          </cell>
        </row>
        <row r="286">
          <cell r="A286">
            <v>1349</v>
          </cell>
          <cell r="B286"/>
          <cell r="C286"/>
          <cell r="D286" t="str">
            <v>AH</v>
          </cell>
          <cell r="E286" t="str">
            <v>NL1215EH044X</v>
          </cell>
          <cell r="F286">
            <v>573325</v>
          </cell>
          <cell r="G286">
            <v>6831335</v>
          </cell>
          <cell r="H286" t="str">
            <v>Z</v>
          </cell>
          <cell r="I286" t="str">
            <v>Van Hogendorplaan 44</v>
          </cell>
          <cell r="J286" t="str">
            <v>1215EH</v>
          </cell>
        </row>
        <row r="287">
          <cell r="A287">
            <v>1351</v>
          </cell>
          <cell r="B287"/>
          <cell r="C287"/>
          <cell r="D287" t="str">
            <v>AH</v>
          </cell>
          <cell r="E287" t="str">
            <v>NL6131AE001X</v>
          </cell>
          <cell r="F287">
            <v>651567</v>
          </cell>
          <cell r="G287">
            <v>6613714</v>
          </cell>
          <cell r="H287" t="str">
            <v>T</v>
          </cell>
          <cell r="I287" t="str">
            <v>Brugstraat 1</v>
          </cell>
          <cell r="J287" t="str">
            <v>6131AE</v>
          </cell>
        </row>
        <row r="288">
          <cell r="A288">
            <v>1352</v>
          </cell>
          <cell r="B288"/>
          <cell r="C288"/>
          <cell r="D288" t="str">
            <v>AH</v>
          </cell>
          <cell r="E288" t="str">
            <v>NL2542EJ661X</v>
          </cell>
          <cell r="F288">
            <v>474280</v>
          </cell>
          <cell r="G288">
            <v>6798702</v>
          </cell>
          <cell r="H288" t="str">
            <v>P</v>
          </cell>
          <cell r="I288" t="str">
            <v>Ambachtsgaarde 162</v>
          </cell>
          <cell r="J288" t="str">
            <v>2542EJ</v>
          </cell>
        </row>
        <row r="289">
          <cell r="A289">
            <v>1353</v>
          </cell>
          <cell r="B289"/>
          <cell r="C289"/>
          <cell r="D289" t="str">
            <v>AH</v>
          </cell>
          <cell r="E289" t="str">
            <v>NL2011SZ061X</v>
          </cell>
          <cell r="F289">
            <v>514826</v>
          </cell>
          <cell r="G289">
            <v>6860772</v>
          </cell>
          <cell r="H289" t="str">
            <v>Z</v>
          </cell>
          <cell r="I289" t="str">
            <v>Grote Houtstraat 182</v>
          </cell>
          <cell r="J289" t="str">
            <v>2011SZ</v>
          </cell>
        </row>
        <row r="290">
          <cell r="A290">
            <v>1354</v>
          </cell>
          <cell r="B290" t="str">
            <v>Sluiting</v>
          </cell>
          <cell r="C290" t="str">
            <v>Relocatie Week 26</v>
          </cell>
          <cell r="D290" t="str">
            <v>AH</v>
          </cell>
          <cell r="E290" t="str">
            <v>NL1031BZ011X</v>
          </cell>
          <cell r="F290">
            <v>546088</v>
          </cell>
          <cell r="G290">
            <v>6862723</v>
          </cell>
          <cell r="H290" t="str">
            <v>Z</v>
          </cell>
          <cell r="I290" t="str">
            <v>Meidoornplein 38</v>
          </cell>
          <cell r="J290" t="str">
            <v>1031BZ</v>
          </cell>
        </row>
        <row r="291">
          <cell r="A291">
            <v>1354</v>
          </cell>
          <cell r="B291" t="str">
            <v>Nieuw</v>
          </cell>
          <cell r="C291" t="str">
            <v>Week 26</v>
          </cell>
          <cell r="D291" t="str">
            <v>AH</v>
          </cell>
          <cell r="E291" t="str">
            <v>NL1031AD129X</v>
          </cell>
          <cell r="F291">
            <v>546211</v>
          </cell>
          <cell r="G291">
            <v>6863504</v>
          </cell>
          <cell r="H291" t="str">
            <v>Z</v>
          </cell>
          <cell r="I291" t="str">
            <v>Mosveld 129</v>
          </cell>
          <cell r="J291" t="str">
            <v>1031AD</v>
          </cell>
        </row>
        <row r="292">
          <cell r="A292">
            <v>1355</v>
          </cell>
          <cell r="B292"/>
          <cell r="C292"/>
          <cell r="D292" t="str">
            <v>AH</v>
          </cell>
          <cell r="E292" t="str">
            <v>NL8021JC016X</v>
          </cell>
          <cell r="F292">
            <v>678306</v>
          </cell>
          <cell r="G292">
            <v>6886488</v>
          </cell>
          <cell r="H292" t="str">
            <v>O</v>
          </cell>
          <cell r="I292" t="str">
            <v>Klein Grachtje 16</v>
          </cell>
          <cell r="J292" t="str">
            <v>8021JC</v>
          </cell>
        </row>
        <row r="293">
          <cell r="A293">
            <v>1356</v>
          </cell>
          <cell r="B293"/>
          <cell r="C293"/>
          <cell r="D293" t="str">
            <v>AH</v>
          </cell>
          <cell r="E293" t="str">
            <v>NL4141CL004X</v>
          </cell>
          <cell r="F293">
            <v>566676</v>
          </cell>
          <cell r="G293">
            <v>6772827</v>
          </cell>
          <cell r="H293" t="str">
            <v>T</v>
          </cell>
          <cell r="I293" t="str">
            <v>Vlietskant 4</v>
          </cell>
          <cell r="J293" t="str">
            <v>4141CL</v>
          </cell>
        </row>
        <row r="294">
          <cell r="A294">
            <v>1357</v>
          </cell>
          <cell r="B294"/>
          <cell r="C294"/>
          <cell r="D294" t="str">
            <v>AH</v>
          </cell>
          <cell r="E294" t="str">
            <v>NL5212VM068X</v>
          </cell>
          <cell r="F294">
            <v>589712</v>
          </cell>
          <cell r="G294">
            <v>6738643</v>
          </cell>
          <cell r="H294" t="str">
            <v>T</v>
          </cell>
          <cell r="I294" t="str">
            <v>Gruttostraat 23</v>
          </cell>
          <cell r="J294" t="str">
            <v>5212VM</v>
          </cell>
        </row>
        <row r="295">
          <cell r="A295">
            <v>1358</v>
          </cell>
          <cell r="B295"/>
          <cell r="C295"/>
          <cell r="D295" t="str">
            <v>AH</v>
          </cell>
          <cell r="E295" t="str">
            <v>NL7411HK030X</v>
          </cell>
          <cell r="F295">
            <v>684908</v>
          </cell>
          <cell r="G295">
            <v>6838414</v>
          </cell>
          <cell r="H295" t="str">
            <v>O</v>
          </cell>
          <cell r="I295" t="str">
            <v>Korte Bisschopstraat 30</v>
          </cell>
          <cell r="J295" t="str">
            <v>7411HK</v>
          </cell>
        </row>
        <row r="296">
          <cell r="A296">
            <v>1359</v>
          </cell>
          <cell r="B296"/>
          <cell r="C296"/>
          <cell r="D296" t="str">
            <v>AH</v>
          </cell>
          <cell r="E296" t="str">
            <v>NL2801JL050X</v>
          </cell>
          <cell r="F296">
            <v>523726</v>
          </cell>
          <cell r="G296">
            <v>6794732</v>
          </cell>
          <cell r="H296" t="str">
            <v>P</v>
          </cell>
          <cell r="I296" t="str">
            <v>Markt 50</v>
          </cell>
          <cell r="J296" t="str">
            <v>2801JL</v>
          </cell>
        </row>
        <row r="297">
          <cell r="A297">
            <v>1360</v>
          </cell>
          <cell r="B297"/>
          <cell r="C297"/>
          <cell r="D297" t="str">
            <v>AH</v>
          </cell>
          <cell r="E297" t="str">
            <v>NL5151JK043X</v>
          </cell>
          <cell r="F297">
            <v>570516</v>
          </cell>
          <cell r="G297">
            <v>6735411</v>
          </cell>
          <cell r="H297" t="str">
            <v>T</v>
          </cell>
          <cell r="I297" t="str">
            <v>Torenstraat 43</v>
          </cell>
          <cell r="J297" t="str">
            <v>5151JK</v>
          </cell>
        </row>
        <row r="298">
          <cell r="A298">
            <v>1361</v>
          </cell>
          <cell r="B298"/>
          <cell r="C298"/>
          <cell r="D298" t="str">
            <v>AH</v>
          </cell>
          <cell r="E298" t="str">
            <v>NL1431VV004X</v>
          </cell>
          <cell r="F298">
            <v>527733</v>
          </cell>
          <cell r="G298">
            <v>6841168</v>
          </cell>
          <cell r="H298" t="str">
            <v>Z</v>
          </cell>
          <cell r="I298" t="str">
            <v>Praamplein 4</v>
          </cell>
          <cell r="J298" t="str">
            <v>1431CV</v>
          </cell>
        </row>
        <row r="299">
          <cell r="A299">
            <v>1362</v>
          </cell>
          <cell r="B299"/>
          <cell r="C299"/>
          <cell r="D299" t="str">
            <v>AH</v>
          </cell>
          <cell r="E299" t="str">
            <v>NL7425GZ034X</v>
          </cell>
          <cell r="F299">
            <v>692024</v>
          </cell>
          <cell r="G299">
            <v>6839764</v>
          </cell>
          <cell r="H299" t="str">
            <v>O</v>
          </cell>
          <cell r="I299" t="str">
            <v>Andriessenplein 34</v>
          </cell>
          <cell r="J299" t="str">
            <v>7425GZ</v>
          </cell>
        </row>
        <row r="300">
          <cell r="A300">
            <v>1363</v>
          </cell>
          <cell r="B300"/>
          <cell r="C300"/>
          <cell r="D300" t="str">
            <v>AH</v>
          </cell>
          <cell r="E300" t="str">
            <v>NL1077DP026X</v>
          </cell>
          <cell r="F300">
            <v>542427</v>
          </cell>
          <cell r="G300">
            <v>6855678</v>
          </cell>
          <cell r="H300" t="str">
            <v>Z</v>
          </cell>
          <cell r="I300" t="str">
            <v>Gerrit van der Veenstr 57</v>
          </cell>
          <cell r="J300" t="str">
            <v>1077DP</v>
          </cell>
        </row>
        <row r="301">
          <cell r="A301">
            <v>1366</v>
          </cell>
          <cell r="B301"/>
          <cell r="C301"/>
          <cell r="D301" t="str">
            <v>AH</v>
          </cell>
          <cell r="E301" t="str">
            <v>NL2691CE016X</v>
          </cell>
          <cell r="F301">
            <v>462948</v>
          </cell>
          <cell r="G301">
            <v>6792581</v>
          </cell>
          <cell r="H301" t="str">
            <v>P</v>
          </cell>
          <cell r="I301" t="str">
            <v>Oudelandstraat 16</v>
          </cell>
          <cell r="J301" t="str">
            <v>2691CE</v>
          </cell>
        </row>
        <row r="302">
          <cell r="A302">
            <v>1367</v>
          </cell>
          <cell r="B302"/>
          <cell r="C302"/>
          <cell r="D302" t="str">
            <v>AH</v>
          </cell>
          <cell r="E302" t="str">
            <v>NL3021GS288X</v>
          </cell>
          <cell r="F302">
            <v>495749</v>
          </cell>
          <cell r="G302">
            <v>6776819</v>
          </cell>
          <cell r="H302" t="str">
            <v>P</v>
          </cell>
          <cell r="I302" t="str">
            <v>Nieuwe Binnenweg 288</v>
          </cell>
          <cell r="J302" t="str">
            <v>3021GS</v>
          </cell>
        </row>
        <row r="303">
          <cell r="A303">
            <v>1368</v>
          </cell>
          <cell r="B303"/>
          <cell r="C303"/>
          <cell r="D303" t="str">
            <v>AH</v>
          </cell>
          <cell r="E303" t="str">
            <v>NL3022LD061X</v>
          </cell>
          <cell r="F303">
            <v>494114</v>
          </cell>
          <cell r="G303">
            <v>6777659</v>
          </cell>
          <cell r="H303" t="str">
            <v>P</v>
          </cell>
          <cell r="I303" t="str">
            <v>Mathenesserplein 76</v>
          </cell>
          <cell r="J303" t="str">
            <v>3022LD</v>
          </cell>
        </row>
        <row r="304">
          <cell r="A304">
            <v>1370</v>
          </cell>
          <cell r="B304"/>
          <cell r="C304"/>
          <cell r="D304" t="str">
            <v>AH</v>
          </cell>
          <cell r="E304" t="str">
            <v>NL6602GV0006X</v>
          </cell>
          <cell r="F304">
            <v>636891</v>
          </cell>
          <cell r="G304">
            <v>6757617</v>
          </cell>
          <cell r="H304" t="str">
            <v>T</v>
          </cell>
          <cell r="I304" t="str">
            <v>Europaplein 85</v>
          </cell>
          <cell r="J304" t="str">
            <v>6602GV</v>
          </cell>
        </row>
        <row r="305">
          <cell r="A305">
            <v>1372</v>
          </cell>
          <cell r="B305"/>
          <cell r="C305"/>
          <cell r="D305" t="str">
            <v>AH</v>
          </cell>
          <cell r="E305" t="str">
            <v>NL4822WK150X</v>
          </cell>
          <cell r="F305">
            <v>525284</v>
          </cell>
          <cell r="G305">
            <v>6723020</v>
          </cell>
          <cell r="H305" t="str">
            <v>T</v>
          </cell>
          <cell r="I305" t="str">
            <v>Kesterenlaan 150</v>
          </cell>
          <cell r="J305" t="str">
            <v>4822WK</v>
          </cell>
        </row>
        <row r="306">
          <cell r="A306">
            <v>1373</v>
          </cell>
          <cell r="B306"/>
          <cell r="C306"/>
          <cell r="D306" t="str">
            <v>AH</v>
          </cell>
          <cell r="E306" t="str">
            <v>NL2871AS001X</v>
          </cell>
          <cell r="F306">
            <v>540256</v>
          </cell>
          <cell r="G306">
            <v>6782943</v>
          </cell>
          <cell r="H306" t="str">
            <v>P</v>
          </cell>
          <cell r="I306" t="str">
            <v>Cellebroedersstraat 1</v>
          </cell>
          <cell r="J306" t="str">
            <v>2871AS</v>
          </cell>
        </row>
        <row r="307">
          <cell r="A307">
            <v>1375</v>
          </cell>
          <cell r="B307"/>
          <cell r="C307"/>
          <cell r="D307" t="str">
            <v>AH</v>
          </cell>
          <cell r="E307" t="str">
            <v>NL5037DN124X</v>
          </cell>
          <cell r="F307">
            <v>561467</v>
          </cell>
          <cell r="G307">
            <v>6713758</v>
          </cell>
          <cell r="H307" t="str">
            <v>T</v>
          </cell>
          <cell r="I307" t="str">
            <v>Professor de Moorplein 124</v>
          </cell>
          <cell r="J307" t="str">
            <v>5037DN</v>
          </cell>
        </row>
        <row r="308">
          <cell r="A308">
            <v>1376</v>
          </cell>
          <cell r="B308"/>
          <cell r="C308"/>
          <cell r="D308" t="str">
            <v>AH</v>
          </cell>
          <cell r="E308" t="str">
            <v>NL3551BN003X</v>
          </cell>
          <cell r="F308">
            <v>566502</v>
          </cell>
          <cell r="G308">
            <v>6811316</v>
          </cell>
          <cell r="H308" t="str">
            <v>Z</v>
          </cell>
          <cell r="I308" t="str">
            <v>Amsterdamsestraatweg 367</v>
          </cell>
          <cell r="J308" t="str">
            <v>3551CK</v>
          </cell>
        </row>
        <row r="309">
          <cell r="A309">
            <v>1379</v>
          </cell>
          <cell r="B309"/>
          <cell r="C309"/>
          <cell r="D309" t="str">
            <v>AH</v>
          </cell>
          <cell r="E309" t="str">
            <v>NL5611CA001X</v>
          </cell>
          <cell r="F309">
            <v>609374</v>
          </cell>
          <cell r="G309">
            <v>6692158</v>
          </cell>
          <cell r="H309" t="str">
            <v>T</v>
          </cell>
          <cell r="I309" t="str">
            <v>18 Septemberplein 23</v>
          </cell>
          <cell r="J309" t="str">
            <v>5611AL</v>
          </cell>
        </row>
        <row r="310">
          <cell r="A310">
            <v>1380</v>
          </cell>
          <cell r="B310"/>
          <cell r="C310"/>
          <cell r="D310" t="str">
            <v>AH</v>
          </cell>
          <cell r="E310" t="str">
            <v>NL5672GL008X</v>
          </cell>
          <cell r="F310">
            <v>617136</v>
          </cell>
          <cell r="G310">
            <v>6696476</v>
          </cell>
          <cell r="H310" t="str">
            <v>T</v>
          </cell>
          <cell r="I310" t="str">
            <v>Hoge Brake 8</v>
          </cell>
          <cell r="J310" t="str">
            <v>5672GL</v>
          </cell>
        </row>
        <row r="311">
          <cell r="A311">
            <v>1381</v>
          </cell>
          <cell r="B311"/>
          <cell r="C311"/>
          <cell r="D311" t="str">
            <v>AH</v>
          </cell>
          <cell r="E311" t="str">
            <v>NL3206TL105X</v>
          </cell>
          <cell r="F311">
            <v>480169</v>
          </cell>
          <cell r="G311">
            <v>6762419</v>
          </cell>
          <cell r="H311" t="str">
            <v>P</v>
          </cell>
          <cell r="I311" t="str">
            <v>Zomerakker 105</v>
          </cell>
          <cell r="J311" t="str">
            <v>3206TL</v>
          </cell>
        </row>
        <row r="312">
          <cell r="A312">
            <v>1382</v>
          </cell>
          <cell r="B312"/>
          <cell r="C312"/>
          <cell r="D312" t="str">
            <v>AH</v>
          </cell>
          <cell r="E312" t="str">
            <v>NL4817LR021X</v>
          </cell>
          <cell r="F312">
            <v>533779</v>
          </cell>
          <cell r="G312">
            <v>6718874</v>
          </cell>
          <cell r="H312" t="str">
            <v>T</v>
          </cell>
          <cell r="I312" t="str">
            <v>Brabantplein 24</v>
          </cell>
          <cell r="J312" t="str">
            <v>4817LR</v>
          </cell>
        </row>
        <row r="313">
          <cell r="A313">
            <v>1383</v>
          </cell>
          <cell r="B313"/>
          <cell r="C313"/>
          <cell r="D313" t="str">
            <v>AH</v>
          </cell>
          <cell r="E313" t="str">
            <v>NL3131CN112X</v>
          </cell>
          <cell r="F313">
            <v>482623</v>
          </cell>
          <cell r="G313">
            <v>6776368</v>
          </cell>
          <cell r="H313" t="str">
            <v>P</v>
          </cell>
          <cell r="I313" t="str">
            <v>Veerplein 112</v>
          </cell>
          <cell r="J313" t="str">
            <v>3131CN</v>
          </cell>
        </row>
        <row r="314">
          <cell r="A314">
            <v>1385</v>
          </cell>
          <cell r="B314"/>
          <cell r="C314"/>
          <cell r="D314" t="str">
            <v>AH XL</v>
          </cell>
          <cell r="E314" t="str">
            <v>NL1814GR001X</v>
          </cell>
          <cell r="F314">
            <v>526591</v>
          </cell>
          <cell r="G314">
            <v>6905128</v>
          </cell>
          <cell r="H314" t="str">
            <v>Z</v>
          </cell>
          <cell r="I314" t="str">
            <v>Wendelaarstraat 1</v>
          </cell>
          <cell r="J314" t="str">
            <v>1814GR</v>
          </cell>
        </row>
        <row r="315">
          <cell r="A315">
            <v>1386</v>
          </cell>
          <cell r="B315"/>
          <cell r="C315"/>
          <cell r="D315" t="str">
            <v>AH</v>
          </cell>
          <cell r="E315" t="str">
            <v>NL3202GL040X</v>
          </cell>
          <cell r="F315">
            <v>480039</v>
          </cell>
          <cell r="G315">
            <v>6766443</v>
          </cell>
          <cell r="H315" t="str">
            <v>P</v>
          </cell>
          <cell r="I315" t="str">
            <v>'t Plateau 31</v>
          </cell>
          <cell r="J315" t="str">
            <v>3202GL</v>
          </cell>
        </row>
        <row r="316">
          <cell r="A316">
            <v>1387</v>
          </cell>
          <cell r="B316"/>
          <cell r="C316"/>
          <cell r="D316" t="str">
            <v>AH</v>
          </cell>
          <cell r="E316" t="str">
            <v>NL4813BS048X</v>
          </cell>
          <cell r="F316">
            <v>527031</v>
          </cell>
          <cell r="G316">
            <v>6716722</v>
          </cell>
          <cell r="H316" t="str">
            <v>T</v>
          </cell>
          <cell r="I316" t="str">
            <v>Past van Spaandonkstraat 48</v>
          </cell>
          <cell r="J316" t="str">
            <v>4813BS</v>
          </cell>
        </row>
        <row r="317">
          <cell r="A317">
            <v>1388</v>
          </cell>
          <cell r="B317"/>
          <cell r="C317"/>
          <cell r="D317" t="str">
            <v>AH</v>
          </cell>
          <cell r="E317" t="str">
            <v>NL2641DZ001X</v>
          </cell>
          <cell r="F317">
            <v>493087</v>
          </cell>
          <cell r="G317">
            <v>6795962</v>
          </cell>
          <cell r="H317" t="str">
            <v>P</v>
          </cell>
          <cell r="I317" t="str">
            <v>Ackershof 53</v>
          </cell>
          <cell r="J317" t="str">
            <v>2641DZ</v>
          </cell>
        </row>
        <row r="318">
          <cell r="A318">
            <v>1390</v>
          </cell>
          <cell r="B318"/>
          <cell r="C318"/>
          <cell r="D318" t="str">
            <v>AH</v>
          </cell>
          <cell r="E318" t="str">
            <v>NL6291GZ005X</v>
          </cell>
          <cell r="F318">
            <v>669478</v>
          </cell>
          <cell r="G318">
            <v>6573783</v>
          </cell>
          <cell r="H318" t="str">
            <v>T</v>
          </cell>
          <cell r="I318" t="str">
            <v>Pr Willem Alexanderplein 5</v>
          </cell>
          <cell r="J318" t="str">
            <v>6291GZ</v>
          </cell>
        </row>
        <row r="319">
          <cell r="A319">
            <v>1391</v>
          </cell>
          <cell r="B319"/>
          <cell r="C319"/>
          <cell r="D319" t="str">
            <v>AH</v>
          </cell>
          <cell r="E319" t="str">
            <v>NL1071AP033X</v>
          </cell>
          <cell r="F319">
            <v>542556</v>
          </cell>
          <cell r="G319">
            <v>6857290</v>
          </cell>
          <cell r="H319" t="str">
            <v>Z</v>
          </cell>
          <cell r="I319" t="str">
            <v>Van Baerlestraat 33</v>
          </cell>
          <cell r="J319" t="str">
            <v>1071AP</v>
          </cell>
        </row>
        <row r="320">
          <cell r="A320">
            <v>1392</v>
          </cell>
          <cell r="B320"/>
          <cell r="C320"/>
          <cell r="D320" t="str">
            <v>AH</v>
          </cell>
          <cell r="E320" t="str">
            <v>NL1402BA011X</v>
          </cell>
          <cell r="F320">
            <v>574394</v>
          </cell>
          <cell r="G320">
            <v>6841689</v>
          </cell>
          <cell r="H320" t="str">
            <v>Z</v>
          </cell>
          <cell r="I320" t="str">
            <v>Laarderweg 11</v>
          </cell>
          <cell r="J320" t="str">
            <v>1402BA</v>
          </cell>
        </row>
        <row r="321">
          <cell r="A321">
            <v>1393</v>
          </cell>
          <cell r="B321"/>
          <cell r="C321"/>
          <cell r="D321" t="str">
            <v>AH</v>
          </cell>
          <cell r="E321" t="str">
            <v>NL2585CS002X</v>
          </cell>
          <cell r="F321">
            <v>478576</v>
          </cell>
          <cell r="G321">
            <v>6809105</v>
          </cell>
          <cell r="H321" t="str">
            <v>P</v>
          </cell>
          <cell r="I321" t="str">
            <v>Sumatrastraat 2</v>
          </cell>
          <cell r="J321" t="str">
            <v>2585CS</v>
          </cell>
        </row>
        <row r="322">
          <cell r="A322">
            <v>1394</v>
          </cell>
          <cell r="B322"/>
          <cell r="C322"/>
          <cell r="D322" t="str">
            <v>AH XL</v>
          </cell>
          <cell r="E322" t="str">
            <v>NL5652AA139X</v>
          </cell>
          <cell r="F322">
            <v>606091</v>
          </cell>
          <cell r="G322">
            <v>6691171</v>
          </cell>
          <cell r="H322" t="str">
            <v>T</v>
          </cell>
          <cell r="I322" t="str">
            <v>Limburglaan 2</v>
          </cell>
          <cell r="J322" t="str">
            <v>5652AA</v>
          </cell>
        </row>
        <row r="323">
          <cell r="A323">
            <v>1395</v>
          </cell>
          <cell r="B323"/>
          <cell r="C323"/>
          <cell r="D323" t="str">
            <v>AH</v>
          </cell>
          <cell r="E323" t="str">
            <v>NL1823CL029X</v>
          </cell>
          <cell r="F323">
            <v>528390</v>
          </cell>
          <cell r="G323">
            <v>6907767</v>
          </cell>
          <cell r="H323" t="str">
            <v>Z</v>
          </cell>
          <cell r="I323" t="str">
            <v>Noorderkade 122</v>
          </cell>
          <cell r="J323" t="str">
            <v>1823CJ</v>
          </cell>
        </row>
        <row r="324">
          <cell r="A324">
            <v>1396</v>
          </cell>
          <cell r="B324"/>
          <cell r="C324"/>
          <cell r="D324" t="str">
            <v>AH</v>
          </cell>
          <cell r="E324" t="str">
            <v>NL6415AA025X</v>
          </cell>
          <cell r="F324">
            <v>665425</v>
          </cell>
          <cell r="G324">
            <v>6594644</v>
          </cell>
          <cell r="H324" t="str">
            <v>T</v>
          </cell>
          <cell r="I324" t="str">
            <v>Schandelerboord 25</v>
          </cell>
          <cell r="J324" t="str">
            <v>6415AA</v>
          </cell>
        </row>
        <row r="325">
          <cell r="A325">
            <v>1397</v>
          </cell>
          <cell r="B325"/>
          <cell r="C325"/>
          <cell r="D325" t="str">
            <v>AH XL</v>
          </cell>
          <cell r="E325" t="str">
            <v>NL6831ER086X</v>
          </cell>
          <cell r="F325">
            <v>655827</v>
          </cell>
          <cell r="G325">
            <v>6785083</v>
          </cell>
          <cell r="H325" t="str">
            <v>O</v>
          </cell>
          <cell r="I325" t="str">
            <v>Kronenburgpassage 86</v>
          </cell>
          <cell r="J325" t="str">
            <v>6831ER</v>
          </cell>
        </row>
        <row r="326">
          <cell r="A326">
            <v>1399</v>
          </cell>
          <cell r="B326"/>
          <cell r="C326"/>
          <cell r="D326" t="str">
            <v>AH</v>
          </cell>
          <cell r="E326" t="str">
            <v>NL2611CL033X</v>
          </cell>
          <cell r="F326">
            <v>484900</v>
          </cell>
          <cell r="G326">
            <v>6794273</v>
          </cell>
          <cell r="H326" t="str">
            <v>P</v>
          </cell>
          <cell r="I326" t="str">
            <v>Brabantse Turfmarkt 33</v>
          </cell>
          <cell r="J326" t="str">
            <v>2611CL</v>
          </cell>
        </row>
        <row r="327">
          <cell r="A327">
            <v>1400</v>
          </cell>
          <cell r="B327"/>
          <cell r="C327"/>
          <cell r="D327" t="str">
            <v>AH</v>
          </cell>
          <cell r="E327" t="str">
            <v>NL1064CG002X</v>
          </cell>
          <cell r="F327">
            <v>536690</v>
          </cell>
          <cell r="G327">
            <v>6856829</v>
          </cell>
          <cell r="H327" t="str">
            <v>Z</v>
          </cell>
          <cell r="I327" t="str">
            <v>Sierplein 78</v>
          </cell>
          <cell r="J327" t="str">
            <v>1065LN</v>
          </cell>
        </row>
        <row r="328">
          <cell r="A328">
            <v>1401</v>
          </cell>
          <cell r="B328"/>
          <cell r="C328"/>
          <cell r="D328" t="str">
            <v>AH</v>
          </cell>
          <cell r="E328" t="str">
            <v>NL7571DT017X</v>
          </cell>
          <cell r="F328">
            <v>770179</v>
          </cell>
          <cell r="G328">
            <v>6849425</v>
          </cell>
          <cell r="H328" t="str">
            <v>O</v>
          </cell>
          <cell r="I328" t="str">
            <v>In den Vijfhoek 17</v>
          </cell>
          <cell r="J328" t="str">
            <v>7571DT</v>
          </cell>
        </row>
        <row r="329">
          <cell r="A329">
            <v>1402</v>
          </cell>
          <cell r="B329"/>
          <cell r="C329"/>
          <cell r="D329" t="str">
            <v>AH</v>
          </cell>
          <cell r="E329" t="str">
            <v>NL2353TS029X</v>
          </cell>
          <cell r="F329">
            <v>504126</v>
          </cell>
          <cell r="G329">
            <v>6822081</v>
          </cell>
          <cell r="H329" t="str">
            <v>P</v>
          </cell>
          <cell r="I329" t="str">
            <v>Winkelhof 29</v>
          </cell>
          <cell r="J329" t="str">
            <v>2353TS</v>
          </cell>
        </row>
        <row r="330">
          <cell r="A330">
            <v>1403</v>
          </cell>
          <cell r="B330"/>
          <cell r="C330"/>
          <cell r="D330" t="str">
            <v>AH</v>
          </cell>
          <cell r="E330" t="str">
            <v>NL1825RV001X</v>
          </cell>
          <cell r="F330">
            <v>529142</v>
          </cell>
          <cell r="G330">
            <v>6911691</v>
          </cell>
          <cell r="H330" t="str">
            <v>Z</v>
          </cell>
          <cell r="I330" t="str">
            <v>Europaboulevard 26</v>
          </cell>
          <cell r="J330" t="str">
            <v>1825SB</v>
          </cell>
        </row>
        <row r="331">
          <cell r="A331">
            <v>1404</v>
          </cell>
          <cell r="B331"/>
          <cell r="C331"/>
          <cell r="D331" t="str">
            <v>AH</v>
          </cell>
          <cell r="E331" t="str">
            <v>NL1404DG002X</v>
          </cell>
          <cell r="F331">
            <v>573873</v>
          </cell>
          <cell r="G331">
            <v>6842601</v>
          </cell>
          <cell r="H331" t="str">
            <v>Z</v>
          </cell>
          <cell r="I331" t="str">
            <v>Veerstraat 20</v>
          </cell>
          <cell r="J331" t="str">
            <v>1404CH</v>
          </cell>
        </row>
        <row r="332">
          <cell r="A332">
            <v>1405</v>
          </cell>
          <cell r="B332"/>
          <cell r="C332"/>
          <cell r="D332" t="str">
            <v>AH</v>
          </cell>
          <cell r="E332" t="str">
            <v>NL2632GC010X</v>
          </cell>
          <cell r="F332">
            <v>488281</v>
          </cell>
          <cell r="G332">
            <v>6800731</v>
          </cell>
          <cell r="H332" t="str">
            <v>P</v>
          </cell>
          <cell r="I332" t="str">
            <v>Lange Baan 6</v>
          </cell>
          <cell r="J332" t="str">
            <v>2632GC</v>
          </cell>
        </row>
        <row r="333">
          <cell r="A333">
            <v>1406</v>
          </cell>
          <cell r="B333"/>
          <cell r="C333"/>
          <cell r="D333" t="str">
            <v>AH</v>
          </cell>
          <cell r="E333" t="str">
            <v>NL1079HC139X</v>
          </cell>
          <cell r="F333">
            <v>545564</v>
          </cell>
          <cell r="G333">
            <v>6854767</v>
          </cell>
          <cell r="H333" t="str">
            <v>Z</v>
          </cell>
          <cell r="I333" t="str">
            <v>Rijnstraat 139</v>
          </cell>
          <cell r="J333" t="str">
            <v>1079HC</v>
          </cell>
        </row>
        <row r="334">
          <cell r="A334">
            <v>1407</v>
          </cell>
          <cell r="B334"/>
          <cell r="C334"/>
          <cell r="D334" t="str">
            <v>AH</v>
          </cell>
          <cell r="E334" t="str">
            <v>NL1017BB004X</v>
          </cell>
          <cell r="F334">
            <v>543647</v>
          </cell>
          <cell r="G334">
            <v>6859084</v>
          </cell>
          <cell r="H334" t="str">
            <v>Z</v>
          </cell>
          <cell r="I334" t="str">
            <v>Koningsplein 4</v>
          </cell>
          <cell r="J334" t="str">
            <v>1017BB</v>
          </cell>
        </row>
        <row r="335">
          <cell r="A335">
            <v>1408</v>
          </cell>
          <cell r="B335"/>
          <cell r="C335"/>
          <cell r="D335" t="str">
            <v>AH</v>
          </cell>
          <cell r="E335" t="str">
            <v>NL3554EZ048X</v>
          </cell>
          <cell r="F335">
            <v>565887</v>
          </cell>
          <cell r="G335">
            <v>6812962</v>
          </cell>
          <cell r="H335" t="str">
            <v>Z</v>
          </cell>
          <cell r="I335" t="str">
            <v>Doornburglaan 2</v>
          </cell>
          <cell r="J335" t="str">
            <v>3554EP</v>
          </cell>
        </row>
        <row r="336">
          <cell r="A336">
            <v>1409</v>
          </cell>
          <cell r="B336"/>
          <cell r="C336"/>
          <cell r="D336" t="str">
            <v>AH</v>
          </cell>
          <cell r="E336" t="str">
            <v>NL3039HJ036X</v>
          </cell>
          <cell r="F336">
            <v>495681</v>
          </cell>
          <cell r="G336">
            <v>6780076</v>
          </cell>
          <cell r="H336" t="str">
            <v>P</v>
          </cell>
          <cell r="I336" t="str">
            <v>Statenweg 103</v>
          </cell>
          <cell r="J336" t="str">
            <v>3039HJ</v>
          </cell>
        </row>
        <row r="337">
          <cell r="A337">
            <v>1410</v>
          </cell>
          <cell r="B337"/>
          <cell r="C337"/>
          <cell r="D337" t="str">
            <v>AH</v>
          </cell>
          <cell r="E337" t="str">
            <v>NL6716RH001X</v>
          </cell>
          <cell r="F337">
            <v>628375</v>
          </cell>
          <cell r="G337">
            <v>6795620</v>
          </cell>
          <cell r="H337" t="str">
            <v>O</v>
          </cell>
          <cell r="I337" t="str">
            <v>Stadspoort 1</v>
          </cell>
          <cell r="J337" t="str">
            <v>6716RH</v>
          </cell>
        </row>
        <row r="338">
          <cell r="A338">
            <v>1411</v>
          </cell>
          <cell r="B338"/>
          <cell r="C338"/>
          <cell r="D338" t="str">
            <v>AH</v>
          </cell>
          <cell r="E338" t="str">
            <v>NL2903HA364X</v>
          </cell>
          <cell r="F338">
            <v>510226</v>
          </cell>
          <cell r="G338">
            <v>6780320</v>
          </cell>
          <cell r="H338" t="str">
            <v>P</v>
          </cell>
          <cell r="I338" t="str">
            <v>Centrumpassage 27</v>
          </cell>
          <cell r="J338" t="str">
            <v>2903HA</v>
          </cell>
        </row>
        <row r="339">
          <cell r="A339">
            <v>1412</v>
          </cell>
          <cell r="B339"/>
          <cell r="C339"/>
          <cell r="D339" t="str">
            <v>AH</v>
          </cell>
          <cell r="E339" t="str">
            <v>NL6101CV045X</v>
          </cell>
          <cell r="F339">
            <v>653131</v>
          </cell>
          <cell r="G339">
            <v>6632192</v>
          </cell>
          <cell r="H339" t="str">
            <v>T</v>
          </cell>
          <cell r="I339" t="str">
            <v>Nieuwe Markt 45</v>
          </cell>
          <cell r="J339" t="str">
            <v>6101CV</v>
          </cell>
        </row>
        <row r="340">
          <cell r="A340">
            <v>1413</v>
          </cell>
          <cell r="B340"/>
          <cell r="C340"/>
          <cell r="D340" t="str">
            <v>AH</v>
          </cell>
          <cell r="E340" t="str">
            <v>NL4761CJ008X</v>
          </cell>
          <cell r="F340">
            <v>512054</v>
          </cell>
          <cell r="G340">
            <v>6728378</v>
          </cell>
          <cell r="H340" t="str">
            <v>T</v>
          </cell>
          <cell r="I340" t="str">
            <v>Molenstraat 17</v>
          </cell>
          <cell r="J340" t="str">
            <v>4761CJ</v>
          </cell>
        </row>
        <row r="341">
          <cell r="A341">
            <v>1414</v>
          </cell>
          <cell r="B341"/>
          <cell r="C341"/>
          <cell r="D341" t="str">
            <v>AH</v>
          </cell>
          <cell r="E341" t="str">
            <v>NL3031CG701X</v>
          </cell>
          <cell r="F341">
            <v>499053</v>
          </cell>
          <cell r="G341">
            <v>6779550</v>
          </cell>
          <cell r="H341" t="str">
            <v>P</v>
          </cell>
          <cell r="I341" t="str">
            <v>Goudse Rijweg 707</v>
          </cell>
          <cell r="J341" t="str">
            <v>3031CG</v>
          </cell>
        </row>
        <row r="342">
          <cell r="A342">
            <v>1415</v>
          </cell>
          <cell r="B342"/>
          <cell r="C342"/>
          <cell r="D342" t="str">
            <v>AH</v>
          </cell>
          <cell r="E342" t="str">
            <v>NL4815AE006X</v>
          </cell>
          <cell r="F342">
            <v>530459</v>
          </cell>
          <cell r="G342">
            <v>6720854</v>
          </cell>
          <cell r="H342" t="str">
            <v>T</v>
          </cell>
          <cell r="I342" t="str">
            <v>Crogtdijk 79</v>
          </cell>
          <cell r="J342" t="str">
            <v>4815AE</v>
          </cell>
        </row>
        <row r="343">
          <cell r="A343">
            <v>1417</v>
          </cell>
          <cell r="B343"/>
          <cell r="C343"/>
          <cell r="D343" t="str">
            <v>AH</v>
          </cell>
          <cell r="E343" t="str">
            <v>NL4631GC021X</v>
          </cell>
          <cell r="F343">
            <v>481396</v>
          </cell>
          <cell r="G343">
            <v>6689061</v>
          </cell>
          <cell r="H343" t="str">
            <v>T</v>
          </cell>
          <cell r="I343" t="str">
            <v>Huijbergseweg 21</v>
          </cell>
          <cell r="J343" t="str">
            <v>4631GC</v>
          </cell>
        </row>
        <row r="344">
          <cell r="A344">
            <v>1419</v>
          </cell>
          <cell r="B344"/>
          <cell r="C344"/>
          <cell r="D344" t="str">
            <v>AH</v>
          </cell>
          <cell r="E344" t="str">
            <v>NL6921BB033X</v>
          </cell>
          <cell r="F344">
            <v>669405</v>
          </cell>
          <cell r="G344">
            <v>6783169</v>
          </cell>
          <cell r="H344" t="str">
            <v>O</v>
          </cell>
          <cell r="I344" t="str">
            <v>Thuvinestraat 33</v>
          </cell>
          <cell r="J344" t="str">
            <v>6921BB</v>
          </cell>
        </row>
        <row r="345">
          <cell r="A345">
            <v>1420</v>
          </cell>
          <cell r="B345"/>
          <cell r="C345"/>
          <cell r="D345" t="str">
            <v>AH</v>
          </cell>
          <cell r="E345" t="str">
            <v>NL1073EW113X</v>
          </cell>
          <cell r="F345">
            <v>545136</v>
          </cell>
          <cell r="G345">
            <v>6856549</v>
          </cell>
          <cell r="H345" t="str">
            <v>Z</v>
          </cell>
          <cell r="I345" t="str">
            <v>Van Woustraat 150</v>
          </cell>
          <cell r="J345" t="str">
            <v>1073LV</v>
          </cell>
        </row>
        <row r="346">
          <cell r="A346">
            <v>1421</v>
          </cell>
          <cell r="B346"/>
          <cell r="C346"/>
          <cell r="D346" t="str">
            <v>AH</v>
          </cell>
          <cell r="E346" t="str">
            <v>NL2225CK112X</v>
          </cell>
          <cell r="F346">
            <v>489245</v>
          </cell>
          <cell r="G346">
            <v>6829455</v>
          </cell>
          <cell r="H346" t="str">
            <v>P</v>
          </cell>
          <cell r="I346" t="str">
            <v>Tramstraat 60</v>
          </cell>
          <cell r="J346" t="str">
            <v>2225CK</v>
          </cell>
        </row>
        <row r="347">
          <cell r="A347">
            <v>1423</v>
          </cell>
          <cell r="B347"/>
          <cell r="C347"/>
          <cell r="D347" t="str">
            <v>AH</v>
          </cell>
          <cell r="E347" t="str">
            <v>NL7391DE028X</v>
          </cell>
          <cell r="F347">
            <v>678612</v>
          </cell>
          <cell r="G347">
            <v>6835631</v>
          </cell>
          <cell r="H347" t="str">
            <v>O</v>
          </cell>
          <cell r="I347" t="str">
            <v>Dorpsstraat 28</v>
          </cell>
          <cell r="J347" t="str">
            <v>7391DE</v>
          </cell>
        </row>
        <row r="348">
          <cell r="A348">
            <v>1424</v>
          </cell>
          <cell r="B348"/>
          <cell r="C348"/>
          <cell r="D348" t="str">
            <v>AH</v>
          </cell>
          <cell r="E348" t="str">
            <v>NL4811TW017X</v>
          </cell>
          <cell r="F348">
            <v>530176</v>
          </cell>
          <cell r="G348">
            <v>6718411</v>
          </cell>
          <cell r="H348" t="str">
            <v>T</v>
          </cell>
          <cell r="I348" t="str">
            <v>Haagdijk 108</v>
          </cell>
          <cell r="J348" t="str">
            <v>4811TW</v>
          </cell>
        </row>
        <row r="349">
          <cell r="A349">
            <v>1425</v>
          </cell>
          <cell r="B349"/>
          <cell r="C349"/>
          <cell r="D349" t="str">
            <v>AH</v>
          </cell>
          <cell r="E349" t="str">
            <v>NL1013JZ032X</v>
          </cell>
          <cell r="F349">
            <v>543614</v>
          </cell>
          <cell r="G349">
            <v>6861677</v>
          </cell>
          <cell r="H349" t="str">
            <v>Z</v>
          </cell>
          <cell r="I349" t="str">
            <v>Haarlemmerdijk 1</v>
          </cell>
          <cell r="J349" t="str">
            <v>1013JZ</v>
          </cell>
        </row>
        <row r="350">
          <cell r="A350">
            <v>1426</v>
          </cell>
          <cell r="B350"/>
          <cell r="C350"/>
          <cell r="D350" t="str">
            <v>AH</v>
          </cell>
          <cell r="E350" t="str">
            <v>NL5708ZA087X</v>
          </cell>
          <cell r="F350">
            <v>623983</v>
          </cell>
          <cell r="G350">
            <v>6695444</v>
          </cell>
          <cell r="H350" t="str">
            <v>T</v>
          </cell>
          <cell r="I350" t="str">
            <v>de Plaetse 87</v>
          </cell>
          <cell r="J350" t="str">
            <v>5708ZK</v>
          </cell>
        </row>
        <row r="351">
          <cell r="A351">
            <v>1427</v>
          </cell>
          <cell r="B351"/>
          <cell r="C351"/>
          <cell r="D351" t="str">
            <v>AH</v>
          </cell>
          <cell r="E351" t="str">
            <v>NL2548VL051X</v>
          </cell>
          <cell r="F351">
            <v>477872</v>
          </cell>
          <cell r="G351">
            <v>6795984</v>
          </cell>
          <cell r="H351" t="str">
            <v>P</v>
          </cell>
          <cell r="I351" t="str">
            <v>Parijsplein 19</v>
          </cell>
          <cell r="J351" t="str">
            <v>2548VL</v>
          </cell>
        </row>
        <row r="352">
          <cell r="A352">
            <v>1428</v>
          </cell>
          <cell r="B352"/>
          <cell r="C352"/>
          <cell r="D352" t="str">
            <v>AH</v>
          </cell>
          <cell r="E352" t="str">
            <v>NL7511HN016X</v>
          </cell>
          <cell r="F352">
            <v>767163</v>
          </cell>
          <cell r="G352">
            <v>6831679</v>
          </cell>
          <cell r="H352" t="str">
            <v>O</v>
          </cell>
          <cell r="I352" t="str">
            <v>H.J. van Heekplein 63</v>
          </cell>
          <cell r="J352" t="str">
            <v>7511HN</v>
          </cell>
        </row>
        <row r="353">
          <cell r="A353">
            <v>1429</v>
          </cell>
          <cell r="B353"/>
          <cell r="C353"/>
          <cell r="D353" t="str">
            <v>AH</v>
          </cell>
          <cell r="E353" t="str">
            <v>NL2411HS023X</v>
          </cell>
          <cell r="F353">
            <v>527428</v>
          </cell>
          <cell r="G353">
            <v>6807693</v>
          </cell>
          <cell r="H353" t="str">
            <v>P</v>
          </cell>
          <cell r="I353" t="str">
            <v>Oud-Bodegraafseweg 23</v>
          </cell>
          <cell r="J353" t="str">
            <v>2411HS</v>
          </cell>
        </row>
        <row r="354">
          <cell r="A354">
            <v>1432</v>
          </cell>
          <cell r="B354"/>
          <cell r="C354"/>
          <cell r="D354" t="str">
            <v>AH</v>
          </cell>
          <cell r="E354" t="str">
            <v>NL9408MH020X</v>
          </cell>
          <cell r="F354">
            <v>724209</v>
          </cell>
          <cell r="G354">
            <v>6975072</v>
          </cell>
          <cell r="H354" t="str">
            <v>O</v>
          </cell>
          <cell r="I354" t="str">
            <v>Rondgang 20</v>
          </cell>
          <cell r="J354" t="str">
            <v>9408MH</v>
          </cell>
        </row>
        <row r="355">
          <cell r="A355">
            <v>1434</v>
          </cell>
          <cell r="B355"/>
          <cell r="C355"/>
          <cell r="D355" t="str">
            <v>AH</v>
          </cell>
          <cell r="E355" t="str">
            <v>NL3542BC027X</v>
          </cell>
          <cell r="F355">
            <v>560760</v>
          </cell>
          <cell r="G355">
            <v>6810925</v>
          </cell>
          <cell r="H355" t="str">
            <v>Z</v>
          </cell>
          <cell r="I355" t="str">
            <v>Ella Fitzgeraldplein 6</v>
          </cell>
          <cell r="J355" t="str">
            <v>3543BC</v>
          </cell>
        </row>
        <row r="356">
          <cell r="A356">
            <v>1435</v>
          </cell>
          <cell r="B356"/>
          <cell r="C356"/>
          <cell r="D356" t="str">
            <v>AH</v>
          </cell>
          <cell r="E356" t="str">
            <v>NL4702JS004X</v>
          </cell>
          <cell r="F356">
            <v>496730</v>
          </cell>
          <cell r="G356">
            <v>6709010</v>
          </cell>
          <cell r="H356" t="str">
            <v>T</v>
          </cell>
          <cell r="I356" t="str">
            <v>Van Beethovenlaan 4</v>
          </cell>
          <cell r="J356" t="str">
            <v>4702JS</v>
          </cell>
        </row>
        <row r="357">
          <cell r="A357">
            <v>1436</v>
          </cell>
          <cell r="B357"/>
          <cell r="C357"/>
          <cell r="D357" t="str">
            <v>AH</v>
          </cell>
          <cell r="E357" t="str">
            <v>NL1092CL040X</v>
          </cell>
          <cell r="F357">
            <v>548032</v>
          </cell>
          <cell r="G357">
            <v>6857356</v>
          </cell>
          <cell r="H357" t="str">
            <v>Z</v>
          </cell>
          <cell r="I357" t="str">
            <v>Land van Cocagneplein 3</v>
          </cell>
          <cell r="J357" t="str">
            <v>1093NB</v>
          </cell>
        </row>
        <row r="358">
          <cell r="A358">
            <v>1438</v>
          </cell>
          <cell r="B358"/>
          <cell r="C358"/>
          <cell r="D358" t="str">
            <v>AH</v>
          </cell>
          <cell r="E358" t="str">
            <v>NL6814HK076X</v>
          </cell>
          <cell r="F358">
            <v>655398</v>
          </cell>
          <cell r="G358">
            <v>6790673</v>
          </cell>
          <cell r="H358" t="str">
            <v>O</v>
          </cell>
          <cell r="I358" t="str">
            <v>Van Lawick van Pabststr 76</v>
          </cell>
          <cell r="J358" t="str">
            <v>6814HK</v>
          </cell>
        </row>
        <row r="359">
          <cell r="A359">
            <v>1439</v>
          </cell>
          <cell r="B359"/>
          <cell r="C359"/>
          <cell r="D359" t="str">
            <v>AH</v>
          </cell>
          <cell r="E359" t="str">
            <v>NL3441BM016X</v>
          </cell>
          <cell r="F359">
            <v>543252</v>
          </cell>
          <cell r="G359">
            <v>6807874</v>
          </cell>
          <cell r="H359" t="str">
            <v>P</v>
          </cell>
          <cell r="I359" t="str">
            <v>Wagenstraat 24</v>
          </cell>
          <cell r="J359" t="str">
            <v>3441BM</v>
          </cell>
        </row>
        <row r="360">
          <cell r="A360">
            <v>1440</v>
          </cell>
          <cell r="B360"/>
          <cell r="C360"/>
          <cell r="D360" t="str">
            <v>AH</v>
          </cell>
          <cell r="E360" t="str">
            <v>NL7412SB079X</v>
          </cell>
          <cell r="F360">
            <v>683025</v>
          </cell>
          <cell r="G360">
            <v>6840751</v>
          </cell>
          <cell r="H360" t="str">
            <v>O</v>
          </cell>
          <cell r="I360" t="str">
            <v>Johannes van Vlotenlaan 1</v>
          </cell>
          <cell r="J360" t="str">
            <v>7412SB</v>
          </cell>
        </row>
        <row r="361">
          <cell r="A361">
            <v>1445</v>
          </cell>
          <cell r="B361"/>
          <cell r="C361"/>
          <cell r="D361" t="str">
            <v>AH</v>
          </cell>
          <cell r="E361" t="str">
            <v>NL4101EZ006X</v>
          </cell>
          <cell r="F361">
            <v>581128</v>
          </cell>
          <cell r="G361">
            <v>6784243</v>
          </cell>
          <cell r="H361" t="str">
            <v>T</v>
          </cell>
          <cell r="I361" t="str">
            <v>Boerenstraat 6</v>
          </cell>
          <cell r="J361" t="str">
            <v>4101EZ</v>
          </cell>
        </row>
        <row r="362">
          <cell r="A362">
            <v>1447</v>
          </cell>
          <cell r="B362"/>
          <cell r="C362"/>
          <cell r="D362" t="str">
            <v>AH</v>
          </cell>
          <cell r="E362" t="str">
            <v>NL3036CJ006X</v>
          </cell>
          <cell r="F362">
            <v>498209</v>
          </cell>
          <cell r="G362">
            <v>6780994</v>
          </cell>
          <cell r="H362" t="str">
            <v>P</v>
          </cell>
          <cell r="I362" t="str">
            <v>Benthuizerstraat 54</v>
          </cell>
          <cell r="J362" t="str">
            <v>3036CJ</v>
          </cell>
        </row>
        <row r="363">
          <cell r="A363">
            <v>1449</v>
          </cell>
          <cell r="B363"/>
          <cell r="C363"/>
          <cell r="D363" t="str">
            <v>AH</v>
          </cell>
          <cell r="E363" t="str">
            <v>NL3761CM002X</v>
          </cell>
          <cell r="F363">
            <v>588618</v>
          </cell>
          <cell r="G363">
            <v>6826479</v>
          </cell>
          <cell r="H363" t="str">
            <v>Z</v>
          </cell>
          <cell r="I363" t="str">
            <v>Burg Grothestraat 2</v>
          </cell>
          <cell r="J363" t="str">
            <v>3761CM</v>
          </cell>
        </row>
        <row r="364">
          <cell r="A364">
            <v>1452</v>
          </cell>
          <cell r="B364"/>
          <cell r="C364"/>
          <cell r="D364" t="str">
            <v>AH</v>
          </cell>
          <cell r="E364" t="str">
            <v>NL3201EG370X</v>
          </cell>
          <cell r="F364">
            <v>481688</v>
          </cell>
          <cell r="G364">
            <v>6765436</v>
          </cell>
          <cell r="H364" t="str">
            <v>P</v>
          </cell>
          <cell r="I364" t="str">
            <v>Nieuwstraat 370</v>
          </cell>
          <cell r="J364" t="str">
            <v>3201EG</v>
          </cell>
        </row>
        <row r="365">
          <cell r="A365">
            <v>1453</v>
          </cell>
          <cell r="B365"/>
          <cell r="C365"/>
          <cell r="D365" t="str">
            <v>AH</v>
          </cell>
          <cell r="E365" t="str">
            <v>NL3059XW052X</v>
          </cell>
          <cell r="F365">
            <v>509672</v>
          </cell>
          <cell r="G365">
            <v>6788895</v>
          </cell>
          <cell r="H365" t="str">
            <v>P</v>
          </cell>
          <cell r="I365" t="str">
            <v>Maltaplein 52</v>
          </cell>
          <cell r="J365" t="str">
            <v>3059XW</v>
          </cell>
        </row>
        <row r="366">
          <cell r="A366">
            <v>1455</v>
          </cell>
          <cell r="B366"/>
          <cell r="C366"/>
          <cell r="D366" t="str">
            <v>AH</v>
          </cell>
          <cell r="E366" t="str">
            <v>NL1432JZ001X</v>
          </cell>
          <cell r="F366">
            <v>533058</v>
          </cell>
          <cell r="G366">
            <v>6842297</v>
          </cell>
          <cell r="H366" t="str">
            <v>Z</v>
          </cell>
          <cell r="I366" t="str">
            <v>Poldermeesterplein 1</v>
          </cell>
          <cell r="J366" t="str">
            <v>1432JZ</v>
          </cell>
        </row>
        <row r="367">
          <cell r="A367">
            <v>1456</v>
          </cell>
          <cell r="B367"/>
          <cell r="C367"/>
          <cell r="D367" t="str">
            <v>AH</v>
          </cell>
          <cell r="E367" t="str">
            <v>NL2171HZ001X</v>
          </cell>
          <cell r="F367">
            <v>503077</v>
          </cell>
          <cell r="G367">
            <v>6833654</v>
          </cell>
          <cell r="H367" t="str">
            <v>P</v>
          </cell>
          <cell r="I367" t="str">
            <v>Voorhavenkwartier 68</v>
          </cell>
          <cell r="J367" t="str">
            <v>2171HZ</v>
          </cell>
        </row>
        <row r="368">
          <cell r="A368">
            <v>1457</v>
          </cell>
          <cell r="B368"/>
          <cell r="C368"/>
          <cell r="D368" t="str">
            <v>AH</v>
          </cell>
          <cell r="E368" t="str">
            <v>NL3315KT099X</v>
          </cell>
          <cell r="F368">
            <v>524509</v>
          </cell>
          <cell r="G368">
            <v>6757231</v>
          </cell>
          <cell r="H368" t="str">
            <v>P</v>
          </cell>
          <cell r="I368" t="str">
            <v>Van Eesterenplein 99</v>
          </cell>
          <cell r="J368" t="str">
            <v>3315KT</v>
          </cell>
        </row>
        <row r="369">
          <cell r="A369">
            <v>1458</v>
          </cell>
          <cell r="B369"/>
          <cell r="C369"/>
          <cell r="D369" t="str">
            <v>AH</v>
          </cell>
          <cell r="E369" t="str">
            <v>NL1016DJ021X</v>
          </cell>
          <cell r="F369">
            <v>543064</v>
          </cell>
          <cell r="G369">
            <v>6860356</v>
          </cell>
          <cell r="H369" t="str">
            <v>Z</v>
          </cell>
          <cell r="I369" t="str">
            <v>Westermarkt 21</v>
          </cell>
          <cell r="J369" t="str">
            <v>1016DJ</v>
          </cell>
        </row>
        <row r="370">
          <cell r="A370">
            <v>1460</v>
          </cell>
          <cell r="B370"/>
          <cell r="C370"/>
          <cell r="D370" t="str">
            <v>AH</v>
          </cell>
          <cell r="E370" t="str">
            <v>NL1054HM116X</v>
          </cell>
          <cell r="F370">
            <v>542039</v>
          </cell>
          <cell r="G370">
            <v>6858276</v>
          </cell>
          <cell r="H370" t="str">
            <v>Z</v>
          </cell>
          <cell r="I370" t="str">
            <v>Overtoom 116</v>
          </cell>
          <cell r="J370" t="str">
            <v>1054HM</v>
          </cell>
        </row>
        <row r="371">
          <cell r="A371">
            <v>1461</v>
          </cell>
          <cell r="B371"/>
          <cell r="C371"/>
          <cell r="D371" t="str">
            <v>AH</v>
          </cell>
          <cell r="E371" t="str">
            <v>NL1078PW033X</v>
          </cell>
          <cell r="F371">
            <v>545375</v>
          </cell>
          <cell r="G371">
            <v>6855562</v>
          </cell>
          <cell r="H371" t="str">
            <v>Z</v>
          </cell>
          <cell r="I371" t="str">
            <v>Rijnstraat 33</v>
          </cell>
          <cell r="J371" t="str">
            <v>1078PW</v>
          </cell>
        </row>
        <row r="372">
          <cell r="A372">
            <v>1463</v>
          </cell>
          <cell r="B372"/>
          <cell r="C372"/>
          <cell r="D372" t="str">
            <v>AH</v>
          </cell>
          <cell r="E372" t="str">
            <v>NL2101CD057X</v>
          </cell>
          <cell r="F372">
            <v>513779</v>
          </cell>
          <cell r="G372">
            <v>6857092</v>
          </cell>
          <cell r="H372" t="str">
            <v>Z</v>
          </cell>
          <cell r="I372" t="str">
            <v>Blekersvaartweg 57</v>
          </cell>
          <cell r="J372" t="str">
            <v>2101CD</v>
          </cell>
        </row>
        <row r="373">
          <cell r="A373">
            <v>1465</v>
          </cell>
          <cell r="B373"/>
          <cell r="C373"/>
          <cell r="D373" t="str">
            <v>AH</v>
          </cell>
          <cell r="E373" t="str">
            <v>NL3811LK015X</v>
          </cell>
          <cell r="F373">
            <v>598976</v>
          </cell>
          <cell r="G373">
            <v>6820555</v>
          </cell>
          <cell r="H373" t="str">
            <v>Z</v>
          </cell>
          <cell r="I373" t="str">
            <v>Hellestraat 25</v>
          </cell>
          <cell r="J373" t="str">
            <v>3811LK</v>
          </cell>
        </row>
        <row r="374">
          <cell r="A374">
            <v>1466</v>
          </cell>
          <cell r="B374"/>
          <cell r="C374"/>
          <cell r="D374" t="str">
            <v>AH</v>
          </cell>
          <cell r="E374" t="str">
            <v>NL2282CL074X</v>
          </cell>
          <cell r="F374">
            <v>482097</v>
          </cell>
          <cell r="G374">
            <v>6802318</v>
          </cell>
          <cell r="H374" t="str">
            <v>P</v>
          </cell>
          <cell r="I374" t="str">
            <v>Kerklaan 74</v>
          </cell>
          <cell r="J374" t="str">
            <v>2282CL</v>
          </cell>
        </row>
        <row r="375">
          <cell r="A375">
            <v>1467</v>
          </cell>
          <cell r="B375"/>
          <cell r="C375"/>
          <cell r="D375" t="str">
            <v>AH</v>
          </cell>
          <cell r="E375" t="str">
            <v>NL3527HE064X</v>
          </cell>
          <cell r="F375">
            <v>566417</v>
          </cell>
          <cell r="G375">
            <v>6805770</v>
          </cell>
          <cell r="H375" t="str">
            <v>Z</v>
          </cell>
          <cell r="I375" t="str">
            <v>Hammarskjoldhof 64</v>
          </cell>
          <cell r="J375" t="str">
            <v>3527HE</v>
          </cell>
        </row>
        <row r="376">
          <cell r="A376">
            <v>1469</v>
          </cell>
          <cell r="B376"/>
          <cell r="C376"/>
          <cell r="D376" t="str">
            <v>AH</v>
          </cell>
          <cell r="E376" t="str">
            <v>NL6641BH072X</v>
          </cell>
          <cell r="F376">
            <v>641693</v>
          </cell>
          <cell r="G376">
            <v>6767742</v>
          </cell>
          <cell r="H376" t="str">
            <v>T</v>
          </cell>
          <cell r="I376" t="str">
            <v>Kerkplein 72</v>
          </cell>
          <cell r="J376" t="str">
            <v>6641BH</v>
          </cell>
        </row>
        <row r="377">
          <cell r="A377">
            <v>1471</v>
          </cell>
          <cell r="B377"/>
          <cell r="C377"/>
          <cell r="D377" t="str">
            <v>AH</v>
          </cell>
          <cell r="E377" t="str">
            <v>NL6951CR072X</v>
          </cell>
          <cell r="F377">
            <v>678583</v>
          </cell>
          <cell r="G377">
            <v>6801686</v>
          </cell>
          <cell r="H377" t="str">
            <v>O</v>
          </cell>
          <cell r="I377" t="str">
            <v>Callunaplein 72</v>
          </cell>
          <cell r="J377" t="str">
            <v>6951CR</v>
          </cell>
        </row>
        <row r="378">
          <cell r="A378">
            <v>1472</v>
          </cell>
          <cell r="B378"/>
          <cell r="C378"/>
          <cell r="D378" t="str">
            <v>AH</v>
          </cell>
          <cell r="E378" t="str">
            <v>NL7581JE005X</v>
          </cell>
          <cell r="F378">
            <v>779185</v>
          </cell>
          <cell r="G378">
            <v>6839789</v>
          </cell>
          <cell r="H378" t="str">
            <v>O</v>
          </cell>
          <cell r="I378" t="str">
            <v>Langenkamp 8</v>
          </cell>
          <cell r="J378" t="str">
            <v>7581JE</v>
          </cell>
        </row>
        <row r="379">
          <cell r="A379">
            <v>1473</v>
          </cell>
          <cell r="B379"/>
          <cell r="C379"/>
          <cell r="D379" t="str">
            <v>AH</v>
          </cell>
          <cell r="E379" t="str">
            <v>NL2511BH267X</v>
          </cell>
          <cell r="F379">
            <v>479630</v>
          </cell>
          <cell r="G379">
            <v>6806284</v>
          </cell>
          <cell r="H379" t="str">
            <v>P</v>
          </cell>
          <cell r="I379" t="str">
            <v>Grote Marktstraat 55</v>
          </cell>
          <cell r="J379" t="str">
            <v>2511BH</v>
          </cell>
        </row>
        <row r="380">
          <cell r="A380">
            <v>1474</v>
          </cell>
          <cell r="B380"/>
          <cell r="C380"/>
          <cell r="D380" t="str">
            <v>AH</v>
          </cell>
          <cell r="E380" t="str">
            <v>NL3451EV001X</v>
          </cell>
          <cell r="F380">
            <v>557637</v>
          </cell>
          <cell r="G380">
            <v>6811591</v>
          </cell>
          <cell r="H380" t="str">
            <v>Z</v>
          </cell>
          <cell r="I380" t="str">
            <v>Hindersteinlaan 23</v>
          </cell>
          <cell r="J380" t="str">
            <v>3451EV</v>
          </cell>
        </row>
        <row r="381">
          <cell r="A381">
            <v>1475</v>
          </cell>
          <cell r="B381"/>
          <cell r="C381"/>
          <cell r="D381" t="str">
            <v>AH</v>
          </cell>
          <cell r="E381" t="str">
            <v>NL5691DG017X</v>
          </cell>
          <cell r="F381">
            <v>610502</v>
          </cell>
          <cell r="G381">
            <v>6704681</v>
          </cell>
          <cell r="H381" t="str">
            <v>T</v>
          </cell>
          <cell r="I381" t="str">
            <v>17 Septemberplein 9</v>
          </cell>
          <cell r="J381" t="str">
            <v>5691DG</v>
          </cell>
        </row>
        <row r="382">
          <cell r="A382">
            <v>1476</v>
          </cell>
          <cell r="B382"/>
          <cell r="C382"/>
          <cell r="D382" t="str">
            <v>AH</v>
          </cell>
          <cell r="E382" t="str">
            <v>NL4401EH002X</v>
          </cell>
          <cell r="F382">
            <v>450269</v>
          </cell>
          <cell r="G382">
            <v>6701136</v>
          </cell>
          <cell r="H382" t="str">
            <v>P</v>
          </cell>
          <cell r="I382" t="str">
            <v>Oude Torenstraat 37</v>
          </cell>
          <cell r="J382" t="str">
            <v>4401EH</v>
          </cell>
        </row>
        <row r="383">
          <cell r="A383">
            <v>1481</v>
          </cell>
          <cell r="B383"/>
          <cell r="C383"/>
          <cell r="D383" t="str">
            <v>AH</v>
          </cell>
          <cell r="E383" t="str">
            <v>NL5104HV001X</v>
          </cell>
          <cell r="F383">
            <v>549608</v>
          </cell>
          <cell r="G383">
            <v>6725112</v>
          </cell>
          <cell r="H383" t="str">
            <v>T</v>
          </cell>
          <cell r="I383" t="str">
            <v>Looiershof 1</v>
          </cell>
          <cell r="J383" t="str">
            <v>5104HV</v>
          </cell>
        </row>
        <row r="384">
          <cell r="A384">
            <v>1482</v>
          </cell>
          <cell r="B384"/>
          <cell r="C384"/>
          <cell r="D384" t="str">
            <v>AH</v>
          </cell>
          <cell r="E384" t="str">
            <v>NL1015LW079X</v>
          </cell>
          <cell r="F384">
            <v>543117</v>
          </cell>
          <cell r="G384">
            <v>6861168</v>
          </cell>
          <cell r="H384" t="str">
            <v>Z</v>
          </cell>
          <cell r="I384" t="str">
            <v>Westerstraat 79</v>
          </cell>
          <cell r="J384" t="str">
            <v>1015LW</v>
          </cell>
        </row>
        <row r="385">
          <cell r="A385">
            <v>1483</v>
          </cell>
          <cell r="B385"/>
          <cell r="C385"/>
          <cell r="D385" t="str">
            <v>AH</v>
          </cell>
          <cell r="E385" t="str">
            <v>NL2061CX050X</v>
          </cell>
          <cell r="F385">
            <v>513683</v>
          </cell>
          <cell r="G385">
            <v>6865884</v>
          </cell>
          <cell r="H385" t="str">
            <v>Z</v>
          </cell>
          <cell r="I385" t="str">
            <v>Bloemendaalseweg 70</v>
          </cell>
          <cell r="J385" t="str">
            <v>2061CM</v>
          </cell>
        </row>
        <row r="386">
          <cell r="A386">
            <v>1485</v>
          </cell>
          <cell r="B386"/>
          <cell r="C386"/>
          <cell r="D386" t="str">
            <v>AH</v>
          </cell>
          <cell r="E386" t="str">
            <v>NL1567JP022X</v>
          </cell>
          <cell r="F386">
            <v>528337</v>
          </cell>
          <cell r="G386">
            <v>6881222</v>
          </cell>
          <cell r="H386" t="str">
            <v>Z</v>
          </cell>
          <cell r="I386" t="str">
            <v>Kaaikhof 22</v>
          </cell>
          <cell r="J386" t="str">
            <v>1567JP</v>
          </cell>
        </row>
        <row r="387">
          <cell r="A387">
            <v>1486</v>
          </cell>
          <cell r="B387"/>
          <cell r="C387"/>
          <cell r="D387" t="str">
            <v>AH</v>
          </cell>
          <cell r="E387" t="str">
            <v>NL8925CL116X</v>
          </cell>
          <cell r="F387">
            <v>649289</v>
          </cell>
          <cell r="G387">
            <v>7014196</v>
          </cell>
          <cell r="H387" t="str">
            <v>O</v>
          </cell>
          <cell r="I387" t="str">
            <v>Lieuwenburg 116</v>
          </cell>
          <cell r="J387" t="str">
            <v>8925CL</v>
          </cell>
        </row>
        <row r="388">
          <cell r="A388">
            <v>1487</v>
          </cell>
          <cell r="B388"/>
          <cell r="C388"/>
          <cell r="D388" t="str">
            <v>AH</v>
          </cell>
          <cell r="E388" t="str">
            <v>NL2517AM052X</v>
          </cell>
          <cell r="F388">
            <v>477744</v>
          </cell>
          <cell r="G388">
            <v>6807968</v>
          </cell>
          <cell r="H388" t="str">
            <v>P</v>
          </cell>
          <cell r="I388" t="str">
            <v>Laan van Meerdervoort 52</v>
          </cell>
          <cell r="J388" t="str">
            <v>2517AM</v>
          </cell>
        </row>
        <row r="389">
          <cell r="A389">
            <v>1488</v>
          </cell>
          <cell r="B389"/>
          <cell r="C389"/>
          <cell r="D389" t="str">
            <v>AH</v>
          </cell>
          <cell r="E389" t="str">
            <v>NL2331JA011X</v>
          </cell>
          <cell r="F389">
            <v>495250</v>
          </cell>
          <cell r="G389">
            <v>6819667</v>
          </cell>
          <cell r="H389" t="str">
            <v>P</v>
          </cell>
          <cell r="I389" t="str">
            <v>Stevensbloem 11</v>
          </cell>
          <cell r="J389" t="str">
            <v>2331JA</v>
          </cell>
        </row>
        <row r="390">
          <cell r="A390">
            <v>1490</v>
          </cell>
          <cell r="B390"/>
          <cell r="C390"/>
          <cell r="D390" t="str">
            <v>AH</v>
          </cell>
          <cell r="E390" t="str">
            <v>NL1051XS092X</v>
          </cell>
          <cell r="F390">
            <v>542185</v>
          </cell>
          <cell r="G390">
            <v>6862072</v>
          </cell>
          <cell r="H390" t="str">
            <v>Z</v>
          </cell>
          <cell r="I390" t="str">
            <v>Van Limburg Stirumstraat 44</v>
          </cell>
          <cell r="J390" t="str">
            <v>1051BC</v>
          </cell>
        </row>
        <row r="391">
          <cell r="A391">
            <v>1491</v>
          </cell>
          <cell r="B391"/>
          <cell r="C391"/>
          <cell r="D391" t="str">
            <v>AH</v>
          </cell>
          <cell r="E391" t="str">
            <v>NL8014VB018X</v>
          </cell>
          <cell r="F391">
            <v>679527</v>
          </cell>
          <cell r="G391">
            <v>6880390</v>
          </cell>
          <cell r="H391" t="str">
            <v>O</v>
          </cell>
          <cell r="I391" t="str">
            <v>Pijmanstraat 18</v>
          </cell>
          <cell r="J391" t="str">
            <v>8014VB</v>
          </cell>
        </row>
        <row r="392">
          <cell r="A392">
            <v>1492</v>
          </cell>
          <cell r="B392"/>
          <cell r="C392"/>
          <cell r="D392" t="str">
            <v>AH</v>
          </cell>
          <cell r="E392" t="str">
            <v>NL7521HH028X</v>
          </cell>
          <cell r="F392">
            <v>762735</v>
          </cell>
          <cell r="G392">
            <v>6833886</v>
          </cell>
          <cell r="H392" t="str">
            <v>O</v>
          </cell>
          <cell r="I392" t="str">
            <v>Zonstraat 28</v>
          </cell>
          <cell r="J392" t="str">
            <v>7521HH</v>
          </cell>
        </row>
        <row r="393">
          <cell r="A393">
            <v>1493</v>
          </cell>
          <cell r="B393"/>
          <cell r="C393"/>
          <cell r="D393" t="str">
            <v>AH</v>
          </cell>
          <cell r="E393" t="str">
            <v>NL1087BS719X</v>
          </cell>
          <cell r="F393">
            <v>555018</v>
          </cell>
          <cell r="G393">
            <v>6857441</v>
          </cell>
          <cell r="H393" t="str">
            <v>Z</v>
          </cell>
          <cell r="I393" t="str">
            <v>IJburglaan 719</v>
          </cell>
          <cell r="J393" t="str">
            <v>1087BS</v>
          </cell>
        </row>
        <row r="394">
          <cell r="A394">
            <v>1494</v>
          </cell>
          <cell r="B394"/>
          <cell r="C394"/>
          <cell r="D394" t="str">
            <v>AH</v>
          </cell>
          <cell r="E394" t="str">
            <v>NL5213GC019X</v>
          </cell>
          <cell r="F394">
            <v>592565</v>
          </cell>
          <cell r="G394">
            <v>6737815</v>
          </cell>
          <cell r="H394" t="str">
            <v>T</v>
          </cell>
          <cell r="I394" t="str">
            <v>Mgr. Van Roosmalenplein 19</v>
          </cell>
          <cell r="J394" t="str">
            <v>5213GC</v>
          </cell>
        </row>
        <row r="395">
          <cell r="A395">
            <v>1495</v>
          </cell>
          <cell r="B395"/>
          <cell r="C395"/>
          <cell r="D395" t="str">
            <v>AH</v>
          </cell>
          <cell r="E395" t="str">
            <v>NL2513BN027X</v>
          </cell>
          <cell r="F395">
            <v>478745</v>
          </cell>
          <cell r="G395">
            <v>6806586</v>
          </cell>
          <cell r="H395" t="str">
            <v>P</v>
          </cell>
          <cell r="I395" t="str">
            <v>Torenstraat 27</v>
          </cell>
          <cell r="J395" t="str">
            <v>2513BN</v>
          </cell>
        </row>
        <row r="396">
          <cell r="A396">
            <v>1497</v>
          </cell>
          <cell r="B396"/>
          <cell r="C396"/>
          <cell r="D396" t="str">
            <v>AH</v>
          </cell>
          <cell r="E396" t="str">
            <v>NL1053DJ574X</v>
          </cell>
          <cell r="F396">
            <v>541659</v>
          </cell>
          <cell r="G396">
            <v>6858937</v>
          </cell>
          <cell r="H396" t="str">
            <v>Z</v>
          </cell>
          <cell r="I396" t="str">
            <v>Kinkerstraat 89</v>
          </cell>
          <cell r="J396" t="str">
            <v>1053DJ</v>
          </cell>
        </row>
        <row r="397">
          <cell r="A397">
            <v>1498</v>
          </cell>
          <cell r="B397"/>
          <cell r="C397"/>
          <cell r="D397" t="str">
            <v>AH</v>
          </cell>
          <cell r="E397" t="str">
            <v>NL3831NA009X</v>
          </cell>
          <cell r="F397">
            <v>603630</v>
          </cell>
          <cell r="G397">
            <v>6816262</v>
          </cell>
          <cell r="H397" t="str">
            <v>Z</v>
          </cell>
          <cell r="I397" t="str">
            <v>'t Erf 9</v>
          </cell>
          <cell r="J397" t="str">
            <v>3831NA</v>
          </cell>
        </row>
        <row r="398">
          <cell r="A398">
            <v>1501</v>
          </cell>
          <cell r="B398"/>
          <cell r="C398"/>
          <cell r="D398" t="str">
            <v>AH</v>
          </cell>
          <cell r="E398" t="str">
            <v>NL3823ER142X</v>
          </cell>
          <cell r="F398">
            <v>600127</v>
          </cell>
          <cell r="G398">
            <v>6826361</v>
          </cell>
          <cell r="H398" t="str">
            <v>O</v>
          </cell>
          <cell r="I398" t="str">
            <v>Emiclaerhof 142</v>
          </cell>
          <cell r="J398" t="str">
            <v>3823ER</v>
          </cell>
        </row>
        <row r="399">
          <cell r="A399">
            <v>1502</v>
          </cell>
          <cell r="B399"/>
          <cell r="C399"/>
          <cell r="D399" t="str">
            <v>AH</v>
          </cell>
          <cell r="E399" t="str">
            <v>NL1102DP526X</v>
          </cell>
          <cell r="F399">
            <v>550939</v>
          </cell>
          <cell r="G399">
            <v>6849797</v>
          </cell>
          <cell r="H399" t="str">
            <v>Z</v>
          </cell>
          <cell r="I399" t="str">
            <v>Bijlmerplein 526</v>
          </cell>
          <cell r="J399" t="str">
            <v>1102DP</v>
          </cell>
        </row>
        <row r="400">
          <cell r="A400">
            <v>1503</v>
          </cell>
          <cell r="B400"/>
          <cell r="C400"/>
          <cell r="D400" t="str">
            <v>AH</v>
          </cell>
          <cell r="E400" t="str">
            <v>NL2511BJ030X</v>
          </cell>
          <cell r="F400">
            <v>479195</v>
          </cell>
          <cell r="G400">
            <v>6806101</v>
          </cell>
          <cell r="H400" t="str">
            <v>P</v>
          </cell>
          <cell r="I400" t="str">
            <v>Grote Marktstraat 5</v>
          </cell>
          <cell r="J400" t="str">
            <v>2511BH</v>
          </cell>
        </row>
        <row r="401">
          <cell r="A401">
            <v>1504</v>
          </cell>
          <cell r="B401"/>
          <cell r="C401"/>
          <cell r="D401" t="str">
            <v>AH</v>
          </cell>
          <cell r="E401" t="str">
            <v>NL1422GV049X</v>
          </cell>
          <cell r="F401">
            <v>536664</v>
          </cell>
          <cell r="G401">
            <v>6837118</v>
          </cell>
          <cell r="H401" t="str">
            <v>Z</v>
          </cell>
          <cell r="I401" t="str">
            <v>Zijdelwaardplein 84</v>
          </cell>
          <cell r="J401" t="str">
            <v>1422DN</v>
          </cell>
        </row>
        <row r="402">
          <cell r="A402">
            <v>1506</v>
          </cell>
          <cell r="B402"/>
          <cell r="C402"/>
          <cell r="D402" t="str">
            <v>AH</v>
          </cell>
          <cell r="E402" t="str">
            <v>NL5704EG010X</v>
          </cell>
          <cell r="F402">
            <v>634112</v>
          </cell>
          <cell r="G402">
            <v>6697380</v>
          </cell>
          <cell r="H402" t="str">
            <v>T</v>
          </cell>
          <cell r="I402" t="str">
            <v>Brouwhorst 49</v>
          </cell>
          <cell r="J402" t="str">
            <v>5704EG</v>
          </cell>
        </row>
        <row r="403">
          <cell r="A403">
            <v>1507</v>
          </cell>
          <cell r="B403"/>
          <cell r="C403"/>
          <cell r="D403" t="str">
            <v>AH</v>
          </cell>
          <cell r="E403" t="str">
            <v>NL3995DX066X</v>
          </cell>
          <cell r="F403">
            <v>574799</v>
          </cell>
          <cell r="G403">
            <v>6798520</v>
          </cell>
          <cell r="H403" t="str">
            <v>Z</v>
          </cell>
          <cell r="I403" t="str">
            <v>Onderdoor 66</v>
          </cell>
          <cell r="J403" t="str">
            <v>3995DX</v>
          </cell>
        </row>
        <row r="404">
          <cell r="A404">
            <v>1508</v>
          </cell>
          <cell r="B404"/>
          <cell r="C404"/>
          <cell r="D404" t="str">
            <v>AH</v>
          </cell>
          <cell r="E404" t="str">
            <v>NL2402DN074X</v>
          </cell>
          <cell r="F404">
            <v>518122</v>
          </cell>
          <cell r="G404">
            <v>6820003</v>
          </cell>
          <cell r="H404" t="str">
            <v>P</v>
          </cell>
          <cell r="I404" t="str">
            <v>Herenhof 74</v>
          </cell>
          <cell r="J404" t="str">
            <v>2402DN</v>
          </cell>
        </row>
        <row r="405">
          <cell r="A405">
            <v>1509</v>
          </cell>
          <cell r="B405"/>
          <cell r="C405"/>
          <cell r="D405" t="str">
            <v>AH</v>
          </cell>
          <cell r="E405" t="str">
            <v>NL3061AA149X</v>
          </cell>
          <cell r="F405">
            <v>501526</v>
          </cell>
          <cell r="G405">
            <v>6779622</v>
          </cell>
          <cell r="H405" t="str">
            <v>P</v>
          </cell>
          <cell r="I405" t="str">
            <v>Oudedijk 149</v>
          </cell>
          <cell r="J405" t="str">
            <v>3061AA</v>
          </cell>
        </row>
        <row r="406">
          <cell r="A406">
            <v>1510</v>
          </cell>
          <cell r="B406"/>
          <cell r="C406"/>
          <cell r="D406" t="str">
            <v>AH</v>
          </cell>
          <cell r="E406" t="str">
            <v>NL3071AR190X</v>
          </cell>
          <cell r="F406">
            <v>500880</v>
          </cell>
          <cell r="G406">
            <v>6775238</v>
          </cell>
          <cell r="H406" t="str">
            <v>P</v>
          </cell>
          <cell r="I406" t="str">
            <v>Laan op Zuid 1190</v>
          </cell>
          <cell r="J406" t="str">
            <v>3071AR</v>
          </cell>
        </row>
        <row r="407">
          <cell r="A407">
            <v>1511</v>
          </cell>
          <cell r="B407"/>
          <cell r="C407"/>
          <cell r="D407" t="str">
            <v>AH XL</v>
          </cell>
          <cell r="E407" t="str">
            <v>NL4383NK006X</v>
          </cell>
          <cell r="F407">
            <v>398631</v>
          </cell>
          <cell r="G407">
            <v>6694766</v>
          </cell>
          <cell r="H407" t="str">
            <v>P</v>
          </cell>
          <cell r="I407" t="str">
            <v>Gildeweg 6</v>
          </cell>
          <cell r="J407" t="str">
            <v>4383NK</v>
          </cell>
        </row>
        <row r="408">
          <cell r="A408">
            <v>1512</v>
          </cell>
          <cell r="B408"/>
          <cell r="C408"/>
          <cell r="D408" t="str">
            <v>AH XL</v>
          </cell>
          <cell r="E408" t="str">
            <v>NL6216CG045X</v>
          </cell>
          <cell r="F408">
            <v>629993</v>
          </cell>
          <cell r="G408">
            <v>6587646</v>
          </cell>
          <cell r="H408" t="str">
            <v>T</v>
          </cell>
          <cell r="I408" t="str">
            <v>Brusselsepoort 45</v>
          </cell>
          <cell r="J408" t="str">
            <v>6216CG</v>
          </cell>
        </row>
        <row r="409">
          <cell r="A409">
            <v>1513</v>
          </cell>
          <cell r="B409"/>
          <cell r="C409"/>
          <cell r="D409" t="str">
            <v>AH XL</v>
          </cell>
          <cell r="E409" t="str">
            <v>NL8936AD076X</v>
          </cell>
          <cell r="F409">
            <v>646964</v>
          </cell>
          <cell r="G409">
            <v>7010649</v>
          </cell>
          <cell r="H409" t="str">
            <v>O</v>
          </cell>
          <cell r="I409" t="str">
            <v>Tijnjedyk 76</v>
          </cell>
          <cell r="J409" t="str">
            <v>8936AD</v>
          </cell>
        </row>
        <row r="410">
          <cell r="A410">
            <v>1514</v>
          </cell>
          <cell r="B410"/>
          <cell r="C410"/>
          <cell r="D410" t="str">
            <v>AH XL</v>
          </cell>
          <cell r="E410" t="str">
            <v>NL6533BP061X</v>
          </cell>
          <cell r="F410">
            <v>650660</v>
          </cell>
          <cell r="G410">
            <v>6760444</v>
          </cell>
          <cell r="H410" t="str">
            <v>T</v>
          </cell>
          <cell r="I410" t="str">
            <v>St. Jacobslaan 61</v>
          </cell>
          <cell r="J410" t="str">
            <v>6533BP</v>
          </cell>
        </row>
        <row r="411">
          <cell r="A411">
            <v>1515</v>
          </cell>
          <cell r="B411"/>
          <cell r="C411"/>
          <cell r="D411" t="str">
            <v>AH XL</v>
          </cell>
          <cell r="E411" t="str">
            <v>NL9401ZH014X</v>
          </cell>
          <cell r="F411">
            <v>729592</v>
          </cell>
          <cell r="G411">
            <v>6974774</v>
          </cell>
          <cell r="H411" t="str">
            <v>O</v>
          </cell>
          <cell r="I411" t="str">
            <v>Triade 14</v>
          </cell>
          <cell r="J411" t="str">
            <v>9401ZH</v>
          </cell>
        </row>
        <row r="412">
          <cell r="A412">
            <v>1516</v>
          </cell>
          <cell r="B412"/>
          <cell r="C412"/>
          <cell r="D412" t="str">
            <v>AH XL</v>
          </cell>
          <cell r="E412" t="str">
            <v>NL1442BZ016X</v>
          </cell>
          <cell r="F412">
            <v>551433</v>
          </cell>
          <cell r="G412">
            <v>6885056</v>
          </cell>
          <cell r="H412" t="str">
            <v>Z</v>
          </cell>
          <cell r="I412" t="str">
            <v>Burg. D. Kooimanweg 16</v>
          </cell>
          <cell r="J412" t="str">
            <v>1442BZ</v>
          </cell>
        </row>
        <row r="413">
          <cell r="A413">
            <v>1517</v>
          </cell>
          <cell r="B413"/>
          <cell r="C413"/>
          <cell r="D413" t="str">
            <v>AH</v>
          </cell>
          <cell r="E413" t="str">
            <v>NL6191NA170X</v>
          </cell>
          <cell r="F413">
            <v>644373</v>
          </cell>
          <cell r="G413">
            <v>6605182</v>
          </cell>
          <cell r="H413" t="str">
            <v>T</v>
          </cell>
          <cell r="I413" t="str">
            <v>Wethouder Sangersstraat 170</v>
          </cell>
          <cell r="J413" t="str">
            <v>6191NA</v>
          </cell>
        </row>
        <row r="414">
          <cell r="A414">
            <v>1518</v>
          </cell>
          <cell r="B414"/>
          <cell r="C414"/>
          <cell r="D414" t="str">
            <v>AH XL</v>
          </cell>
          <cell r="E414" t="str">
            <v>NL7201BX077X</v>
          </cell>
          <cell r="F414">
            <v>689813</v>
          </cell>
          <cell r="G414">
            <v>6817784</v>
          </cell>
          <cell r="H414" t="str">
            <v>O</v>
          </cell>
          <cell r="I414" t="str">
            <v>Polsbroek 77</v>
          </cell>
          <cell r="J414" t="str">
            <v>7201BX</v>
          </cell>
        </row>
        <row r="415">
          <cell r="A415">
            <v>1519</v>
          </cell>
          <cell r="B415"/>
          <cell r="C415"/>
          <cell r="D415" t="str">
            <v>AH XL</v>
          </cell>
          <cell r="E415" t="str">
            <v>NL7533BL421X</v>
          </cell>
          <cell r="F415">
            <v>770353</v>
          </cell>
          <cell r="G415">
            <v>6832349</v>
          </cell>
          <cell r="H415" t="str">
            <v>O</v>
          </cell>
          <cell r="I415" t="str">
            <v>Noord Esmarkerrondweg 421</v>
          </cell>
          <cell r="J415" t="str">
            <v>7533BL</v>
          </cell>
        </row>
        <row r="416">
          <cell r="A416">
            <v>1520</v>
          </cell>
          <cell r="B416"/>
          <cell r="C416"/>
          <cell r="D416" t="str">
            <v>AH</v>
          </cell>
          <cell r="E416" t="str">
            <v>NL3901AZ016X</v>
          </cell>
          <cell r="F416">
            <v>617791</v>
          </cell>
          <cell r="G416">
            <v>6797111</v>
          </cell>
          <cell r="H416" t="str">
            <v>O</v>
          </cell>
          <cell r="I416" t="str">
            <v>Passage 50</v>
          </cell>
          <cell r="J416" t="str">
            <v>3901AZ</v>
          </cell>
        </row>
        <row r="417">
          <cell r="A417">
            <v>1521</v>
          </cell>
          <cell r="B417"/>
          <cell r="C417"/>
          <cell r="D417" t="str">
            <v>AH XL</v>
          </cell>
          <cell r="E417" t="str">
            <v>NL5041GB010X</v>
          </cell>
          <cell r="F417">
            <v>564208</v>
          </cell>
          <cell r="G417">
            <v>6714010</v>
          </cell>
          <cell r="H417" t="str">
            <v>T</v>
          </cell>
          <cell r="I417" t="str">
            <v>Jan Heijnsstraat 10</v>
          </cell>
          <cell r="J417" t="str">
            <v>5041GB</v>
          </cell>
        </row>
        <row r="418">
          <cell r="A418">
            <v>1522</v>
          </cell>
          <cell r="B418"/>
          <cell r="C418"/>
          <cell r="D418" t="str">
            <v>AH</v>
          </cell>
          <cell r="E418" t="str">
            <v>NL6001GL013X</v>
          </cell>
          <cell r="F418">
            <v>634313</v>
          </cell>
          <cell r="G418">
            <v>6658908</v>
          </cell>
          <cell r="H418" t="str">
            <v>T</v>
          </cell>
          <cell r="I418" t="str">
            <v>Muntpassage 49</v>
          </cell>
          <cell r="J418" t="str">
            <v>6001GL</v>
          </cell>
        </row>
        <row r="419">
          <cell r="A419">
            <v>1523</v>
          </cell>
          <cell r="B419"/>
          <cell r="C419"/>
          <cell r="D419" t="str">
            <v>AH</v>
          </cell>
          <cell r="E419" t="str">
            <v>NL8331JV001X</v>
          </cell>
          <cell r="F419">
            <v>679849</v>
          </cell>
          <cell r="G419">
            <v>6936075</v>
          </cell>
          <cell r="H419" t="str">
            <v>O</v>
          </cell>
          <cell r="I419" t="str">
            <v>Prinsen Hoven 1</v>
          </cell>
          <cell r="J419" t="str">
            <v>8331JV</v>
          </cell>
        </row>
        <row r="420">
          <cell r="A420">
            <v>1524</v>
          </cell>
          <cell r="B420"/>
          <cell r="C420"/>
          <cell r="D420" t="str">
            <v>AH</v>
          </cell>
          <cell r="E420" t="str">
            <v>NL7241DH012X</v>
          </cell>
          <cell r="F420">
            <v>713913</v>
          </cell>
          <cell r="G420">
            <v>6821816</v>
          </cell>
          <cell r="H420" t="str">
            <v>O</v>
          </cell>
          <cell r="I420" t="str">
            <v>Prins Bernhardweg 40</v>
          </cell>
          <cell r="J420" t="str">
            <v>7241DH</v>
          </cell>
        </row>
        <row r="421">
          <cell r="A421">
            <v>1525</v>
          </cell>
          <cell r="B421"/>
          <cell r="C421"/>
          <cell r="D421" t="str">
            <v>AH</v>
          </cell>
          <cell r="E421" t="str">
            <v>NL1103JP096X</v>
          </cell>
          <cell r="F421">
            <v>552756</v>
          </cell>
          <cell r="G421">
            <v>6851027</v>
          </cell>
          <cell r="H421" t="str">
            <v>Z</v>
          </cell>
          <cell r="I421" t="str">
            <v>Harriet Freezerstraat 96</v>
          </cell>
          <cell r="J421" t="str">
            <v>1103JP</v>
          </cell>
        </row>
        <row r="422">
          <cell r="A422">
            <v>1526</v>
          </cell>
          <cell r="B422"/>
          <cell r="C422"/>
          <cell r="D422" t="str">
            <v>AH</v>
          </cell>
          <cell r="E422" t="str">
            <v>NL2991CS097X</v>
          </cell>
          <cell r="F422">
            <v>504406</v>
          </cell>
          <cell r="G422">
            <v>6766569</v>
          </cell>
          <cell r="H422" t="str">
            <v>P</v>
          </cell>
          <cell r="I422" t="str">
            <v>Middenbaan 97</v>
          </cell>
          <cell r="J422" t="str">
            <v>2991CS</v>
          </cell>
        </row>
        <row r="423">
          <cell r="A423">
            <v>1527</v>
          </cell>
          <cell r="B423"/>
          <cell r="C423"/>
          <cell r="D423" t="str">
            <v>AH</v>
          </cell>
          <cell r="E423" t="str">
            <v>NL3521GZ200X</v>
          </cell>
          <cell r="F423">
            <v>568885</v>
          </cell>
          <cell r="G423">
            <v>6806670</v>
          </cell>
          <cell r="H423" t="str">
            <v>Z</v>
          </cell>
          <cell r="I423" t="str">
            <v>Vondellaan 200</v>
          </cell>
          <cell r="J423" t="str">
            <v>3521GZ</v>
          </cell>
        </row>
        <row r="424">
          <cell r="A424">
            <v>1529</v>
          </cell>
          <cell r="B424"/>
          <cell r="C424"/>
          <cell r="D424" t="str">
            <v>AH</v>
          </cell>
          <cell r="E424" t="str">
            <v>NL8261VZ019X</v>
          </cell>
          <cell r="F424">
            <v>657353</v>
          </cell>
          <cell r="G424">
            <v>6894133</v>
          </cell>
          <cell r="H424" t="str">
            <v>O</v>
          </cell>
          <cell r="I424" t="str">
            <v>Meeuwenweg 19</v>
          </cell>
          <cell r="J424" t="str">
            <v>8261VZ</v>
          </cell>
        </row>
        <row r="425">
          <cell r="A425">
            <v>1530</v>
          </cell>
          <cell r="B425"/>
          <cell r="C425"/>
          <cell r="D425" t="str">
            <v>AH</v>
          </cell>
          <cell r="E425" t="str">
            <v>NL2548CM688X</v>
          </cell>
          <cell r="F425">
            <v>476837</v>
          </cell>
          <cell r="G425">
            <v>6797991</v>
          </cell>
          <cell r="H425" t="str">
            <v>P</v>
          </cell>
          <cell r="I425" t="str">
            <v>Laan van Wateringse Veld 688</v>
          </cell>
          <cell r="J425" t="str">
            <v>2548CM</v>
          </cell>
        </row>
        <row r="426">
          <cell r="A426">
            <v>1531</v>
          </cell>
          <cell r="B426"/>
          <cell r="C426"/>
          <cell r="D426" t="str">
            <v>AH XL</v>
          </cell>
          <cell r="E426" t="str">
            <v>NL1703SE002X</v>
          </cell>
          <cell r="F426">
            <v>537228</v>
          </cell>
          <cell r="G426">
            <v>6912965</v>
          </cell>
          <cell r="H426" t="str">
            <v>Z</v>
          </cell>
          <cell r="I426" t="str">
            <v>Middenwaard 2</v>
          </cell>
          <cell r="J426" t="str">
            <v>1703SE</v>
          </cell>
        </row>
        <row r="427">
          <cell r="A427">
            <v>1532</v>
          </cell>
          <cell r="B427"/>
          <cell r="C427"/>
          <cell r="D427" t="str">
            <v>AH</v>
          </cell>
          <cell r="E427" t="str">
            <v>NL8442PH002X</v>
          </cell>
          <cell r="F427">
            <v>658985</v>
          </cell>
          <cell r="G427">
            <v>6967560</v>
          </cell>
          <cell r="H427" t="str">
            <v>O</v>
          </cell>
          <cell r="I427" t="str">
            <v>De Passage 2</v>
          </cell>
          <cell r="J427" t="str">
            <v>8442PH</v>
          </cell>
        </row>
        <row r="428">
          <cell r="A428">
            <v>1533</v>
          </cell>
          <cell r="B428"/>
          <cell r="C428"/>
          <cell r="D428" t="str">
            <v>AH</v>
          </cell>
          <cell r="E428" t="str">
            <v>NL2181EM006X</v>
          </cell>
          <cell r="F428">
            <v>508965</v>
          </cell>
          <cell r="G428">
            <v>6845558</v>
          </cell>
          <cell r="H428" t="str">
            <v>Z</v>
          </cell>
          <cell r="I428" t="str">
            <v>Henri Dunantplein 6</v>
          </cell>
          <cell r="J428" t="str">
            <v>2181EM</v>
          </cell>
        </row>
        <row r="429">
          <cell r="A429">
            <v>1534</v>
          </cell>
          <cell r="B429"/>
          <cell r="C429"/>
          <cell r="D429" t="str">
            <v>AH XL</v>
          </cell>
          <cell r="E429" t="str">
            <v>NL2132BH270X</v>
          </cell>
          <cell r="F429">
            <v>521927</v>
          </cell>
          <cell r="G429">
            <v>6847152</v>
          </cell>
          <cell r="H429" t="str">
            <v>Z</v>
          </cell>
          <cell r="I429" t="str">
            <v>Burg van Stamplein 270</v>
          </cell>
          <cell r="J429" t="str">
            <v>2132BH</v>
          </cell>
        </row>
        <row r="430">
          <cell r="A430">
            <v>1535</v>
          </cell>
          <cell r="B430"/>
          <cell r="C430"/>
          <cell r="D430" t="str">
            <v>AH</v>
          </cell>
          <cell r="E430" t="str">
            <v>NL9351BM021X</v>
          </cell>
          <cell r="F430">
            <v>710508</v>
          </cell>
          <cell r="G430">
            <v>7005247</v>
          </cell>
          <cell r="H430" t="str">
            <v>O</v>
          </cell>
          <cell r="I430" t="str">
            <v>Samuel Leviestraat 21</v>
          </cell>
          <cell r="J430" t="str">
            <v>9351BM</v>
          </cell>
        </row>
        <row r="431">
          <cell r="A431">
            <v>1536</v>
          </cell>
          <cell r="B431"/>
          <cell r="C431"/>
          <cell r="D431" t="str">
            <v>AH</v>
          </cell>
          <cell r="E431" t="str">
            <v>NL6131CV071X</v>
          </cell>
          <cell r="F431">
            <v>652384</v>
          </cell>
          <cell r="G431">
            <v>6613367</v>
          </cell>
          <cell r="H431" t="str">
            <v>T</v>
          </cell>
          <cell r="I431" t="str">
            <v>Walstraat 71</v>
          </cell>
          <cell r="J431" t="str">
            <v>6131CV</v>
          </cell>
        </row>
        <row r="432">
          <cell r="A432">
            <v>1538</v>
          </cell>
          <cell r="B432"/>
          <cell r="C432"/>
          <cell r="D432" t="str">
            <v>AH</v>
          </cell>
          <cell r="E432" t="str">
            <v>NL9641MK025X</v>
          </cell>
          <cell r="F432">
            <v>764992</v>
          </cell>
          <cell r="G432">
            <v>6994627</v>
          </cell>
          <cell r="H432" t="str">
            <v>O</v>
          </cell>
          <cell r="I432" t="str">
            <v>Veenlustpassage 12</v>
          </cell>
          <cell r="J432" t="str">
            <v>9641MK</v>
          </cell>
        </row>
        <row r="433">
          <cell r="A433">
            <v>1539</v>
          </cell>
          <cell r="B433"/>
          <cell r="C433"/>
          <cell r="D433" t="str">
            <v>AH</v>
          </cell>
          <cell r="E433" t="str">
            <v>NL2201XA002X</v>
          </cell>
          <cell r="F433">
            <v>493725</v>
          </cell>
          <cell r="G433">
            <v>6834168</v>
          </cell>
          <cell r="H433" t="str">
            <v>P</v>
          </cell>
          <cell r="I433" t="str">
            <v>Bonnikeplein 2</v>
          </cell>
          <cell r="J433" t="str">
            <v>2201XA</v>
          </cell>
        </row>
        <row r="434">
          <cell r="A434">
            <v>1540</v>
          </cell>
          <cell r="B434"/>
          <cell r="C434"/>
          <cell r="D434" t="str">
            <v>AH</v>
          </cell>
          <cell r="E434" t="str">
            <v>NL3012EN121X</v>
          </cell>
          <cell r="F434">
            <v>497784</v>
          </cell>
          <cell r="G434">
            <v>6777804</v>
          </cell>
          <cell r="H434" t="str">
            <v>P</v>
          </cell>
          <cell r="I434" t="str">
            <v>Lijnbaan 121</v>
          </cell>
          <cell r="J434" t="str">
            <v>3012EN</v>
          </cell>
        </row>
        <row r="435">
          <cell r="A435">
            <v>1541</v>
          </cell>
          <cell r="B435"/>
          <cell r="C435"/>
          <cell r="D435" t="str">
            <v>AH</v>
          </cell>
          <cell r="E435" t="str">
            <v>NL3281AN008X</v>
          </cell>
          <cell r="F435">
            <v>493667</v>
          </cell>
          <cell r="G435">
            <v>6743837</v>
          </cell>
          <cell r="H435" t="str">
            <v>P</v>
          </cell>
          <cell r="I435" t="str">
            <v>Weth. van der Veldenweg 8</v>
          </cell>
          <cell r="J435" t="str">
            <v>3281AN</v>
          </cell>
        </row>
        <row r="436">
          <cell r="A436">
            <v>1542</v>
          </cell>
          <cell r="B436"/>
          <cell r="C436"/>
          <cell r="D436" t="str">
            <v>AH</v>
          </cell>
          <cell r="E436" t="str">
            <v>NL3311JN165X</v>
          </cell>
          <cell r="F436">
            <v>517656</v>
          </cell>
          <cell r="G436">
            <v>6758411</v>
          </cell>
          <cell r="H436" t="str">
            <v>P</v>
          </cell>
          <cell r="I436" t="str">
            <v>Korte Parallelweg 165</v>
          </cell>
          <cell r="J436" t="str">
            <v>3311JN</v>
          </cell>
        </row>
        <row r="437">
          <cell r="A437">
            <v>1543</v>
          </cell>
          <cell r="B437"/>
          <cell r="C437"/>
          <cell r="D437" t="str">
            <v>AH</v>
          </cell>
          <cell r="E437" t="str">
            <v>NL3822BX092X</v>
          </cell>
          <cell r="F437">
            <v>600942</v>
          </cell>
          <cell r="G437">
            <v>6824585</v>
          </cell>
          <cell r="H437" t="str">
            <v>O</v>
          </cell>
          <cell r="I437" t="str">
            <v>Albert Schweitzersingel 92</v>
          </cell>
          <cell r="J437" t="str">
            <v>3822BX</v>
          </cell>
        </row>
        <row r="438">
          <cell r="A438">
            <v>1544</v>
          </cell>
          <cell r="B438"/>
          <cell r="C438"/>
          <cell r="D438" t="str">
            <v>AH</v>
          </cell>
          <cell r="E438" t="str">
            <v>NL2573LW266X</v>
          </cell>
          <cell r="F438">
            <v>476016</v>
          </cell>
          <cell r="G438">
            <v>6804421</v>
          </cell>
          <cell r="H438" t="str">
            <v>P</v>
          </cell>
          <cell r="I438" t="str">
            <v>Apeldoornselaan 266</v>
          </cell>
          <cell r="J438" t="str">
            <v>2573LW</v>
          </cell>
        </row>
        <row r="439">
          <cell r="A439">
            <v>1545</v>
          </cell>
          <cell r="B439"/>
          <cell r="C439"/>
          <cell r="D439" t="str">
            <v>AH</v>
          </cell>
          <cell r="E439" t="str">
            <v>NL5271BN001X</v>
          </cell>
          <cell r="F439">
            <v>594765</v>
          </cell>
          <cell r="G439">
            <v>6727387</v>
          </cell>
          <cell r="H439" t="str">
            <v>T</v>
          </cell>
          <cell r="I439" t="str">
            <v>Adrianusplein 1</v>
          </cell>
          <cell r="J439" t="str">
            <v>5271BN</v>
          </cell>
        </row>
        <row r="440">
          <cell r="A440">
            <v>1546</v>
          </cell>
          <cell r="B440"/>
          <cell r="C440"/>
          <cell r="D440" t="str">
            <v>AH</v>
          </cell>
          <cell r="E440" t="str">
            <v>NL2728AH295X</v>
          </cell>
          <cell r="F440">
            <v>502653</v>
          </cell>
          <cell r="G440">
            <v>6806183</v>
          </cell>
          <cell r="H440" t="str">
            <v>P</v>
          </cell>
          <cell r="I440" t="str">
            <v>Lijnbaan 295</v>
          </cell>
          <cell r="J440" t="str">
            <v>2728AH</v>
          </cell>
        </row>
        <row r="441">
          <cell r="A441">
            <v>1547</v>
          </cell>
          <cell r="B441"/>
          <cell r="C441"/>
          <cell r="D441" t="str">
            <v>AH</v>
          </cell>
          <cell r="E441" t="str">
            <v>NL5141HH046X</v>
          </cell>
          <cell r="F441">
            <v>563297</v>
          </cell>
          <cell r="G441">
            <v>6736438</v>
          </cell>
          <cell r="H441" t="str">
            <v>T</v>
          </cell>
          <cell r="I441" t="str">
            <v>De Els 46</v>
          </cell>
          <cell r="J441" t="str">
            <v>5141HH</v>
          </cell>
        </row>
        <row r="442">
          <cell r="A442">
            <v>1550</v>
          </cell>
          <cell r="B442"/>
          <cell r="C442"/>
          <cell r="D442" t="str">
            <v>AH</v>
          </cell>
          <cell r="E442" t="str">
            <v>NL4708HK123X</v>
          </cell>
          <cell r="F442">
            <v>493500</v>
          </cell>
          <cell r="G442">
            <v>6705212</v>
          </cell>
          <cell r="H442" t="str">
            <v>T</v>
          </cell>
          <cell r="I442" t="str">
            <v>Tolbergcentrum 160</v>
          </cell>
          <cell r="J442" t="str">
            <v>4708HK</v>
          </cell>
        </row>
        <row r="443">
          <cell r="A443">
            <v>1551</v>
          </cell>
          <cell r="B443"/>
          <cell r="C443"/>
          <cell r="D443" t="str">
            <v>AH</v>
          </cell>
          <cell r="E443" t="str">
            <v>NL3011JN080X</v>
          </cell>
          <cell r="F443">
            <v>498482</v>
          </cell>
          <cell r="G443">
            <v>6778501</v>
          </cell>
          <cell r="H443" t="str">
            <v>P</v>
          </cell>
          <cell r="I443" t="str">
            <v>Meent 80</v>
          </cell>
          <cell r="J443" t="str">
            <v>3011JN</v>
          </cell>
        </row>
        <row r="444">
          <cell r="A444">
            <v>1552</v>
          </cell>
          <cell r="B444"/>
          <cell r="C444"/>
          <cell r="D444" t="str">
            <v>AH</v>
          </cell>
          <cell r="E444" t="str">
            <v>NL9711HG014X</v>
          </cell>
          <cell r="F444">
            <v>730564</v>
          </cell>
          <cell r="G444">
            <v>7015077</v>
          </cell>
          <cell r="H444" t="str">
            <v>O</v>
          </cell>
          <cell r="I444" t="str">
            <v>Gedempte Zuiderdiep 14</v>
          </cell>
          <cell r="J444" t="str">
            <v>9711HG</v>
          </cell>
        </row>
        <row r="445">
          <cell r="A445">
            <v>1554</v>
          </cell>
          <cell r="B445"/>
          <cell r="C445"/>
          <cell r="D445" t="str">
            <v>AH</v>
          </cell>
          <cell r="E445" t="str">
            <v>NL1188NC020X</v>
          </cell>
          <cell r="F445">
            <v>539408</v>
          </cell>
          <cell r="G445">
            <v>6843449</v>
          </cell>
          <cell r="H445" t="str">
            <v>Z</v>
          </cell>
          <cell r="I445" t="str">
            <v>Brink 20</v>
          </cell>
          <cell r="J445" t="str">
            <v>1188NC</v>
          </cell>
        </row>
        <row r="446">
          <cell r="A446">
            <v>1555</v>
          </cell>
          <cell r="B446"/>
          <cell r="C446"/>
          <cell r="D446" t="str">
            <v>AH</v>
          </cell>
          <cell r="E446" t="str">
            <v>NL5613BT130X</v>
          </cell>
          <cell r="F446">
            <v>611996</v>
          </cell>
          <cell r="G446">
            <v>6692304</v>
          </cell>
          <cell r="H446" t="str">
            <v>T</v>
          </cell>
          <cell r="I446" t="str">
            <v>Insulindelaan 130</v>
          </cell>
          <cell r="J446" t="str">
            <v>5613BT</v>
          </cell>
        </row>
        <row r="447">
          <cell r="A447">
            <v>1556</v>
          </cell>
          <cell r="B447"/>
          <cell r="C447"/>
          <cell r="D447" t="str">
            <v>AH</v>
          </cell>
          <cell r="E447" t="str">
            <v>NL7551EZ003X</v>
          </cell>
          <cell r="F447">
            <v>755345</v>
          </cell>
          <cell r="G447">
            <v>6840893</v>
          </cell>
          <cell r="H447" t="str">
            <v>O</v>
          </cell>
          <cell r="I447" t="str">
            <v>Thiemsbrug 19</v>
          </cell>
          <cell r="J447" t="str">
            <v>7551EZ</v>
          </cell>
        </row>
        <row r="448">
          <cell r="A448">
            <v>1557</v>
          </cell>
          <cell r="B448"/>
          <cell r="C448"/>
          <cell r="D448" t="str">
            <v>AH</v>
          </cell>
          <cell r="E448" t="str">
            <v>NL2312KP085X</v>
          </cell>
          <cell r="F448">
            <v>500073</v>
          </cell>
          <cell r="G448">
            <v>6821360</v>
          </cell>
          <cell r="H448" t="str">
            <v>P</v>
          </cell>
          <cell r="I448" t="str">
            <v>Hooigracht 85</v>
          </cell>
          <cell r="J448" t="str">
            <v>2312KP</v>
          </cell>
        </row>
        <row r="449">
          <cell r="A449">
            <v>1558</v>
          </cell>
          <cell r="B449"/>
          <cell r="C449"/>
          <cell r="D449" t="str">
            <v>AH</v>
          </cell>
          <cell r="E449" t="str">
            <v>NL5612CP005X</v>
          </cell>
          <cell r="F449">
            <v>608463</v>
          </cell>
          <cell r="G449">
            <v>6694078</v>
          </cell>
          <cell r="H449" t="str">
            <v>T</v>
          </cell>
          <cell r="I449" t="str">
            <v>Woenselse Markt 5</v>
          </cell>
          <cell r="J449" t="str">
            <v>5612CP</v>
          </cell>
        </row>
        <row r="450">
          <cell r="A450">
            <v>1559</v>
          </cell>
          <cell r="B450"/>
          <cell r="C450"/>
          <cell r="D450" t="str">
            <v>AH</v>
          </cell>
          <cell r="E450" t="str">
            <v>NL7422LL054X</v>
          </cell>
          <cell r="F450">
            <v>691287</v>
          </cell>
          <cell r="G450">
            <v>6837485</v>
          </cell>
          <cell r="H450" t="str">
            <v>O</v>
          </cell>
          <cell r="I450" t="str">
            <v>Flora 54</v>
          </cell>
          <cell r="J450" t="str">
            <v>7422LL</v>
          </cell>
        </row>
        <row r="451">
          <cell r="A451">
            <v>1561</v>
          </cell>
          <cell r="B451"/>
          <cell r="C451"/>
          <cell r="D451" t="str">
            <v>AH</v>
          </cell>
          <cell r="E451" t="str">
            <v>NL3053GL151X</v>
          </cell>
          <cell r="F451">
            <v>496715</v>
          </cell>
          <cell r="G451">
            <v>6785412</v>
          </cell>
          <cell r="H451" t="str">
            <v>P</v>
          </cell>
          <cell r="I451" t="str">
            <v>Peppelweg 151</v>
          </cell>
          <cell r="J451" t="str">
            <v>3053GL</v>
          </cell>
        </row>
        <row r="452">
          <cell r="A452">
            <v>1562</v>
          </cell>
          <cell r="B452"/>
          <cell r="C452"/>
          <cell r="D452" t="str">
            <v>AH</v>
          </cell>
          <cell r="E452" t="str">
            <v>NL1072JJ011X</v>
          </cell>
          <cell r="F452">
            <v>543920</v>
          </cell>
          <cell r="G452">
            <v>6856172</v>
          </cell>
          <cell r="H452" t="str">
            <v>Z</v>
          </cell>
          <cell r="I452" t="str">
            <v>Cornelis Troostplein 11</v>
          </cell>
          <cell r="J452" t="str">
            <v>1072JJ</v>
          </cell>
        </row>
        <row r="453">
          <cell r="A453">
            <v>1564</v>
          </cell>
          <cell r="B453"/>
          <cell r="C453"/>
          <cell r="D453" t="str">
            <v>AH</v>
          </cell>
          <cell r="E453" t="str">
            <v>NL4731JB007X</v>
          </cell>
          <cell r="F453">
            <v>503078</v>
          </cell>
          <cell r="G453">
            <v>6718704</v>
          </cell>
          <cell r="H453" t="str">
            <v>P</v>
          </cell>
          <cell r="I453" t="str">
            <v>Wagenhoek 4</v>
          </cell>
          <cell r="J453" t="str">
            <v>4731JB</v>
          </cell>
        </row>
        <row r="454">
          <cell r="A454">
            <v>1565</v>
          </cell>
          <cell r="B454"/>
          <cell r="C454"/>
          <cell r="D454" t="str">
            <v>AH</v>
          </cell>
          <cell r="E454" t="str">
            <v>NL2341CZ003X</v>
          </cell>
          <cell r="F454">
            <v>496800</v>
          </cell>
          <cell r="G454">
            <v>6824519</v>
          </cell>
          <cell r="H454" t="str">
            <v>P</v>
          </cell>
          <cell r="I454" t="str">
            <v>Terweeplein 3</v>
          </cell>
          <cell r="J454" t="str">
            <v>2341CZ</v>
          </cell>
        </row>
        <row r="455">
          <cell r="A455">
            <v>1566</v>
          </cell>
          <cell r="B455"/>
          <cell r="C455"/>
          <cell r="D455" t="str">
            <v>AH</v>
          </cell>
          <cell r="E455" t="str">
            <v>NL2051GM240X</v>
          </cell>
          <cell r="F455">
            <v>512438</v>
          </cell>
          <cell r="G455">
            <v>6863447</v>
          </cell>
          <cell r="H455" t="str">
            <v>Z</v>
          </cell>
          <cell r="I455" t="str">
            <v>Bloemendaalseweg 240</v>
          </cell>
          <cell r="J455" t="str">
            <v>2051GM</v>
          </cell>
        </row>
        <row r="456">
          <cell r="A456">
            <v>1567</v>
          </cell>
          <cell r="B456"/>
          <cell r="C456"/>
          <cell r="D456" t="str">
            <v>AH</v>
          </cell>
          <cell r="E456" t="str">
            <v>NL1011NH021X</v>
          </cell>
          <cell r="F456">
            <v>545376</v>
          </cell>
          <cell r="G456">
            <v>6859418</v>
          </cell>
          <cell r="H456" t="str">
            <v>Z</v>
          </cell>
          <cell r="I456" t="str">
            <v>Jodenbreestraat 21</v>
          </cell>
          <cell r="J456" t="str">
            <v>1011NH</v>
          </cell>
        </row>
        <row r="457">
          <cell r="A457">
            <v>1568</v>
          </cell>
          <cell r="B457"/>
          <cell r="C457"/>
          <cell r="D457" t="str">
            <v>AH</v>
          </cell>
          <cell r="E457" t="str">
            <v>NL3525AB083X</v>
          </cell>
          <cell r="F457">
            <v>569546</v>
          </cell>
          <cell r="G457">
            <v>6804553</v>
          </cell>
          <cell r="H457" t="str">
            <v>Z</v>
          </cell>
          <cell r="I457" t="str">
            <v>'t Goylaan 66</v>
          </cell>
          <cell r="J457" t="str">
            <v>3525AH</v>
          </cell>
        </row>
        <row r="458">
          <cell r="A458">
            <v>1569</v>
          </cell>
          <cell r="B458"/>
          <cell r="C458"/>
          <cell r="D458" t="str">
            <v>AH</v>
          </cell>
          <cell r="E458" t="str">
            <v>NL8861XB008X</v>
          </cell>
          <cell r="F458">
            <v>601830</v>
          </cell>
          <cell r="G458">
            <v>7007347</v>
          </cell>
          <cell r="H458" t="str">
            <v>O</v>
          </cell>
          <cell r="I458" t="str">
            <v>Zuiderhaven 8</v>
          </cell>
          <cell r="J458" t="str">
            <v>8861XB</v>
          </cell>
        </row>
        <row r="459">
          <cell r="A459">
            <v>1570</v>
          </cell>
          <cell r="B459"/>
          <cell r="C459"/>
          <cell r="D459" t="str">
            <v>AH</v>
          </cell>
          <cell r="E459" t="str">
            <v>NL7622CL027X</v>
          </cell>
          <cell r="F459">
            <v>751220</v>
          </cell>
          <cell r="G459">
            <v>6846891</v>
          </cell>
          <cell r="H459" t="str">
            <v>O</v>
          </cell>
          <cell r="I459" t="str">
            <v>Marktplein 27</v>
          </cell>
          <cell r="J459" t="str">
            <v>7622CL</v>
          </cell>
        </row>
        <row r="460">
          <cell r="A460">
            <v>1571</v>
          </cell>
          <cell r="B460"/>
          <cell r="C460"/>
          <cell r="D460" t="str">
            <v>AH</v>
          </cell>
          <cell r="E460" t="str">
            <v>NL8251KD001X</v>
          </cell>
          <cell r="F460">
            <v>636025</v>
          </cell>
          <cell r="G460">
            <v>6888074</v>
          </cell>
          <cell r="H460" t="str">
            <v>O</v>
          </cell>
          <cell r="I460" t="str">
            <v>Kop van Het Ruim 1</v>
          </cell>
          <cell r="J460" t="str">
            <v>8251KD</v>
          </cell>
        </row>
        <row r="461">
          <cell r="A461">
            <v>1572</v>
          </cell>
          <cell r="B461"/>
          <cell r="C461"/>
          <cell r="D461" t="str">
            <v>AH</v>
          </cell>
          <cell r="E461" t="str">
            <v>NL4191AD006X</v>
          </cell>
          <cell r="F461">
            <v>587818</v>
          </cell>
          <cell r="G461">
            <v>6771486</v>
          </cell>
          <cell r="H461" t="str">
            <v>T</v>
          </cell>
          <cell r="I461" t="str">
            <v>Achter 't Veer 6</v>
          </cell>
          <cell r="J461" t="str">
            <v>4191AD</v>
          </cell>
        </row>
        <row r="462">
          <cell r="A462">
            <v>1573</v>
          </cell>
          <cell r="B462"/>
          <cell r="C462"/>
          <cell r="D462" t="str">
            <v>AH</v>
          </cell>
          <cell r="E462" t="str">
            <v>NL4301HE028X</v>
          </cell>
          <cell r="F462">
            <v>436022</v>
          </cell>
          <cell r="G462">
            <v>6729851</v>
          </cell>
          <cell r="H462" t="str">
            <v>P</v>
          </cell>
          <cell r="I462" t="str">
            <v>Lange Nobelstraat 28</v>
          </cell>
          <cell r="J462" t="str">
            <v>4301HE</v>
          </cell>
        </row>
        <row r="463">
          <cell r="A463">
            <v>1574</v>
          </cell>
          <cell r="B463"/>
          <cell r="C463"/>
          <cell r="D463" t="str">
            <v>AH</v>
          </cell>
          <cell r="E463" t="str">
            <v>NL3061DV081X</v>
          </cell>
          <cell r="F463">
            <v>500580</v>
          </cell>
          <cell r="G463">
            <v>6779690</v>
          </cell>
          <cell r="H463" t="str">
            <v>P</v>
          </cell>
          <cell r="I463" t="str">
            <v>Vlietlaan 61</v>
          </cell>
          <cell r="J463" t="str">
            <v>3061DV</v>
          </cell>
        </row>
        <row r="464">
          <cell r="A464">
            <v>1575</v>
          </cell>
          <cell r="B464"/>
          <cell r="C464"/>
          <cell r="D464" t="str">
            <v>AH</v>
          </cell>
          <cell r="E464" t="str">
            <v>NL3137DD085X</v>
          </cell>
          <cell r="F464">
            <v>483212</v>
          </cell>
          <cell r="G464">
            <v>6780403</v>
          </cell>
          <cell r="H464" t="str">
            <v>P</v>
          </cell>
          <cell r="I464" t="str">
            <v>de Loper 85</v>
          </cell>
          <cell r="J464" t="str">
            <v>3137DD</v>
          </cell>
        </row>
        <row r="465">
          <cell r="A465">
            <v>1576</v>
          </cell>
          <cell r="B465"/>
          <cell r="C465"/>
          <cell r="D465" t="str">
            <v>AH</v>
          </cell>
          <cell r="E465" t="str">
            <v>NL1624NN019X</v>
          </cell>
          <cell r="F465">
            <v>561802</v>
          </cell>
          <cell r="G465">
            <v>6910095</v>
          </cell>
          <cell r="H465" t="str">
            <v>Z</v>
          </cell>
          <cell r="I465" t="str">
            <v>Van Dedemstraat 19</v>
          </cell>
          <cell r="J465" t="str">
            <v>1624NN</v>
          </cell>
        </row>
        <row r="466">
          <cell r="A466">
            <v>1577</v>
          </cell>
          <cell r="B466"/>
          <cell r="C466"/>
          <cell r="D466" t="str">
            <v>AH</v>
          </cell>
          <cell r="E466" t="str">
            <v>NL8918HR001X</v>
          </cell>
          <cell r="F466">
            <v>644186</v>
          </cell>
          <cell r="G466">
            <v>7015129</v>
          </cell>
          <cell r="H466" t="str">
            <v>O</v>
          </cell>
          <cell r="I466" t="str">
            <v>Bilgaardpassage 1</v>
          </cell>
          <cell r="J466" t="str">
            <v>8918HR</v>
          </cell>
        </row>
        <row r="467">
          <cell r="A467">
            <v>1578</v>
          </cell>
          <cell r="B467"/>
          <cell r="C467"/>
          <cell r="D467" t="str">
            <v>AH</v>
          </cell>
          <cell r="E467" t="str">
            <v>NL1507NC077X</v>
          </cell>
          <cell r="F467">
            <v>534082</v>
          </cell>
          <cell r="G467">
            <v>6873946</v>
          </cell>
          <cell r="H467" t="str">
            <v>Z</v>
          </cell>
          <cell r="I467" t="str">
            <v>Langeweide 77</v>
          </cell>
          <cell r="J467" t="str">
            <v>1507NC</v>
          </cell>
        </row>
        <row r="468">
          <cell r="A468">
            <v>1579</v>
          </cell>
          <cell r="B468"/>
          <cell r="C468"/>
          <cell r="D468" t="str">
            <v>AH</v>
          </cell>
          <cell r="E468" t="str">
            <v>NL2807GZ064X</v>
          </cell>
          <cell r="F468">
            <v>527480</v>
          </cell>
          <cell r="G468">
            <v>6794632</v>
          </cell>
          <cell r="H468" t="str">
            <v>P</v>
          </cell>
          <cell r="I468" t="str">
            <v>Middenmolenplein 64</v>
          </cell>
          <cell r="J468" t="str">
            <v>2807GZ</v>
          </cell>
        </row>
        <row r="469">
          <cell r="A469">
            <v>1580</v>
          </cell>
          <cell r="B469"/>
          <cell r="C469"/>
          <cell r="D469" t="str">
            <v>AH</v>
          </cell>
          <cell r="E469" t="str">
            <v>NL6021CL003X</v>
          </cell>
          <cell r="F469">
            <v>620165</v>
          </cell>
          <cell r="G469">
            <v>6662575</v>
          </cell>
          <cell r="H469" t="str">
            <v>T</v>
          </cell>
          <cell r="I469" t="str">
            <v>Dr. Ant. Mathijsenstraat 20</v>
          </cell>
          <cell r="J469" t="str">
            <v>6021CL</v>
          </cell>
        </row>
        <row r="470">
          <cell r="A470">
            <v>1581</v>
          </cell>
          <cell r="B470"/>
          <cell r="C470"/>
          <cell r="D470" t="str">
            <v>AH</v>
          </cell>
          <cell r="E470" t="str">
            <v>NL5401GN030X</v>
          </cell>
          <cell r="F470">
            <v>624275</v>
          </cell>
          <cell r="G470">
            <v>6730746</v>
          </cell>
          <cell r="H470" t="str">
            <v>T</v>
          </cell>
          <cell r="I470" t="str">
            <v>Markt 19</v>
          </cell>
          <cell r="J470" t="str">
            <v>5401GN</v>
          </cell>
        </row>
        <row r="471">
          <cell r="A471">
            <v>1582</v>
          </cell>
          <cell r="B471"/>
          <cell r="C471"/>
          <cell r="D471" t="str">
            <v>AH</v>
          </cell>
          <cell r="E471" t="str">
            <v>NL1861JW001X</v>
          </cell>
          <cell r="F471">
            <v>522753</v>
          </cell>
          <cell r="G471">
            <v>6914665</v>
          </cell>
          <cell r="H471" t="str">
            <v>Z</v>
          </cell>
          <cell r="I471" t="str">
            <v>Breelaan 14</v>
          </cell>
          <cell r="J471" t="str">
            <v>1861GE</v>
          </cell>
        </row>
        <row r="472">
          <cell r="A472">
            <v>1583</v>
          </cell>
          <cell r="B472"/>
          <cell r="C472"/>
          <cell r="D472" t="str">
            <v>AH</v>
          </cell>
          <cell r="E472" t="str">
            <v>NL3571NB043X</v>
          </cell>
          <cell r="F472">
            <v>570939</v>
          </cell>
          <cell r="G472">
            <v>6811747</v>
          </cell>
          <cell r="H472" t="str">
            <v>Z</v>
          </cell>
          <cell r="I472" t="str">
            <v>Troosterhof 6</v>
          </cell>
          <cell r="J472" t="str">
            <v>3571NC</v>
          </cell>
        </row>
        <row r="473">
          <cell r="A473">
            <v>1584</v>
          </cell>
          <cell r="B473"/>
          <cell r="C473"/>
          <cell r="D473" t="str">
            <v>AH</v>
          </cell>
          <cell r="E473" t="str">
            <v>NL2587CN009X</v>
          </cell>
          <cell r="F473">
            <v>476803</v>
          </cell>
          <cell r="G473">
            <v>6812744</v>
          </cell>
          <cell r="H473" t="str">
            <v>P</v>
          </cell>
          <cell r="I473" t="str">
            <v>Amsterdamsestraat 9</v>
          </cell>
          <cell r="J473" t="str">
            <v>2587CN</v>
          </cell>
        </row>
        <row r="474">
          <cell r="A474">
            <v>1585</v>
          </cell>
          <cell r="B474"/>
          <cell r="C474"/>
          <cell r="D474" t="str">
            <v>AH</v>
          </cell>
          <cell r="E474" t="str">
            <v>NL5056GE021X</v>
          </cell>
          <cell r="F474">
            <v>571873</v>
          </cell>
          <cell r="G474">
            <v>6717844</v>
          </cell>
          <cell r="H474" t="str">
            <v>T</v>
          </cell>
          <cell r="I474" t="str">
            <v>Heuneind 21</v>
          </cell>
          <cell r="J474" t="str">
            <v>5056GE</v>
          </cell>
        </row>
        <row r="475">
          <cell r="A475">
            <v>1586</v>
          </cell>
          <cell r="B475"/>
          <cell r="C475"/>
          <cell r="D475" t="str">
            <v>AH</v>
          </cell>
          <cell r="E475" t="str">
            <v>NL1561DX020X</v>
          </cell>
          <cell r="F475">
            <v>529260</v>
          </cell>
          <cell r="G475">
            <v>6883907</v>
          </cell>
          <cell r="H475" t="str">
            <v>Z</v>
          </cell>
          <cell r="I475" t="str">
            <v>Rosariumplein 20</v>
          </cell>
          <cell r="J475" t="str">
            <v>1561DX</v>
          </cell>
        </row>
        <row r="476">
          <cell r="A476">
            <v>1587</v>
          </cell>
          <cell r="B476"/>
          <cell r="C476"/>
          <cell r="D476" t="str">
            <v>AH</v>
          </cell>
          <cell r="E476" t="str">
            <v>NL1019BW065X</v>
          </cell>
          <cell r="F476">
            <v>549203</v>
          </cell>
          <cell r="G476">
            <v>6860370</v>
          </cell>
          <cell r="H476" t="str">
            <v>Z</v>
          </cell>
          <cell r="I476" t="str">
            <v>Oostelijke Handelskade 1065</v>
          </cell>
          <cell r="J476" t="str">
            <v>1019BW</v>
          </cell>
        </row>
        <row r="477">
          <cell r="A477">
            <v>1589</v>
          </cell>
          <cell r="B477"/>
          <cell r="C477"/>
          <cell r="D477" t="str">
            <v>AH</v>
          </cell>
          <cell r="E477" t="str">
            <v>NL5235KR025X</v>
          </cell>
          <cell r="F477">
            <v>590323</v>
          </cell>
          <cell r="G477">
            <v>6743149</v>
          </cell>
          <cell r="H477" t="str">
            <v>T</v>
          </cell>
          <cell r="I477" t="str">
            <v>Lokerenpassage 25</v>
          </cell>
          <cell r="J477" t="str">
            <v>5235KR</v>
          </cell>
        </row>
        <row r="478">
          <cell r="A478">
            <v>1590</v>
          </cell>
          <cell r="B478"/>
          <cell r="C478"/>
          <cell r="D478" t="str">
            <v>AH</v>
          </cell>
          <cell r="E478" t="str">
            <v>NL2771DN011X</v>
          </cell>
          <cell r="F478">
            <v>517868</v>
          </cell>
          <cell r="G478">
            <v>6805836</v>
          </cell>
          <cell r="H478" t="str">
            <v>P</v>
          </cell>
          <cell r="I478" t="str">
            <v>Koninginneweg 11</v>
          </cell>
          <cell r="J478" t="str">
            <v>2771DN</v>
          </cell>
        </row>
        <row r="479">
          <cell r="A479">
            <v>1592</v>
          </cell>
          <cell r="B479"/>
          <cell r="C479"/>
          <cell r="D479" t="str">
            <v>AH</v>
          </cell>
          <cell r="E479" t="str">
            <v>NL3065JK089X</v>
          </cell>
          <cell r="F479">
            <v>505531</v>
          </cell>
          <cell r="G479">
            <v>6779722</v>
          </cell>
          <cell r="H479" t="str">
            <v>P</v>
          </cell>
          <cell r="I479" t="str">
            <v>Mia van IJperenplein 89</v>
          </cell>
          <cell r="J479" t="str">
            <v>3065JK</v>
          </cell>
        </row>
        <row r="480">
          <cell r="A480">
            <v>1593</v>
          </cell>
          <cell r="B480"/>
          <cell r="C480"/>
          <cell r="D480" t="str">
            <v>AH</v>
          </cell>
          <cell r="E480" t="str">
            <v>NL3355BM020X</v>
          </cell>
          <cell r="F480">
            <v>522845</v>
          </cell>
          <cell r="G480">
            <v>6763080</v>
          </cell>
          <cell r="H480" t="str">
            <v>P</v>
          </cell>
          <cell r="I480" t="str">
            <v>Espenhof 20</v>
          </cell>
          <cell r="J480" t="str">
            <v>3355BM</v>
          </cell>
        </row>
        <row r="481">
          <cell r="A481">
            <v>1594</v>
          </cell>
          <cell r="B481"/>
          <cell r="C481"/>
          <cell r="D481" t="str">
            <v>AH</v>
          </cell>
          <cell r="E481" t="str">
            <v>NL1073AW101X</v>
          </cell>
          <cell r="F481">
            <v>544469</v>
          </cell>
          <cell r="G481">
            <v>6857390</v>
          </cell>
          <cell r="H481" t="str">
            <v>Z</v>
          </cell>
          <cell r="I481" t="str">
            <v>Stadhouderskade 101</v>
          </cell>
          <cell r="J481" t="str">
            <v>1073AW</v>
          </cell>
        </row>
        <row r="482">
          <cell r="A482">
            <v>1595</v>
          </cell>
          <cell r="B482"/>
          <cell r="C482"/>
          <cell r="D482" t="str">
            <v>AH</v>
          </cell>
          <cell r="E482" t="str">
            <v>NL2584BP179X</v>
          </cell>
          <cell r="F482">
            <v>475587</v>
          </cell>
          <cell r="G482">
            <v>6811417</v>
          </cell>
          <cell r="H482" t="str">
            <v>P</v>
          </cell>
          <cell r="I482" t="str">
            <v>Keizerstraat 342</v>
          </cell>
          <cell r="J482" t="str">
            <v>2584BP</v>
          </cell>
        </row>
        <row r="483">
          <cell r="A483">
            <v>1596</v>
          </cell>
          <cell r="B483"/>
          <cell r="C483"/>
          <cell r="D483" t="str">
            <v>AH</v>
          </cell>
          <cell r="E483" t="str">
            <v>NL3224HA091X</v>
          </cell>
          <cell r="F483">
            <v>460823</v>
          </cell>
          <cell r="G483">
            <v>6761969</v>
          </cell>
          <cell r="H483" t="str">
            <v>P</v>
          </cell>
          <cell r="I483" t="str">
            <v>Struytse Hoeck 91</v>
          </cell>
          <cell r="J483" t="str">
            <v>3224HA</v>
          </cell>
        </row>
        <row r="484">
          <cell r="A484">
            <v>1597</v>
          </cell>
          <cell r="B484"/>
          <cell r="C484"/>
          <cell r="D484" t="str">
            <v>AH</v>
          </cell>
          <cell r="E484" t="str">
            <v>NL3231AN002X</v>
          </cell>
          <cell r="F484">
            <v>463499</v>
          </cell>
          <cell r="G484">
            <v>6774837</v>
          </cell>
          <cell r="H484" t="str">
            <v>P</v>
          </cell>
          <cell r="I484" t="str">
            <v>Slagveld 2</v>
          </cell>
          <cell r="J484" t="str">
            <v>3231AN</v>
          </cell>
        </row>
        <row r="485">
          <cell r="A485">
            <v>1598</v>
          </cell>
          <cell r="B485"/>
          <cell r="C485"/>
          <cell r="D485" t="str">
            <v>AH</v>
          </cell>
          <cell r="E485" t="str">
            <v>NL1066RD061X</v>
          </cell>
          <cell r="F485">
            <v>534832</v>
          </cell>
          <cell r="G485">
            <v>6855167</v>
          </cell>
          <cell r="H485" t="str">
            <v>Z</v>
          </cell>
          <cell r="I485" t="str">
            <v>Belgieplein 107</v>
          </cell>
          <cell r="J485" t="str">
            <v>1066RC</v>
          </cell>
        </row>
        <row r="486">
          <cell r="A486">
            <v>1601</v>
          </cell>
          <cell r="B486"/>
          <cell r="C486"/>
          <cell r="D486" t="str">
            <v>AH</v>
          </cell>
          <cell r="E486" t="str">
            <v>NL4381RZ016X</v>
          </cell>
          <cell r="F486">
            <v>397492</v>
          </cell>
          <cell r="G486">
            <v>6693070</v>
          </cell>
          <cell r="H486" t="str">
            <v>P</v>
          </cell>
          <cell r="I486" t="str">
            <v>Aagje Dekenstraat 16</v>
          </cell>
          <cell r="J486" t="str">
            <v>4381RZ</v>
          </cell>
        </row>
        <row r="487">
          <cell r="A487">
            <v>1602</v>
          </cell>
          <cell r="B487"/>
          <cell r="C487"/>
          <cell r="D487" t="str">
            <v>AH</v>
          </cell>
          <cell r="E487" t="str">
            <v>NL3771EP035X</v>
          </cell>
          <cell r="F487">
            <v>621646</v>
          </cell>
          <cell r="G487">
            <v>6817428</v>
          </cell>
          <cell r="H487" t="str">
            <v>O</v>
          </cell>
          <cell r="I487" t="str">
            <v>Burgemeester Kuntzelaan 35</v>
          </cell>
          <cell r="J487" t="str">
            <v>3771EP</v>
          </cell>
        </row>
        <row r="488">
          <cell r="A488">
            <v>1603</v>
          </cell>
          <cell r="B488"/>
          <cell r="C488"/>
          <cell r="D488" t="str">
            <v>AH</v>
          </cell>
          <cell r="E488" t="str">
            <v>NL3241DB099X</v>
          </cell>
          <cell r="F488">
            <v>462129</v>
          </cell>
          <cell r="G488">
            <v>6749488</v>
          </cell>
          <cell r="H488" t="str">
            <v>P</v>
          </cell>
          <cell r="I488" t="str">
            <v>Gedempt Kanaal 99</v>
          </cell>
          <cell r="J488" t="str">
            <v>3241DB</v>
          </cell>
        </row>
        <row r="489">
          <cell r="A489">
            <v>1605</v>
          </cell>
          <cell r="B489"/>
          <cell r="C489"/>
          <cell r="D489" t="str">
            <v>AH</v>
          </cell>
          <cell r="E489" t="str">
            <v>NL2642RB004X</v>
          </cell>
          <cell r="F489">
            <v>494194</v>
          </cell>
          <cell r="G489">
            <v>6793269</v>
          </cell>
          <cell r="H489" t="str">
            <v>P</v>
          </cell>
          <cell r="I489" t="str">
            <v>Hoefbladplein 4</v>
          </cell>
          <cell r="J489" t="str">
            <v>2643KD</v>
          </cell>
        </row>
        <row r="490">
          <cell r="A490">
            <v>1606</v>
          </cell>
          <cell r="B490"/>
          <cell r="C490"/>
          <cell r="D490" t="str">
            <v>AH</v>
          </cell>
          <cell r="E490" t="str">
            <v>NL1852KX006X</v>
          </cell>
          <cell r="F490">
            <v>521334</v>
          </cell>
          <cell r="G490">
            <v>6902296</v>
          </cell>
          <cell r="H490" t="str">
            <v>Z</v>
          </cell>
          <cell r="I490" t="str">
            <v>Het Hoekstuk 6</v>
          </cell>
          <cell r="J490" t="str">
            <v>1852KX</v>
          </cell>
        </row>
        <row r="491">
          <cell r="A491">
            <v>1607</v>
          </cell>
          <cell r="B491"/>
          <cell r="C491"/>
          <cell r="D491" t="str">
            <v>AH</v>
          </cell>
          <cell r="E491" t="str">
            <v>NL1391LT002X</v>
          </cell>
          <cell r="F491">
            <v>553012</v>
          </cell>
          <cell r="G491">
            <v>6842018</v>
          </cell>
          <cell r="H491" t="str">
            <v>Z</v>
          </cell>
          <cell r="I491" t="str">
            <v>Dokter van Doornplein 2</v>
          </cell>
          <cell r="J491" t="str">
            <v>1391LT</v>
          </cell>
        </row>
        <row r="492">
          <cell r="A492">
            <v>1608</v>
          </cell>
          <cell r="B492"/>
          <cell r="C492"/>
          <cell r="D492" t="str">
            <v>AH</v>
          </cell>
          <cell r="E492" t="str">
            <v>NL8932ND121X</v>
          </cell>
          <cell r="F492">
            <v>644874</v>
          </cell>
          <cell r="G492">
            <v>7011172</v>
          </cell>
          <cell r="H492" t="str">
            <v>O</v>
          </cell>
          <cell r="I492" t="str">
            <v>Schrans 121</v>
          </cell>
          <cell r="J492" t="str">
            <v>8932ND</v>
          </cell>
        </row>
        <row r="493">
          <cell r="A493">
            <v>1609</v>
          </cell>
          <cell r="B493"/>
          <cell r="C493"/>
          <cell r="D493" t="str">
            <v>AH</v>
          </cell>
          <cell r="E493" t="str">
            <v>NL7461AZ002X</v>
          </cell>
          <cell r="F493">
            <v>725435</v>
          </cell>
          <cell r="G493">
            <v>6848679</v>
          </cell>
          <cell r="H493" t="str">
            <v>O</v>
          </cell>
          <cell r="I493" t="str">
            <v>Watermolen 2</v>
          </cell>
          <cell r="J493" t="str">
            <v>7461AZ</v>
          </cell>
        </row>
        <row r="494">
          <cell r="A494">
            <v>1611</v>
          </cell>
          <cell r="B494"/>
          <cell r="C494"/>
          <cell r="D494" t="str">
            <v>AH</v>
          </cell>
          <cell r="E494" t="str">
            <v>NL6441JG090X</v>
          </cell>
          <cell r="F494">
            <v>662696</v>
          </cell>
          <cell r="G494">
            <v>6605009</v>
          </cell>
          <cell r="H494" t="str">
            <v>T</v>
          </cell>
          <cell r="I494" t="str">
            <v>Kennedylaan 90</v>
          </cell>
          <cell r="J494" t="str">
            <v>6441JG</v>
          </cell>
        </row>
        <row r="495">
          <cell r="A495">
            <v>1612</v>
          </cell>
          <cell r="B495"/>
          <cell r="C495"/>
          <cell r="D495" t="str">
            <v>AH</v>
          </cell>
          <cell r="E495" t="str">
            <v>NL5431BJ070X</v>
          </cell>
          <cell r="F495">
            <v>653056</v>
          </cell>
          <cell r="G495">
            <v>6743838</v>
          </cell>
          <cell r="H495" t="str">
            <v>T</v>
          </cell>
          <cell r="I495" t="str">
            <v>Smidstraat 70</v>
          </cell>
          <cell r="J495" t="str">
            <v>5431BJ</v>
          </cell>
        </row>
        <row r="496">
          <cell r="A496">
            <v>1613</v>
          </cell>
          <cell r="B496"/>
          <cell r="C496"/>
          <cell r="D496" t="str">
            <v>AH</v>
          </cell>
          <cell r="E496" t="str">
            <v>NL9203KS087X</v>
          </cell>
          <cell r="F496">
            <v>677975</v>
          </cell>
          <cell r="G496">
            <v>6993928</v>
          </cell>
          <cell r="H496" t="str">
            <v>O</v>
          </cell>
          <cell r="I496" t="str">
            <v>Kiryat Onoplein 87</v>
          </cell>
          <cell r="J496" t="str">
            <v>9203KS</v>
          </cell>
        </row>
        <row r="497">
          <cell r="A497">
            <v>1614</v>
          </cell>
          <cell r="B497"/>
          <cell r="C497"/>
          <cell r="D497" t="str">
            <v>AH</v>
          </cell>
          <cell r="E497" t="str">
            <v>NL5625AG119X</v>
          </cell>
          <cell r="F497">
            <v>608570</v>
          </cell>
          <cell r="G497">
            <v>6697068</v>
          </cell>
          <cell r="H497" t="str">
            <v>T</v>
          </cell>
          <cell r="I497" t="str">
            <v>Winkelcentrum Woensel 119</v>
          </cell>
          <cell r="J497" t="str">
            <v>5625AG</v>
          </cell>
        </row>
        <row r="498">
          <cell r="A498">
            <v>1615</v>
          </cell>
          <cell r="B498"/>
          <cell r="C498"/>
          <cell r="D498" t="str">
            <v>AH</v>
          </cell>
          <cell r="E498" t="str">
            <v>NL5701SH001X</v>
          </cell>
          <cell r="F498">
            <v>628703</v>
          </cell>
          <cell r="G498">
            <v>6700030</v>
          </cell>
          <cell r="H498" t="str">
            <v>T</v>
          </cell>
          <cell r="I498" t="str">
            <v>Torenstraat 1</v>
          </cell>
          <cell r="J498" t="str">
            <v>5701SH</v>
          </cell>
        </row>
        <row r="499">
          <cell r="A499">
            <v>1616</v>
          </cell>
          <cell r="B499"/>
          <cell r="C499"/>
          <cell r="D499" t="str">
            <v>AH</v>
          </cell>
          <cell r="E499" t="str">
            <v>NL7901EA020X</v>
          </cell>
          <cell r="F499">
            <v>719094</v>
          </cell>
          <cell r="G499">
            <v>6924288</v>
          </cell>
          <cell r="H499" t="str">
            <v>O</v>
          </cell>
          <cell r="I499" t="str">
            <v>Griendtsveenweg 20</v>
          </cell>
          <cell r="J499" t="str">
            <v>7901EA</v>
          </cell>
        </row>
        <row r="500">
          <cell r="A500">
            <v>1617</v>
          </cell>
          <cell r="B500"/>
          <cell r="C500"/>
          <cell r="D500" t="str">
            <v>AH</v>
          </cell>
          <cell r="E500" t="str">
            <v>NL3191EG305X</v>
          </cell>
          <cell r="F500">
            <v>484319</v>
          </cell>
          <cell r="G500">
            <v>6768019</v>
          </cell>
          <cell r="H500" t="str">
            <v>P</v>
          </cell>
          <cell r="I500" t="str">
            <v>Kinheim 305</v>
          </cell>
          <cell r="J500" t="str">
            <v>3191EG</v>
          </cell>
        </row>
        <row r="501">
          <cell r="A501">
            <v>1618</v>
          </cell>
          <cell r="B501"/>
          <cell r="C501"/>
          <cell r="D501" t="str">
            <v>AH</v>
          </cell>
          <cell r="E501" t="str">
            <v>NL8933AX224X</v>
          </cell>
          <cell r="F501">
            <v>646764</v>
          </cell>
          <cell r="G501">
            <v>7012224</v>
          </cell>
          <cell r="H501" t="str">
            <v>O</v>
          </cell>
          <cell r="I501" t="str">
            <v>Emmakade 168</v>
          </cell>
          <cell r="J501" t="str">
            <v>8933AX</v>
          </cell>
        </row>
        <row r="502">
          <cell r="A502">
            <v>1619</v>
          </cell>
          <cell r="B502"/>
          <cell r="C502"/>
          <cell r="D502" t="str">
            <v>AH</v>
          </cell>
          <cell r="E502" t="str">
            <v>NL1521HS017X</v>
          </cell>
          <cell r="F502">
            <v>532091</v>
          </cell>
          <cell r="G502">
            <v>6882425</v>
          </cell>
          <cell r="H502" t="str">
            <v>Z</v>
          </cell>
          <cell r="I502" t="str">
            <v>Marktplein 9</v>
          </cell>
          <cell r="J502" t="str">
            <v>1521HS</v>
          </cell>
        </row>
        <row r="503">
          <cell r="A503">
            <v>1620</v>
          </cell>
          <cell r="B503"/>
          <cell r="C503"/>
          <cell r="D503" t="str">
            <v>AH</v>
          </cell>
          <cell r="E503" t="str">
            <v>NL4331NA002X</v>
          </cell>
          <cell r="F503">
            <v>401057</v>
          </cell>
          <cell r="G503">
            <v>6701983</v>
          </cell>
          <cell r="H503" t="str">
            <v>P</v>
          </cell>
          <cell r="I503" t="str">
            <v>Pottenbakkerssingel 2</v>
          </cell>
          <cell r="J503" t="str">
            <v>4331NA</v>
          </cell>
        </row>
        <row r="504">
          <cell r="A504">
            <v>1621</v>
          </cell>
          <cell r="B504"/>
          <cell r="C504"/>
          <cell r="D504" t="str">
            <v>AH</v>
          </cell>
          <cell r="E504" t="str">
            <v>NL6538TZ540X</v>
          </cell>
          <cell r="F504">
            <v>644811</v>
          </cell>
          <cell r="G504">
            <v>6760655</v>
          </cell>
          <cell r="H504" t="str">
            <v>T</v>
          </cell>
          <cell r="I504" t="str">
            <v>Zwanenveld 5505</v>
          </cell>
          <cell r="J504" t="str">
            <v>6538TZ</v>
          </cell>
        </row>
        <row r="505">
          <cell r="A505">
            <v>1622</v>
          </cell>
          <cell r="B505"/>
          <cell r="C505"/>
          <cell r="D505" t="str">
            <v>AH</v>
          </cell>
          <cell r="E505" t="str">
            <v>NL5341VE017X</v>
          </cell>
          <cell r="F505">
            <v>614604</v>
          </cell>
          <cell r="G505">
            <v>6751517</v>
          </cell>
          <cell r="H505" t="str">
            <v>T</v>
          </cell>
          <cell r="I505" t="str">
            <v>Burchtplein 80</v>
          </cell>
          <cell r="J505" t="str">
            <v>5341VE</v>
          </cell>
        </row>
        <row r="506">
          <cell r="A506">
            <v>1623</v>
          </cell>
          <cell r="B506"/>
          <cell r="C506"/>
          <cell r="D506" t="str">
            <v>AH</v>
          </cell>
          <cell r="E506" t="str">
            <v>NL3067LX016X</v>
          </cell>
          <cell r="F506">
            <v>506276</v>
          </cell>
          <cell r="G506">
            <v>6783676</v>
          </cell>
          <cell r="H506" t="str">
            <v>P</v>
          </cell>
          <cell r="I506" t="str">
            <v>Poolsterstraat 16</v>
          </cell>
          <cell r="J506" t="str">
            <v>3067LX</v>
          </cell>
        </row>
        <row r="507">
          <cell r="A507">
            <v>1624</v>
          </cell>
          <cell r="B507"/>
          <cell r="C507"/>
          <cell r="D507" t="str">
            <v>AH</v>
          </cell>
          <cell r="E507" t="str">
            <v>NL2513GW160X</v>
          </cell>
          <cell r="F507">
            <v>477730</v>
          </cell>
          <cell r="G507">
            <v>6806791</v>
          </cell>
          <cell r="H507" t="str">
            <v>P</v>
          </cell>
          <cell r="I507" t="str">
            <v>Elandstraat 160</v>
          </cell>
          <cell r="J507" t="str">
            <v>2513GW</v>
          </cell>
        </row>
        <row r="508">
          <cell r="A508">
            <v>1625</v>
          </cell>
          <cell r="B508"/>
          <cell r="C508"/>
          <cell r="D508" t="str">
            <v>AH</v>
          </cell>
          <cell r="E508" t="str">
            <v>NL1964LJ040X</v>
          </cell>
          <cell r="F508">
            <v>517778</v>
          </cell>
          <cell r="G508">
            <v>6884417</v>
          </cell>
          <cell r="H508" t="str">
            <v>Z</v>
          </cell>
          <cell r="I508" t="str">
            <v>Rijksstraatweg 40</v>
          </cell>
          <cell r="J508" t="str">
            <v>1964LJ</v>
          </cell>
        </row>
        <row r="509">
          <cell r="A509">
            <v>1626</v>
          </cell>
          <cell r="B509"/>
          <cell r="C509"/>
          <cell r="D509" t="str">
            <v>AH</v>
          </cell>
          <cell r="E509" t="str">
            <v>NL3562KC041X</v>
          </cell>
          <cell r="F509">
            <v>568485</v>
          </cell>
          <cell r="G509">
            <v>6813044</v>
          </cell>
          <cell r="H509" t="str">
            <v>Z</v>
          </cell>
          <cell r="I509" t="str">
            <v>Roelantdreef 41</v>
          </cell>
          <cell r="J509" t="str">
            <v>3562KC</v>
          </cell>
        </row>
        <row r="510">
          <cell r="A510">
            <v>1627</v>
          </cell>
          <cell r="B510"/>
          <cell r="C510"/>
          <cell r="D510" t="str">
            <v>AH</v>
          </cell>
          <cell r="E510" t="str">
            <v>NL9672BE001X</v>
          </cell>
          <cell r="F510">
            <v>783488</v>
          </cell>
          <cell r="G510">
            <v>7001792</v>
          </cell>
          <cell r="H510" t="str">
            <v>O</v>
          </cell>
          <cell r="I510" t="str">
            <v>Beertsterweg 1</v>
          </cell>
          <cell r="J510" t="str">
            <v>9672BE</v>
          </cell>
        </row>
        <row r="511">
          <cell r="A511">
            <v>1628</v>
          </cell>
          <cell r="B511"/>
          <cell r="C511"/>
          <cell r="D511" t="str">
            <v>AH</v>
          </cell>
          <cell r="E511" t="str">
            <v>NL3812EA065X</v>
          </cell>
          <cell r="F511">
            <v>598502</v>
          </cell>
          <cell r="G511">
            <v>6821165</v>
          </cell>
          <cell r="H511" t="str">
            <v>O</v>
          </cell>
          <cell r="I511" t="str">
            <v>Eemplein 65</v>
          </cell>
          <cell r="J511" t="str">
            <v>3812EA</v>
          </cell>
        </row>
        <row r="512">
          <cell r="A512">
            <v>1629</v>
          </cell>
          <cell r="B512"/>
          <cell r="C512"/>
          <cell r="D512" t="str">
            <v>AH</v>
          </cell>
          <cell r="E512" t="str">
            <v>NL2711AD041X</v>
          </cell>
          <cell r="F512">
            <v>498771</v>
          </cell>
          <cell r="G512">
            <v>6803426</v>
          </cell>
          <cell r="H512" t="str">
            <v>P</v>
          </cell>
          <cell r="I512" t="str">
            <v>Westwaarts 41</v>
          </cell>
          <cell r="J512" t="str">
            <v>2711AD</v>
          </cell>
        </row>
        <row r="513">
          <cell r="A513">
            <v>1630</v>
          </cell>
          <cell r="B513"/>
          <cell r="C513"/>
          <cell r="D513" t="str">
            <v>AH</v>
          </cell>
          <cell r="E513" t="str">
            <v>NL2222AA002X</v>
          </cell>
          <cell r="F513">
            <v>492421</v>
          </cell>
          <cell r="G513">
            <v>6829088</v>
          </cell>
          <cell r="H513" t="str">
            <v>P</v>
          </cell>
          <cell r="I513" t="str">
            <v>Zeilmakerstraat 2</v>
          </cell>
          <cell r="J513" t="str">
            <v>2222AA</v>
          </cell>
        </row>
        <row r="514">
          <cell r="A514">
            <v>1631</v>
          </cell>
          <cell r="B514"/>
          <cell r="C514"/>
          <cell r="D514" t="str">
            <v>AH</v>
          </cell>
          <cell r="E514" t="str">
            <v>NL9712NG073X</v>
          </cell>
          <cell r="F514">
            <v>729792</v>
          </cell>
          <cell r="G514">
            <v>7016836</v>
          </cell>
          <cell r="H514" t="str">
            <v>O</v>
          </cell>
          <cell r="I514" t="str">
            <v>Nieuwe Ebbingestraat 73</v>
          </cell>
          <cell r="J514" t="str">
            <v>9712NG</v>
          </cell>
        </row>
        <row r="515">
          <cell r="A515">
            <v>1633</v>
          </cell>
          <cell r="B515"/>
          <cell r="C515"/>
          <cell r="D515" t="str">
            <v>AH</v>
          </cell>
          <cell r="E515" t="str">
            <v>NL2215JK026X</v>
          </cell>
          <cell r="F515">
            <v>499375</v>
          </cell>
          <cell r="G515">
            <v>6833897</v>
          </cell>
          <cell r="H515" t="str">
            <v>P</v>
          </cell>
          <cell r="I515" t="str">
            <v>Jacoba van Beierenhof 26</v>
          </cell>
          <cell r="J515" t="str">
            <v>2215JK</v>
          </cell>
        </row>
        <row r="516">
          <cell r="A516">
            <v>1634</v>
          </cell>
          <cell r="B516"/>
          <cell r="C516"/>
          <cell r="D516" t="str">
            <v>AH</v>
          </cell>
          <cell r="E516" t="str">
            <v>NL5482GB020X</v>
          </cell>
          <cell r="F516">
            <v>605306</v>
          </cell>
          <cell r="G516">
            <v>6723504</v>
          </cell>
          <cell r="H516" t="str">
            <v>T</v>
          </cell>
          <cell r="I516" t="str">
            <v>Molenstraat 20</v>
          </cell>
          <cell r="J516" t="str">
            <v>5482GB</v>
          </cell>
        </row>
        <row r="517">
          <cell r="A517">
            <v>1635</v>
          </cell>
          <cell r="B517"/>
          <cell r="C517"/>
          <cell r="D517" t="str">
            <v>AH</v>
          </cell>
          <cell r="E517" t="str">
            <v>NL1054MJ132X</v>
          </cell>
          <cell r="F517">
            <v>540889</v>
          </cell>
          <cell r="G517">
            <v>6858191</v>
          </cell>
          <cell r="H517" t="str">
            <v>Z</v>
          </cell>
          <cell r="I517" t="str">
            <v>Jan Pieter Heijestraat 132</v>
          </cell>
          <cell r="J517" t="str">
            <v>1054MJ</v>
          </cell>
        </row>
        <row r="518">
          <cell r="A518">
            <v>1636</v>
          </cell>
          <cell r="B518"/>
          <cell r="C518"/>
          <cell r="D518" t="str">
            <v>AH</v>
          </cell>
          <cell r="E518" t="str">
            <v>NL3024EJ116X</v>
          </cell>
          <cell r="F518">
            <v>495844</v>
          </cell>
          <cell r="G518">
            <v>6775269</v>
          </cell>
          <cell r="H518" t="str">
            <v>P</v>
          </cell>
          <cell r="I518" t="str">
            <v>Sint-Jobsweg 116</v>
          </cell>
          <cell r="J518" t="str">
            <v>3024EJ</v>
          </cell>
        </row>
        <row r="519">
          <cell r="A519">
            <v>1637</v>
          </cell>
          <cell r="B519"/>
          <cell r="C519"/>
          <cell r="D519" t="str">
            <v>AH</v>
          </cell>
          <cell r="E519" t="str">
            <v>NL2211XG014X</v>
          </cell>
          <cell r="F519">
            <v>499391</v>
          </cell>
          <cell r="G519">
            <v>6840239</v>
          </cell>
          <cell r="H519" t="str">
            <v>P</v>
          </cell>
          <cell r="I519" t="str">
            <v>Zeestraat 14</v>
          </cell>
          <cell r="J519" t="str">
            <v>2211XG</v>
          </cell>
        </row>
        <row r="520">
          <cell r="A520">
            <v>1638</v>
          </cell>
          <cell r="B520"/>
          <cell r="C520"/>
          <cell r="D520" t="str">
            <v>AH</v>
          </cell>
          <cell r="E520" t="str">
            <v>NL7553DN003X</v>
          </cell>
          <cell r="F520">
            <v>754553</v>
          </cell>
          <cell r="G520">
            <v>6838659</v>
          </cell>
          <cell r="H520" t="str">
            <v>O</v>
          </cell>
          <cell r="I520" t="str">
            <v>Boekeloseweg 26</v>
          </cell>
          <cell r="J520" t="str">
            <v>7553DN</v>
          </cell>
        </row>
        <row r="521">
          <cell r="A521">
            <v>1639</v>
          </cell>
          <cell r="B521"/>
          <cell r="C521"/>
          <cell r="D521" t="str">
            <v>AH</v>
          </cell>
          <cell r="E521" t="str">
            <v>NL3342AC088X</v>
          </cell>
          <cell r="F521">
            <v>514844</v>
          </cell>
          <cell r="G521">
            <v>6764669</v>
          </cell>
          <cell r="H521" t="str">
            <v>P</v>
          </cell>
          <cell r="I521" t="str">
            <v>Reeweg 88</v>
          </cell>
          <cell r="J521" t="str">
            <v>3342AC</v>
          </cell>
        </row>
        <row r="522">
          <cell r="A522">
            <v>1640</v>
          </cell>
          <cell r="B522"/>
          <cell r="C522"/>
          <cell r="D522" t="str">
            <v>AH</v>
          </cell>
          <cell r="E522" t="str">
            <v>NL5247JC385X</v>
          </cell>
          <cell r="F522">
            <v>595620</v>
          </cell>
          <cell r="G522">
            <v>6744226</v>
          </cell>
          <cell r="H522" t="str">
            <v>T</v>
          </cell>
          <cell r="I522" t="str">
            <v>Groote Wielenlaan 385</v>
          </cell>
          <cell r="J522" t="str">
            <v>5247JC</v>
          </cell>
        </row>
        <row r="523">
          <cell r="A523">
            <v>1643</v>
          </cell>
          <cell r="B523"/>
          <cell r="C523"/>
          <cell r="D523" t="str">
            <v>AH</v>
          </cell>
          <cell r="E523" t="str">
            <v>NL6562PB002X</v>
          </cell>
          <cell r="F523">
            <v>659746</v>
          </cell>
          <cell r="G523">
            <v>6752682</v>
          </cell>
          <cell r="H523" t="str">
            <v>T</v>
          </cell>
          <cell r="I523" t="str">
            <v>Bellevue 3</v>
          </cell>
          <cell r="J523" t="str">
            <v>6561CV</v>
          </cell>
        </row>
        <row r="524">
          <cell r="A524">
            <v>1644</v>
          </cell>
          <cell r="B524"/>
          <cell r="C524"/>
          <cell r="D524" t="str">
            <v>AH</v>
          </cell>
          <cell r="E524" t="str">
            <v>NL6511LM003X</v>
          </cell>
          <cell r="F524">
            <v>652241</v>
          </cell>
          <cell r="G524">
            <v>6764235</v>
          </cell>
          <cell r="H524" t="str">
            <v>T</v>
          </cell>
          <cell r="J524" t="str">
            <v>6511LM</v>
          </cell>
        </row>
        <row r="525">
          <cell r="A525">
            <v>1645</v>
          </cell>
          <cell r="B525"/>
          <cell r="C525"/>
          <cell r="D525" t="str">
            <v>AH</v>
          </cell>
          <cell r="E525" t="str">
            <v>NL5035KL040X</v>
          </cell>
          <cell r="F525">
            <v>554026</v>
          </cell>
          <cell r="G525">
            <v>6717405</v>
          </cell>
          <cell r="H525" t="str">
            <v>T</v>
          </cell>
          <cell r="I525" t="str">
            <v>Dalempromenade 40</v>
          </cell>
          <cell r="J525" t="str">
            <v>5035KL</v>
          </cell>
        </row>
        <row r="526">
          <cell r="A526">
            <v>1646</v>
          </cell>
          <cell r="B526"/>
          <cell r="C526"/>
          <cell r="D526" t="str">
            <v>AH</v>
          </cell>
          <cell r="E526" t="str">
            <v>NL4332XT018X</v>
          </cell>
          <cell r="F526">
            <v>403308</v>
          </cell>
          <cell r="G526">
            <v>6703883</v>
          </cell>
          <cell r="H526" t="str">
            <v>P</v>
          </cell>
          <cell r="I526" t="str">
            <v>Fazantenhof 18</v>
          </cell>
          <cell r="J526" t="str">
            <v>4332XT</v>
          </cell>
        </row>
        <row r="527">
          <cell r="A527">
            <v>1648</v>
          </cell>
          <cell r="B527"/>
          <cell r="C527"/>
          <cell r="D527" t="str">
            <v>AH</v>
          </cell>
          <cell r="E527" t="str">
            <v>NL3054RP011X</v>
          </cell>
          <cell r="F527">
            <v>499546</v>
          </cell>
          <cell r="G527">
            <v>6785224</v>
          </cell>
          <cell r="H527" t="str">
            <v>P</v>
          </cell>
          <cell r="I527" t="str">
            <v>Argonautenweg 1</v>
          </cell>
          <cell r="J527" t="str">
            <v>3054RP</v>
          </cell>
        </row>
        <row r="528">
          <cell r="A528">
            <v>1649</v>
          </cell>
          <cell r="B528"/>
          <cell r="C528"/>
          <cell r="D528" t="str">
            <v>AH</v>
          </cell>
          <cell r="E528" t="str">
            <v>NL2321BX050X</v>
          </cell>
          <cell r="F528">
            <v>497814</v>
          </cell>
          <cell r="G528">
            <v>6818917</v>
          </cell>
          <cell r="H528" t="str">
            <v>P</v>
          </cell>
          <cell r="I528" t="str">
            <v>Bevrijdingsplein 50</v>
          </cell>
          <cell r="J528" t="str">
            <v>2321BX</v>
          </cell>
        </row>
        <row r="529">
          <cell r="A529">
            <v>1650</v>
          </cell>
          <cell r="B529"/>
          <cell r="C529"/>
          <cell r="D529" t="str">
            <v>AH</v>
          </cell>
          <cell r="E529" t="str">
            <v>NL7534AS044X</v>
          </cell>
          <cell r="F529">
            <v>775147</v>
          </cell>
          <cell r="G529">
            <v>6831444</v>
          </cell>
          <cell r="H529" t="str">
            <v>O</v>
          </cell>
          <cell r="I529" t="str">
            <v>Gronausestraat 1130</v>
          </cell>
          <cell r="J529" t="str">
            <v>7534AS</v>
          </cell>
        </row>
        <row r="530">
          <cell r="A530">
            <v>1651</v>
          </cell>
          <cell r="B530"/>
          <cell r="C530"/>
          <cell r="D530" t="str">
            <v>AH</v>
          </cell>
          <cell r="E530" t="str">
            <v>NL4811HR005X</v>
          </cell>
          <cell r="F530">
            <v>531363</v>
          </cell>
          <cell r="G530">
            <v>6718221</v>
          </cell>
          <cell r="H530" t="str">
            <v>T</v>
          </cell>
          <cell r="I530" t="str">
            <v>Oude Vest 5</v>
          </cell>
          <cell r="J530" t="str">
            <v>4811HR</v>
          </cell>
        </row>
        <row r="531">
          <cell r="A531">
            <v>1652</v>
          </cell>
          <cell r="B531"/>
          <cell r="C531"/>
          <cell r="D531" t="str">
            <v>AH</v>
          </cell>
          <cell r="E531" t="str">
            <v>NL5953AE020X</v>
          </cell>
          <cell r="F531">
            <v>676029</v>
          </cell>
          <cell r="G531">
            <v>6664161</v>
          </cell>
          <cell r="H531" t="str">
            <v>T</v>
          </cell>
          <cell r="I531" t="str">
            <v>Rijksweg 20</v>
          </cell>
          <cell r="J531" t="str">
            <v>5953AE</v>
          </cell>
        </row>
        <row r="532">
          <cell r="A532">
            <v>1653</v>
          </cell>
          <cell r="B532"/>
          <cell r="C532"/>
          <cell r="D532" t="str">
            <v>AH</v>
          </cell>
          <cell r="E532" t="str">
            <v>NL1118AX001X</v>
          </cell>
          <cell r="F532">
            <v>529250</v>
          </cell>
          <cell r="G532">
            <v>6848667</v>
          </cell>
          <cell r="H532" t="str">
            <v>Z</v>
          </cell>
          <cell r="I532" t="str">
            <v>Aankomstpassage 36</v>
          </cell>
          <cell r="J532" t="str">
            <v>1118AX</v>
          </cell>
        </row>
        <row r="533">
          <cell r="A533">
            <v>1654</v>
          </cell>
          <cell r="B533"/>
          <cell r="C533"/>
          <cell r="D533" t="str">
            <v>AH</v>
          </cell>
          <cell r="E533" t="str">
            <v>NL3029BB147X</v>
          </cell>
          <cell r="F533">
            <v>493901</v>
          </cell>
          <cell r="G533">
            <v>6775600</v>
          </cell>
          <cell r="H533" t="str">
            <v>P</v>
          </cell>
          <cell r="I533" t="str">
            <v>Vierhavensstraat 147</v>
          </cell>
          <cell r="J533" t="str">
            <v>3029BB</v>
          </cell>
        </row>
        <row r="534">
          <cell r="A534">
            <v>1655</v>
          </cell>
          <cell r="B534"/>
          <cell r="C534"/>
          <cell r="D534" t="str">
            <v>AH</v>
          </cell>
          <cell r="E534" t="str">
            <v>NL5211GJ046X</v>
          </cell>
          <cell r="F534">
            <v>589457</v>
          </cell>
          <cell r="G534">
            <v>6736223</v>
          </cell>
          <cell r="H534" t="str">
            <v>T</v>
          </cell>
          <cell r="I534" t="str">
            <v>Vughterstraat 46</v>
          </cell>
          <cell r="J534" t="str">
            <v>5211GJ</v>
          </cell>
        </row>
        <row r="535">
          <cell r="A535">
            <v>1656</v>
          </cell>
          <cell r="B535"/>
          <cell r="C535"/>
          <cell r="D535" t="str">
            <v>AH</v>
          </cell>
          <cell r="E535" t="str">
            <v>NL1781HA009X</v>
          </cell>
          <cell r="F535">
            <v>529397</v>
          </cell>
          <cell r="G535">
            <v>6967525</v>
          </cell>
          <cell r="H535" t="str">
            <v>Z</v>
          </cell>
          <cell r="I535" t="str">
            <v>Julianaplein 9</v>
          </cell>
          <cell r="J535" t="str">
            <v>1781HA</v>
          </cell>
        </row>
        <row r="536">
          <cell r="A536">
            <v>1657</v>
          </cell>
          <cell r="B536"/>
          <cell r="C536"/>
          <cell r="D536" t="str">
            <v>AH</v>
          </cell>
          <cell r="E536" t="str">
            <v>NL5658LJ006X</v>
          </cell>
          <cell r="F536">
            <v>601514</v>
          </cell>
          <cell r="G536">
            <v>6692529</v>
          </cell>
          <cell r="H536" t="str">
            <v>T</v>
          </cell>
          <cell r="I536" t="str">
            <v>Meerzand 6</v>
          </cell>
          <cell r="J536" t="str">
            <v>5658LJ</v>
          </cell>
        </row>
        <row r="537">
          <cell r="A537">
            <v>1658</v>
          </cell>
          <cell r="B537"/>
          <cell r="C537"/>
          <cell r="D537" t="str">
            <v>AH</v>
          </cell>
          <cell r="E537" t="str">
            <v>NL3012CL085X</v>
          </cell>
          <cell r="F537">
            <v>497369</v>
          </cell>
          <cell r="G537">
            <v>6778213</v>
          </cell>
          <cell r="H537" t="str">
            <v>P</v>
          </cell>
          <cell r="I537" t="str">
            <v>Schouwburgplein 85</v>
          </cell>
          <cell r="J537" t="str">
            <v>3012CL</v>
          </cell>
        </row>
        <row r="538">
          <cell r="A538">
            <v>1659</v>
          </cell>
          <cell r="B538"/>
          <cell r="C538"/>
          <cell r="D538" t="str">
            <v>AH</v>
          </cell>
          <cell r="E538" t="str">
            <v>NL2271AK030X</v>
          </cell>
          <cell r="F538">
            <v>485040</v>
          </cell>
          <cell r="G538">
            <v>6804794</v>
          </cell>
          <cell r="H538" t="str">
            <v>P</v>
          </cell>
          <cell r="I538" t="str">
            <v>Parkweg 30</v>
          </cell>
          <cell r="J538" t="str">
            <v>2271AK</v>
          </cell>
        </row>
        <row r="539">
          <cell r="A539">
            <v>1660</v>
          </cell>
          <cell r="B539"/>
          <cell r="C539"/>
          <cell r="D539" t="str">
            <v>AH</v>
          </cell>
          <cell r="E539" t="str">
            <v>NL3513EG001X</v>
          </cell>
          <cell r="F539">
            <v>568552</v>
          </cell>
          <cell r="G539">
            <v>6810076</v>
          </cell>
          <cell r="H539" t="str">
            <v>Z</v>
          </cell>
          <cell r="I539" t="str">
            <v>Oudenoord 1</v>
          </cell>
          <cell r="J539" t="str">
            <v>3513EG</v>
          </cell>
        </row>
        <row r="540">
          <cell r="A540">
            <v>1662</v>
          </cell>
          <cell r="B540"/>
          <cell r="C540"/>
          <cell r="D540" t="str">
            <v>AH</v>
          </cell>
          <cell r="E540" t="str">
            <v>NL1078HD047X</v>
          </cell>
          <cell r="F540">
            <v>544298</v>
          </cell>
          <cell r="G540">
            <v>6855310</v>
          </cell>
          <cell r="H540" t="str">
            <v>Z</v>
          </cell>
          <cell r="I540" t="str">
            <v>Maasstraat 47</v>
          </cell>
          <cell r="J540" t="str">
            <v>1078HD</v>
          </cell>
        </row>
        <row r="541">
          <cell r="A541">
            <v>1663</v>
          </cell>
          <cell r="B541"/>
          <cell r="C541"/>
          <cell r="D541" t="str">
            <v>AH</v>
          </cell>
          <cell r="E541" t="str">
            <v>NL3734GG003X</v>
          </cell>
          <cell r="F541">
            <v>582660</v>
          </cell>
          <cell r="G541">
            <v>6817658</v>
          </cell>
          <cell r="H541" t="str">
            <v>Z</v>
          </cell>
          <cell r="I541" t="str">
            <v>Paduaweg 3</v>
          </cell>
          <cell r="J541" t="str">
            <v>3734GG</v>
          </cell>
        </row>
        <row r="542">
          <cell r="A542">
            <v>1664</v>
          </cell>
          <cell r="B542"/>
          <cell r="C542"/>
          <cell r="D542" t="str">
            <v>AH</v>
          </cell>
          <cell r="E542" t="str">
            <v>NL1616AN220X</v>
          </cell>
          <cell r="F542">
            <v>575771</v>
          </cell>
          <cell r="G542">
            <v>6918846</v>
          </cell>
          <cell r="H542" t="str">
            <v>Z</v>
          </cell>
          <cell r="I542" t="str">
            <v>Streekweg 220</v>
          </cell>
          <cell r="J542" t="str">
            <v>1616AN</v>
          </cell>
        </row>
        <row r="543">
          <cell r="A543">
            <v>1665</v>
          </cell>
          <cell r="B543"/>
          <cell r="C543"/>
          <cell r="D543" t="str">
            <v>AH</v>
          </cell>
          <cell r="E543" t="str">
            <v>NL1701GC245X</v>
          </cell>
          <cell r="F543">
            <v>539061</v>
          </cell>
          <cell r="G543">
            <v>6914624</v>
          </cell>
          <cell r="H543" t="str">
            <v>Z</v>
          </cell>
          <cell r="I543" t="str">
            <v>Middenweg 245</v>
          </cell>
          <cell r="J543" t="str">
            <v>1701 GC</v>
          </cell>
        </row>
        <row r="544">
          <cell r="A544">
            <v>1666</v>
          </cell>
          <cell r="B544"/>
          <cell r="C544"/>
          <cell r="D544" t="str">
            <v>AH XL</v>
          </cell>
          <cell r="E544" t="str">
            <v>NL6466NH005X</v>
          </cell>
          <cell r="F544">
            <v>667995</v>
          </cell>
          <cell r="G544">
            <v>6588668</v>
          </cell>
          <cell r="H544" t="str">
            <v>T</v>
          </cell>
          <cell r="I544" t="str">
            <v>Roda J.C. Ring 5</v>
          </cell>
          <cell r="J544" t="str">
            <v>6466NH</v>
          </cell>
        </row>
        <row r="545">
          <cell r="A545">
            <v>1667</v>
          </cell>
          <cell r="B545" t="str">
            <v>Nieuw</v>
          </cell>
          <cell r="C545">
            <v>2016</v>
          </cell>
          <cell r="D545" t="str">
            <v>AH</v>
          </cell>
          <cell r="E545" t="str">
            <v>NL2582EG051X</v>
          </cell>
          <cell r="F545">
            <v>475218</v>
          </cell>
          <cell r="G545">
            <v>6808941</v>
          </cell>
          <cell r="H545" t="str">
            <v>P</v>
          </cell>
          <cell r="I545" t="str">
            <v>Willem de Zwijgerlaan 51</v>
          </cell>
          <cell r="J545" t="str">
            <v>2582EG</v>
          </cell>
        </row>
        <row r="546">
          <cell r="A546">
            <v>1668</v>
          </cell>
          <cell r="B546"/>
          <cell r="C546"/>
          <cell r="D546" t="str">
            <v>AH</v>
          </cell>
          <cell r="E546" t="str">
            <v>NL2741NP004X</v>
          </cell>
          <cell r="F546">
            <v>517317</v>
          </cell>
          <cell r="G546">
            <v>6800036</v>
          </cell>
          <cell r="H546" t="str">
            <v>P</v>
          </cell>
          <cell r="I546" t="str">
            <v>Binnendoor 4</v>
          </cell>
          <cell r="J546" t="str">
            <v>2741NP</v>
          </cell>
        </row>
        <row r="547">
          <cell r="A547">
            <v>1669</v>
          </cell>
          <cell r="B547"/>
          <cell r="C547"/>
          <cell r="D547" t="str">
            <v>AH</v>
          </cell>
          <cell r="E547" t="str">
            <v>NL3061WL089X</v>
          </cell>
          <cell r="F547">
            <v>501357</v>
          </cell>
          <cell r="G547">
            <v>6779089</v>
          </cell>
          <cell r="H547" t="str">
            <v>P</v>
          </cell>
          <cell r="I547" t="str">
            <v>Lusthofstraat 89</v>
          </cell>
          <cell r="J547" t="str">
            <v>3061WL</v>
          </cell>
        </row>
        <row r="548">
          <cell r="A548">
            <v>1670</v>
          </cell>
          <cell r="B548"/>
          <cell r="C548"/>
          <cell r="D548" t="str">
            <v>AH</v>
          </cell>
          <cell r="E548" t="str">
            <v>NL3011PA098X</v>
          </cell>
          <cell r="F548">
            <v>499078</v>
          </cell>
          <cell r="G548">
            <v>6778041</v>
          </cell>
          <cell r="H548" t="str">
            <v>P</v>
          </cell>
          <cell r="I548" t="str">
            <v>Grote markt 98</v>
          </cell>
          <cell r="J548" t="str">
            <v>3011PA</v>
          </cell>
        </row>
        <row r="549">
          <cell r="A549">
            <v>1671</v>
          </cell>
          <cell r="B549"/>
          <cell r="C549"/>
          <cell r="D549" t="str">
            <v>AH</v>
          </cell>
          <cell r="E549" t="str">
            <v>NL2515BX075X</v>
          </cell>
          <cell r="F549">
            <v>480587</v>
          </cell>
          <cell r="G549">
            <v>6805250</v>
          </cell>
          <cell r="H549" t="str">
            <v>P</v>
          </cell>
          <cell r="I549" t="str">
            <v>Stationsplein 75</v>
          </cell>
          <cell r="J549" t="str">
            <v>2515BX</v>
          </cell>
        </row>
        <row r="550">
          <cell r="A550">
            <v>1672</v>
          </cell>
          <cell r="B550"/>
          <cell r="C550"/>
          <cell r="D550" t="str">
            <v>AH</v>
          </cell>
          <cell r="E550" t="str">
            <v>NL7741ET001X</v>
          </cell>
          <cell r="F550">
            <v>749303</v>
          </cell>
          <cell r="G550">
            <v>6913210</v>
          </cell>
          <cell r="H550" t="str">
            <v>O</v>
          </cell>
          <cell r="I550" t="str">
            <v>van Heutszsingel 6</v>
          </cell>
          <cell r="J550" t="str">
            <v>7741ET</v>
          </cell>
        </row>
        <row r="551">
          <cell r="A551">
            <v>1673</v>
          </cell>
          <cell r="B551" t="str">
            <v>Sluiting</v>
          </cell>
          <cell r="C551">
            <v>42462</v>
          </cell>
          <cell r="D551" t="str">
            <v>AH</v>
          </cell>
          <cell r="E551" t="str">
            <v>NL5706DZ011X</v>
          </cell>
          <cell r="F551">
            <v>626509</v>
          </cell>
          <cell r="G551">
            <v>6696611</v>
          </cell>
          <cell r="H551" t="str">
            <v>T</v>
          </cell>
          <cell r="I551" t="str">
            <v>Janssen &amp; Fritsenplein 11</v>
          </cell>
          <cell r="J551" t="str">
            <v>5706DZ</v>
          </cell>
        </row>
        <row r="552">
          <cell r="A552">
            <v>1675</v>
          </cell>
          <cell r="B552"/>
          <cell r="C552"/>
          <cell r="D552" t="str">
            <v>AH</v>
          </cell>
          <cell r="E552" t="str">
            <v>NL3233CT016X</v>
          </cell>
          <cell r="F552">
            <v>456077</v>
          </cell>
          <cell r="G552">
            <v>6777073</v>
          </cell>
          <cell r="H552" t="str">
            <v>P</v>
          </cell>
          <cell r="I552" t="str">
            <v>Stationsweg 16</v>
          </cell>
          <cell r="J552" t="str">
            <v>3233CT</v>
          </cell>
        </row>
        <row r="553">
          <cell r="A553">
            <v>1676</v>
          </cell>
          <cell r="B553"/>
          <cell r="C553"/>
          <cell r="D553" t="str">
            <v>AH</v>
          </cell>
          <cell r="E553" t="str">
            <v>NL1017XD165X</v>
          </cell>
          <cell r="F553">
            <v>543890</v>
          </cell>
          <cell r="G553">
            <v>6857733</v>
          </cell>
          <cell r="H553" t="str">
            <v>Z</v>
          </cell>
          <cell r="I553" t="str">
            <v>Weteringschans 165</v>
          </cell>
          <cell r="J553" t="str">
            <v>1017 XD</v>
          </cell>
        </row>
        <row r="554">
          <cell r="A554">
            <v>1678</v>
          </cell>
          <cell r="B554"/>
          <cell r="C554"/>
          <cell r="D554" t="str">
            <v>AH</v>
          </cell>
          <cell r="E554" t="str">
            <v>NL3141HE199X</v>
          </cell>
          <cell r="F554">
            <v>473793</v>
          </cell>
          <cell r="G554">
            <v>6777755</v>
          </cell>
          <cell r="H554" t="str">
            <v>P</v>
          </cell>
          <cell r="I554" t="str">
            <v>Mesdaglaan 199</v>
          </cell>
          <cell r="J554" t="str">
            <v>3141HE</v>
          </cell>
        </row>
        <row r="555">
          <cell r="A555">
            <v>1679</v>
          </cell>
          <cell r="B555"/>
          <cell r="C555"/>
          <cell r="D555" t="str">
            <v>AH</v>
          </cell>
          <cell r="E555" t="str">
            <v>NL3144BA001X</v>
          </cell>
          <cell r="F555">
            <v>471568</v>
          </cell>
          <cell r="G555">
            <v>6779731</v>
          </cell>
          <cell r="H555" t="str">
            <v>P</v>
          </cell>
          <cell r="I555" t="str">
            <v>Koningshoek 91001</v>
          </cell>
          <cell r="J555" t="str">
            <v>3144BA</v>
          </cell>
        </row>
        <row r="556">
          <cell r="A556">
            <v>1687</v>
          </cell>
          <cell r="B556"/>
          <cell r="C556"/>
          <cell r="D556" t="str">
            <v>Hoofdkantoor</v>
          </cell>
          <cell r="E556" t="str">
            <v>NL3542AX020X</v>
          </cell>
          <cell r="F556">
            <v>562147</v>
          </cell>
          <cell r="G556">
            <v>6814295</v>
          </cell>
          <cell r="H556" t="str">
            <v>Z</v>
          </cell>
          <cell r="I556" t="str">
            <v>Provincialeweg 11</v>
          </cell>
          <cell r="J556" t="str">
            <v>1506MA</v>
          </cell>
        </row>
        <row r="557">
          <cell r="A557">
            <v>1800</v>
          </cell>
          <cell r="B557"/>
          <cell r="C557"/>
          <cell r="D557" t="str">
            <v>AH</v>
          </cell>
          <cell r="E557" t="str">
            <v>NL5662AB040X</v>
          </cell>
          <cell r="F557">
            <v>616762</v>
          </cell>
          <cell r="G557">
            <v>6689356</v>
          </cell>
          <cell r="H557" t="str">
            <v>T</v>
          </cell>
          <cell r="I557" t="str">
            <v>Eindhovenseweg 40</v>
          </cell>
          <cell r="J557" t="str">
            <v>5662AB</v>
          </cell>
        </row>
        <row r="558">
          <cell r="A558">
            <v>1801</v>
          </cell>
          <cell r="B558"/>
          <cell r="C558"/>
          <cell r="D558" t="str">
            <v>AH</v>
          </cell>
          <cell r="E558" t="str">
            <v>NL2563CK063X</v>
          </cell>
          <cell r="F558">
            <v>475379</v>
          </cell>
          <cell r="G558">
            <v>6805701</v>
          </cell>
          <cell r="H558" t="str">
            <v>P</v>
          </cell>
          <cell r="I558" t="str">
            <v>Valkenboslaan 173</v>
          </cell>
          <cell r="J558" t="str">
            <v>2563CK</v>
          </cell>
        </row>
        <row r="559">
          <cell r="A559">
            <v>1802</v>
          </cell>
          <cell r="B559"/>
          <cell r="C559"/>
          <cell r="D559" t="str">
            <v>AH</v>
          </cell>
          <cell r="E559" t="str">
            <v>NL2533HH134X</v>
          </cell>
          <cell r="F559">
            <v>477073</v>
          </cell>
          <cell r="G559">
            <v>6801386</v>
          </cell>
          <cell r="H559" t="str">
            <v>P</v>
          </cell>
          <cell r="I559" t="str">
            <v>Betje Wolffstraat 134</v>
          </cell>
          <cell r="J559" t="str">
            <v>2533HT</v>
          </cell>
        </row>
        <row r="560">
          <cell r="A560">
            <v>1803</v>
          </cell>
          <cell r="B560"/>
          <cell r="C560"/>
          <cell r="D560" t="str">
            <v>AH</v>
          </cell>
          <cell r="E560" t="str">
            <v>NL5554RB017X</v>
          </cell>
          <cell r="F560">
            <v>606034</v>
          </cell>
          <cell r="G560">
            <v>6676417</v>
          </cell>
          <cell r="H560" t="str">
            <v>T</v>
          </cell>
          <cell r="I560" t="str">
            <v>Kardinaal de Jongstraat 17</v>
          </cell>
          <cell r="J560" t="str">
            <v>5554RB</v>
          </cell>
        </row>
        <row r="561">
          <cell r="A561">
            <v>1804</v>
          </cell>
          <cell r="B561"/>
          <cell r="C561"/>
          <cell r="D561" t="str">
            <v>AH</v>
          </cell>
          <cell r="E561" t="str">
            <v>NL5912BN001X</v>
          </cell>
          <cell r="F561">
            <v>685212</v>
          </cell>
          <cell r="G561">
            <v>6677826</v>
          </cell>
          <cell r="H561" t="str">
            <v>T</v>
          </cell>
          <cell r="I561" t="str">
            <v>van Nijvenheimstraat 62</v>
          </cell>
          <cell r="J561" t="str">
            <v>5912BN</v>
          </cell>
        </row>
        <row r="562">
          <cell r="A562">
            <v>1805</v>
          </cell>
          <cell r="B562"/>
          <cell r="C562"/>
          <cell r="D562" t="str">
            <v>AH</v>
          </cell>
          <cell r="E562" t="str">
            <v>NL1323LP009X</v>
          </cell>
          <cell r="F562">
            <v>577108</v>
          </cell>
          <cell r="G562">
            <v>6859071</v>
          </cell>
          <cell r="H562" t="str">
            <v>Z</v>
          </cell>
          <cell r="I562" t="str">
            <v>Rimsky-Korssakovweg 9</v>
          </cell>
          <cell r="J562" t="str">
            <v>1323LP</v>
          </cell>
        </row>
        <row r="563">
          <cell r="A563">
            <v>1806</v>
          </cell>
          <cell r="B563"/>
          <cell r="C563"/>
          <cell r="D563" t="str">
            <v>AH</v>
          </cell>
          <cell r="E563" t="str">
            <v>NL4631RH003X</v>
          </cell>
          <cell r="F563">
            <v>480097</v>
          </cell>
          <cell r="G563">
            <v>6690911</v>
          </cell>
          <cell r="H563" t="str">
            <v>T</v>
          </cell>
          <cell r="I563" t="str">
            <v>Doelstraat 3</v>
          </cell>
          <cell r="J563" t="str">
            <v>4631RH</v>
          </cell>
        </row>
        <row r="564">
          <cell r="A564">
            <v>1807</v>
          </cell>
          <cell r="B564"/>
          <cell r="C564"/>
          <cell r="D564" t="str">
            <v>AH</v>
          </cell>
          <cell r="E564" t="str">
            <v>NL3245VC040X</v>
          </cell>
          <cell r="F564">
            <v>461541</v>
          </cell>
          <cell r="G564">
            <v>6748578</v>
          </cell>
          <cell r="H564" t="str">
            <v>P</v>
          </cell>
          <cell r="I564" t="str">
            <v>Dorpsweg 40</v>
          </cell>
          <cell r="J564" t="str">
            <v>3245VC</v>
          </cell>
        </row>
        <row r="565">
          <cell r="A565">
            <v>1808</v>
          </cell>
          <cell r="B565"/>
          <cell r="C565"/>
          <cell r="D565" t="str">
            <v>AH</v>
          </cell>
          <cell r="E565" t="str">
            <v>NL4818JG046X</v>
          </cell>
          <cell r="F565">
            <v>531561</v>
          </cell>
          <cell r="G565">
            <v>6716549</v>
          </cell>
          <cell r="H565" t="str">
            <v>T</v>
          </cell>
          <cell r="I565" t="str">
            <v>Ginnekenweg 46</v>
          </cell>
          <cell r="J565" t="str">
            <v>4818JG</v>
          </cell>
        </row>
        <row r="566">
          <cell r="A566">
            <v>1809</v>
          </cell>
          <cell r="B566"/>
          <cell r="C566"/>
          <cell r="D566" t="str">
            <v>AH</v>
          </cell>
          <cell r="E566" t="str">
            <v>NL4551EP009X</v>
          </cell>
          <cell r="F566">
            <v>422472</v>
          </cell>
          <cell r="G566">
            <v>6654094</v>
          </cell>
          <cell r="H566" t="str">
            <v>T</v>
          </cell>
          <cell r="I566" t="str">
            <v>Wilhelminalaan 9</v>
          </cell>
          <cell r="J566" t="str">
            <v>4551EP</v>
          </cell>
        </row>
        <row r="567">
          <cell r="A567">
            <v>1810</v>
          </cell>
          <cell r="B567"/>
          <cell r="C567"/>
          <cell r="D567" t="str">
            <v>AH</v>
          </cell>
          <cell r="E567" t="str">
            <v>NL1704WV098X</v>
          </cell>
          <cell r="F567">
            <v>535209</v>
          </cell>
          <cell r="G567">
            <v>6911334</v>
          </cell>
          <cell r="H567" t="str">
            <v>Z</v>
          </cell>
          <cell r="I567" t="str">
            <v>Roze Flamingo 98</v>
          </cell>
          <cell r="J567" t="str">
            <v>1704WV</v>
          </cell>
        </row>
        <row r="568">
          <cell r="A568">
            <v>1811</v>
          </cell>
          <cell r="B568"/>
          <cell r="C568"/>
          <cell r="D568" t="str">
            <v>AH</v>
          </cell>
          <cell r="E568" t="str">
            <v>NL6226GV008X</v>
          </cell>
          <cell r="F568">
            <v>636882</v>
          </cell>
          <cell r="G568">
            <v>6586441</v>
          </cell>
          <cell r="H568" t="str">
            <v>T</v>
          </cell>
          <cell r="I568" t="str">
            <v>Burg Cortenstraat 8</v>
          </cell>
          <cell r="J568" t="str">
            <v>6226GV</v>
          </cell>
        </row>
        <row r="569">
          <cell r="A569">
            <v>1812</v>
          </cell>
          <cell r="B569"/>
          <cell r="C569"/>
          <cell r="D569" t="str">
            <v>AH</v>
          </cell>
          <cell r="E569" t="str">
            <v>NL1091GP080X</v>
          </cell>
          <cell r="F569">
            <v>546042</v>
          </cell>
          <cell r="G569">
            <v>6856949</v>
          </cell>
          <cell r="H569" t="str">
            <v>Z</v>
          </cell>
          <cell r="I569" t="str">
            <v>Wibautstraat 80</v>
          </cell>
          <cell r="J569" t="str">
            <v>1091GP</v>
          </cell>
        </row>
        <row r="570">
          <cell r="A570">
            <v>1813</v>
          </cell>
          <cell r="B570"/>
          <cell r="C570"/>
          <cell r="D570" t="str">
            <v>AH</v>
          </cell>
          <cell r="E570" t="str">
            <v>NL3972LG162X</v>
          </cell>
          <cell r="F570">
            <v>587430</v>
          </cell>
          <cell r="G570">
            <v>6801788</v>
          </cell>
          <cell r="H570" t="str">
            <v>Z</v>
          </cell>
          <cell r="I570" t="str">
            <v>Hoofdstraat 162</v>
          </cell>
          <cell r="J570" t="str">
            <v>3972LG</v>
          </cell>
        </row>
        <row r="571">
          <cell r="A571">
            <v>1814</v>
          </cell>
          <cell r="B571"/>
          <cell r="C571"/>
          <cell r="D571" t="str">
            <v>AH</v>
          </cell>
          <cell r="E571" t="str">
            <v>NL7534JH014X</v>
          </cell>
          <cell r="F571">
            <v>772900</v>
          </cell>
          <cell r="G571">
            <v>6831664</v>
          </cell>
          <cell r="H571" t="str">
            <v>O</v>
          </cell>
          <cell r="I571" t="str">
            <v>Esmarkelaan 14</v>
          </cell>
          <cell r="J571" t="str">
            <v>7534JH</v>
          </cell>
        </row>
        <row r="572">
          <cell r="A572">
            <v>1815</v>
          </cell>
          <cell r="B572"/>
          <cell r="C572"/>
          <cell r="D572" t="str">
            <v>AH</v>
          </cell>
          <cell r="E572" t="str">
            <v>NL9202GN005X</v>
          </cell>
          <cell r="F572">
            <v>679574</v>
          </cell>
          <cell r="G572">
            <v>6995532</v>
          </cell>
          <cell r="H572" t="str">
            <v>O</v>
          </cell>
          <cell r="I572" t="str">
            <v>Middelwyk 31</v>
          </cell>
          <cell r="J572" t="str">
            <v>9202GN</v>
          </cell>
        </row>
        <row r="573">
          <cell r="A573">
            <v>1816</v>
          </cell>
          <cell r="B573"/>
          <cell r="C573"/>
          <cell r="D573" t="str">
            <v>AH</v>
          </cell>
          <cell r="E573" t="str">
            <v>NL6181AK110X</v>
          </cell>
          <cell r="F573">
            <v>642106</v>
          </cell>
          <cell r="G573">
            <v>6604398</v>
          </cell>
          <cell r="H573" t="str">
            <v>T</v>
          </cell>
          <cell r="I573" t="str">
            <v>Stationsstraat 110</v>
          </cell>
          <cell r="J573" t="str">
            <v>6181AK</v>
          </cell>
        </row>
        <row r="574">
          <cell r="A574">
            <v>1818</v>
          </cell>
          <cell r="B574"/>
          <cell r="C574"/>
          <cell r="D574" t="str">
            <v>AH</v>
          </cell>
          <cell r="E574" t="str">
            <v>NL5261VB031X</v>
          </cell>
          <cell r="F574">
            <v>588542</v>
          </cell>
          <cell r="G574">
            <v>6730391</v>
          </cell>
          <cell r="H574" t="str">
            <v>T</v>
          </cell>
          <cell r="I574" t="str">
            <v>Stationsstraat 31</v>
          </cell>
          <cell r="J574" t="str">
            <v>5261VB</v>
          </cell>
        </row>
        <row r="575">
          <cell r="A575">
            <v>1819</v>
          </cell>
          <cell r="B575"/>
          <cell r="C575"/>
          <cell r="D575" t="str">
            <v>AH</v>
          </cell>
          <cell r="E575" t="str">
            <v>NL1851RK095X</v>
          </cell>
          <cell r="F575">
            <v>524022</v>
          </cell>
          <cell r="G575">
            <v>6900251</v>
          </cell>
          <cell r="H575" t="str">
            <v>Z</v>
          </cell>
          <cell r="I575" t="str">
            <v>Rosendaal 95</v>
          </cell>
          <cell r="J575" t="str">
            <v>1851RK</v>
          </cell>
        </row>
        <row r="576">
          <cell r="A576">
            <v>1820</v>
          </cell>
          <cell r="B576"/>
          <cell r="C576"/>
          <cell r="D576" t="str">
            <v>AH</v>
          </cell>
          <cell r="E576" t="str">
            <v>NL1185ZC031X</v>
          </cell>
          <cell r="F576">
            <v>538029</v>
          </cell>
          <cell r="G576">
            <v>6844832</v>
          </cell>
          <cell r="H576" t="str">
            <v>Z</v>
          </cell>
          <cell r="I576" t="str">
            <v>Maalderij 31</v>
          </cell>
          <cell r="J576" t="str">
            <v>1185ZC</v>
          </cell>
        </row>
        <row r="577">
          <cell r="A577">
            <v>1821</v>
          </cell>
          <cell r="B577"/>
          <cell r="C577"/>
          <cell r="D577" t="str">
            <v>AH</v>
          </cell>
          <cell r="E577" t="str">
            <v>NL4615AE015X</v>
          </cell>
          <cell r="F577">
            <v>477211</v>
          </cell>
          <cell r="G577">
            <v>6700578</v>
          </cell>
          <cell r="H577" t="str">
            <v>T</v>
          </cell>
          <cell r="I577" t="str">
            <v>Glacisstraat 15</v>
          </cell>
          <cell r="J577" t="str">
            <v>4615AE</v>
          </cell>
        </row>
        <row r="578">
          <cell r="A578">
            <v>1822</v>
          </cell>
          <cell r="B578"/>
          <cell r="C578"/>
          <cell r="D578" t="str">
            <v>AH</v>
          </cell>
          <cell r="E578" t="str">
            <v>NL3037BT012X</v>
          </cell>
          <cell r="F578">
            <v>497084</v>
          </cell>
          <cell r="G578">
            <v>6780443</v>
          </cell>
          <cell r="H578" t="str">
            <v>P</v>
          </cell>
          <cell r="I578" t="str">
            <v>Eudokiaplein 12</v>
          </cell>
          <cell r="J578" t="str">
            <v>3037BT</v>
          </cell>
        </row>
        <row r="579">
          <cell r="A579">
            <v>1823</v>
          </cell>
          <cell r="B579"/>
          <cell r="C579"/>
          <cell r="D579" t="str">
            <v>AH</v>
          </cell>
          <cell r="E579" t="str">
            <v>NL2134DP013X</v>
          </cell>
          <cell r="F579">
            <v>515735</v>
          </cell>
          <cell r="G579">
            <v>6848250</v>
          </cell>
          <cell r="H579" t="str">
            <v>Z</v>
          </cell>
          <cell r="I579" t="str">
            <v>Genderenplein 13</v>
          </cell>
          <cell r="J579" t="str">
            <v>2134DP</v>
          </cell>
        </row>
        <row r="580">
          <cell r="A580">
            <v>1824</v>
          </cell>
          <cell r="B580"/>
          <cell r="C580"/>
          <cell r="D580" t="str">
            <v>AH</v>
          </cell>
          <cell r="E580" t="str">
            <v>NL3766HA011X</v>
          </cell>
          <cell r="F580">
            <v>587303</v>
          </cell>
          <cell r="G580">
            <v>6823055</v>
          </cell>
          <cell r="H580" t="str">
            <v>Z</v>
          </cell>
          <cell r="I580" t="str">
            <v>Tamboerijn 11</v>
          </cell>
          <cell r="J580" t="str">
            <v>3766HA</v>
          </cell>
        </row>
        <row r="581">
          <cell r="A581">
            <v>1825</v>
          </cell>
          <cell r="B581"/>
          <cell r="C581"/>
          <cell r="D581" t="str">
            <v>AH</v>
          </cell>
          <cell r="E581" t="str">
            <v>NL3961KW002X</v>
          </cell>
          <cell r="F581">
            <v>592395</v>
          </cell>
          <cell r="G581">
            <v>6787688</v>
          </cell>
          <cell r="H581" t="str">
            <v>Z</v>
          </cell>
          <cell r="I581" t="str">
            <v>Sluishoofd 2</v>
          </cell>
          <cell r="J581" t="str">
            <v>3961KW</v>
          </cell>
        </row>
        <row r="582">
          <cell r="A582">
            <v>1826</v>
          </cell>
          <cell r="B582"/>
          <cell r="C582"/>
          <cell r="D582" t="str">
            <v>AH</v>
          </cell>
          <cell r="E582" t="str">
            <v>NL6835GL959X</v>
          </cell>
          <cell r="F582">
            <v>656752</v>
          </cell>
          <cell r="G582">
            <v>6783992</v>
          </cell>
          <cell r="H582" t="str">
            <v>O</v>
          </cell>
          <cell r="I582" t="str">
            <v>Groningensingel 959</v>
          </cell>
          <cell r="J582" t="str">
            <v>6835GL</v>
          </cell>
        </row>
        <row r="583">
          <cell r="A583">
            <v>1827</v>
          </cell>
          <cell r="B583"/>
          <cell r="C583"/>
          <cell r="D583" t="str">
            <v>AH</v>
          </cell>
          <cell r="E583" t="str">
            <v>NL3641LH013X</v>
          </cell>
          <cell r="F583">
            <v>540699</v>
          </cell>
          <cell r="G583">
            <v>6830910</v>
          </cell>
          <cell r="H583" t="str">
            <v>Z</v>
          </cell>
          <cell r="I583" t="str">
            <v>Leicester 13</v>
          </cell>
          <cell r="J583" t="str">
            <v>3641LH</v>
          </cell>
        </row>
        <row r="584">
          <cell r="A584">
            <v>1828</v>
          </cell>
          <cell r="B584"/>
          <cell r="C584"/>
          <cell r="D584" t="str">
            <v>AH</v>
          </cell>
          <cell r="E584" t="str">
            <v>NL5684VK009X</v>
          </cell>
          <cell r="F584">
            <v>599878</v>
          </cell>
          <cell r="G584">
            <v>6701926</v>
          </cell>
          <cell r="H584" t="str">
            <v>T</v>
          </cell>
          <cell r="I584" t="str">
            <v>Wilhelminaplein 6</v>
          </cell>
          <cell r="J584" t="str">
            <v>5684VK</v>
          </cell>
        </row>
        <row r="585">
          <cell r="A585">
            <v>1829</v>
          </cell>
          <cell r="B585"/>
          <cell r="C585"/>
          <cell r="D585" t="str">
            <v>AH</v>
          </cell>
          <cell r="E585" t="str">
            <v>NL9742AH100X</v>
          </cell>
          <cell r="F585">
            <v>727651</v>
          </cell>
          <cell r="G585">
            <v>7017986</v>
          </cell>
          <cell r="H585" t="str">
            <v>O</v>
          </cell>
          <cell r="I585" t="str">
            <v>Dierenriemstraat 122</v>
          </cell>
          <cell r="J585" t="str">
            <v>9742AK</v>
          </cell>
        </row>
        <row r="586">
          <cell r="A586">
            <v>1830</v>
          </cell>
          <cell r="B586"/>
          <cell r="C586"/>
          <cell r="D586" t="str">
            <v>AH</v>
          </cell>
          <cell r="E586" t="str">
            <v>NL3074GH077X</v>
          </cell>
          <cell r="F586">
            <v>501481</v>
          </cell>
          <cell r="G586">
            <v>6773674</v>
          </cell>
          <cell r="H586" t="str">
            <v>P</v>
          </cell>
          <cell r="I586" t="str">
            <v>Strijensestraat 77</v>
          </cell>
          <cell r="J586" t="str">
            <v>3074GH</v>
          </cell>
        </row>
        <row r="587">
          <cell r="A587">
            <v>1840</v>
          </cell>
          <cell r="B587"/>
          <cell r="C587"/>
          <cell r="D587" t="str">
            <v>AH</v>
          </cell>
          <cell r="E587" t="str">
            <v>NL5915CW015X</v>
          </cell>
          <cell r="F587">
            <v>687165</v>
          </cell>
          <cell r="G587">
            <v>6677594</v>
          </cell>
          <cell r="H587" t="str">
            <v>T</v>
          </cell>
          <cell r="I587" t="str">
            <v>Maagdenbergplein 15</v>
          </cell>
          <cell r="J587" t="str">
            <v>5915CW</v>
          </cell>
        </row>
        <row r="588">
          <cell r="A588">
            <v>1841</v>
          </cell>
          <cell r="B588"/>
          <cell r="C588"/>
          <cell r="D588" t="str">
            <v>AH</v>
          </cell>
          <cell r="E588" t="str">
            <v>NL2571RH106X</v>
          </cell>
          <cell r="F588">
            <v>476984</v>
          </cell>
          <cell r="G588">
            <v>6804871</v>
          </cell>
          <cell r="H588" t="str">
            <v>P</v>
          </cell>
          <cell r="I588" t="str">
            <v>Steijnlaan 106</v>
          </cell>
          <cell r="J588" t="str">
            <v>2571RH</v>
          </cell>
        </row>
        <row r="589">
          <cell r="A589">
            <v>1842</v>
          </cell>
          <cell r="B589"/>
          <cell r="C589"/>
          <cell r="D589" t="str">
            <v>AH</v>
          </cell>
          <cell r="E589" t="str">
            <v>NL2523EC020X</v>
          </cell>
          <cell r="F589">
            <v>479797</v>
          </cell>
          <cell r="G589">
            <v>6802675</v>
          </cell>
          <cell r="H589" t="str">
            <v>P</v>
          </cell>
          <cell r="I589" t="str">
            <v>Goeverneurplein 20</v>
          </cell>
          <cell r="J589" t="str">
            <v>2523EC</v>
          </cell>
        </row>
        <row r="590">
          <cell r="A590">
            <v>1843</v>
          </cell>
          <cell r="B590"/>
          <cell r="C590"/>
          <cell r="D590" t="str">
            <v>AH</v>
          </cell>
          <cell r="E590" t="str">
            <v>NL6006HS002X</v>
          </cell>
          <cell r="F590">
            <v>633985</v>
          </cell>
          <cell r="G590">
            <v>6657621</v>
          </cell>
          <cell r="H590" t="str">
            <v>T</v>
          </cell>
          <cell r="I590" t="str">
            <v>Dries 10</v>
          </cell>
          <cell r="J590" t="str">
            <v>6006HS</v>
          </cell>
        </row>
        <row r="591">
          <cell r="A591">
            <v>1844</v>
          </cell>
          <cell r="B591"/>
          <cell r="C591"/>
          <cell r="D591" t="str">
            <v>AH</v>
          </cell>
          <cell r="E591" t="str">
            <v>NL1381BP070X</v>
          </cell>
          <cell r="F591">
            <v>560443</v>
          </cell>
          <cell r="G591">
            <v>6848043</v>
          </cell>
          <cell r="H591" t="str">
            <v>Z</v>
          </cell>
          <cell r="I591" t="str">
            <v>Achtergracht 70</v>
          </cell>
          <cell r="J591" t="str">
            <v>1381BP</v>
          </cell>
        </row>
        <row r="592">
          <cell r="A592">
            <v>1845</v>
          </cell>
          <cell r="B592"/>
          <cell r="C592"/>
          <cell r="D592" t="str">
            <v>AH</v>
          </cell>
          <cell r="E592" t="str">
            <v>NL2553CT260X</v>
          </cell>
          <cell r="F592">
            <v>470808</v>
          </cell>
          <cell r="G592">
            <v>6802038</v>
          </cell>
          <cell r="H592" t="str">
            <v>P</v>
          </cell>
          <cell r="I592" t="str">
            <v>Loosduinse Hoofdplein 260</v>
          </cell>
          <cell r="J592" t="str">
            <v>2553CT</v>
          </cell>
        </row>
        <row r="593">
          <cell r="A593">
            <v>1847</v>
          </cell>
          <cell r="B593"/>
          <cell r="C593"/>
          <cell r="D593" t="str">
            <v>AH</v>
          </cell>
          <cell r="E593" t="str">
            <v>NL1094EN043X</v>
          </cell>
          <cell r="F593">
            <v>548358</v>
          </cell>
          <cell r="G593">
            <v>6858379</v>
          </cell>
          <cell r="H593" t="str">
            <v>Z</v>
          </cell>
          <cell r="I593" t="str">
            <v>Celebesstraat 43</v>
          </cell>
          <cell r="J593" t="str">
            <v>1094EN</v>
          </cell>
        </row>
        <row r="594">
          <cell r="A594">
            <v>1848</v>
          </cell>
          <cell r="B594"/>
          <cell r="C594"/>
          <cell r="D594" t="str">
            <v>AH</v>
          </cell>
          <cell r="E594" t="str">
            <v>NL6372EX052X</v>
          </cell>
          <cell r="F594">
            <v>668992</v>
          </cell>
          <cell r="G594">
            <v>6595220</v>
          </cell>
          <cell r="H594" t="str">
            <v>T</v>
          </cell>
          <cell r="I594" t="str">
            <v>Prinssenstraat 52</v>
          </cell>
          <cell r="J594" t="str">
            <v>6372EX</v>
          </cell>
        </row>
        <row r="595">
          <cell r="A595">
            <v>1849</v>
          </cell>
          <cell r="B595"/>
          <cell r="C595"/>
          <cell r="D595" t="str">
            <v>AH</v>
          </cell>
          <cell r="E595" t="str">
            <v>NL6537EN700X</v>
          </cell>
          <cell r="F595">
            <v>644951</v>
          </cell>
          <cell r="G595">
            <v>6758538</v>
          </cell>
          <cell r="H595" t="str">
            <v>T</v>
          </cell>
          <cell r="I595" t="str">
            <v>Meijhorst 7001</v>
          </cell>
          <cell r="J595" t="str">
            <v>6537EN</v>
          </cell>
        </row>
        <row r="596">
          <cell r="A596">
            <v>1850</v>
          </cell>
          <cell r="B596"/>
          <cell r="C596"/>
          <cell r="D596" t="str">
            <v>AH</v>
          </cell>
          <cell r="E596" t="str">
            <v>NL2593AV182X</v>
          </cell>
          <cell r="F596">
            <v>482169</v>
          </cell>
          <cell r="G596">
            <v>6808048</v>
          </cell>
          <cell r="H596" t="str">
            <v>P</v>
          </cell>
          <cell r="I596" t="str">
            <v>Theresiastraat 182</v>
          </cell>
          <cell r="J596" t="str">
            <v>2593AV</v>
          </cell>
        </row>
        <row r="597">
          <cell r="A597">
            <v>1852</v>
          </cell>
          <cell r="B597"/>
          <cell r="C597"/>
          <cell r="D597" t="str">
            <v>AH</v>
          </cell>
          <cell r="E597" t="str">
            <v>NL2611JE035X</v>
          </cell>
          <cell r="F597">
            <v>484615</v>
          </cell>
          <cell r="G597">
            <v>6794892</v>
          </cell>
          <cell r="H597" t="str">
            <v>P</v>
          </cell>
          <cell r="I597" t="str">
            <v>Choorstraat 35</v>
          </cell>
          <cell r="J597" t="str">
            <v>2611JE</v>
          </cell>
        </row>
        <row r="598">
          <cell r="A598">
            <v>1853</v>
          </cell>
          <cell r="B598"/>
          <cell r="C598"/>
          <cell r="D598" t="str">
            <v>AH</v>
          </cell>
          <cell r="E598" t="str">
            <v>NL2517BS067X</v>
          </cell>
          <cell r="F598">
            <v>476418</v>
          </cell>
          <cell r="G598">
            <v>6807117</v>
          </cell>
          <cell r="H598" t="str">
            <v>P</v>
          </cell>
          <cell r="I598" t="str">
            <v>Conradkade 67</v>
          </cell>
          <cell r="J598" t="str">
            <v>2517BS</v>
          </cell>
        </row>
        <row r="599">
          <cell r="A599">
            <v>1854</v>
          </cell>
          <cell r="B599"/>
          <cell r="C599"/>
          <cell r="D599" t="str">
            <v>AH</v>
          </cell>
          <cell r="E599" t="str">
            <v>NL2651XN002X</v>
          </cell>
          <cell r="F599">
            <v>495990</v>
          </cell>
          <cell r="G599">
            <v>6789200</v>
          </cell>
          <cell r="H599" t="str">
            <v>P</v>
          </cell>
          <cell r="I599" t="str">
            <v>Rozenoord 2</v>
          </cell>
          <cell r="J599" t="str">
            <v>2651XN</v>
          </cell>
        </row>
        <row r="600">
          <cell r="A600">
            <v>1855</v>
          </cell>
          <cell r="B600"/>
          <cell r="C600"/>
          <cell r="D600" t="str">
            <v>AH</v>
          </cell>
          <cell r="E600" t="str">
            <v>NL1398PT013X</v>
          </cell>
          <cell r="F600">
            <v>558572</v>
          </cell>
          <cell r="G600">
            <v>6853246</v>
          </cell>
          <cell r="H600" t="str">
            <v>Z</v>
          </cell>
          <cell r="I600" t="str">
            <v>Pampusweg 13</v>
          </cell>
          <cell r="J600" t="str">
            <v>1398PT</v>
          </cell>
        </row>
        <row r="601">
          <cell r="A601">
            <v>1856</v>
          </cell>
          <cell r="B601"/>
          <cell r="C601"/>
          <cell r="D601" t="str">
            <v>AH</v>
          </cell>
          <cell r="E601" t="str">
            <v>NL6717AH003X</v>
          </cell>
          <cell r="F601">
            <v>627873</v>
          </cell>
          <cell r="G601">
            <v>6798153</v>
          </cell>
          <cell r="H601" t="str">
            <v>O</v>
          </cell>
          <cell r="I601" t="str">
            <v>Keesomstraat 3</v>
          </cell>
          <cell r="J601" t="str">
            <v>6717AH</v>
          </cell>
        </row>
        <row r="602">
          <cell r="A602">
            <v>1857</v>
          </cell>
          <cell r="B602"/>
          <cell r="C602"/>
          <cell r="D602" t="str">
            <v>AH</v>
          </cell>
          <cell r="E602" t="str">
            <v>NL5916PT020X</v>
          </cell>
          <cell r="F602">
            <v>687375</v>
          </cell>
          <cell r="G602">
            <v>6682172</v>
          </cell>
          <cell r="H602" t="str">
            <v>T</v>
          </cell>
          <cell r="I602" t="str">
            <v>Nijmeegseweg 20</v>
          </cell>
          <cell r="J602" t="str">
            <v>5916PT</v>
          </cell>
        </row>
        <row r="603">
          <cell r="A603">
            <v>1859</v>
          </cell>
          <cell r="B603"/>
          <cell r="C603"/>
          <cell r="D603" t="str">
            <v>AH</v>
          </cell>
          <cell r="E603" t="str">
            <v>NL4671CE043X</v>
          </cell>
          <cell r="F603">
            <v>485853</v>
          </cell>
          <cell r="G603">
            <v>6727126</v>
          </cell>
          <cell r="H603" t="str">
            <v>P</v>
          </cell>
          <cell r="I603" t="str">
            <v>Westvoorstraat 50</v>
          </cell>
          <cell r="J603" t="str">
            <v>4671CE</v>
          </cell>
        </row>
        <row r="604">
          <cell r="A604">
            <v>1860</v>
          </cell>
          <cell r="B604"/>
          <cell r="C604"/>
          <cell r="D604" t="str">
            <v>AH</v>
          </cell>
          <cell r="E604" t="str">
            <v>NL3162WJ012X</v>
          </cell>
          <cell r="F604">
            <v>497348</v>
          </cell>
          <cell r="G604">
            <v>6767002</v>
          </cell>
          <cell r="H604" t="str">
            <v>P</v>
          </cell>
          <cell r="I604" t="str">
            <v>Hof van Portland 12</v>
          </cell>
          <cell r="J604" t="str">
            <v>3162WJ</v>
          </cell>
        </row>
        <row r="605">
          <cell r="A605">
            <v>1861</v>
          </cell>
          <cell r="B605"/>
          <cell r="C605"/>
          <cell r="D605" t="str">
            <v>AH</v>
          </cell>
          <cell r="E605" t="str">
            <v>NL5111CJ026X</v>
          </cell>
          <cell r="F605">
            <v>547958</v>
          </cell>
          <cell r="G605">
            <v>6692384</v>
          </cell>
          <cell r="H605" t="str">
            <v>T</v>
          </cell>
          <cell r="I605" t="str">
            <v>Kerkstraat 8</v>
          </cell>
          <cell r="J605" t="str">
            <v>5111CJ</v>
          </cell>
        </row>
        <row r="606">
          <cell r="A606">
            <v>1862</v>
          </cell>
          <cell r="B606"/>
          <cell r="C606"/>
          <cell r="D606" t="str">
            <v>AH</v>
          </cell>
          <cell r="E606" t="str">
            <v>NL5688EW055X</v>
          </cell>
          <cell r="F606">
            <v>590760</v>
          </cell>
          <cell r="G606">
            <v>6703596</v>
          </cell>
          <cell r="H606" t="str">
            <v>T</v>
          </cell>
          <cell r="I606" t="str">
            <v>de Loop 55</v>
          </cell>
          <cell r="J606" t="str">
            <v>5688EW</v>
          </cell>
        </row>
        <row r="607">
          <cell r="A607">
            <v>1863</v>
          </cell>
          <cell r="B607"/>
          <cell r="C607"/>
          <cell r="D607" t="str">
            <v>AH</v>
          </cell>
          <cell r="E607" t="str">
            <v>NL3437AP020X</v>
          </cell>
          <cell r="F607">
            <v>564597</v>
          </cell>
          <cell r="G607">
            <v>6799899</v>
          </cell>
          <cell r="H607" t="str">
            <v>Z</v>
          </cell>
          <cell r="I607" t="str">
            <v>Muntplein 20</v>
          </cell>
          <cell r="J607" t="str">
            <v>3437AP</v>
          </cell>
        </row>
        <row r="608">
          <cell r="A608">
            <v>1864</v>
          </cell>
          <cell r="B608"/>
          <cell r="C608"/>
          <cell r="D608" t="str">
            <v>AH</v>
          </cell>
          <cell r="E608" t="str">
            <v>NL3335VH017X</v>
          </cell>
          <cell r="F608">
            <v>512712</v>
          </cell>
          <cell r="G608">
            <v>6759909</v>
          </cell>
          <cell r="H608" t="str">
            <v>P</v>
          </cell>
          <cell r="I608" t="str">
            <v>Oudeland 84</v>
          </cell>
          <cell r="J608" t="str">
            <v>3335VH</v>
          </cell>
        </row>
        <row r="609">
          <cell r="A609">
            <v>1865</v>
          </cell>
          <cell r="B609"/>
          <cell r="C609"/>
          <cell r="D609" t="str">
            <v>AH</v>
          </cell>
          <cell r="E609" t="str">
            <v>NL9411NC003X</v>
          </cell>
          <cell r="F609">
            <v>724597</v>
          </cell>
          <cell r="G609">
            <v>6949502</v>
          </cell>
          <cell r="H609" t="str">
            <v>O</v>
          </cell>
          <cell r="I609" t="str">
            <v>Weversstraat 3</v>
          </cell>
          <cell r="J609" t="str">
            <v>9411NC</v>
          </cell>
        </row>
        <row r="610">
          <cell r="A610">
            <v>1866</v>
          </cell>
          <cell r="B610"/>
          <cell r="C610"/>
          <cell r="D610" t="str">
            <v>AH</v>
          </cell>
          <cell r="E610" t="str">
            <v>NL7574AM133X</v>
          </cell>
          <cell r="F610">
            <v>771258</v>
          </cell>
          <cell r="G610">
            <v>6847035</v>
          </cell>
          <cell r="H610" t="str">
            <v>O</v>
          </cell>
          <cell r="I610" t="str">
            <v>Burgemeester  Wallerstraat 133</v>
          </cell>
          <cell r="J610" t="str">
            <v>7574AM</v>
          </cell>
        </row>
        <row r="611">
          <cell r="A611">
            <v>1867</v>
          </cell>
          <cell r="B611"/>
          <cell r="C611"/>
          <cell r="D611" t="str">
            <v>AH</v>
          </cell>
          <cell r="E611" t="str">
            <v>NL7576AW222X</v>
          </cell>
          <cell r="F611">
            <v>768027</v>
          </cell>
          <cell r="G611">
            <v>6849625</v>
          </cell>
          <cell r="H611" t="str">
            <v>O</v>
          </cell>
          <cell r="I611" t="str">
            <v>Johanna van Burenlaan 222</v>
          </cell>
          <cell r="J611" t="str">
            <v>7576AW</v>
          </cell>
        </row>
        <row r="612">
          <cell r="A612">
            <v>1869</v>
          </cell>
          <cell r="B612"/>
          <cell r="C612"/>
          <cell r="D612" t="str">
            <v>AH</v>
          </cell>
          <cell r="E612" t="str">
            <v>NL3432TN009X</v>
          </cell>
          <cell r="F612">
            <v>566204</v>
          </cell>
          <cell r="G612">
            <v>6795819</v>
          </cell>
          <cell r="H612" t="str">
            <v>Z</v>
          </cell>
          <cell r="I612" t="str">
            <v>Rapenburgerschans 9</v>
          </cell>
          <cell r="J612" t="str">
            <v>3432TN</v>
          </cell>
        </row>
        <row r="613">
          <cell r="A613">
            <v>3000</v>
          </cell>
          <cell r="B613"/>
          <cell r="C613"/>
          <cell r="D613" t="str">
            <v>AH</v>
          </cell>
          <cell r="E613" t="str">
            <v>B_2000__040X</v>
          </cell>
          <cell r="F613">
            <v>489497</v>
          </cell>
          <cell r="G613">
            <v>6652420</v>
          </cell>
          <cell r="H613" t="str">
            <v>T</v>
          </cell>
          <cell r="I613" t="str">
            <v>Groenplaats 40</v>
          </cell>
          <cell r="J613">
            <v>2000</v>
          </cell>
        </row>
        <row r="614">
          <cell r="A614">
            <v>3001</v>
          </cell>
          <cell r="B614"/>
          <cell r="C614"/>
          <cell r="D614" t="str">
            <v>AH</v>
          </cell>
          <cell r="E614" t="str">
            <v>B_2000__143X</v>
          </cell>
          <cell r="F614">
            <v>486801</v>
          </cell>
          <cell r="G614">
            <v>6647373</v>
          </cell>
          <cell r="H614" t="str">
            <v>T</v>
          </cell>
          <cell r="I614" t="str">
            <v>Sintbernardsesteenweg 143</v>
          </cell>
          <cell r="J614">
            <v>2020</v>
          </cell>
        </row>
        <row r="615">
          <cell r="A615">
            <v>3002</v>
          </cell>
          <cell r="B615"/>
          <cell r="C615"/>
          <cell r="D615" t="str">
            <v>AH</v>
          </cell>
          <cell r="E615" t="str">
            <v>B_3900__008X</v>
          </cell>
          <cell r="F615">
            <v>603601</v>
          </cell>
          <cell r="G615">
            <v>6652383</v>
          </cell>
          <cell r="H615" t="str">
            <v>T</v>
          </cell>
          <cell r="I615" t="str">
            <v>De koel 8</v>
          </cell>
          <cell r="J615">
            <v>3900</v>
          </cell>
        </row>
        <row r="616">
          <cell r="A616">
            <v>3003</v>
          </cell>
          <cell r="B616"/>
          <cell r="C616"/>
          <cell r="D616" t="str">
            <v>AH</v>
          </cell>
          <cell r="E616" t="str">
            <v>B_2000__025X</v>
          </cell>
          <cell r="F616">
            <v>490342</v>
          </cell>
          <cell r="G616">
            <v>6653944</v>
          </cell>
          <cell r="H616" t="str">
            <v>T</v>
          </cell>
          <cell r="I616" t="str">
            <v>HESSENPLEIN 25</v>
          </cell>
          <cell r="J616">
            <v>2000</v>
          </cell>
        </row>
        <row r="617">
          <cell r="A617">
            <v>3004</v>
          </cell>
          <cell r="B617"/>
          <cell r="C617"/>
          <cell r="D617" t="str">
            <v>AH</v>
          </cell>
          <cell r="E617" t="str">
            <v>B_2660__534X</v>
          </cell>
          <cell r="F617">
            <v>486207</v>
          </cell>
          <cell r="G617">
            <v>6646607</v>
          </cell>
          <cell r="H617" t="str">
            <v>T</v>
          </cell>
          <cell r="I617" t="str">
            <v>Zeelandstraat 40</v>
          </cell>
          <cell r="J617">
            <v>2660</v>
          </cell>
        </row>
        <row r="618">
          <cell r="A618">
            <v>3005</v>
          </cell>
          <cell r="B618"/>
          <cell r="C618"/>
          <cell r="D618" t="str">
            <v>AH</v>
          </cell>
          <cell r="E618" t="str">
            <v>B_9120__025X</v>
          </cell>
          <cell r="F618">
            <v>473143</v>
          </cell>
          <cell r="G618">
            <v>6651962</v>
          </cell>
          <cell r="H618" t="str">
            <v>T</v>
          </cell>
          <cell r="I618" t="str">
            <v>Warande 23</v>
          </cell>
          <cell r="J618">
            <v>9120</v>
          </cell>
        </row>
        <row r="619">
          <cell r="A619">
            <v>3006</v>
          </cell>
          <cell r="B619"/>
          <cell r="C619"/>
          <cell r="D619" t="str">
            <v>AH</v>
          </cell>
          <cell r="E619" t="str">
            <v>B_2250__004X</v>
          </cell>
          <cell r="F619">
            <v>544993</v>
          </cell>
          <cell r="G619">
            <v>6640498</v>
          </cell>
          <cell r="H619" t="str">
            <v>T</v>
          </cell>
          <cell r="I619" t="str">
            <v>LAMMERDRIES 4</v>
          </cell>
          <cell r="J619">
            <v>2250</v>
          </cell>
        </row>
        <row r="620">
          <cell r="A620">
            <v>3007</v>
          </cell>
          <cell r="B620"/>
          <cell r="C620"/>
          <cell r="D620" t="str">
            <v>AH</v>
          </cell>
          <cell r="E620" t="str">
            <v>B_2018__154X</v>
          </cell>
          <cell r="F620">
            <v>490364</v>
          </cell>
          <cell r="G620">
            <v>6650291</v>
          </cell>
          <cell r="H620" t="str">
            <v>T</v>
          </cell>
          <cell r="I620" t="str">
            <v>Mechelsesteenweg 271</v>
          </cell>
          <cell r="J620">
            <v>2018</v>
          </cell>
        </row>
        <row r="621">
          <cell r="A621">
            <v>3008</v>
          </cell>
          <cell r="B621"/>
          <cell r="C621"/>
          <cell r="D621" t="str">
            <v>AH</v>
          </cell>
          <cell r="E621" t="str">
            <v>B_8530__079X</v>
          </cell>
          <cell r="F621">
            <v>369573</v>
          </cell>
          <cell r="G621">
            <v>6589724</v>
          </cell>
          <cell r="H621" t="str">
            <v>T</v>
          </cell>
          <cell r="I621" t="str">
            <v>Gentsesteenweg 79</v>
          </cell>
          <cell r="J621">
            <v>8530</v>
          </cell>
        </row>
        <row r="622">
          <cell r="A622">
            <v>3009</v>
          </cell>
          <cell r="B622"/>
          <cell r="C622"/>
          <cell r="D622" t="str">
            <v>AH</v>
          </cell>
          <cell r="E622" t="str">
            <v>B_3680__003X</v>
          </cell>
          <cell r="F622">
            <v>643186</v>
          </cell>
          <cell r="G622">
            <v>6630805</v>
          </cell>
          <cell r="H622" t="str">
            <v>T</v>
          </cell>
          <cell r="I622" t="str">
            <v>Kolonel Aertsplein 6</v>
          </cell>
          <cell r="J622">
            <v>3680</v>
          </cell>
        </row>
        <row r="623">
          <cell r="A623">
            <v>3010</v>
          </cell>
          <cell r="B623"/>
          <cell r="C623"/>
          <cell r="D623" t="str">
            <v>AH</v>
          </cell>
          <cell r="E623" t="str">
            <v>B_2400__049X</v>
          </cell>
          <cell r="F623">
            <v>569494</v>
          </cell>
          <cell r="G623">
            <v>6646024</v>
          </cell>
          <cell r="H623" t="str">
            <v>T</v>
          </cell>
          <cell r="I623" t="str">
            <v>Molderdijk 49</v>
          </cell>
          <cell r="J623">
            <v>2400</v>
          </cell>
        </row>
        <row r="624">
          <cell r="A624">
            <v>3011</v>
          </cell>
          <cell r="B624"/>
          <cell r="C624"/>
          <cell r="D624" t="str">
            <v>AH</v>
          </cell>
          <cell r="E624" t="str">
            <v>B_9700__053X</v>
          </cell>
          <cell r="F624">
            <v>400327</v>
          </cell>
          <cell r="G624">
            <v>6587650</v>
          </cell>
          <cell r="H624" t="str">
            <v>T</v>
          </cell>
          <cell r="I624" t="str">
            <v>Gentstraat 53</v>
          </cell>
          <cell r="J624">
            <v>9700</v>
          </cell>
        </row>
        <row r="625">
          <cell r="A625">
            <v>3012</v>
          </cell>
          <cell r="B625"/>
          <cell r="C625"/>
          <cell r="D625" t="str">
            <v>AH</v>
          </cell>
          <cell r="E625" t="str">
            <v>B_8500__034X</v>
          </cell>
          <cell r="F625">
            <v>362917</v>
          </cell>
          <cell r="G625">
            <v>6586556</v>
          </cell>
          <cell r="H625" t="str">
            <v>T</v>
          </cell>
          <cell r="I625" t="str">
            <v>Ringlaan 34</v>
          </cell>
          <cell r="J625">
            <v>8500</v>
          </cell>
        </row>
        <row r="626">
          <cell r="A626">
            <v>3013</v>
          </cell>
          <cell r="B626"/>
          <cell r="C626"/>
          <cell r="D626" t="str">
            <v>AH</v>
          </cell>
          <cell r="E626" t="str">
            <v>B_9300__034X</v>
          </cell>
          <cell r="F626">
            <v>449653</v>
          </cell>
          <cell r="G626">
            <v>6602780</v>
          </cell>
          <cell r="H626" t="str">
            <v>T</v>
          </cell>
          <cell r="I626" t="str">
            <v>Pontstraat 34</v>
          </cell>
          <cell r="J626">
            <v>9300</v>
          </cell>
        </row>
        <row r="627">
          <cell r="A627">
            <v>3014</v>
          </cell>
          <cell r="B627"/>
          <cell r="C627"/>
          <cell r="D627" t="str">
            <v>AH</v>
          </cell>
          <cell r="E627" t="str">
            <v>B_8450__029X</v>
          </cell>
          <cell r="F627">
            <v>329492</v>
          </cell>
          <cell r="G627">
            <v>6657886</v>
          </cell>
          <cell r="H627" t="str">
            <v>T</v>
          </cell>
          <cell r="I627" t="str">
            <v>Kapelstraat 29</v>
          </cell>
          <cell r="J627">
            <v>8450</v>
          </cell>
        </row>
        <row r="628">
          <cell r="A628">
            <v>3015</v>
          </cell>
          <cell r="B628"/>
          <cell r="C628"/>
          <cell r="D628" t="str">
            <v>AH</v>
          </cell>
          <cell r="E628" t="str">
            <v>B_2500__477X</v>
          </cell>
          <cell r="F628">
            <v>504047</v>
          </cell>
          <cell r="G628">
            <v>6640045</v>
          </cell>
          <cell r="H628" t="str">
            <v>T</v>
          </cell>
          <cell r="I628" t="str">
            <v>Antwerpsesteenweg 499</v>
          </cell>
          <cell r="J628">
            <v>2500</v>
          </cell>
        </row>
        <row r="629">
          <cell r="A629">
            <v>3016</v>
          </cell>
          <cell r="B629"/>
          <cell r="C629"/>
          <cell r="D629" t="str">
            <v>AH</v>
          </cell>
          <cell r="E629" t="str">
            <v>B_2300__245X</v>
          </cell>
          <cell r="F629">
            <v>547699</v>
          </cell>
          <cell r="G629">
            <v>6669201</v>
          </cell>
          <cell r="H629" t="str">
            <v>T</v>
          </cell>
          <cell r="I629" t="str">
            <v>Steenweg op Gierle 245</v>
          </cell>
          <cell r="J629">
            <v>2300</v>
          </cell>
        </row>
        <row r="630">
          <cell r="A630">
            <v>3018</v>
          </cell>
          <cell r="B630"/>
          <cell r="C630"/>
          <cell r="D630" t="str">
            <v>AH</v>
          </cell>
          <cell r="E630" t="str">
            <v>B_9800__046X</v>
          </cell>
          <cell r="F630">
            <v>393017</v>
          </cell>
          <cell r="G630">
            <v>6609743</v>
          </cell>
          <cell r="H630" t="str">
            <v>T</v>
          </cell>
          <cell r="I630" t="str">
            <v>Gaversesteenweg 46</v>
          </cell>
          <cell r="J630">
            <v>9800</v>
          </cell>
        </row>
        <row r="631">
          <cell r="A631">
            <v>3020</v>
          </cell>
          <cell r="B631"/>
          <cell r="C631"/>
          <cell r="D631" t="str">
            <v>AH</v>
          </cell>
          <cell r="E631" t="str">
            <v>B_9000__016X</v>
          </cell>
          <cell r="F631">
            <v>413798</v>
          </cell>
          <cell r="G631">
            <v>6623432</v>
          </cell>
          <cell r="H631" t="str">
            <v>T</v>
          </cell>
          <cell r="I631" t="str">
            <v>Korenmarkt 16</v>
          </cell>
          <cell r="J631">
            <v>9000</v>
          </cell>
        </row>
        <row r="632">
          <cell r="A632">
            <v>3021</v>
          </cell>
          <cell r="B632"/>
          <cell r="C632"/>
          <cell r="D632" t="str">
            <v>AH</v>
          </cell>
          <cell r="E632" t="str">
            <v>B_3800__168X</v>
          </cell>
          <cell r="F632">
            <v>574341</v>
          </cell>
          <cell r="G632">
            <v>6581065</v>
          </cell>
          <cell r="H632" t="str">
            <v>T</v>
          </cell>
          <cell r="I632" t="str">
            <v>Tiensesteenweg 168</v>
          </cell>
          <cell r="J632">
            <v>3800</v>
          </cell>
        </row>
        <row r="633">
          <cell r="A633">
            <v>3022</v>
          </cell>
          <cell r="B633"/>
          <cell r="C633"/>
          <cell r="D633" t="str">
            <v>AH</v>
          </cell>
          <cell r="E633" t="str">
            <v>B_3000__026X</v>
          </cell>
          <cell r="F633">
            <v>522869</v>
          </cell>
          <cell r="G633">
            <v>6594188</v>
          </cell>
          <cell r="H633" t="str">
            <v>T</v>
          </cell>
          <cell r="I633" t="str">
            <v>Engels Plein 26</v>
          </cell>
          <cell r="J633">
            <v>3000</v>
          </cell>
        </row>
        <row r="634">
          <cell r="A634">
            <v>3024</v>
          </cell>
          <cell r="B634"/>
          <cell r="C634"/>
          <cell r="D634" t="str">
            <v>AH</v>
          </cell>
          <cell r="E634" t="str">
            <v>B_9000__808X</v>
          </cell>
          <cell r="F634">
            <v>415414</v>
          </cell>
          <cell r="G634">
            <v>6616672</v>
          </cell>
          <cell r="H634" t="str">
            <v>T</v>
          </cell>
          <cell r="I634" t="str">
            <v>Ottergemsesteenweg zuid 808</v>
          </cell>
          <cell r="J634">
            <v>9000</v>
          </cell>
        </row>
        <row r="635">
          <cell r="A635">
            <v>3026</v>
          </cell>
          <cell r="B635"/>
          <cell r="C635"/>
          <cell r="D635" t="str">
            <v>AH</v>
          </cell>
          <cell r="E635" t="str">
            <v>B_9000__049X</v>
          </cell>
          <cell r="F635">
            <v>414311</v>
          </cell>
          <cell r="G635">
            <v>6620843</v>
          </cell>
          <cell r="H635" t="str">
            <v>T</v>
          </cell>
          <cell r="I635" t="str">
            <v>Overpoortstraat 49</v>
          </cell>
          <cell r="J635">
            <v>9000</v>
          </cell>
        </row>
        <row r="636">
          <cell r="A636">
            <v>3027</v>
          </cell>
          <cell r="B636"/>
          <cell r="C636"/>
          <cell r="D636" t="str">
            <v>AH</v>
          </cell>
          <cell r="E636" t="str">
            <v>B_9160__003X</v>
          </cell>
          <cell r="F636">
            <v>446657</v>
          </cell>
          <cell r="G636">
            <v>6630333</v>
          </cell>
          <cell r="H636" t="str">
            <v>T</v>
          </cell>
          <cell r="I636" t="str">
            <v>Dijkstraat 3A</v>
          </cell>
          <cell r="J636">
            <v>9160</v>
          </cell>
        </row>
        <row r="637">
          <cell r="A637">
            <v>3028</v>
          </cell>
          <cell r="B637"/>
          <cell r="C637"/>
          <cell r="D637" t="str">
            <v>AH</v>
          </cell>
          <cell r="E637" t="str">
            <v>B_8000__055X</v>
          </cell>
          <cell r="F637">
            <v>357899</v>
          </cell>
          <cell r="G637">
            <v>6653242</v>
          </cell>
          <cell r="H637" t="str">
            <v>T</v>
          </cell>
          <cell r="I637" t="str">
            <v>Sint Pieterskaai 55</v>
          </cell>
          <cell r="J637">
            <v>8000</v>
          </cell>
        </row>
        <row r="638">
          <cell r="A638">
            <v>3029</v>
          </cell>
          <cell r="B638"/>
          <cell r="C638"/>
          <cell r="D638" t="str">
            <v>AH</v>
          </cell>
          <cell r="E638" t="str">
            <v>B_2560__013X</v>
          </cell>
          <cell r="F638">
            <v>520064</v>
          </cell>
          <cell r="G638">
            <v>6642636</v>
          </cell>
          <cell r="H638" t="str">
            <v>T</v>
          </cell>
          <cell r="I638" t="str">
            <v>Hellevoortstraat 13</v>
          </cell>
          <cell r="J638">
            <v>2560</v>
          </cell>
        </row>
        <row r="639">
          <cell r="A639">
            <v>3030</v>
          </cell>
          <cell r="B639"/>
          <cell r="C639"/>
          <cell r="D639" t="str">
            <v>AH</v>
          </cell>
          <cell r="E639" t="str">
            <v>B_2390__146X</v>
          </cell>
          <cell r="F639">
            <v>523088</v>
          </cell>
          <cell r="G639">
            <v>6666768</v>
          </cell>
          <cell r="H639" t="str">
            <v>T</v>
          </cell>
          <cell r="I639" t="str">
            <v>Antwerpsesteenweg 146A</v>
          </cell>
          <cell r="J639">
            <v>2390</v>
          </cell>
        </row>
        <row r="640">
          <cell r="A640">
            <v>3031</v>
          </cell>
          <cell r="B640"/>
          <cell r="C640"/>
          <cell r="D640" t="str">
            <v>AH</v>
          </cell>
          <cell r="E640" t="str">
            <v>B_2550__315X</v>
          </cell>
          <cell r="F640">
            <v>494965</v>
          </cell>
          <cell r="G640">
            <v>6634662</v>
          </cell>
          <cell r="H640" t="str">
            <v>T</v>
          </cell>
          <cell r="I640" t="str">
            <v>Mechelsesteenweg 315</v>
          </cell>
          <cell r="J640">
            <v>2550</v>
          </cell>
        </row>
        <row r="641">
          <cell r="A641">
            <v>3033</v>
          </cell>
          <cell r="B641"/>
          <cell r="C641"/>
          <cell r="D641" t="str">
            <v>AH</v>
          </cell>
          <cell r="E641" t="str">
            <v>B_2018__047X</v>
          </cell>
          <cell r="F641">
            <v>490213</v>
          </cell>
          <cell r="G641">
            <v>6648257</v>
          </cell>
          <cell r="H641" t="str">
            <v>T</v>
          </cell>
          <cell r="I641" t="str">
            <v>Karel Oomstraat 47B</v>
          </cell>
          <cell r="J641">
            <v>2018</v>
          </cell>
        </row>
        <row r="642">
          <cell r="A642">
            <v>3034</v>
          </cell>
          <cell r="B642"/>
          <cell r="C642"/>
          <cell r="D642" t="str">
            <v>AH</v>
          </cell>
          <cell r="E642" t="str">
            <v>B_3581__006X</v>
          </cell>
          <cell r="F642">
            <v>581204</v>
          </cell>
          <cell r="G642">
            <v>6625823</v>
          </cell>
          <cell r="H642" t="str">
            <v>T</v>
          </cell>
          <cell r="I642" t="str">
            <v>be-Mine 6</v>
          </cell>
          <cell r="J642">
            <v>3581</v>
          </cell>
        </row>
        <row r="643">
          <cell r="A643">
            <v>3035</v>
          </cell>
          <cell r="B643"/>
          <cell r="C643"/>
          <cell r="D643" t="str">
            <v>AH</v>
          </cell>
          <cell r="E643" t="str">
            <v>B_3190__263X</v>
          </cell>
          <cell r="F643">
            <v>507665</v>
          </cell>
          <cell r="G643">
            <v>6609398</v>
          </cell>
          <cell r="H643" t="str">
            <v>T</v>
          </cell>
          <cell r="I643" t="str">
            <v>Leuvensteenweg 263B</v>
          </cell>
          <cell r="J643">
            <v>3190</v>
          </cell>
        </row>
        <row r="644">
          <cell r="A644">
            <v>3036</v>
          </cell>
          <cell r="B644"/>
          <cell r="C644"/>
          <cell r="D644" t="str">
            <v>AH</v>
          </cell>
          <cell r="E644" t="str">
            <v>B_3200__152X</v>
          </cell>
          <cell r="F644">
            <v>537551</v>
          </cell>
          <cell r="G644">
            <v>6613972</v>
          </cell>
          <cell r="H644" t="str">
            <v>T</v>
          </cell>
          <cell r="I644" t="str">
            <v>Herseltsesteenweg 152</v>
          </cell>
          <cell r="J644">
            <v>3200</v>
          </cell>
        </row>
        <row r="645">
          <cell r="A645">
            <v>3037</v>
          </cell>
          <cell r="B645"/>
          <cell r="C645"/>
          <cell r="D645" t="str">
            <v>AH</v>
          </cell>
          <cell r="E645" t="str">
            <v>B_9620__002X</v>
          </cell>
          <cell r="F645">
            <v>425894</v>
          </cell>
          <cell r="G645">
            <v>6593329</v>
          </cell>
          <cell r="H645" t="str">
            <v>T</v>
          </cell>
          <cell r="I645" t="str">
            <v>Spelaanstraat 2a</v>
          </cell>
          <cell r="J645">
            <v>9620</v>
          </cell>
        </row>
        <row r="646">
          <cell r="A646">
            <v>3108</v>
          </cell>
          <cell r="B646" t="str">
            <v>Nieuw</v>
          </cell>
          <cell r="C646" t="str">
            <v>week 13-2016</v>
          </cell>
          <cell r="D646" t="str">
            <v>AH</v>
          </cell>
          <cell r="E646" t="str">
            <v>B_3520__020X</v>
          </cell>
          <cell r="F646">
            <v>596161</v>
          </cell>
          <cell r="G646">
            <v>6609025</v>
          </cell>
          <cell r="H646" t="str">
            <v>T</v>
          </cell>
          <cell r="I646" t="str">
            <v>Heuveneindeweg 20</v>
          </cell>
          <cell r="J646">
            <v>3520</v>
          </cell>
        </row>
        <row r="647">
          <cell r="A647">
            <v>3040</v>
          </cell>
          <cell r="B647" t="str">
            <v>Nieuw</v>
          </cell>
          <cell r="C647"/>
          <cell r="D647" t="str">
            <v>AH</v>
          </cell>
          <cell r="E647" t="str">
            <v>B_9900__106X</v>
          </cell>
          <cell r="F647">
            <v>395693</v>
          </cell>
          <cell r="G647">
            <v>6646776</v>
          </cell>
          <cell r="H647" t="str">
            <v>T</v>
          </cell>
          <cell r="I647" t="str">
            <v>Koning Albertstraat 106</v>
          </cell>
          <cell r="J647">
            <v>9900</v>
          </cell>
        </row>
        <row r="648">
          <cell r="A648">
            <v>3041</v>
          </cell>
          <cell r="B648" t="str">
            <v>Nieuw</v>
          </cell>
          <cell r="C648" t="str">
            <v>week 26-2016</v>
          </cell>
          <cell r="D648" t="str">
            <v>AH</v>
          </cell>
          <cell r="E648"/>
          <cell r="F648"/>
          <cell r="G648"/>
          <cell r="H648" t="str">
            <v>T</v>
          </cell>
          <cell r="I648" t="str">
            <v>Duinwaterstraat ????</v>
          </cell>
          <cell r="J648">
            <v>8300</v>
          </cell>
        </row>
        <row r="649">
          <cell r="A649">
            <v>3100</v>
          </cell>
          <cell r="B649"/>
          <cell r="C649"/>
          <cell r="D649" t="str">
            <v>AH</v>
          </cell>
          <cell r="E649" t="str">
            <v>B_2930__009X</v>
          </cell>
          <cell r="F649">
            <v>498665</v>
          </cell>
          <cell r="G649">
            <v>6667890</v>
          </cell>
          <cell r="H649" t="str">
            <v>T</v>
          </cell>
          <cell r="I649" t="str">
            <v>Hoogboomsteenweg 9</v>
          </cell>
          <cell r="J649">
            <v>2930</v>
          </cell>
        </row>
        <row r="650">
          <cell r="A650">
            <v>3101</v>
          </cell>
          <cell r="B650"/>
          <cell r="C650"/>
          <cell r="D650" t="str">
            <v>AH</v>
          </cell>
          <cell r="E650" t="str">
            <v>B_2940__003X</v>
          </cell>
          <cell r="F650">
            <v>485293</v>
          </cell>
          <cell r="G650">
            <v>6672314</v>
          </cell>
          <cell r="H650" t="str">
            <v>T</v>
          </cell>
          <cell r="I650" t="str">
            <v>Picoloplein 1</v>
          </cell>
          <cell r="J650">
            <v>2940</v>
          </cell>
        </row>
        <row r="651">
          <cell r="A651">
            <v>3102</v>
          </cell>
          <cell r="B651"/>
          <cell r="C651"/>
          <cell r="D651" t="str">
            <v>AH</v>
          </cell>
          <cell r="E651" t="str">
            <v>B_8800__341X</v>
          </cell>
          <cell r="F651">
            <v>346745</v>
          </cell>
          <cell r="G651">
            <v>6607290</v>
          </cell>
          <cell r="H651" t="str">
            <v>T</v>
          </cell>
          <cell r="I651" t="str">
            <v>Brugsesteensewg 341</v>
          </cell>
          <cell r="J651">
            <v>8800</v>
          </cell>
        </row>
        <row r="652">
          <cell r="A652">
            <v>3103</v>
          </cell>
          <cell r="B652"/>
          <cell r="C652"/>
          <cell r="D652" t="str">
            <v>AH</v>
          </cell>
          <cell r="E652" t="str">
            <v>B_3600__198X</v>
          </cell>
          <cell r="F652">
            <v>606444</v>
          </cell>
          <cell r="G652">
            <v>6607052</v>
          </cell>
          <cell r="H652" t="str">
            <v>T</v>
          </cell>
          <cell r="I652" t="str">
            <v>Hasseltweg 198</v>
          </cell>
          <cell r="J652">
            <v>3600</v>
          </cell>
        </row>
        <row r="653">
          <cell r="A653">
            <v>3105</v>
          </cell>
          <cell r="B653" t="str">
            <v>Nieuw</v>
          </cell>
          <cell r="C653" t="str">
            <v>week 13-2016</v>
          </cell>
          <cell r="D653" t="str">
            <v>AH</v>
          </cell>
          <cell r="E653" t="str">
            <v>B_2930__025X</v>
          </cell>
          <cell r="F653">
            <v>499347</v>
          </cell>
          <cell r="G653">
            <v>6665507</v>
          </cell>
          <cell r="H653" t="str">
            <v>T</v>
          </cell>
          <cell r="I653" t="str">
            <v>Augustijnslei 25</v>
          </cell>
          <cell r="J653">
            <v>2930</v>
          </cell>
        </row>
        <row r="654">
          <cell r="A654">
            <v>3107</v>
          </cell>
          <cell r="B654" t="str">
            <v>Nieuw</v>
          </cell>
          <cell r="C654" t="str">
            <v>week 17-2016</v>
          </cell>
          <cell r="D654" t="str">
            <v>AH</v>
          </cell>
          <cell r="E654" t="str">
            <v>B_1780__868X</v>
          </cell>
          <cell r="F654">
            <v>480935</v>
          </cell>
          <cell r="G654">
            <v>6596027</v>
          </cell>
          <cell r="H654" t="str">
            <v>T</v>
          </cell>
          <cell r="I654" t="str">
            <v>Romeinsesteenweg 868</v>
          </cell>
          <cell r="J654">
            <v>1780</v>
          </cell>
        </row>
        <row r="655">
          <cell r="A655">
            <v>3111</v>
          </cell>
          <cell r="B655"/>
          <cell r="C655"/>
          <cell r="D655" t="str">
            <v>AH</v>
          </cell>
          <cell r="E655" t="str">
            <v>B_2275__036X</v>
          </cell>
          <cell r="F655">
            <v>540968</v>
          </cell>
          <cell r="G655">
            <v>6660880</v>
          </cell>
          <cell r="H655" t="str">
            <v>T</v>
          </cell>
          <cell r="I655" t="str">
            <v>Kloosterstraat 36</v>
          </cell>
          <cell r="J655">
            <v>2275</v>
          </cell>
        </row>
        <row r="656">
          <cell r="A656">
            <v>3112</v>
          </cell>
          <cell r="B656" t="str">
            <v>Nieuw</v>
          </cell>
          <cell r="C656" t="str">
            <v>week 11-2016</v>
          </cell>
          <cell r="D656" t="str">
            <v>AH</v>
          </cell>
          <cell r="E656" t="str">
            <v>B_2600__070X</v>
          </cell>
          <cell r="F656">
            <v>491539</v>
          </cell>
          <cell r="G656">
            <v>6648619</v>
          </cell>
          <cell r="H656" t="str">
            <v>T</v>
          </cell>
          <cell r="I656" t="str">
            <v>Walemstraat 70</v>
          </cell>
          <cell r="J656">
            <v>2600</v>
          </cell>
        </row>
        <row r="657">
          <cell r="A657">
            <v>3113</v>
          </cell>
          <cell r="B657"/>
          <cell r="C657"/>
          <cell r="D657" t="str">
            <v>AH</v>
          </cell>
          <cell r="E657" t="str">
            <v>B_2060__108X</v>
          </cell>
          <cell r="F657">
            <v>492361</v>
          </cell>
          <cell r="G657">
            <v>6653048</v>
          </cell>
          <cell r="H657" t="str">
            <v>T</v>
          </cell>
          <cell r="I657" t="str">
            <v>Offerandestraat 108</v>
          </cell>
          <cell r="J657">
            <v>2060</v>
          </cell>
        </row>
        <row r="658">
          <cell r="A658">
            <v>3117</v>
          </cell>
          <cell r="B658"/>
          <cell r="C658"/>
          <cell r="D658" t="str">
            <v>AH</v>
          </cell>
          <cell r="E658" t="str">
            <v>B_2360__175X</v>
          </cell>
          <cell r="F658">
            <v>556685</v>
          </cell>
          <cell r="G658">
            <v>6668533</v>
          </cell>
          <cell r="H658" t="str">
            <v>T</v>
          </cell>
          <cell r="I658" t="str">
            <v>Steenweg op mol 175</v>
          </cell>
          <cell r="J658">
            <v>2360</v>
          </cell>
        </row>
        <row r="659">
          <cell r="A659">
            <v>3119</v>
          </cell>
          <cell r="B659" t="str">
            <v>Nieuw</v>
          </cell>
          <cell r="C659" t="str">
            <v>week 13-2016</v>
          </cell>
          <cell r="D659" t="str">
            <v>AH</v>
          </cell>
          <cell r="E659" t="str">
            <v>B_2340__170X</v>
          </cell>
          <cell r="F659">
            <v>541184</v>
          </cell>
          <cell r="G659">
            <v>6668918</v>
          </cell>
          <cell r="H659" t="str">
            <v>T</v>
          </cell>
          <cell r="I659" t="str">
            <v>Turnhoutseweg 170</v>
          </cell>
          <cell r="J659">
            <v>2340</v>
          </cell>
        </row>
        <row r="660">
          <cell r="A660">
            <v>4001</v>
          </cell>
          <cell r="B660"/>
          <cell r="C660"/>
          <cell r="D660" t="str">
            <v>AH Franchise</v>
          </cell>
          <cell r="E660" t="str">
            <v>NL2665BK084X</v>
          </cell>
          <cell r="F660">
            <v>503777</v>
          </cell>
          <cell r="G660">
            <v>6794618</v>
          </cell>
          <cell r="H660" t="str">
            <v>P</v>
          </cell>
          <cell r="I660" t="str">
            <v>Dorpsstraat 84</v>
          </cell>
          <cell r="J660" t="str">
            <v>2665BK</v>
          </cell>
        </row>
        <row r="661">
          <cell r="A661">
            <v>4002</v>
          </cell>
          <cell r="B661"/>
          <cell r="C661"/>
          <cell r="D661" t="str">
            <v>AH Franchise</v>
          </cell>
          <cell r="E661" t="str">
            <v>NL6241CD020X</v>
          </cell>
          <cell r="F661">
            <v>637621</v>
          </cell>
          <cell r="G661">
            <v>6595450</v>
          </cell>
          <cell r="H661" t="str">
            <v>T</v>
          </cell>
          <cell r="I661" t="str">
            <v>Sint Rochusstraat 20</v>
          </cell>
          <cell r="J661" t="str">
            <v>6241CD</v>
          </cell>
        </row>
        <row r="662">
          <cell r="A662">
            <v>4003</v>
          </cell>
          <cell r="B662"/>
          <cell r="C662"/>
          <cell r="D662" t="str">
            <v>AH Franchise</v>
          </cell>
          <cell r="E662" t="str">
            <v>NL3752NA001X</v>
          </cell>
          <cell r="F662">
            <v>596593</v>
          </cell>
          <cell r="G662">
            <v>6836037</v>
          </cell>
          <cell r="H662" t="str">
            <v>Z</v>
          </cell>
          <cell r="I662" t="str">
            <v>Tuinfluiter 1</v>
          </cell>
          <cell r="J662" t="str">
            <v>3752NA</v>
          </cell>
        </row>
        <row r="663">
          <cell r="A663">
            <v>4004</v>
          </cell>
          <cell r="B663"/>
          <cell r="C663"/>
          <cell r="D663" t="str">
            <v>AH Franchise</v>
          </cell>
          <cell r="E663" t="str">
            <v>NL7701GW003X</v>
          </cell>
          <cell r="F663">
            <v>717940</v>
          </cell>
          <cell r="G663">
            <v>6901937</v>
          </cell>
          <cell r="H663" t="str">
            <v>O</v>
          </cell>
          <cell r="I663" t="str">
            <v>Markt 69</v>
          </cell>
          <cell r="J663" t="str">
            <v>7701GW</v>
          </cell>
        </row>
        <row r="664">
          <cell r="A664">
            <v>4005</v>
          </cell>
          <cell r="B664"/>
          <cell r="C664"/>
          <cell r="D664" t="str">
            <v>AH Franchise</v>
          </cell>
          <cell r="E664" t="str">
            <v>NL9101WZ007X</v>
          </cell>
          <cell r="F664">
            <v>668071</v>
          </cell>
          <cell r="G664">
            <v>7035205</v>
          </cell>
          <cell r="H664" t="str">
            <v>O</v>
          </cell>
          <cell r="I664" t="str">
            <v>Koophandel 7</v>
          </cell>
          <cell r="J664" t="str">
            <v>9101WZ</v>
          </cell>
        </row>
        <row r="665">
          <cell r="A665">
            <v>4006</v>
          </cell>
          <cell r="B665"/>
          <cell r="C665"/>
          <cell r="D665" t="str">
            <v>AH Franchise</v>
          </cell>
          <cell r="E665" t="str">
            <v>NL5361EV008X</v>
          </cell>
          <cell r="F665">
            <v>638087</v>
          </cell>
          <cell r="G665">
            <v>6749132</v>
          </cell>
          <cell r="H665" t="str">
            <v>T</v>
          </cell>
          <cell r="I665" t="str">
            <v>Hoofschestraat 2</v>
          </cell>
          <cell r="J665" t="str">
            <v>5361EV</v>
          </cell>
        </row>
        <row r="666">
          <cell r="A666">
            <v>4007</v>
          </cell>
          <cell r="B666"/>
          <cell r="C666"/>
          <cell r="D666" t="str">
            <v>AH Franchise</v>
          </cell>
          <cell r="E666" t="str">
            <v>NL8265BT022X</v>
          </cell>
          <cell r="F666">
            <v>657268</v>
          </cell>
          <cell r="G666">
            <v>6892100</v>
          </cell>
          <cell r="H666" t="str">
            <v>O</v>
          </cell>
          <cell r="I666" t="str">
            <v>Lovinkstraat 20</v>
          </cell>
          <cell r="J666" t="str">
            <v>8265BT</v>
          </cell>
        </row>
        <row r="667">
          <cell r="A667">
            <v>4008</v>
          </cell>
          <cell r="B667"/>
          <cell r="C667"/>
          <cell r="D667" t="str">
            <v>AH Franchise</v>
          </cell>
          <cell r="E667" t="str">
            <v>NL4941RG007X</v>
          </cell>
          <cell r="F667">
            <v>541787</v>
          </cell>
          <cell r="G667">
            <v>6737830</v>
          </cell>
          <cell r="H667" t="str">
            <v>T</v>
          </cell>
          <cell r="I667" t="str">
            <v>het Anker 7</v>
          </cell>
          <cell r="J667" t="str">
            <v>4941RG</v>
          </cell>
        </row>
        <row r="668">
          <cell r="A668">
            <v>4009</v>
          </cell>
          <cell r="B668"/>
          <cell r="C668"/>
          <cell r="D668" t="str">
            <v>AH Franchise</v>
          </cell>
          <cell r="E668" t="str">
            <v>NL9231CV029X</v>
          </cell>
          <cell r="F668">
            <v>685604</v>
          </cell>
          <cell r="G668">
            <v>7009185</v>
          </cell>
          <cell r="H668" t="str">
            <v>O</v>
          </cell>
          <cell r="I668" t="str">
            <v>De Kolk 29</v>
          </cell>
          <cell r="J668" t="str">
            <v>9231CV</v>
          </cell>
        </row>
        <row r="669">
          <cell r="A669">
            <v>4010</v>
          </cell>
          <cell r="B669"/>
          <cell r="C669"/>
          <cell r="D669" t="str">
            <v>AH Franchise</v>
          </cell>
          <cell r="E669" t="str">
            <v>NL3752VN002X</v>
          </cell>
          <cell r="F669">
            <v>596850</v>
          </cell>
          <cell r="G669">
            <v>6837365</v>
          </cell>
          <cell r="H669" t="str">
            <v>Z</v>
          </cell>
          <cell r="I669" t="str">
            <v>Anthon van der Horstlaan 2</v>
          </cell>
          <cell r="J669" t="str">
            <v>3752VN</v>
          </cell>
        </row>
        <row r="670">
          <cell r="A670">
            <v>4011</v>
          </cell>
          <cell r="B670"/>
          <cell r="C670"/>
          <cell r="D670" t="str">
            <v>AH</v>
          </cell>
          <cell r="E670" t="str">
            <v>NL7608KH033X</v>
          </cell>
          <cell r="F670">
            <v>742650</v>
          </cell>
          <cell r="G670">
            <v>6861214</v>
          </cell>
          <cell r="H670" t="str">
            <v>O</v>
          </cell>
          <cell r="I670" t="str">
            <v>Binnenhof 33</v>
          </cell>
          <cell r="J670" t="str">
            <v xml:space="preserve">7608KH </v>
          </cell>
        </row>
        <row r="671">
          <cell r="A671">
            <v>4012</v>
          </cell>
          <cell r="B671"/>
          <cell r="C671"/>
          <cell r="D671" t="str">
            <v>AH Franchise</v>
          </cell>
          <cell r="E671" t="str">
            <v>NL7609DZ027X</v>
          </cell>
          <cell r="F671">
            <v>737237</v>
          </cell>
          <cell r="G671">
            <v>6853508</v>
          </cell>
          <cell r="H671" t="str">
            <v>O</v>
          </cell>
          <cell r="I671" t="str">
            <v>De Gors 27</v>
          </cell>
          <cell r="J671" t="str">
            <v>7609DZ</v>
          </cell>
        </row>
        <row r="672">
          <cell r="A672">
            <v>4013</v>
          </cell>
          <cell r="B672"/>
          <cell r="C672"/>
          <cell r="D672" t="str">
            <v>AH</v>
          </cell>
          <cell r="E672" t="str">
            <v>NL7312EC002X</v>
          </cell>
          <cell r="F672">
            <v>660883</v>
          </cell>
          <cell r="G672">
            <v>6830236</v>
          </cell>
          <cell r="H672" t="str">
            <v>O</v>
          </cell>
          <cell r="I672" t="str">
            <v>Schapendoesweg 2</v>
          </cell>
          <cell r="J672" t="str">
            <v>7312EC</v>
          </cell>
        </row>
        <row r="673">
          <cell r="A673">
            <v>4014</v>
          </cell>
          <cell r="B673"/>
          <cell r="C673"/>
          <cell r="D673" t="str">
            <v>AH Franchise</v>
          </cell>
          <cell r="E673" t="str">
            <v>NL9407EC107X</v>
          </cell>
          <cell r="F673">
            <v>729544</v>
          </cell>
          <cell r="G673">
            <v>6978358</v>
          </cell>
          <cell r="H673" t="str">
            <v>O</v>
          </cell>
          <cell r="I673" t="str">
            <v>Scharmbarg 107</v>
          </cell>
          <cell r="J673" t="str">
            <v>9407EC</v>
          </cell>
        </row>
        <row r="674">
          <cell r="A674">
            <v>4016</v>
          </cell>
          <cell r="B674"/>
          <cell r="C674"/>
          <cell r="D674" t="str">
            <v>AH Franchise</v>
          </cell>
          <cell r="E674" t="str">
            <v>NL7361AP023X</v>
          </cell>
          <cell r="F674">
            <v>663062</v>
          </cell>
          <cell r="G674">
            <v>6821337</v>
          </cell>
          <cell r="H674" t="str">
            <v>O</v>
          </cell>
          <cell r="I674" t="str">
            <v>Dorpstraat 23</v>
          </cell>
          <cell r="J674" t="str">
            <v>7361AP</v>
          </cell>
        </row>
        <row r="675">
          <cell r="A675">
            <v>4017</v>
          </cell>
          <cell r="B675"/>
          <cell r="C675"/>
          <cell r="D675" t="str">
            <v>AH Franchise</v>
          </cell>
          <cell r="E675" t="str">
            <v>NL8256AW001X</v>
          </cell>
          <cell r="F675">
            <v>633121</v>
          </cell>
          <cell r="G675">
            <v>6875163</v>
          </cell>
          <cell r="H675" t="str">
            <v>O</v>
          </cell>
          <cell r="I675" t="str">
            <v>Dreef 1</v>
          </cell>
          <cell r="J675" t="str">
            <v>8256AW</v>
          </cell>
        </row>
        <row r="676">
          <cell r="A676">
            <v>4018</v>
          </cell>
          <cell r="B676"/>
          <cell r="C676"/>
          <cell r="D676" t="str">
            <v>AH Franchise</v>
          </cell>
          <cell r="E676" t="str">
            <v>NL9104BN004X</v>
          </cell>
          <cell r="F676">
            <v>666700</v>
          </cell>
          <cell r="G676">
            <v>7029727</v>
          </cell>
          <cell r="H676" t="str">
            <v>O</v>
          </cell>
          <cell r="I676" t="str">
            <v>Conradi Veenlandstraat 4</v>
          </cell>
          <cell r="J676" t="str">
            <v>9104BN</v>
          </cell>
        </row>
        <row r="677">
          <cell r="A677">
            <v>4019</v>
          </cell>
          <cell r="B677"/>
          <cell r="C677"/>
          <cell r="D677" t="str">
            <v>AH Franchise</v>
          </cell>
          <cell r="E677" t="str">
            <v>NL7491XN003X</v>
          </cell>
          <cell r="F677">
            <v>745995</v>
          </cell>
          <cell r="G677">
            <v>6839808</v>
          </cell>
          <cell r="H677" t="str">
            <v>O</v>
          </cell>
          <cell r="I677" t="str">
            <v>De Kolk 3</v>
          </cell>
          <cell r="J677" t="str">
            <v>7491XN</v>
          </cell>
        </row>
        <row r="678">
          <cell r="A678">
            <v>4020</v>
          </cell>
          <cell r="B678"/>
          <cell r="C678"/>
          <cell r="D678" t="str">
            <v>AH Franchise</v>
          </cell>
          <cell r="E678" t="str">
            <v>NL7002KK150X</v>
          </cell>
          <cell r="F678">
            <v>702217</v>
          </cell>
          <cell r="G678">
            <v>6787722</v>
          </cell>
          <cell r="H678" t="str">
            <v>O</v>
          </cell>
          <cell r="I678" t="str">
            <v>Houtsmastraat 150</v>
          </cell>
          <cell r="J678" t="str">
            <v>7002KK</v>
          </cell>
        </row>
        <row r="679">
          <cell r="A679">
            <v>4021</v>
          </cell>
          <cell r="B679"/>
          <cell r="C679"/>
          <cell r="D679" t="str">
            <v>AH Franchise</v>
          </cell>
          <cell r="E679" t="str">
            <v>NL4357BW006X</v>
          </cell>
          <cell r="F679">
            <v>389023</v>
          </cell>
          <cell r="G679">
            <v>6713897</v>
          </cell>
          <cell r="H679" t="str">
            <v>P</v>
          </cell>
          <cell r="I679" t="str">
            <v>Singel 6</v>
          </cell>
          <cell r="J679" t="str">
            <v>4357BW</v>
          </cell>
        </row>
        <row r="680">
          <cell r="A680">
            <v>4022</v>
          </cell>
          <cell r="B680"/>
          <cell r="C680"/>
          <cell r="D680" t="str">
            <v>AH Franchise</v>
          </cell>
          <cell r="E680" t="str">
            <v>NL7991CJ047X</v>
          </cell>
          <cell r="F680">
            <v>707773</v>
          </cell>
          <cell r="G680">
            <v>6944286</v>
          </cell>
          <cell r="H680" t="str">
            <v>O</v>
          </cell>
          <cell r="I680" t="str">
            <v>Brink 47</v>
          </cell>
          <cell r="J680" t="str">
            <v>7991CJ</v>
          </cell>
        </row>
        <row r="681">
          <cell r="A681">
            <v>4023</v>
          </cell>
          <cell r="B681"/>
          <cell r="C681"/>
          <cell r="D681" t="str">
            <v>AH Franchise</v>
          </cell>
          <cell r="E681" t="str">
            <v>NL3921CE002X</v>
          </cell>
          <cell r="F681">
            <v>611142</v>
          </cell>
          <cell r="G681">
            <v>6789864</v>
          </cell>
          <cell r="H681" t="str">
            <v>T</v>
          </cell>
          <cell r="I681" t="str">
            <v>Schoolweg 2b</v>
          </cell>
          <cell r="J681" t="str">
            <v>3921CE</v>
          </cell>
        </row>
        <row r="682">
          <cell r="A682">
            <v>4026</v>
          </cell>
          <cell r="B682"/>
          <cell r="C682"/>
          <cell r="D682" t="str">
            <v>AH Franchise</v>
          </cell>
          <cell r="E682" t="str">
            <v>NL7468EB005X</v>
          </cell>
          <cell r="F682">
            <v>731352</v>
          </cell>
          <cell r="G682">
            <v>6845523</v>
          </cell>
          <cell r="H682" t="str">
            <v>O</v>
          </cell>
          <cell r="I682" t="str">
            <v>Pastoor Heimerikxstraat 3</v>
          </cell>
          <cell r="J682" t="str">
            <v>7468EB</v>
          </cell>
        </row>
        <row r="683">
          <cell r="A683">
            <v>4027</v>
          </cell>
          <cell r="B683"/>
          <cell r="C683"/>
          <cell r="D683" t="str">
            <v>AH Franchise</v>
          </cell>
          <cell r="E683" t="str">
            <v>NL8801BV016X</v>
          </cell>
          <cell r="F683">
            <v>617244</v>
          </cell>
          <cell r="G683">
            <v>7009860</v>
          </cell>
          <cell r="H683" t="str">
            <v>O</v>
          </cell>
          <cell r="I683" t="str">
            <v>Leeuwarderweg 8</v>
          </cell>
          <cell r="J683" t="str">
            <v>8801BV</v>
          </cell>
        </row>
        <row r="684">
          <cell r="A684">
            <v>4028</v>
          </cell>
          <cell r="B684"/>
          <cell r="C684"/>
          <cell r="D684" t="str">
            <v>AH Franchise</v>
          </cell>
          <cell r="E684" t="str">
            <v>NL8281BZ042X</v>
          </cell>
          <cell r="F684">
            <v>672284</v>
          </cell>
          <cell r="G684">
            <v>6906039</v>
          </cell>
          <cell r="H684" t="str">
            <v>O</v>
          </cell>
          <cell r="I684" t="str">
            <v>Klaas Fruitestraat 42</v>
          </cell>
          <cell r="J684" t="str">
            <v>8281BZ</v>
          </cell>
        </row>
        <row r="685">
          <cell r="A685">
            <v>4029</v>
          </cell>
          <cell r="B685"/>
          <cell r="C685"/>
          <cell r="D685" t="str">
            <v>AH Franchise</v>
          </cell>
          <cell r="E685" t="str">
            <v>NL7471VS005X</v>
          </cell>
          <cell r="F685">
            <v>732239</v>
          </cell>
          <cell r="G685">
            <v>6834495</v>
          </cell>
          <cell r="H685" t="str">
            <v>O</v>
          </cell>
          <cell r="I685" t="str">
            <v>Weversplein 5</v>
          </cell>
          <cell r="J685" t="str">
            <v>7471VS</v>
          </cell>
        </row>
        <row r="686">
          <cell r="A686">
            <v>4030</v>
          </cell>
          <cell r="B686"/>
          <cell r="C686"/>
          <cell r="D686" t="str">
            <v>AH Franchise</v>
          </cell>
          <cell r="E686" t="str">
            <v>NL4661JD095X</v>
          </cell>
          <cell r="F686">
            <v>475187</v>
          </cell>
          <cell r="G686">
            <v>6706708</v>
          </cell>
          <cell r="H686" t="str">
            <v>P</v>
          </cell>
          <cell r="I686" t="str">
            <v>Vogelenzang 95</v>
          </cell>
          <cell r="J686" t="str">
            <v>4661JD</v>
          </cell>
        </row>
        <row r="687">
          <cell r="A687">
            <v>4031</v>
          </cell>
          <cell r="B687"/>
          <cell r="C687"/>
          <cell r="D687" t="str">
            <v>AH Franchise</v>
          </cell>
          <cell r="E687" t="str">
            <v>NL9254GS057X</v>
          </cell>
          <cell r="F687">
            <v>660660</v>
          </cell>
          <cell r="G687">
            <v>7014769</v>
          </cell>
          <cell r="H687" t="str">
            <v>O</v>
          </cell>
          <cell r="I687" t="str">
            <v>Fuormanderij 5</v>
          </cell>
          <cell r="J687" t="str">
            <v>9254GS</v>
          </cell>
        </row>
        <row r="688">
          <cell r="A688">
            <v>4033</v>
          </cell>
          <cell r="B688"/>
          <cell r="C688"/>
          <cell r="D688" t="str">
            <v>AH Franchise</v>
          </cell>
          <cell r="E688" t="str">
            <v>NL7971CS036X</v>
          </cell>
          <cell r="F688">
            <v>693310</v>
          </cell>
          <cell r="G688">
            <v>6933026</v>
          </cell>
          <cell r="H688" t="str">
            <v>O</v>
          </cell>
          <cell r="I688" t="str">
            <v>Dorpsstraat 36</v>
          </cell>
          <cell r="J688" t="str">
            <v>7971CS</v>
          </cell>
        </row>
        <row r="689">
          <cell r="A689">
            <v>4034</v>
          </cell>
          <cell r="B689"/>
          <cell r="C689"/>
          <cell r="D689" t="str">
            <v>AH Franchise</v>
          </cell>
          <cell r="E689" t="str">
            <v>NL2391BE007X</v>
          </cell>
          <cell r="F689">
            <v>510595</v>
          </cell>
          <cell r="G689">
            <v>6810125</v>
          </cell>
          <cell r="H689" t="str">
            <v>P</v>
          </cell>
          <cell r="I689" t="str">
            <v>Oude Gemeneweg 5-7</v>
          </cell>
          <cell r="J689" t="str">
            <v>2391BE</v>
          </cell>
        </row>
        <row r="690">
          <cell r="A690">
            <v>4035</v>
          </cell>
          <cell r="B690"/>
          <cell r="C690"/>
          <cell r="D690" t="str">
            <v>AH Franchise</v>
          </cell>
          <cell r="E690" t="str">
            <v>NL8141GC004X</v>
          </cell>
          <cell r="F690">
            <v>693308</v>
          </cell>
          <cell r="G690">
            <v>6871497</v>
          </cell>
          <cell r="H690" t="str">
            <v>O</v>
          </cell>
          <cell r="I690" t="str">
            <v>Marktstraat 2-4</v>
          </cell>
          <cell r="J690" t="str">
            <v>8141GC</v>
          </cell>
        </row>
        <row r="691">
          <cell r="A691">
            <v>4036</v>
          </cell>
          <cell r="B691"/>
          <cell r="C691"/>
          <cell r="D691" t="str">
            <v>AH Franchise</v>
          </cell>
          <cell r="E691" t="str">
            <v>NL7447CT048X</v>
          </cell>
          <cell r="F691">
            <v>717096</v>
          </cell>
          <cell r="G691">
            <v>6863309</v>
          </cell>
          <cell r="H691" t="str">
            <v>O</v>
          </cell>
          <cell r="I691" t="str">
            <v>Dorpsstraat 48</v>
          </cell>
          <cell r="J691" t="str">
            <v>7447CT</v>
          </cell>
        </row>
        <row r="692">
          <cell r="A692">
            <v>4039</v>
          </cell>
          <cell r="B692"/>
          <cell r="C692"/>
          <cell r="D692" t="str">
            <v>AH Franchise</v>
          </cell>
          <cell r="E692" t="str">
            <v>NL7559NM048X</v>
          </cell>
          <cell r="F692">
            <v>756727</v>
          </cell>
          <cell r="G692">
            <v>6846056</v>
          </cell>
          <cell r="H692" t="str">
            <v>O</v>
          </cell>
          <cell r="I692" t="str">
            <v>Straatsburg 48</v>
          </cell>
          <cell r="J692" t="str">
            <v>7559NM</v>
          </cell>
        </row>
        <row r="693">
          <cell r="A693">
            <v>4040</v>
          </cell>
          <cell r="B693"/>
          <cell r="C693"/>
          <cell r="D693" t="str">
            <v>AH Franchise</v>
          </cell>
          <cell r="E693" t="str">
            <v>NL7556LN095X</v>
          </cell>
          <cell r="F693">
            <v>755153</v>
          </cell>
          <cell r="G693">
            <v>6842623</v>
          </cell>
          <cell r="H693" t="str">
            <v>O</v>
          </cell>
          <cell r="I693" t="str">
            <v>Uitslagsweg 95</v>
          </cell>
          <cell r="J693" t="str">
            <v>7556LN</v>
          </cell>
        </row>
        <row r="694">
          <cell r="A694">
            <v>4041</v>
          </cell>
          <cell r="B694"/>
          <cell r="C694"/>
          <cell r="D694" t="str">
            <v>AH Franchise</v>
          </cell>
          <cell r="E694" t="str">
            <v>NL7908AB028X</v>
          </cell>
          <cell r="F694">
            <v>717344</v>
          </cell>
          <cell r="G694">
            <v>6923399</v>
          </cell>
          <cell r="H694" t="str">
            <v>O</v>
          </cell>
          <cell r="I694" t="str">
            <v>De Weide 28</v>
          </cell>
          <cell r="J694" t="str">
            <v>7908AB</v>
          </cell>
        </row>
        <row r="695">
          <cell r="A695">
            <v>4042</v>
          </cell>
          <cell r="B695"/>
          <cell r="C695"/>
          <cell r="D695" t="str">
            <v>AH Franchise</v>
          </cell>
          <cell r="E695" t="str">
            <v>NL7906EW050X</v>
          </cell>
          <cell r="F695">
            <v>720916</v>
          </cell>
          <cell r="G695">
            <v>6922891</v>
          </cell>
          <cell r="H695" t="str">
            <v>O</v>
          </cell>
          <cell r="I695" t="str">
            <v>Nije Nering 50</v>
          </cell>
          <cell r="J695" t="str">
            <v>7906EW</v>
          </cell>
        </row>
        <row r="696">
          <cell r="A696">
            <v>4044</v>
          </cell>
          <cell r="B696"/>
          <cell r="C696"/>
          <cell r="D696" t="str">
            <v>AH Franchise</v>
          </cell>
          <cell r="E696" t="str">
            <v>NL4493PG005X</v>
          </cell>
          <cell r="F696">
            <v>411552</v>
          </cell>
          <cell r="G696">
            <v>6715767</v>
          </cell>
          <cell r="H696" t="str">
            <v>P</v>
          </cell>
          <cell r="I696" t="str">
            <v>Ruiteplaatweg 5</v>
          </cell>
          <cell r="J696" t="str">
            <v>4493PG</v>
          </cell>
        </row>
        <row r="697">
          <cell r="A697">
            <v>4045</v>
          </cell>
          <cell r="B697"/>
          <cell r="C697"/>
          <cell r="D697" t="str">
            <v>AH Franchise</v>
          </cell>
          <cell r="E697" t="str">
            <v>NL4421BL001X</v>
          </cell>
          <cell r="F697">
            <v>440206</v>
          </cell>
          <cell r="G697">
            <v>6700288</v>
          </cell>
          <cell r="H697" t="str">
            <v>P</v>
          </cell>
          <cell r="I697" t="str">
            <v>Biezelingsestraat 1</v>
          </cell>
          <cell r="J697" t="str">
            <v>4421BL</v>
          </cell>
        </row>
        <row r="698">
          <cell r="A698">
            <v>4047</v>
          </cell>
          <cell r="B698"/>
          <cell r="C698"/>
          <cell r="D698" t="str">
            <v>AH Franchise</v>
          </cell>
          <cell r="E698" t="str">
            <v>NL4791HR009X</v>
          </cell>
          <cell r="F698">
            <v>504042</v>
          </cell>
          <cell r="G698">
            <v>6731843</v>
          </cell>
          <cell r="H698" t="str">
            <v>P</v>
          </cell>
          <cell r="I698" t="str">
            <v>Doorsteek 9</v>
          </cell>
          <cell r="J698" t="str">
            <v>4791HR</v>
          </cell>
        </row>
        <row r="699">
          <cell r="A699">
            <v>4048</v>
          </cell>
          <cell r="B699"/>
          <cell r="C699"/>
          <cell r="D699" t="str">
            <v>AH Franchise</v>
          </cell>
          <cell r="E699" t="str">
            <v>NL2931CK014X</v>
          </cell>
          <cell r="F699">
            <v>514839</v>
          </cell>
          <cell r="G699">
            <v>6773476</v>
          </cell>
          <cell r="H699" t="str">
            <v>P</v>
          </cell>
          <cell r="I699" t="str">
            <v>De Markt 317</v>
          </cell>
          <cell r="J699" t="str">
            <v>2931CK</v>
          </cell>
        </row>
        <row r="700">
          <cell r="A700">
            <v>4049</v>
          </cell>
          <cell r="B700"/>
          <cell r="C700"/>
          <cell r="D700" t="str">
            <v>AH Franchise</v>
          </cell>
          <cell r="E700" t="str">
            <v>NL7943JM002X</v>
          </cell>
          <cell r="F700">
            <v>691429</v>
          </cell>
          <cell r="G700">
            <v>6919344</v>
          </cell>
          <cell r="H700" t="str">
            <v>O</v>
          </cell>
          <cell r="I700" t="str">
            <v>Ruskenstuk 2</v>
          </cell>
          <cell r="J700" t="str">
            <v>7943JM</v>
          </cell>
        </row>
        <row r="701">
          <cell r="A701">
            <v>4050</v>
          </cell>
          <cell r="B701"/>
          <cell r="C701"/>
          <cell r="D701" t="str">
            <v>AH Franchise</v>
          </cell>
          <cell r="E701" t="str">
            <v>NL6566EE099X</v>
          </cell>
          <cell r="F701">
            <v>672474</v>
          </cell>
          <cell r="G701">
            <v>6767711</v>
          </cell>
          <cell r="H701" t="str">
            <v>T</v>
          </cell>
          <cell r="I701" t="str">
            <v>Heerbaan 99</v>
          </cell>
          <cell r="J701" t="str">
            <v>6566EE</v>
          </cell>
        </row>
        <row r="702">
          <cell r="A702">
            <v>4051</v>
          </cell>
          <cell r="B702"/>
          <cell r="C702"/>
          <cell r="D702" t="str">
            <v>AH Franchise</v>
          </cell>
          <cell r="E702" t="str">
            <v>NL2841XW016X</v>
          </cell>
          <cell r="F702">
            <v>519233</v>
          </cell>
          <cell r="G702">
            <v>6790038</v>
          </cell>
          <cell r="H702" t="str">
            <v>P</v>
          </cell>
          <cell r="I702" t="str">
            <v>De Smidse 16</v>
          </cell>
          <cell r="J702" t="str">
            <v>2841XW</v>
          </cell>
        </row>
        <row r="703">
          <cell r="A703">
            <v>4052</v>
          </cell>
          <cell r="B703"/>
          <cell r="C703"/>
          <cell r="D703" t="str">
            <v>AH Franchise</v>
          </cell>
          <cell r="E703" t="str">
            <v>NL7833AC050X</v>
          </cell>
          <cell r="F703">
            <v>762485</v>
          </cell>
          <cell r="G703">
            <v>6922590</v>
          </cell>
          <cell r="H703" t="str">
            <v>O</v>
          </cell>
          <cell r="I703" t="str">
            <v>Vaart Zuidzijde 50</v>
          </cell>
          <cell r="J703" t="str">
            <v>7833AC</v>
          </cell>
        </row>
        <row r="704">
          <cell r="A704">
            <v>4053</v>
          </cell>
          <cell r="B704"/>
          <cell r="C704"/>
          <cell r="D704" t="str">
            <v>AH Franchise</v>
          </cell>
          <cell r="E704" t="str">
            <v>NL2957SL035X</v>
          </cell>
          <cell r="F704">
            <v>519128</v>
          </cell>
          <cell r="G704">
            <v>6771949</v>
          </cell>
          <cell r="H704" t="str">
            <v>P</v>
          </cell>
          <cell r="I704" t="str">
            <v>Planetenlaan 35</v>
          </cell>
          <cell r="J704" t="str">
            <v>2957SL</v>
          </cell>
        </row>
        <row r="705">
          <cell r="A705">
            <v>4054</v>
          </cell>
          <cell r="B705"/>
          <cell r="C705"/>
          <cell r="D705" t="str">
            <v>AH Franchise</v>
          </cell>
          <cell r="E705" t="str">
            <v>NL3434EE002X</v>
          </cell>
          <cell r="F705">
            <v>565501</v>
          </cell>
          <cell r="G705">
            <v>6793474</v>
          </cell>
          <cell r="H705" t="str">
            <v>Z</v>
          </cell>
          <cell r="I705" t="str">
            <v>Hoog Zandveld 2</v>
          </cell>
          <cell r="J705" t="str">
            <v xml:space="preserve">3434EE </v>
          </cell>
        </row>
        <row r="706">
          <cell r="A706">
            <v>4056</v>
          </cell>
          <cell r="B706"/>
          <cell r="C706"/>
          <cell r="D706" t="str">
            <v>AH Franchise</v>
          </cell>
          <cell r="E706" t="str">
            <v>NL7711AD307X</v>
          </cell>
          <cell r="F706">
            <v>698634</v>
          </cell>
          <cell r="G706">
            <v>6899703</v>
          </cell>
          <cell r="H706" t="str">
            <v>O</v>
          </cell>
          <cell r="I706" t="str">
            <v>Burg. Backxlaan 307</v>
          </cell>
          <cell r="J706" t="str">
            <v>7711AD</v>
          </cell>
        </row>
        <row r="707">
          <cell r="A707">
            <v>4060</v>
          </cell>
          <cell r="B707"/>
          <cell r="C707"/>
          <cell r="D707" t="str">
            <v>AH Franchise</v>
          </cell>
          <cell r="E707" t="str">
            <v>NL8431WE014X</v>
          </cell>
          <cell r="F707">
            <v>699425</v>
          </cell>
          <cell r="G707">
            <v>6973252</v>
          </cell>
          <cell r="H707" t="str">
            <v>O</v>
          </cell>
          <cell r="I707" t="str">
            <v>Stipeplein 14</v>
          </cell>
          <cell r="J707" t="str">
            <v>8431WE</v>
          </cell>
        </row>
        <row r="708">
          <cell r="A708">
            <v>4061</v>
          </cell>
          <cell r="B708"/>
          <cell r="C708"/>
          <cell r="D708" t="str">
            <v>AH Franchise</v>
          </cell>
          <cell r="E708" t="str">
            <v>NL4043KE004X</v>
          </cell>
          <cell r="F708">
            <v>625723</v>
          </cell>
          <cell r="G708">
            <v>6780654</v>
          </cell>
          <cell r="H708" t="str">
            <v>T</v>
          </cell>
          <cell r="I708" t="str">
            <v>Swaenenstate 4</v>
          </cell>
          <cell r="J708" t="str">
            <v>4043KE</v>
          </cell>
        </row>
        <row r="709">
          <cell r="A709">
            <v>4062</v>
          </cell>
          <cell r="B709"/>
          <cell r="C709"/>
          <cell r="D709" t="str">
            <v>AH Franchise</v>
          </cell>
          <cell r="E709" t="str">
            <v>NL3297BL063X</v>
          </cell>
          <cell r="F709">
            <v>507884</v>
          </cell>
          <cell r="G709">
            <v>6757440</v>
          </cell>
          <cell r="H709" t="str">
            <v>P</v>
          </cell>
          <cell r="I709" t="str">
            <v>Pieter Repelaerstraat 63</v>
          </cell>
          <cell r="J709" t="str">
            <v>3297BL</v>
          </cell>
        </row>
        <row r="710">
          <cell r="A710">
            <v>4063</v>
          </cell>
          <cell r="B710"/>
          <cell r="C710"/>
          <cell r="D710" t="str">
            <v>AH Franchise</v>
          </cell>
          <cell r="E710" t="str">
            <v>NL2983CB017X</v>
          </cell>
          <cell r="F710">
            <v>512025</v>
          </cell>
          <cell r="G710">
            <v>6771587</v>
          </cell>
          <cell r="H710" t="str">
            <v>P</v>
          </cell>
          <cell r="I710" t="str">
            <v>Dillenburgplein 5</v>
          </cell>
          <cell r="J710" t="str">
            <v>2983CB</v>
          </cell>
        </row>
        <row r="711">
          <cell r="A711">
            <v>4065</v>
          </cell>
          <cell r="B711"/>
          <cell r="C711"/>
          <cell r="D711" t="str">
            <v>AH Franchise</v>
          </cell>
          <cell r="E711" t="str">
            <v>NL9628CT164X</v>
          </cell>
          <cell r="F711">
            <v>763818</v>
          </cell>
          <cell r="G711">
            <v>7021212</v>
          </cell>
          <cell r="H711" t="str">
            <v>O</v>
          </cell>
          <cell r="I711" t="str">
            <v>Hoofdweg 164</v>
          </cell>
          <cell r="J711" t="str">
            <v>9628CT</v>
          </cell>
        </row>
        <row r="712">
          <cell r="A712">
            <v>4066</v>
          </cell>
          <cell r="B712"/>
          <cell r="C712"/>
          <cell r="D712" t="str">
            <v>AH Franchise</v>
          </cell>
          <cell r="E712" t="str">
            <v>NL8332CL003X</v>
          </cell>
          <cell r="F712">
            <v>681736</v>
          </cell>
          <cell r="G712">
            <v>6937078</v>
          </cell>
          <cell r="H712" t="str">
            <v>O</v>
          </cell>
          <cell r="I712" t="str">
            <v>Het Schar 3</v>
          </cell>
          <cell r="J712" t="str">
            <v>8332CL</v>
          </cell>
        </row>
        <row r="713">
          <cell r="A713">
            <v>4067</v>
          </cell>
          <cell r="B713"/>
          <cell r="C713"/>
          <cell r="D713" t="str">
            <v>AH Franchise</v>
          </cell>
          <cell r="E713" t="str">
            <v>NL4691RH003X</v>
          </cell>
          <cell r="F713">
            <v>470042</v>
          </cell>
          <cell r="G713">
            <v>6709172</v>
          </cell>
          <cell r="H713" t="str">
            <v>P</v>
          </cell>
          <cell r="I713" t="str">
            <v>Terreplein 4</v>
          </cell>
          <cell r="J713" t="str">
            <v>4691AA</v>
          </cell>
        </row>
        <row r="714">
          <cell r="A714">
            <v>4068</v>
          </cell>
          <cell r="B714"/>
          <cell r="C714"/>
          <cell r="D714" t="str">
            <v>AH Franchise</v>
          </cell>
          <cell r="E714" t="str">
            <v>NL7339LM003X</v>
          </cell>
          <cell r="F714">
            <v>660687</v>
          </cell>
          <cell r="G714">
            <v>6826159</v>
          </cell>
          <cell r="H714" t="str">
            <v>O</v>
          </cell>
          <cell r="I714" t="str">
            <v>Molecatenlaan 30</v>
          </cell>
          <cell r="J714" t="str">
            <v>7339LM</v>
          </cell>
        </row>
        <row r="715">
          <cell r="A715">
            <v>4069</v>
          </cell>
          <cell r="B715"/>
          <cell r="C715"/>
          <cell r="D715" t="str">
            <v>AH Franchise</v>
          </cell>
          <cell r="E715" t="str">
            <v>NL7251BB018X</v>
          </cell>
          <cell r="F715">
            <v>702134</v>
          </cell>
          <cell r="G715">
            <v>6811127</v>
          </cell>
          <cell r="H715" t="str">
            <v>O</v>
          </cell>
          <cell r="I715" t="str">
            <v>Dorpsstraat 18</v>
          </cell>
          <cell r="J715" t="str">
            <v>7251BB</v>
          </cell>
        </row>
        <row r="716">
          <cell r="A716">
            <v>4070</v>
          </cell>
          <cell r="B716"/>
          <cell r="C716"/>
          <cell r="D716" t="str">
            <v>AH Franchise</v>
          </cell>
          <cell r="E716" t="str">
            <v>NL5143TC050X</v>
          </cell>
          <cell r="F716">
            <v>564612</v>
          </cell>
          <cell r="G716">
            <v>6735381</v>
          </cell>
          <cell r="H716" t="str">
            <v>T</v>
          </cell>
          <cell r="I716" t="str">
            <v>Bloemenoordplein 50</v>
          </cell>
          <cell r="J716" t="str">
            <v>5143TC</v>
          </cell>
        </row>
        <row r="717">
          <cell r="A717">
            <v>4072</v>
          </cell>
          <cell r="B717"/>
          <cell r="C717"/>
          <cell r="D717" t="str">
            <v>AH Franchise</v>
          </cell>
          <cell r="E717" t="str">
            <v>NL8191DA002X</v>
          </cell>
          <cell r="F717">
            <v>675421</v>
          </cell>
          <cell r="G717">
            <v>6871050</v>
          </cell>
          <cell r="H717" t="str">
            <v>O</v>
          </cell>
          <cell r="I717" t="str">
            <v>W.H. van de Pollstraat 2</v>
          </cell>
          <cell r="J717" t="str">
            <v>8191DA</v>
          </cell>
        </row>
        <row r="718">
          <cell r="A718">
            <v>4073</v>
          </cell>
          <cell r="B718"/>
          <cell r="C718"/>
          <cell r="D718" t="str">
            <v>AH Franchise</v>
          </cell>
          <cell r="E718" t="str">
            <v>NL4251ZB052X</v>
          </cell>
          <cell r="F718">
            <v>543854</v>
          </cell>
          <cell r="G718">
            <v>6758112</v>
          </cell>
          <cell r="H718" t="str">
            <v>T</v>
          </cell>
          <cell r="I718" t="str">
            <v>Sigmondstraat 52</v>
          </cell>
          <cell r="J718" t="str">
            <v>4251ZB</v>
          </cell>
        </row>
        <row r="719">
          <cell r="A719">
            <v>4075</v>
          </cell>
          <cell r="B719"/>
          <cell r="C719"/>
          <cell r="D719" t="str">
            <v>AH Franchise</v>
          </cell>
          <cell r="E719" t="str">
            <v>NL9951HL002X</v>
          </cell>
          <cell r="F719">
            <v>724512</v>
          </cell>
          <cell r="G719">
            <v>7037337</v>
          </cell>
          <cell r="H719" t="str">
            <v>O</v>
          </cell>
          <cell r="I719" t="str">
            <v>Obergon 2</v>
          </cell>
          <cell r="J719" t="str">
            <v>9951HL</v>
          </cell>
        </row>
        <row r="720">
          <cell r="A720">
            <v>4076</v>
          </cell>
          <cell r="B720"/>
          <cell r="C720"/>
          <cell r="D720" t="str">
            <v>AH Franchise</v>
          </cell>
          <cell r="E720" t="str">
            <v>NL8471JG066X</v>
          </cell>
          <cell r="F720">
            <v>666850</v>
          </cell>
          <cell r="G720">
            <v>6952110</v>
          </cell>
          <cell r="H720" t="str">
            <v>O</v>
          </cell>
          <cell r="I720" t="str">
            <v>Van Harenstraat 66</v>
          </cell>
          <cell r="J720" t="str">
            <v>8471JG</v>
          </cell>
        </row>
        <row r="721">
          <cell r="A721">
            <v>4077</v>
          </cell>
          <cell r="B721"/>
          <cell r="C721"/>
          <cell r="D721" t="str">
            <v>AH Franchise</v>
          </cell>
          <cell r="E721" t="str">
            <v>NL8017PK108X</v>
          </cell>
          <cell r="F721">
            <v>677583</v>
          </cell>
          <cell r="G721">
            <v>6882768</v>
          </cell>
          <cell r="H721" t="str">
            <v>O</v>
          </cell>
          <cell r="I721" t="str">
            <v>Forelkolk 108</v>
          </cell>
          <cell r="J721" t="str">
            <v>8017PK</v>
          </cell>
        </row>
        <row r="722">
          <cell r="A722">
            <v>4091</v>
          </cell>
          <cell r="B722"/>
          <cell r="C722"/>
          <cell r="D722" t="str">
            <v>AH curacao</v>
          </cell>
          <cell r="E722" t="str">
            <v>NL3295KV007X</v>
          </cell>
          <cell r="F722">
            <v>513372</v>
          </cell>
          <cell r="G722">
            <v>6754498</v>
          </cell>
          <cell r="H722" t="str">
            <v>T</v>
          </cell>
          <cell r="I722" t="str">
            <v>Mijlweg 49</v>
          </cell>
          <cell r="J722" t="str">
            <v>3295KG</v>
          </cell>
        </row>
        <row r="723">
          <cell r="A723">
            <v>4092</v>
          </cell>
          <cell r="B723"/>
          <cell r="C723"/>
          <cell r="D723" t="str">
            <v>AH curacao</v>
          </cell>
          <cell r="E723" t="str">
            <v>NL3295KV007X</v>
          </cell>
          <cell r="F723">
            <v>513372</v>
          </cell>
          <cell r="G723">
            <v>6754498</v>
          </cell>
          <cell r="H723" t="str">
            <v>T</v>
          </cell>
          <cell r="I723" t="str">
            <v>Mijlweg 49</v>
          </cell>
          <cell r="J723" t="str">
            <v>3295KG</v>
          </cell>
        </row>
        <row r="724">
          <cell r="A724">
            <v>4093</v>
          </cell>
          <cell r="B724"/>
          <cell r="C724"/>
          <cell r="D724" t="str">
            <v>AH curacao</v>
          </cell>
          <cell r="E724" t="str">
            <v>NL3295KV007X</v>
          </cell>
          <cell r="F724">
            <v>513372</v>
          </cell>
          <cell r="G724">
            <v>6754498</v>
          </cell>
          <cell r="H724" t="str">
            <v>T</v>
          </cell>
          <cell r="I724" t="str">
            <v>Mijlweg 49</v>
          </cell>
          <cell r="J724" t="str">
            <v>3295KG</v>
          </cell>
        </row>
        <row r="725">
          <cell r="A725">
            <v>4094</v>
          </cell>
          <cell r="B725"/>
          <cell r="C725"/>
          <cell r="D725" t="str">
            <v>AH curacao</v>
          </cell>
          <cell r="E725" t="str">
            <v>NL3295KV007X</v>
          </cell>
          <cell r="F725">
            <v>513372</v>
          </cell>
          <cell r="G725">
            <v>6754498</v>
          </cell>
          <cell r="H725" t="str">
            <v>T</v>
          </cell>
          <cell r="I725" t="str">
            <v>Mijlweg 49</v>
          </cell>
          <cell r="J725" t="str">
            <v>3295KG</v>
          </cell>
        </row>
        <row r="726">
          <cell r="A726">
            <v>4095</v>
          </cell>
          <cell r="B726"/>
          <cell r="C726"/>
          <cell r="D726" t="str">
            <v>AH Suriname</v>
          </cell>
          <cell r="E726" t="str">
            <v>NL3295KV007X</v>
          </cell>
          <cell r="F726">
            <v>513372</v>
          </cell>
          <cell r="G726">
            <v>6754498</v>
          </cell>
          <cell r="H726" t="str">
            <v>T</v>
          </cell>
          <cell r="I726" t="str">
            <v>Mijlweg 49</v>
          </cell>
          <cell r="J726" t="str">
            <v>3295KG</v>
          </cell>
        </row>
        <row r="727">
          <cell r="A727">
            <v>4099</v>
          </cell>
          <cell r="B727"/>
          <cell r="C727"/>
          <cell r="D727" t="str">
            <v>AH Franchise</v>
          </cell>
          <cell r="E727" t="str">
            <v>NL1704ZG019X</v>
          </cell>
          <cell r="F727">
            <v>536822</v>
          </cell>
          <cell r="G727">
            <v>6917525</v>
          </cell>
          <cell r="H727" t="str">
            <v>Z</v>
          </cell>
          <cell r="I727" t="str">
            <v>Galileistraat 19</v>
          </cell>
          <cell r="J727" t="str">
            <v>1704 ZG</v>
          </cell>
        </row>
        <row r="728">
          <cell r="A728">
            <v>4100</v>
          </cell>
          <cell r="B728"/>
          <cell r="C728"/>
          <cell r="D728" t="str">
            <v>AH Franchise</v>
          </cell>
          <cell r="E728" t="str">
            <v>NL7721AX013X</v>
          </cell>
          <cell r="F728">
            <v>695920</v>
          </cell>
          <cell r="G728">
            <v>6883932</v>
          </cell>
          <cell r="H728" t="str">
            <v>O</v>
          </cell>
          <cell r="I728" t="str">
            <v>Raadhuisstraat 13</v>
          </cell>
          <cell r="J728" t="str">
            <v>7721AX</v>
          </cell>
        </row>
        <row r="729">
          <cell r="A729">
            <v>4102</v>
          </cell>
          <cell r="B729"/>
          <cell r="C729"/>
          <cell r="D729" t="str">
            <v>AH Franchise</v>
          </cell>
          <cell r="E729" t="str">
            <v>NL7071CC010X</v>
          </cell>
          <cell r="F729">
            <v>709862</v>
          </cell>
          <cell r="G729">
            <v>6772723</v>
          </cell>
          <cell r="H729" t="str">
            <v>O</v>
          </cell>
          <cell r="I729" t="str">
            <v>Veldstraat 10</v>
          </cell>
          <cell r="J729" t="str">
            <v>7071CC</v>
          </cell>
        </row>
        <row r="730">
          <cell r="A730">
            <v>4103</v>
          </cell>
          <cell r="B730"/>
          <cell r="C730"/>
          <cell r="D730" t="str">
            <v>AH Franchise</v>
          </cell>
          <cell r="E730" t="str">
            <v>NL6718DJ014X</v>
          </cell>
          <cell r="F730">
            <v>627792</v>
          </cell>
          <cell r="G730">
            <v>6801709</v>
          </cell>
          <cell r="H730" t="str">
            <v>O</v>
          </cell>
          <cell r="I730" t="str">
            <v>Parkweide 14</v>
          </cell>
          <cell r="J730" t="str">
            <v>6718DJ</v>
          </cell>
        </row>
        <row r="731">
          <cell r="A731">
            <v>4105</v>
          </cell>
          <cell r="B731"/>
          <cell r="C731"/>
          <cell r="D731" t="str">
            <v>AH Franchise</v>
          </cell>
          <cell r="E731" t="str">
            <v>NL2352HT008X</v>
          </cell>
          <cell r="F731">
            <v>503371</v>
          </cell>
          <cell r="G731">
            <v>6821151</v>
          </cell>
          <cell r="H731" t="str">
            <v>P</v>
          </cell>
          <cell r="I731" t="str">
            <v>Laan van Ouderzorg 2-8</v>
          </cell>
          <cell r="J731" t="str">
            <v>2352HT</v>
          </cell>
        </row>
        <row r="732">
          <cell r="A732">
            <v>4106</v>
          </cell>
          <cell r="B732" t="str">
            <v>Nieuw</v>
          </cell>
          <cell r="C732" t="str">
            <v>Week-26-2016</v>
          </cell>
          <cell r="D732" t="str">
            <v>AH Franchise</v>
          </cell>
          <cell r="E732" t="str">
            <v>NL1363LS032X</v>
          </cell>
          <cell r="F732">
            <v>571527</v>
          </cell>
          <cell r="G732">
            <v>6856474</v>
          </cell>
          <cell r="H732" t="str">
            <v>Z</v>
          </cell>
          <cell r="I732" t="str">
            <v>Olivier van Noortstraat 32</v>
          </cell>
          <cell r="J732" t="str">
            <v>1363 LS</v>
          </cell>
        </row>
        <row r="733">
          <cell r="A733">
            <v>4107</v>
          </cell>
          <cell r="B733" t="str">
            <v>Nieuw</v>
          </cell>
          <cell r="C733" t="str">
            <v>Week 21-2016</v>
          </cell>
          <cell r="D733" t="str">
            <v>AH Franchise</v>
          </cell>
          <cell r="E733" t="str">
            <v>NL1076CK115X</v>
          </cell>
          <cell r="F733">
            <v>540180</v>
          </cell>
          <cell r="G733">
            <v>6854655</v>
          </cell>
          <cell r="H733" t="str">
            <v>Z</v>
          </cell>
          <cell r="I733" t="str">
            <v>Stadionplein 115</v>
          </cell>
          <cell r="J733" t="str">
            <v>1076CK</v>
          </cell>
        </row>
        <row r="734">
          <cell r="A734">
            <v>5501</v>
          </cell>
          <cell r="B734" t="str">
            <v>Nieuw</v>
          </cell>
          <cell r="C734" t="str">
            <v>Week 14-2016</v>
          </cell>
          <cell r="D734" t="str">
            <v>AH To Go</v>
          </cell>
          <cell r="E734" t="str">
            <v>NL1081HZ1110</v>
          </cell>
          <cell r="F734">
            <v>540455</v>
          </cell>
          <cell r="G734">
            <v>6853302</v>
          </cell>
          <cell r="H734" t="str">
            <v>Z</v>
          </cell>
          <cell r="I734" t="str">
            <v>De Boelelaan 1110</v>
          </cell>
          <cell r="J734" t="str">
            <v>1081HZ</v>
          </cell>
        </row>
        <row r="735">
          <cell r="A735">
            <v>5602</v>
          </cell>
          <cell r="B735"/>
          <cell r="C735"/>
          <cell r="D735" t="str">
            <v>AH To Go</v>
          </cell>
          <cell r="E735" t="str">
            <v>NL1017CN022X</v>
          </cell>
          <cell r="F735">
            <v>544238</v>
          </cell>
          <cell r="G735">
            <v>6859012</v>
          </cell>
          <cell r="H735" t="str">
            <v>Z</v>
          </cell>
          <cell r="I735" t="str">
            <v>Reguliersbreestraat 22</v>
          </cell>
          <cell r="J735" t="str">
            <v>1017CN</v>
          </cell>
        </row>
        <row r="736">
          <cell r="A736">
            <v>5603</v>
          </cell>
          <cell r="B736"/>
          <cell r="C736"/>
          <cell r="D736" t="str">
            <v>AH To Go</v>
          </cell>
          <cell r="E736" t="str">
            <v>NL3511AD085X</v>
          </cell>
          <cell r="F736">
            <v>568927</v>
          </cell>
          <cell r="G736">
            <v>6809426</v>
          </cell>
          <cell r="H736" t="str">
            <v>Z</v>
          </cell>
          <cell r="I736" t="str">
            <v>Oudegracht 85</v>
          </cell>
          <cell r="J736" t="str">
            <v>3511AD</v>
          </cell>
        </row>
        <row r="737">
          <cell r="A737">
            <v>5605</v>
          </cell>
          <cell r="B737"/>
          <cell r="C737"/>
          <cell r="D737" t="str">
            <v>AH To Go</v>
          </cell>
          <cell r="E737" t="str">
            <v>NL3012AG131X</v>
          </cell>
          <cell r="F737">
            <v>498108</v>
          </cell>
          <cell r="G737">
            <v>6777820</v>
          </cell>
          <cell r="H737" t="str">
            <v>P</v>
          </cell>
          <cell r="I737" t="str">
            <v>Coolsingel 131</v>
          </cell>
          <cell r="J737" t="str">
            <v>3012AG</v>
          </cell>
        </row>
        <row r="738">
          <cell r="A738">
            <v>5606</v>
          </cell>
          <cell r="B738"/>
          <cell r="C738"/>
          <cell r="D738" t="str">
            <v>AH To Go</v>
          </cell>
          <cell r="E738" t="str">
            <v>NL1012LP089X</v>
          </cell>
          <cell r="F738">
            <v>544172</v>
          </cell>
          <cell r="G738">
            <v>6860302</v>
          </cell>
          <cell r="H738" t="str">
            <v>Z</v>
          </cell>
          <cell r="I738" t="str">
            <v>Damrak 89</v>
          </cell>
          <cell r="J738" t="str">
            <v>1012LP</v>
          </cell>
        </row>
        <row r="739">
          <cell r="A739">
            <v>5607</v>
          </cell>
          <cell r="B739"/>
          <cell r="C739"/>
          <cell r="D739" t="str">
            <v>AH To Go</v>
          </cell>
          <cell r="E739" t="str">
            <v>NL1012ZZ002X</v>
          </cell>
          <cell r="F739">
            <v>544922</v>
          </cell>
          <cell r="G739">
            <v>6861048</v>
          </cell>
          <cell r="H739" t="str">
            <v>Z</v>
          </cell>
          <cell r="I739" t="str">
            <v>Stationsplein 7</v>
          </cell>
          <cell r="J739" t="str">
            <v>1012AB</v>
          </cell>
        </row>
        <row r="740">
          <cell r="A740">
            <v>5608</v>
          </cell>
          <cell r="B740"/>
          <cell r="C740"/>
          <cell r="D740" t="str">
            <v>AH To Go</v>
          </cell>
          <cell r="E740" t="str">
            <v>NL1118AX001X</v>
          </cell>
          <cell r="F740">
            <v>529603</v>
          </cell>
          <cell r="G740">
            <v>6848300</v>
          </cell>
          <cell r="H740" t="str">
            <v>Z</v>
          </cell>
          <cell r="I740" t="str">
            <v>Aankomstpassage 1</v>
          </cell>
          <cell r="J740" t="str">
            <v>1118AX</v>
          </cell>
        </row>
        <row r="741">
          <cell r="A741">
            <v>5609</v>
          </cell>
          <cell r="B741"/>
          <cell r="C741"/>
          <cell r="D741" t="str">
            <v>AH To Go</v>
          </cell>
          <cell r="E741" t="str">
            <v>NL1118AX047X</v>
          </cell>
          <cell r="F741">
            <v>529250</v>
          </cell>
          <cell r="G741">
            <v>6848667</v>
          </cell>
          <cell r="H741" t="str">
            <v>Z</v>
          </cell>
          <cell r="I741" t="str">
            <v>Aankomstpassage 47</v>
          </cell>
          <cell r="J741" t="str">
            <v>1118AX</v>
          </cell>
        </row>
        <row r="742">
          <cell r="A742">
            <v>5610</v>
          </cell>
          <cell r="B742"/>
          <cell r="C742"/>
          <cell r="D742" t="str">
            <v>AH To Go</v>
          </cell>
          <cell r="E742" t="str">
            <v>NL5211DM051X</v>
          </cell>
          <cell r="F742">
            <v>589257</v>
          </cell>
          <cell r="G742">
            <v>6736769</v>
          </cell>
          <cell r="H742" t="str">
            <v>T</v>
          </cell>
          <cell r="I742" t="str">
            <v>Visstraat 51</v>
          </cell>
          <cell r="J742" t="str">
            <v>5211DM</v>
          </cell>
        </row>
        <row r="743">
          <cell r="A743">
            <v>5614</v>
          </cell>
          <cell r="B743"/>
          <cell r="C743"/>
          <cell r="D743" t="str">
            <v>AH To Go</v>
          </cell>
          <cell r="E743" t="str">
            <v>NL1012MV182X</v>
          </cell>
          <cell r="F743">
            <v>544191</v>
          </cell>
          <cell r="G743">
            <v>6860498</v>
          </cell>
          <cell r="H743" t="str">
            <v>Z</v>
          </cell>
          <cell r="I743" t="str">
            <v>Nieuwendijk 182</v>
          </cell>
          <cell r="J743" t="str">
            <v>1012MV</v>
          </cell>
        </row>
        <row r="744">
          <cell r="A744">
            <v>5615</v>
          </cell>
          <cell r="B744"/>
          <cell r="C744"/>
          <cell r="D744" t="str">
            <v>AH To Go</v>
          </cell>
          <cell r="E744" t="str">
            <v>NL3012AT146X</v>
          </cell>
          <cell r="F744">
            <v>498103</v>
          </cell>
          <cell r="G744">
            <v>6778161</v>
          </cell>
          <cell r="H744" t="str">
            <v>P</v>
          </cell>
          <cell r="I744" t="str">
            <v>Beurstraverse 146</v>
          </cell>
          <cell r="J744" t="str">
            <v>3012AT</v>
          </cell>
        </row>
        <row r="745">
          <cell r="A745">
            <v>5700</v>
          </cell>
          <cell r="B745"/>
          <cell r="C745"/>
          <cell r="D745" t="str">
            <v>AH To Go</v>
          </cell>
          <cell r="E745" t="str">
            <v>NL9713GZ063X</v>
          </cell>
          <cell r="F745">
            <v>731465</v>
          </cell>
          <cell r="G745">
            <v>7016177</v>
          </cell>
          <cell r="H745" t="str">
            <v>O</v>
          </cell>
          <cell r="I745" t="str">
            <v>Hanzeplein 1</v>
          </cell>
          <cell r="J745" t="str">
            <v>9713GZ</v>
          </cell>
        </row>
        <row r="746">
          <cell r="A746">
            <v>5701</v>
          </cell>
          <cell r="B746"/>
          <cell r="C746"/>
          <cell r="D746" t="str">
            <v>AH To Go</v>
          </cell>
          <cell r="E746" t="str">
            <v>NL1105AZ009X</v>
          </cell>
          <cell r="F746">
            <v>551116</v>
          </cell>
          <cell r="G746">
            <v>6845752</v>
          </cell>
          <cell r="H746" t="str">
            <v>Z</v>
          </cell>
          <cell r="I746" t="str">
            <v>Meibergdreef 9</v>
          </cell>
          <cell r="J746" t="str">
            <v>1105AZ</v>
          </cell>
        </row>
        <row r="747">
          <cell r="A747">
            <v>5702</v>
          </cell>
          <cell r="B747"/>
          <cell r="C747"/>
          <cell r="D747" t="str">
            <v>AH To Go</v>
          </cell>
          <cell r="E747" t="str">
            <v>NL5656AA004X</v>
          </cell>
          <cell r="F747">
            <v>606879</v>
          </cell>
          <cell r="G747">
            <v>6686818</v>
          </cell>
          <cell r="H747" t="str">
            <v>T</v>
          </cell>
          <cell r="I747" t="str">
            <v>Professor Holstlaan 4</v>
          </cell>
          <cell r="J747" t="str">
            <v>5656AA</v>
          </cell>
        </row>
        <row r="748">
          <cell r="A748">
            <v>5703</v>
          </cell>
          <cell r="B748"/>
          <cell r="C748"/>
          <cell r="D748" t="str">
            <v>AH To Go</v>
          </cell>
          <cell r="E748" t="str">
            <v>NL1077XV024X</v>
          </cell>
          <cell r="F748">
            <v>542002</v>
          </cell>
          <cell r="G748">
            <v>6854180</v>
          </cell>
          <cell r="H748" t="str">
            <v>Z</v>
          </cell>
          <cell r="I748" t="str">
            <v>Zuidplein 24</v>
          </cell>
          <cell r="J748" t="str">
            <v>1077XV</v>
          </cell>
        </row>
        <row r="749">
          <cell r="A749">
            <v>5704</v>
          </cell>
          <cell r="B749"/>
          <cell r="C749"/>
          <cell r="D749" t="str">
            <v>AH To Go</v>
          </cell>
          <cell r="E749" t="str">
            <v>NL9747AG009X</v>
          </cell>
          <cell r="F749">
            <v>726798</v>
          </cell>
          <cell r="G749">
            <v>7019602</v>
          </cell>
          <cell r="H749" t="str">
            <v>O</v>
          </cell>
          <cell r="I749" t="str">
            <v>Nijenborgh 9</v>
          </cell>
          <cell r="J749" t="str">
            <v>9747AG</v>
          </cell>
        </row>
        <row r="750">
          <cell r="A750">
            <v>5705</v>
          </cell>
          <cell r="B750"/>
          <cell r="C750"/>
          <cell r="D750" t="str">
            <v>AH To Go</v>
          </cell>
          <cell r="E750" t="str">
            <v>NL1506MA011X</v>
          </cell>
          <cell r="F750">
            <v>535414</v>
          </cell>
          <cell r="G750">
            <v>6871632</v>
          </cell>
          <cell r="H750" t="str">
            <v>Z</v>
          </cell>
          <cell r="I750" t="str">
            <v>Provincialeweg 11</v>
          </cell>
          <cell r="J750" t="str">
            <v>1506MA</v>
          </cell>
        </row>
        <row r="751">
          <cell r="A751">
            <v>5706</v>
          </cell>
          <cell r="B751"/>
          <cell r="C751"/>
          <cell r="D751" t="str">
            <v>AH To Go</v>
          </cell>
          <cell r="E751" t="str">
            <v>NL3015AA353X</v>
          </cell>
          <cell r="F751">
            <v>497240</v>
          </cell>
          <cell r="G751">
            <v>6776531</v>
          </cell>
          <cell r="H751" t="str">
            <v>P</v>
          </cell>
          <cell r="I751" t="str">
            <v>Dr. Molewaterplein 40</v>
          </cell>
          <cell r="J751" t="str">
            <v>3015AA</v>
          </cell>
        </row>
        <row r="752">
          <cell r="A752">
            <v>5707</v>
          </cell>
          <cell r="B752"/>
          <cell r="C752"/>
          <cell r="D752" t="str">
            <v>AH To Go</v>
          </cell>
          <cell r="E752" t="str">
            <v>NL3528BJ100X</v>
          </cell>
          <cell r="F752">
            <v>565925</v>
          </cell>
          <cell r="G752">
            <v>6804449</v>
          </cell>
          <cell r="H752" t="str">
            <v>Z</v>
          </cell>
          <cell r="I752" t="str">
            <v>Papendorpseweg 100</v>
          </cell>
          <cell r="J752" t="str">
            <v>3528BJ</v>
          </cell>
        </row>
        <row r="753">
          <cell r="A753">
            <v>5708</v>
          </cell>
          <cell r="B753"/>
          <cell r="C753"/>
          <cell r="D753" t="str">
            <v>AH To Go</v>
          </cell>
          <cell r="E753" t="str">
            <v>NL2595AM025X</v>
          </cell>
          <cell r="F753">
            <v>482216</v>
          </cell>
          <cell r="G753">
            <v>6806719</v>
          </cell>
          <cell r="H753" t="str">
            <v>P</v>
          </cell>
          <cell r="I753" t="str">
            <v>Prinses Margrietplantsoen 25</v>
          </cell>
          <cell r="J753" t="str">
            <v>2595AM</v>
          </cell>
        </row>
        <row r="754">
          <cell r="A754">
            <v>5710</v>
          </cell>
          <cell r="B754" t="str">
            <v>Nieuw</v>
          </cell>
          <cell r="C754" t="str">
            <v>Week 13 2016</v>
          </cell>
          <cell r="D754" t="str">
            <v>AH To Go</v>
          </cell>
          <cell r="E754"/>
          <cell r="F754"/>
          <cell r="G754"/>
          <cell r="H754" t="str">
            <v>P</v>
          </cell>
          <cell r="I754" t="str">
            <v>Johanna westredijkplein</v>
          </cell>
          <cell r="J754" t="str">
            <v>2521EN</v>
          </cell>
        </row>
        <row r="755">
          <cell r="A755">
            <v>5801</v>
          </cell>
          <cell r="B755"/>
          <cell r="C755"/>
          <cell r="D755" t="str">
            <v>AH To Go</v>
          </cell>
          <cell r="E755" t="str">
            <v>NL5211BP143X</v>
          </cell>
          <cell r="F755">
            <v>588685</v>
          </cell>
          <cell r="G755">
            <v>6736845</v>
          </cell>
          <cell r="H755" t="str">
            <v>T</v>
          </cell>
          <cell r="I755" t="str">
            <v>Stationsplein 143</v>
          </cell>
          <cell r="J755" t="str">
            <v>5211BP</v>
          </cell>
        </row>
        <row r="756">
          <cell r="A756">
            <v>5803</v>
          </cell>
          <cell r="B756"/>
          <cell r="C756"/>
          <cell r="D756" t="str">
            <v>AH To Go</v>
          </cell>
          <cell r="E756" t="str">
            <v>NL6221BT029X</v>
          </cell>
          <cell r="F756">
            <v>634346</v>
          </cell>
          <cell r="G756">
            <v>6587430</v>
          </cell>
          <cell r="H756" t="str">
            <v>T</v>
          </cell>
          <cell r="I756" t="str">
            <v>Stationsplein 29</v>
          </cell>
          <cell r="J756" t="str">
            <v>6221BT</v>
          </cell>
        </row>
        <row r="757">
          <cell r="A757">
            <v>5804</v>
          </cell>
          <cell r="B757"/>
          <cell r="C757"/>
          <cell r="D757" t="str">
            <v>AH To Go</v>
          </cell>
          <cell r="E757" t="str">
            <v>NL2011MJ014X</v>
          </cell>
          <cell r="F757">
            <v>515977</v>
          </cell>
          <cell r="G757">
            <v>6862998</v>
          </cell>
          <cell r="H757" t="str">
            <v>Z</v>
          </cell>
          <cell r="I757" t="str">
            <v>Kennemerplein 14</v>
          </cell>
          <cell r="J757" t="str">
            <v>2011MJ</v>
          </cell>
        </row>
        <row r="758">
          <cell r="A758">
            <v>5805</v>
          </cell>
          <cell r="B758"/>
          <cell r="C758"/>
          <cell r="D758" t="str">
            <v>AH To Go</v>
          </cell>
          <cell r="E758" t="str">
            <v>NL1043DT113X</v>
          </cell>
          <cell r="F758">
            <v>537995</v>
          </cell>
          <cell r="G758">
            <v>6863139</v>
          </cell>
          <cell r="H758" t="str">
            <v>Z</v>
          </cell>
          <cell r="I758" t="str">
            <v>Orlyplein 113</v>
          </cell>
          <cell r="J758" t="str">
            <v>1043DT</v>
          </cell>
        </row>
        <row r="759">
          <cell r="A759">
            <v>5806</v>
          </cell>
          <cell r="B759"/>
          <cell r="C759" t="str">
            <v>Conversie naar 5874-2016</v>
          </cell>
          <cell r="D759" t="str">
            <v>AH To Go</v>
          </cell>
          <cell r="E759" t="str">
            <v>NL1815CB049X</v>
          </cell>
          <cell r="F759">
            <v>527234</v>
          </cell>
          <cell r="G759">
            <v>6908494</v>
          </cell>
          <cell r="H759" t="str">
            <v>Z</v>
          </cell>
          <cell r="I759" t="str">
            <v>Stationsweg 49</v>
          </cell>
          <cell r="J759" t="str">
            <v>1815CB</v>
          </cell>
        </row>
        <row r="760">
          <cell r="A760">
            <v>5808</v>
          </cell>
          <cell r="B760"/>
          <cell r="C760"/>
          <cell r="D760" t="str">
            <v>AH To Go</v>
          </cell>
          <cell r="E760" t="str">
            <v>NL2312AJ003X</v>
          </cell>
          <cell r="F760">
            <v>498305</v>
          </cell>
          <cell r="G760">
            <v>6822679</v>
          </cell>
          <cell r="H760" t="str">
            <v>P</v>
          </cell>
          <cell r="I760" t="str">
            <v>Stationsplein 3</v>
          </cell>
          <cell r="J760" t="str">
            <v>2312AJ</v>
          </cell>
        </row>
        <row r="761">
          <cell r="A761">
            <v>5809</v>
          </cell>
          <cell r="B761"/>
          <cell r="C761"/>
          <cell r="D761" t="str">
            <v>AH To Go</v>
          </cell>
          <cell r="E761" t="str">
            <v>NL3812GZ009X</v>
          </cell>
          <cell r="F761">
            <v>597578</v>
          </cell>
          <cell r="G761">
            <v>6820348</v>
          </cell>
          <cell r="H761" t="str">
            <v>Z</v>
          </cell>
          <cell r="I761" t="str">
            <v>Piet Mondriaanplein 9</v>
          </cell>
          <cell r="J761" t="str">
            <v>3812GZ</v>
          </cell>
        </row>
        <row r="762">
          <cell r="A762">
            <v>5811</v>
          </cell>
          <cell r="B762"/>
          <cell r="C762"/>
          <cell r="D762" t="str">
            <v>AH To Go</v>
          </cell>
          <cell r="E762" t="str">
            <v>NL7511PM033X</v>
          </cell>
          <cell r="F762">
            <v>766225</v>
          </cell>
          <cell r="G762">
            <v>6832727</v>
          </cell>
          <cell r="H762" t="str">
            <v>O</v>
          </cell>
          <cell r="I762" t="str">
            <v>Stationsplein 33</v>
          </cell>
          <cell r="J762" t="str">
            <v>7511JD</v>
          </cell>
        </row>
        <row r="763">
          <cell r="A763">
            <v>5812</v>
          </cell>
          <cell r="B763" t="str">
            <v>Sluiting</v>
          </cell>
          <cell r="C763" t="str">
            <v>Relocatie 31-03-2016</v>
          </cell>
          <cell r="D763" t="str">
            <v>AH To Go</v>
          </cell>
          <cell r="E763" t="str">
            <v>NL3013EA024X</v>
          </cell>
          <cell r="F763">
            <v>497147</v>
          </cell>
          <cell r="G763">
            <v>6778946</v>
          </cell>
          <cell r="H763" t="str">
            <v>P</v>
          </cell>
          <cell r="I763" t="str">
            <v>Proveniersplein 24</v>
          </cell>
          <cell r="J763" t="str">
            <v>3013EA</v>
          </cell>
        </row>
        <row r="764">
          <cell r="A764">
            <v>5812</v>
          </cell>
          <cell r="B764" t="str">
            <v>Nieuw</v>
          </cell>
          <cell r="C764">
            <v>42468</v>
          </cell>
          <cell r="D764" t="str">
            <v>AH To Go</v>
          </cell>
          <cell r="E764" t="str">
            <v>NL3013AJ19BX</v>
          </cell>
          <cell r="F764">
            <v>497185</v>
          </cell>
          <cell r="G764">
            <v>6778698</v>
          </cell>
          <cell r="H764" t="str">
            <v>P</v>
          </cell>
          <cell r="I764" t="str">
            <v>Stationsplein 19 B</v>
          </cell>
          <cell r="J764" t="str">
            <v>3013AJ</v>
          </cell>
        </row>
        <row r="765">
          <cell r="A765">
            <v>5814</v>
          </cell>
          <cell r="B765"/>
          <cell r="C765"/>
          <cell r="D765" t="str">
            <v>AH To Go</v>
          </cell>
          <cell r="E765" t="str">
            <v>NL6512AB005X</v>
          </cell>
          <cell r="F765">
            <v>650840</v>
          </cell>
          <cell r="G765">
            <v>6764069</v>
          </cell>
          <cell r="H765" t="str">
            <v>T</v>
          </cell>
          <cell r="I765" t="str">
            <v>Stationsplein 5</v>
          </cell>
          <cell r="J765" t="str">
            <v>6512AB</v>
          </cell>
        </row>
        <row r="766">
          <cell r="A766">
            <v>5816</v>
          </cell>
          <cell r="B766"/>
          <cell r="C766"/>
          <cell r="D766" t="str">
            <v>AH To Go</v>
          </cell>
          <cell r="E766" t="str">
            <v>NL5611AD010X</v>
          </cell>
          <cell r="F766">
            <v>609167</v>
          </cell>
          <cell r="G766">
            <v>6692625</v>
          </cell>
          <cell r="H766" t="str">
            <v>T</v>
          </cell>
          <cell r="I766" t="str">
            <v>Neckerspoel 10</v>
          </cell>
          <cell r="J766" t="str">
            <v>5611AD</v>
          </cell>
        </row>
        <row r="767">
          <cell r="A767">
            <v>5817</v>
          </cell>
          <cell r="B767"/>
          <cell r="C767"/>
          <cell r="D767" t="str">
            <v>AH To Go</v>
          </cell>
          <cell r="E767" t="str">
            <v>NL1097DN001X</v>
          </cell>
          <cell r="F767">
            <v>546809</v>
          </cell>
          <cell r="G767">
            <v>6855604</v>
          </cell>
          <cell r="H767" t="str">
            <v>Z</v>
          </cell>
          <cell r="I767" t="str">
            <v>Julianaplein 1</v>
          </cell>
          <cell r="J767" t="str">
            <v>1097DN</v>
          </cell>
        </row>
        <row r="768">
          <cell r="A768">
            <v>5820</v>
          </cell>
          <cell r="B768"/>
          <cell r="C768"/>
          <cell r="D768" t="str">
            <v>AH To Go</v>
          </cell>
          <cell r="E768" t="str">
            <v>NL1062HD035X</v>
          </cell>
          <cell r="F768">
            <v>537528</v>
          </cell>
          <cell r="G768">
            <v>6857268</v>
          </cell>
          <cell r="H768" t="str">
            <v>Z</v>
          </cell>
          <cell r="I768" t="str">
            <v>Cornelis Lelylaan 35</v>
          </cell>
          <cell r="J768" t="str">
            <v>1062HD</v>
          </cell>
        </row>
        <row r="769">
          <cell r="A769">
            <v>5821</v>
          </cell>
          <cell r="B769"/>
          <cell r="C769"/>
          <cell r="D769" t="str">
            <v>AH To Go</v>
          </cell>
          <cell r="E769" t="str">
            <v>NL1115BZ001X</v>
          </cell>
          <cell r="F769">
            <v>548845</v>
          </cell>
          <cell r="G769">
            <v>6851142</v>
          </cell>
          <cell r="H769" t="str">
            <v>Z</v>
          </cell>
          <cell r="I769" t="str">
            <v>Stationsplein 1</v>
          </cell>
          <cell r="J769" t="str">
            <v>1115BZ</v>
          </cell>
        </row>
        <row r="770">
          <cell r="A770">
            <v>5822</v>
          </cell>
          <cell r="B770"/>
          <cell r="C770"/>
          <cell r="D770" t="str">
            <v>AH To Go</v>
          </cell>
          <cell r="E770" t="str">
            <v>NL1012AB014X</v>
          </cell>
          <cell r="F770">
            <v>544532</v>
          </cell>
          <cell r="G770">
            <v>6861342</v>
          </cell>
          <cell r="H770" t="str">
            <v>Z</v>
          </cell>
          <cell r="I770" t="str">
            <v>Stationsplein 13</v>
          </cell>
          <cell r="J770" t="str">
            <v>1012AB</v>
          </cell>
        </row>
        <row r="771">
          <cell r="A771">
            <v>5823</v>
          </cell>
          <cell r="B771"/>
          <cell r="C771"/>
          <cell r="D771" t="str">
            <v>AH To Go</v>
          </cell>
          <cell r="E771" t="str">
            <v>NL6131AS002X</v>
          </cell>
          <cell r="F771">
            <v>651543</v>
          </cell>
          <cell r="G771">
            <v>6614096</v>
          </cell>
          <cell r="H771" t="str">
            <v>T</v>
          </cell>
          <cell r="I771" t="str">
            <v>Stationsplein 2</v>
          </cell>
          <cell r="J771" t="str">
            <v>6131AS</v>
          </cell>
        </row>
        <row r="772">
          <cell r="A772">
            <v>5824</v>
          </cell>
          <cell r="B772"/>
          <cell r="C772"/>
          <cell r="D772" t="str">
            <v>AH To Go</v>
          </cell>
          <cell r="E772" t="str">
            <v>NL7411HB005X</v>
          </cell>
          <cell r="F772">
            <v>684988</v>
          </cell>
          <cell r="G772">
            <v>6839057</v>
          </cell>
          <cell r="H772" t="str">
            <v>O</v>
          </cell>
          <cell r="I772" t="str">
            <v>Stationsplein 5</v>
          </cell>
          <cell r="J772" t="str">
            <v>7411HB</v>
          </cell>
        </row>
        <row r="773">
          <cell r="A773">
            <v>5825</v>
          </cell>
          <cell r="B773"/>
          <cell r="C773"/>
          <cell r="D773" t="str">
            <v>AH To Go</v>
          </cell>
          <cell r="E773" t="str">
            <v>NL3013EA024X</v>
          </cell>
          <cell r="F773">
            <v>497160</v>
          </cell>
          <cell r="G773">
            <v>6778967</v>
          </cell>
          <cell r="H773" t="str">
            <v>P</v>
          </cell>
          <cell r="I773" t="str">
            <v>Stationsplein 16</v>
          </cell>
          <cell r="J773" t="str">
            <v>3013AJ</v>
          </cell>
        </row>
        <row r="774">
          <cell r="A774">
            <v>5826</v>
          </cell>
          <cell r="B774"/>
          <cell r="C774"/>
          <cell r="D774" t="str">
            <v>AH To Go</v>
          </cell>
          <cell r="E774" t="str">
            <v>NL9726AE003X</v>
          </cell>
          <cell r="F774">
            <v>729923</v>
          </cell>
          <cell r="G774">
            <v>7014371</v>
          </cell>
          <cell r="H774" t="str">
            <v>O</v>
          </cell>
          <cell r="I774" t="str">
            <v>Stationsplein 3</v>
          </cell>
          <cell r="J774" t="str">
            <v>9726AE</v>
          </cell>
        </row>
        <row r="775">
          <cell r="A775">
            <v>5827</v>
          </cell>
          <cell r="B775"/>
          <cell r="C775"/>
          <cell r="D775" t="str">
            <v>AH To Go</v>
          </cell>
          <cell r="E775" t="str">
            <v>NL8911AC001X</v>
          </cell>
          <cell r="F775">
            <v>644037</v>
          </cell>
          <cell r="G775">
            <v>7011561</v>
          </cell>
          <cell r="H775" t="str">
            <v>O</v>
          </cell>
          <cell r="I775" t="str">
            <v>Stationsplein 1</v>
          </cell>
          <cell r="J775" t="str">
            <v>8911AC</v>
          </cell>
        </row>
        <row r="776">
          <cell r="A776">
            <v>5828</v>
          </cell>
          <cell r="B776"/>
          <cell r="C776"/>
          <cell r="D776" t="str">
            <v>AH To Go</v>
          </cell>
        </row>
        <row r="777">
          <cell r="A777">
            <v>5829</v>
          </cell>
          <cell r="B777"/>
          <cell r="C777"/>
          <cell r="D777" t="str">
            <v>AH To Go</v>
          </cell>
          <cell r="E777" t="str">
            <v>NL8011CW017X</v>
          </cell>
          <cell r="F777">
            <v>677190</v>
          </cell>
          <cell r="G777">
            <v>6884410</v>
          </cell>
          <cell r="H777" t="str">
            <v>O</v>
          </cell>
          <cell r="I777" t="str">
            <v>Stationsplein 25</v>
          </cell>
          <cell r="J777" t="str">
            <v>8011CW</v>
          </cell>
        </row>
        <row r="778">
          <cell r="A778">
            <v>5830</v>
          </cell>
          <cell r="B778"/>
          <cell r="C778"/>
          <cell r="D778" t="str">
            <v>AH To Go</v>
          </cell>
          <cell r="E778" t="str">
            <v>NL7311NZ008X</v>
          </cell>
          <cell r="F778">
            <v>663812</v>
          </cell>
          <cell r="G778">
            <v>6830456</v>
          </cell>
          <cell r="H778" t="str">
            <v>O</v>
          </cell>
          <cell r="I778" t="str">
            <v>Stationsplein 8</v>
          </cell>
          <cell r="J778" t="str">
            <v>7311NZ</v>
          </cell>
        </row>
        <row r="779">
          <cell r="A779">
            <v>5831</v>
          </cell>
          <cell r="B779"/>
          <cell r="C779"/>
          <cell r="D779" t="str">
            <v>AH To Go</v>
          </cell>
          <cell r="E779" t="str">
            <v>NL6811KL157X</v>
          </cell>
          <cell r="F779">
            <v>656328</v>
          </cell>
          <cell r="G779">
            <v>6789670</v>
          </cell>
          <cell r="H779" t="str">
            <v>O</v>
          </cell>
          <cell r="I779" t="str">
            <v>Stationsplein 157</v>
          </cell>
          <cell r="J779" t="str">
            <v>6811KL</v>
          </cell>
        </row>
        <row r="780">
          <cell r="A780">
            <v>5832</v>
          </cell>
          <cell r="B780"/>
          <cell r="C780"/>
          <cell r="D780" t="str">
            <v>AH To Go</v>
          </cell>
          <cell r="E780" t="str">
            <v>NL3311JV002X</v>
          </cell>
          <cell r="F780">
            <v>519090</v>
          </cell>
          <cell r="G780">
            <v>6757866</v>
          </cell>
          <cell r="H780" t="str">
            <v>P</v>
          </cell>
          <cell r="I780" t="str">
            <v>Stationsplein 2</v>
          </cell>
          <cell r="J780" t="str">
            <v>3311JV</v>
          </cell>
        </row>
        <row r="781">
          <cell r="A781">
            <v>5833</v>
          </cell>
          <cell r="B781"/>
          <cell r="C781"/>
          <cell r="D781" t="str">
            <v>AH To Go</v>
          </cell>
          <cell r="E781" t="str">
            <v>NL1101DS616X</v>
          </cell>
          <cell r="F781">
            <v>550245</v>
          </cell>
          <cell r="G781">
            <v>6849023</v>
          </cell>
          <cell r="H781" t="str">
            <v>Z</v>
          </cell>
          <cell r="I781" t="str">
            <v>Hoekenrode 9</v>
          </cell>
          <cell r="J781" t="str">
            <v>1102BR</v>
          </cell>
        </row>
        <row r="782">
          <cell r="A782">
            <v>5835</v>
          </cell>
          <cell r="B782"/>
          <cell r="C782"/>
          <cell r="D782" t="str">
            <v>AH To Go</v>
          </cell>
          <cell r="E782" t="str">
            <v>NL5657EA025X</v>
          </cell>
          <cell r="F782">
            <v>599647</v>
          </cell>
          <cell r="G782">
            <v>6695473</v>
          </cell>
          <cell r="H782" t="str">
            <v>T</v>
          </cell>
          <cell r="I782" t="str">
            <v>Luchthavenweg 25</v>
          </cell>
          <cell r="J782" t="str">
            <v>5657EA</v>
          </cell>
        </row>
        <row r="783">
          <cell r="A783">
            <v>5837</v>
          </cell>
          <cell r="B783"/>
          <cell r="C783"/>
          <cell r="D783" t="str">
            <v>AH To Go</v>
          </cell>
          <cell r="E783" t="str">
            <v>NL4811BN045X</v>
          </cell>
          <cell r="F783">
            <v>531674</v>
          </cell>
          <cell r="G783">
            <v>6719900</v>
          </cell>
          <cell r="H783" t="str">
            <v>T</v>
          </cell>
          <cell r="I783" t="str">
            <v>Gravinnen van Nassauboulevard 45-46</v>
          </cell>
          <cell r="J783" t="str">
            <v>4811 BN</v>
          </cell>
        </row>
        <row r="784">
          <cell r="A784">
            <v>5838</v>
          </cell>
          <cell r="B784"/>
          <cell r="C784"/>
          <cell r="D784" t="str">
            <v>AH To Go</v>
          </cell>
          <cell r="E784" t="str">
            <v>NL8441BH001X</v>
          </cell>
          <cell r="F784">
            <v>657888</v>
          </cell>
          <cell r="G784">
            <v>6967886</v>
          </cell>
          <cell r="H784" t="str">
            <v>O</v>
          </cell>
          <cell r="I784" t="str">
            <v>Trambaan 11</v>
          </cell>
          <cell r="J784" t="str">
            <v>8441BH</v>
          </cell>
        </row>
        <row r="785">
          <cell r="A785">
            <v>5839</v>
          </cell>
          <cell r="B785" t="str">
            <v>Sluiting</v>
          </cell>
          <cell r="C785" t="str">
            <v>Relocatie 14-04-2016</v>
          </cell>
          <cell r="D785" t="str">
            <v>AH To Go</v>
          </cell>
          <cell r="E785" t="str">
            <v>NL2312AJ003X</v>
          </cell>
          <cell r="F785">
            <v>498413</v>
          </cell>
          <cell r="G785">
            <v>6822395</v>
          </cell>
          <cell r="H785" t="str">
            <v>P</v>
          </cell>
          <cell r="I785" t="str">
            <v>Stationsplein 3</v>
          </cell>
          <cell r="J785" t="str">
            <v>2312AJ</v>
          </cell>
        </row>
        <row r="786">
          <cell r="A786">
            <v>5839</v>
          </cell>
          <cell r="B786" t="str">
            <v>Nieuw</v>
          </cell>
          <cell r="C786">
            <v>42482</v>
          </cell>
          <cell r="D786" t="str">
            <v>AH To Go</v>
          </cell>
          <cell r="E786" t="str">
            <v>NL2312AJ032X</v>
          </cell>
          <cell r="F786">
            <v>498312</v>
          </cell>
          <cell r="G786">
            <v>6822364</v>
          </cell>
          <cell r="H786" t="str">
            <v>P</v>
          </cell>
          <cell r="I786" t="str">
            <v>Stationsplein 32</v>
          </cell>
          <cell r="J786" t="str">
            <v>2312AJ</v>
          </cell>
        </row>
        <row r="787">
          <cell r="A787">
            <v>5840</v>
          </cell>
          <cell r="B787"/>
          <cell r="C787"/>
          <cell r="D787" t="str">
            <v>AH To Go</v>
          </cell>
          <cell r="E787" t="str">
            <v>NL1404AN003X</v>
          </cell>
          <cell r="F787">
            <v>573574</v>
          </cell>
          <cell r="G787">
            <v>6843429</v>
          </cell>
          <cell r="H787" t="str">
            <v>Z</v>
          </cell>
          <cell r="I787" t="str">
            <v>Stationsweg 3</v>
          </cell>
          <cell r="J787" t="str">
            <v>1404AN</v>
          </cell>
        </row>
        <row r="788">
          <cell r="A788">
            <v>5861</v>
          </cell>
          <cell r="B788"/>
          <cell r="C788"/>
          <cell r="D788" t="str">
            <v>AH To Go</v>
          </cell>
          <cell r="E788" t="str">
            <v>NL1082MM019X</v>
          </cell>
          <cell r="F788">
            <v>541835</v>
          </cell>
          <cell r="G788">
            <v>6853831</v>
          </cell>
          <cell r="H788" t="str">
            <v>Z</v>
          </cell>
          <cell r="I788" t="str">
            <v>Spoorslag 19</v>
          </cell>
          <cell r="J788" t="str">
            <v>1082MM</v>
          </cell>
        </row>
        <row r="789">
          <cell r="A789">
            <v>5862</v>
          </cell>
          <cell r="B789"/>
          <cell r="C789"/>
          <cell r="D789" t="str">
            <v>AH To Go</v>
          </cell>
          <cell r="E789" t="str">
            <v>NL3972KA004X</v>
          </cell>
          <cell r="F789">
            <v>584810</v>
          </cell>
          <cell r="G789">
            <v>6804280</v>
          </cell>
          <cell r="H789" t="str">
            <v>Z</v>
          </cell>
          <cell r="I789" t="str">
            <v>Stationsweg 4</v>
          </cell>
          <cell r="J789" t="str">
            <v>3972KA</v>
          </cell>
        </row>
        <row r="790">
          <cell r="A790">
            <v>5865</v>
          </cell>
          <cell r="B790"/>
          <cell r="C790"/>
          <cell r="D790" t="str">
            <v>AH To Go</v>
          </cell>
          <cell r="E790" t="str">
            <v>NL3521AX1000</v>
          </cell>
          <cell r="F790">
            <v>568396</v>
          </cell>
          <cell r="G790">
            <v>6808831</v>
          </cell>
          <cell r="H790" t="str">
            <v>Z</v>
          </cell>
          <cell r="I790" t="str">
            <v>Stationshal 1013</v>
          </cell>
          <cell r="J790" t="str">
            <v>3521AX</v>
          </cell>
        </row>
        <row r="791">
          <cell r="A791">
            <v>5866</v>
          </cell>
          <cell r="B791"/>
          <cell r="C791"/>
          <cell r="D791" t="str">
            <v>AH To Go</v>
          </cell>
          <cell r="E791" t="str">
            <v>NL7551CN001X</v>
          </cell>
          <cell r="F791">
            <v>755443</v>
          </cell>
          <cell r="G791">
            <v>6840041</v>
          </cell>
          <cell r="H791" t="str">
            <v>O</v>
          </cell>
          <cell r="I791" t="str">
            <v>Stationsplein 3</v>
          </cell>
          <cell r="J791" t="str">
            <v>7551CN</v>
          </cell>
        </row>
        <row r="792">
          <cell r="A792">
            <v>5867</v>
          </cell>
          <cell r="B792"/>
          <cell r="C792"/>
          <cell r="D792" t="str">
            <v>AH To Go</v>
          </cell>
          <cell r="E792" t="str">
            <v>NL3521AX1000</v>
          </cell>
          <cell r="F792">
            <v>568360</v>
          </cell>
          <cell r="G792">
            <v>6808846</v>
          </cell>
          <cell r="H792" t="str">
            <v>Z</v>
          </cell>
          <cell r="I792" t="str">
            <v>Stationshal 1015</v>
          </cell>
          <cell r="J792" t="str">
            <v>3521AX</v>
          </cell>
        </row>
        <row r="793">
          <cell r="A793">
            <v>5868</v>
          </cell>
          <cell r="B793"/>
          <cell r="C793"/>
          <cell r="D793" t="str">
            <v>AH To Go</v>
          </cell>
          <cell r="E793" t="str">
            <v>NL1012AB014X</v>
          </cell>
          <cell r="F793">
            <v>544496</v>
          </cell>
          <cell r="G793">
            <v>6861469</v>
          </cell>
          <cell r="H793" t="str">
            <v>Z</v>
          </cell>
          <cell r="I793" t="str">
            <v>Stationsplein 45</v>
          </cell>
          <cell r="J793" t="str">
            <v>1012AB</v>
          </cell>
        </row>
        <row r="794">
          <cell r="A794">
            <v>5869</v>
          </cell>
          <cell r="B794"/>
          <cell r="C794"/>
          <cell r="D794" t="str">
            <v>AH To Go</v>
          </cell>
          <cell r="E794" t="str">
            <v>NL2595AA063X</v>
          </cell>
          <cell r="F794">
            <v>480753</v>
          </cell>
          <cell r="G794">
            <v>6807402</v>
          </cell>
          <cell r="H794" t="str">
            <v>P</v>
          </cell>
          <cell r="I794" t="str">
            <v>Koningin Julianaplein 63</v>
          </cell>
          <cell r="J794" t="str">
            <v>2595AA</v>
          </cell>
        </row>
        <row r="795">
          <cell r="A795">
            <v>5870</v>
          </cell>
          <cell r="B795"/>
          <cell r="C795"/>
          <cell r="D795" t="str">
            <v>AH To Go</v>
          </cell>
          <cell r="E795" t="str">
            <v>NL1012AA024X</v>
          </cell>
          <cell r="F795">
            <v>544532</v>
          </cell>
          <cell r="G795">
            <v>6861342</v>
          </cell>
          <cell r="H795" t="str">
            <v>Z</v>
          </cell>
          <cell r="I795" t="str">
            <v>De Ruijterkade 24</v>
          </cell>
          <cell r="J795" t="str">
            <v>1012AA</v>
          </cell>
        </row>
        <row r="796">
          <cell r="A796">
            <v>5871</v>
          </cell>
          <cell r="B796"/>
          <cell r="C796"/>
          <cell r="D796" t="str">
            <v>AH To Go</v>
          </cell>
          <cell r="E796" t="str">
            <v>NL2803WV015X</v>
          </cell>
          <cell r="F796">
            <v>522988</v>
          </cell>
          <cell r="G796">
            <v>6795795</v>
          </cell>
          <cell r="H796" t="str">
            <v>P</v>
          </cell>
          <cell r="I796" t="str">
            <v>Burgemeester Jamessingel 15</v>
          </cell>
          <cell r="J796" t="str">
            <v>2803WV</v>
          </cell>
        </row>
        <row r="797">
          <cell r="A797">
            <v>5872</v>
          </cell>
          <cell r="B797"/>
          <cell r="C797"/>
          <cell r="D797" t="str">
            <v>AH To Go</v>
          </cell>
          <cell r="E797" t="str">
            <v>NL2611BV011X</v>
          </cell>
          <cell r="F797">
            <v>484394</v>
          </cell>
          <cell r="G797">
            <v>6793953</v>
          </cell>
          <cell r="H797" t="str">
            <v>P</v>
          </cell>
          <cell r="I797" t="str">
            <v>Stationsplein 11</v>
          </cell>
          <cell r="J797" t="str">
            <v>2611BV</v>
          </cell>
        </row>
        <row r="798">
          <cell r="A798">
            <v>5873</v>
          </cell>
          <cell r="B798"/>
          <cell r="C798"/>
          <cell r="D798" t="str">
            <v>AH To Go</v>
          </cell>
          <cell r="E798" t="str">
            <v>NL3521AX1000</v>
          </cell>
          <cell r="F798">
            <v>568360</v>
          </cell>
          <cell r="G798">
            <v>6808846</v>
          </cell>
          <cell r="H798" t="str">
            <v>Z</v>
          </cell>
          <cell r="I798" t="str">
            <v>Stationshal 1002</v>
          </cell>
          <cell r="J798" t="str">
            <v>3521AX</v>
          </cell>
        </row>
        <row r="799">
          <cell r="A799">
            <v>5876</v>
          </cell>
          <cell r="B799"/>
          <cell r="C799"/>
          <cell r="D799" t="str">
            <v>AH To Go</v>
          </cell>
          <cell r="E799" t="str">
            <v>NL5038CB0005X</v>
          </cell>
          <cell r="F799">
            <v>565133</v>
          </cell>
          <cell r="G799">
            <v>6713529</v>
          </cell>
          <cell r="H799" t="str">
            <v>T</v>
          </cell>
          <cell r="I799" t="str">
            <v>Stationspassage 5</v>
          </cell>
          <cell r="J799" t="str">
            <v>5038CB</v>
          </cell>
        </row>
        <row r="800">
          <cell r="A800">
            <v>5874</v>
          </cell>
          <cell r="B800"/>
          <cell r="C800"/>
          <cell r="D800" t="str">
            <v>AH To Go</v>
          </cell>
          <cell r="E800" t="str">
            <v>NL1815CB049X</v>
          </cell>
          <cell r="F800">
            <v>527234</v>
          </cell>
          <cell r="G800">
            <v>6908494</v>
          </cell>
          <cell r="H800" t="str">
            <v>Z</v>
          </cell>
          <cell r="I800" t="str">
            <v>Stationsweg 49</v>
          </cell>
          <cell r="J800" t="str">
            <v>1815CB</v>
          </cell>
        </row>
        <row r="801">
          <cell r="A801">
            <v>5875</v>
          </cell>
          <cell r="B801"/>
          <cell r="C801"/>
          <cell r="D801" t="str">
            <v>AH To Go</v>
          </cell>
          <cell r="E801" t="str">
            <v>NL8017JR003X</v>
          </cell>
          <cell r="F801">
            <v>677427</v>
          </cell>
          <cell r="G801">
            <v>6884260</v>
          </cell>
          <cell r="H801" t="str">
            <v>O</v>
          </cell>
          <cell r="I801" t="str">
            <v>Stations passage 1-3</v>
          </cell>
          <cell r="J801" t="str">
            <v>8017JR</v>
          </cell>
        </row>
        <row r="802">
          <cell r="A802">
            <v>5877</v>
          </cell>
          <cell r="B802" t="str">
            <v>Gaat niet open</v>
          </cell>
          <cell r="C802"/>
          <cell r="D802" t="str">
            <v>AH To Go</v>
          </cell>
          <cell r="E802" t="str">
            <v>NL1083AD006X</v>
          </cell>
          <cell r="F802">
            <v>543704</v>
          </cell>
          <cell r="G802">
            <v>6851941</v>
          </cell>
          <cell r="H802" t="str">
            <v>Z</v>
          </cell>
          <cell r="I802" t="str">
            <v>Europaboulevard 6</v>
          </cell>
          <cell r="J802" t="str">
            <v>1083AD</v>
          </cell>
        </row>
        <row r="803">
          <cell r="A803">
            <v>5921</v>
          </cell>
          <cell r="B803"/>
          <cell r="C803"/>
          <cell r="D803" t="str">
            <v>AH To Go</v>
          </cell>
          <cell r="E803" t="str">
            <v>NL3067GC050X</v>
          </cell>
          <cell r="F803">
            <v>506276</v>
          </cell>
          <cell r="G803">
            <v>6783676</v>
          </cell>
          <cell r="H803" t="str">
            <v>P</v>
          </cell>
          <cell r="I803" t="str">
            <v>Prins Alexanderplein 50</v>
          </cell>
          <cell r="J803" t="str">
            <v>3067GC</v>
          </cell>
        </row>
        <row r="804">
          <cell r="A804">
            <v>8500</v>
          </cell>
          <cell r="B804"/>
          <cell r="C804"/>
          <cell r="D804" t="str">
            <v>AH Franchise</v>
          </cell>
          <cell r="E804" t="str">
            <v>NL7232CX002X</v>
          </cell>
          <cell r="F804">
            <v>692650</v>
          </cell>
          <cell r="G804">
            <v>6816983</v>
          </cell>
          <cell r="H804" t="str">
            <v>O</v>
          </cell>
          <cell r="I804" t="str">
            <v>Runneboom 2</v>
          </cell>
          <cell r="J804" t="str">
            <v>7232CX</v>
          </cell>
        </row>
        <row r="805">
          <cell r="A805">
            <v>8502</v>
          </cell>
          <cell r="B805"/>
          <cell r="C805"/>
          <cell r="D805" t="str">
            <v>AH Franchise</v>
          </cell>
          <cell r="E805" t="str">
            <v>NL6981DV012X</v>
          </cell>
          <cell r="F805">
            <v>682206</v>
          </cell>
          <cell r="G805">
            <v>6794877</v>
          </cell>
          <cell r="H805" t="str">
            <v>O</v>
          </cell>
          <cell r="I805" t="str">
            <v>Ooipoortstraat 12</v>
          </cell>
          <cell r="J805" t="str">
            <v>6981DV</v>
          </cell>
        </row>
        <row r="806">
          <cell r="A806">
            <v>8503</v>
          </cell>
          <cell r="B806"/>
          <cell r="C806"/>
          <cell r="D806" t="str">
            <v>AH Franchise</v>
          </cell>
          <cell r="E806" t="str">
            <v>NL7141AM040X</v>
          </cell>
          <cell r="F806">
            <v>735326</v>
          </cell>
          <cell r="G806">
            <v>6800328</v>
          </cell>
          <cell r="H806" t="str">
            <v>O</v>
          </cell>
          <cell r="I806" t="str">
            <v>Beltrumsestraat 40</v>
          </cell>
          <cell r="J806" t="str">
            <v>7141AM</v>
          </cell>
        </row>
        <row r="807">
          <cell r="A807">
            <v>8504</v>
          </cell>
          <cell r="B807"/>
          <cell r="C807"/>
          <cell r="D807" t="str">
            <v>AH Franchise</v>
          </cell>
          <cell r="E807" t="str">
            <v>NL1182GP073X</v>
          </cell>
          <cell r="F807">
            <v>538794</v>
          </cell>
          <cell r="G807">
            <v>6848197</v>
          </cell>
          <cell r="H807" t="str">
            <v>Z</v>
          </cell>
          <cell r="I807" t="str">
            <v>Amsterdamseweg 73</v>
          </cell>
          <cell r="J807" t="str">
            <v>1182GP</v>
          </cell>
        </row>
        <row r="808">
          <cell r="A808">
            <v>8507</v>
          </cell>
          <cell r="B808"/>
          <cell r="C808"/>
          <cell r="D808" t="str">
            <v>AH Franchise</v>
          </cell>
          <cell r="E808" t="str">
            <v>NL3981EN003X</v>
          </cell>
          <cell r="F808">
            <v>578130</v>
          </cell>
          <cell r="G808">
            <v>6804772</v>
          </cell>
          <cell r="H808" t="str">
            <v>Z</v>
          </cell>
          <cell r="I808" t="str">
            <v>Van Hardenbroeklaan 3</v>
          </cell>
          <cell r="J808" t="str">
            <v>3981EN</v>
          </cell>
        </row>
        <row r="809">
          <cell r="A809">
            <v>8508</v>
          </cell>
          <cell r="B809"/>
          <cell r="C809"/>
          <cell r="D809" t="str">
            <v>AH Franchise</v>
          </cell>
          <cell r="E809" t="str">
            <v>NL5571HB037X</v>
          </cell>
          <cell r="F809">
            <v>595685</v>
          </cell>
          <cell r="G809">
            <v>6670288</v>
          </cell>
          <cell r="H809" t="str">
            <v>T</v>
          </cell>
          <cell r="I809" t="str">
            <v>Burg Magneestraat 37</v>
          </cell>
          <cell r="J809" t="str">
            <v>5571HB</v>
          </cell>
        </row>
        <row r="810">
          <cell r="A810">
            <v>8509</v>
          </cell>
          <cell r="B810"/>
          <cell r="C810"/>
          <cell r="D810" t="str">
            <v>AH Franchise</v>
          </cell>
          <cell r="E810" t="str">
            <v>NL3362AA024X</v>
          </cell>
          <cell r="F810">
            <v>531269</v>
          </cell>
          <cell r="G810">
            <v>6760357</v>
          </cell>
          <cell r="H810" t="str">
            <v>P</v>
          </cell>
          <cell r="I810" t="str">
            <v>Burg Winklerplein 24</v>
          </cell>
          <cell r="J810" t="str">
            <v>3362AA</v>
          </cell>
        </row>
        <row r="811">
          <cell r="A811">
            <v>8510</v>
          </cell>
          <cell r="B811"/>
          <cell r="C811"/>
          <cell r="D811" t="str">
            <v>AH Franchise</v>
          </cell>
          <cell r="E811" t="str">
            <v>NL5591HD069X</v>
          </cell>
          <cell r="F811">
            <v>620348</v>
          </cell>
          <cell r="G811">
            <v>6681380</v>
          </cell>
          <cell r="H811" t="str">
            <v>T</v>
          </cell>
          <cell r="I811" t="str">
            <v>Kapelstraat 69</v>
          </cell>
          <cell r="J811" t="str">
            <v>5591HD</v>
          </cell>
        </row>
        <row r="812">
          <cell r="A812">
            <v>8511</v>
          </cell>
          <cell r="B812"/>
          <cell r="C812"/>
          <cell r="D812" t="str">
            <v>AH Franchise</v>
          </cell>
          <cell r="E812" t="str">
            <v>NL5831JK136X</v>
          </cell>
          <cell r="F812">
            <v>661366</v>
          </cell>
          <cell r="G812">
            <v>6729154</v>
          </cell>
          <cell r="H812" t="str">
            <v>T</v>
          </cell>
          <cell r="I812" t="str">
            <v>Steenstraat 136</v>
          </cell>
          <cell r="J812" t="str">
            <v>5831JK</v>
          </cell>
        </row>
        <row r="813">
          <cell r="A813">
            <v>8512</v>
          </cell>
          <cell r="B813"/>
          <cell r="C813"/>
          <cell r="D813" t="str">
            <v>AH Franchise</v>
          </cell>
          <cell r="E813" t="str">
            <v>NL1363CA002X</v>
          </cell>
          <cell r="F813">
            <v>572982</v>
          </cell>
          <cell r="G813">
            <v>6855314</v>
          </cell>
          <cell r="H813" t="str">
            <v>Z</v>
          </cell>
          <cell r="I813" t="str">
            <v>Hongarijeplaats 2</v>
          </cell>
          <cell r="J813" t="str">
            <v>1363CA</v>
          </cell>
        </row>
        <row r="814">
          <cell r="A814">
            <v>8513</v>
          </cell>
          <cell r="B814"/>
          <cell r="C814"/>
          <cell r="D814" t="str">
            <v>AH Franchise</v>
          </cell>
          <cell r="E814" t="str">
            <v>NL1261AW008X</v>
          </cell>
          <cell r="F814">
            <v>582999</v>
          </cell>
          <cell r="G814">
            <v>6842081</v>
          </cell>
          <cell r="H814" t="str">
            <v>Z</v>
          </cell>
          <cell r="I814" t="str">
            <v>Huizerweg 8</v>
          </cell>
          <cell r="J814" t="str">
            <v>1261AW</v>
          </cell>
        </row>
        <row r="815">
          <cell r="A815">
            <v>8514</v>
          </cell>
          <cell r="B815"/>
          <cell r="C815"/>
          <cell r="D815" t="str">
            <v>AH Franchise</v>
          </cell>
          <cell r="E815" t="str">
            <v>NL1161CL045X</v>
          </cell>
          <cell r="F815">
            <v>528184</v>
          </cell>
          <cell r="G815">
            <v>6861294</v>
          </cell>
          <cell r="H815" t="str">
            <v>Z</v>
          </cell>
          <cell r="I815" t="str">
            <v>Dennenlaan 45</v>
          </cell>
          <cell r="J815" t="str">
            <v>1161CL</v>
          </cell>
        </row>
        <row r="816">
          <cell r="A816">
            <v>8515</v>
          </cell>
          <cell r="B816"/>
          <cell r="C816"/>
          <cell r="D816" t="str">
            <v>AH Franchise</v>
          </cell>
          <cell r="E816" t="str">
            <v>NL1069LA212X</v>
          </cell>
          <cell r="F816">
            <v>533709</v>
          </cell>
          <cell r="G816">
            <v>6856448</v>
          </cell>
          <cell r="H816" t="str">
            <v>Z</v>
          </cell>
          <cell r="I816" t="str">
            <v>Pieter Calandlaan 212</v>
          </cell>
          <cell r="J816" t="str">
            <v>1069LA</v>
          </cell>
        </row>
        <row r="817">
          <cell r="A817">
            <v>8520</v>
          </cell>
          <cell r="B817"/>
          <cell r="C817"/>
          <cell r="D817" t="str">
            <v>AH Franchise</v>
          </cell>
          <cell r="E817" t="str">
            <v>NL7151BS002X</v>
          </cell>
          <cell r="F817">
            <v>738904</v>
          </cell>
          <cell r="G817">
            <v>6811077</v>
          </cell>
          <cell r="H817" t="str">
            <v>O</v>
          </cell>
          <cell r="I817" t="str">
            <v>Laagte 2</v>
          </cell>
          <cell r="J817" t="str">
            <v>7151BS</v>
          </cell>
        </row>
        <row r="818">
          <cell r="A818">
            <v>8521</v>
          </cell>
          <cell r="B818"/>
          <cell r="C818"/>
          <cell r="D818" t="str">
            <v>AH Franchise</v>
          </cell>
          <cell r="E818" t="str">
            <v>NL6665CN007X</v>
          </cell>
          <cell r="F818">
            <v>646379</v>
          </cell>
          <cell r="G818">
            <v>6785440</v>
          </cell>
          <cell r="H818" t="str">
            <v>T</v>
          </cell>
          <cell r="I818" t="str">
            <v>Polenplein 24</v>
          </cell>
          <cell r="J818" t="str">
            <v>6665CN</v>
          </cell>
        </row>
        <row r="819">
          <cell r="A819">
            <v>8522</v>
          </cell>
          <cell r="B819"/>
          <cell r="C819"/>
          <cell r="D819" t="str">
            <v>AH Franchise</v>
          </cell>
          <cell r="E819" t="str">
            <v>NL2636GK015X</v>
          </cell>
          <cell r="F819">
            <v>480040</v>
          </cell>
          <cell r="G819">
            <v>6788220</v>
          </cell>
          <cell r="H819" t="str">
            <v>P</v>
          </cell>
          <cell r="I819" t="str">
            <v>Keenenburgweg 15</v>
          </cell>
          <cell r="J819" t="str">
            <v>2636GK</v>
          </cell>
        </row>
        <row r="820">
          <cell r="A820">
            <v>8523</v>
          </cell>
          <cell r="B820"/>
          <cell r="C820"/>
          <cell r="D820" t="str">
            <v>AH Franchise</v>
          </cell>
          <cell r="E820" t="str">
            <v>NL8321RG042X</v>
          </cell>
          <cell r="F820">
            <v>625345</v>
          </cell>
          <cell r="G820">
            <v>6913050</v>
          </cell>
          <cell r="H820" t="str">
            <v>O</v>
          </cell>
          <cell r="I820" t="str">
            <v>Nagel 42</v>
          </cell>
          <cell r="J820" t="str">
            <v>8321RG</v>
          </cell>
        </row>
        <row r="821">
          <cell r="A821">
            <v>8524</v>
          </cell>
          <cell r="B821"/>
          <cell r="C821"/>
          <cell r="D821" t="str">
            <v>AH Franchise</v>
          </cell>
          <cell r="E821" t="str">
            <v>NL4561GC017X</v>
          </cell>
          <cell r="F821">
            <v>449627</v>
          </cell>
          <cell r="G821">
            <v>6662954</v>
          </cell>
          <cell r="H821" t="str">
            <v>T</v>
          </cell>
          <cell r="I821" t="str">
            <v>Stationsplein 17</v>
          </cell>
          <cell r="J821" t="str">
            <v>4561GC</v>
          </cell>
        </row>
        <row r="822">
          <cell r="A822">
            <v>8525</v>
          </cell>
          <cell r="B822"/>
          <cell r="C822"/>
          <cell r="D822" t="str">
            <v>AH Franchise</v>
          </cell>
          <cell r="E822" t="str">
            <v>NL9861AD007X</v>
          </cell>
          <cell r="F822">
            <v>697665</v>
          </cell>
          <cell r="G822">
            <v>7014571</v>
          </cell>
          <cell r="H822" t="str">
            <v>O</v>
          </cell>
          <cell r="I822" t="str">
            <v>Hoofdstraat 135</v>
          </cell>
          <cell r="J822" t="str">
            <v>9861AD</v>
          </cell>
        </row>
        <row r="823">
          <cell r="A823">
            <v>8526</v>
          </cell>
          <cell r="B823"/>
          <cell r="C823"/>
          <cell r="D823" t="str">
            <v>AH Franchise</v>
          </cell>
          <cell r="E823" t="str">
            <v>NL8131DB002X</v>
          </cell>
          <cell r="F823">
            <v>682237</v>
          </cell>
          <cell r="G823">
            <v>6863225</v>
          </cell>
          <cell r="H823" t="str">
            <v>O</v>
          </cell>
          <cell r="I823" t="str">
            <v>Oranjelaan 2</v>
          </cell>
          <cell r="J823" t="str">
            <v>8131DB</v>
          </cell>
        </row>
        <row r="824">
          <cell r="A824">
            <v>8527</v>
          </cell>
          <cell r="B824"/>
          <cell r="C824"/>
          <cell r="D824" t="str">
            <v>AH Franchise</v>
          </cell>
          <cell r="E824" t="str">
            <v>NL3931ED027X</v>
          </cell>
          <cell r="F824">
            <v>602305</v>
          </cell>
          <cell r="G824">
            <v>6807477</v>
          </cell>
          <cell r="H824" t="str">
            <v>Z</v>
          </cell>
          <cell r="I824" t="str">
            <v>Dorpsstraat 27</v>
          </cell>
          <cell r="J824" t="str">
            <v>3931ED</v>
          </cell>
        </row>
        <row r="825">
          <cell r="A825">
            <v>8529</v>
          </cell>
          <cell r="B825"/>
          <cell r="C825"/>
          <cell r="D825" t="str">
            <v>AH Franchise</v>
          </cell>
          <cell r="E825" t="str">
            <v>NL6671KA015X</v>
          </cell>
          <cell r="F825">
            <v>635290</v>
          </cell>
          <cell r="G825">
            <v>6779924</v>
          </cell>
          <cell r="H825" t="str">
            <v>T</v>
          </cell>
          <cell r="I825" t="str">
            <v>Beatrixplein 15</v>
          </cell>
          <cell r="J825" t="str">
            <v>6671KA</v>
          </cell>
        </row>
        <row r="826">
          <cell r="A826">
            <v>8531</v>
          </cell>
          <cell r="B826"/>
          <cell r="C826"/>
          <cell r="D826" t="str">
            <v>AH Franchise</v>
          </cell>
          <cell r="E826" t="str">
            <v>NL5981AT021X</v>
          </cell>
          <cell r="F826">
            <v>665007</v>
          </cell>
          <cell r="G826">
            <v>6671956</v>
          </cell>
          <cell r="H826" t="str">
            <v>T</v>
          </cell>
          <cell r="I826" t="str">
            <v>Raadhuisplein 16</v>
          </cell>
          <cell r="J826" t="str">
            <v>5981AT</v>
          </cell>
        </row>
        <row r="827">
          <cell r="A827">
            <v>8532</v>
          </cell>
          <cell r="B827"/>
          <cell r="C827"/>
          <cell r="D827" t="str">
            <v>AH Franchise</v>
          </cell>
          <cell r="E827" t="str">
            <v>NL3454CJ013X</v>
          </cell>
          <cell r="F827">
            <v>560227</v>
          </cell>
          <cell r="G827">
            <v>6806760</v>
          </cell>
          <cell r="H827" t="str">
            <v>P</v>
          </cell>
          <cell r="I827" t="str">
            <v>Mereveldplein 13</v>
          </cell>
          <cell r="J827" t="str">
            <v>3454CJ</v>
          </cell>
        </row>
        <row r="828">
          <cell r="A828">
            <v>8533</v>
          </cell>
          <cell r="B828"/>
          <cell r="C828"/>
          <cell r="D828" t="str">
            <v>AH Franchise</v>
          </cell>
          <cell r="E828" t="str">
            <v>NL4741AN010X</v>
          </cell>
          <cell r="F828">
            <v>509515</v>
          </cell>
          <cell r="G828">
            <v>6717354</v>
          </cell>
          <cell r="H828" t="str">
            <v>T</v>
          </cell>
          <cell r="I828" t="str">
            <v>St. Janstraat 91</v>
          </cell>
          <cell r="J828" t="str">
            <v>4741AN</v>
          </cell>
        </row>
        <row r="829">
          <cell r="A829">
            <v>8536</v>
          </cell>
          <cell r="B829"/>
          <cell r="C829"/>
          <cell r="D829" t="str">
            <v>AH Franchise</v>
          </cell>
          <cell r="E829" t="str">
            <v>NL5076AZ001X</v>
          </cell>
          <cell r="F829">
            <v>581095</v>
          </cell>
          <cell r="G829">
            <v>6720918</v>
          </cell>
          <cell r="H829" t="str">
            <v>T</v>
          </cell>
          <cell r="I829" t="str">
            <v>Monseigneur Bekkersplein 3</v>
          </cell>
          <cell r="J829" t="str">
            <v>5076AZ</v>
          </cell>
        </row>
        <row r="830">
          <cell r="A830">
            <v>8538</v>
          </cell>
          <cell r="B830"/>
          <cell r="C830"/>
          <cell r="D830" t="str">
            <v>AH Franchise</v>
          </cell>
          <cell r="E830" t="str">
            <v>NL3381EA012X</v>
          </cell>
          <cell r="F830">
            <v>543365</v>
          </cell>
          <cell r="G830">
            <v>6765855</v>
          </cell>
          <cell r="H830" t="str">
            <v>T</v>
          </cell>
          <cell r="I830" t="str">
            <v>Lijnbaanplein 12</v>
          </cell>
          <cell r="J830" t="str">
            <v>3381EA</v>
          </cell>
        </row>
        <row r="831">
          <cell r="A831">
            <v>8539</v>
          </cell>
          <cell r="B831"/>
          <cell r="C831"/>
          <cell r="D831" t="str">
            <v>AH Franchise</v>
          </cell>
          <cell r="E831" t="str">
            <v>NL9745AA027X</v>
          </cell>
          <cell r="F831">
            <v>722875</v>
          </cell>
          <cell r="G831">
            <v>7014923</v>
          </cell>
          <cell r="H831" t="str">
            <v>O</v>
          </cell>
          <cell r="I831" t="str">
            <v>Zuiderweg 27</v>
          </cell>
          <cell r="J831" t="str">
            <v>9745AA</v>
          </cell>
        </row>
        <row r="832">
          <cell r="A832">
            <v>8541</v>
          </cell>
          <cell r="B832"/>
          <cell r="C832"/>
          <cell r="D832" t="str">
            <v>AH Franchise</v>
          </cell>
          <cell r="E832" t="str">
            <v>NL3161AJ037X</v>
          </cell>
          <cell r="F832">
            <v>491379</v>
          </cell>
          <cell r="G832">
            <v>6766766</v>
          </cell>
          <cell r="H832" t="str">
            <v>P</v>
          </cell>
          <cell r="I832" t="str">
            <v>Julianastraat 37</v>
          </cell>
          <cell r="J832" t="str">
            <v>3161AJ</v>
          </cell>
        </row>
        <row r="833">
          <cell r="A833">
            <v>8542</v>
          </cell>
          <cell r="B833"/>
          <cell r="C833"/>
          <cell r="D833" t="str">
            <v>AH Franchise</v>
          </cell>
          <cell r="E833" t="str">
            <v>NL4571EW003X</v>
          </cell>
          <cell r="F833">
            <v>434597</v>
          </cell>
          <cell r="G833">
            <v>6661199</v>
          </cell>
          <cell r="H833" t="str">
            <v>T</v>
          </cell>
          <cell r="I833" t="str">
            <v>Szydlowskiplein 20</v>
          </cell>
          <cell r="J833" t="str">
            <v>4571EW</v>
          </cell>
        </row>
        <row r="834">
          <cell r="A834">
            <v>8543</v>
          </cell>
          <cell r="B834"/>
          <cell r="C834"/>
          <cell r="D834" t="str">
            <v>AH Franchise</v>
          </cell>
          <cell r="E834" t="str">
            <v>NL4651TM001X</v>
          </cell>
          <cell r="F834">
            <v>479694</v>
          </cell>
          <cell r="G834">
            <v>6718255</v>
          </cell>
          <cell r="H834" t="str">
            <v>P</v>
          </cell>
          <cell r="I834" t="str">
            <v>Lindenburghlaan 1</v>
          </cell>
          <cell r="J834" t="str">
            <v>4651TM</v>
          </cell>
        </row>
        <row r="835">
          <cell r="A835">
            <v>8544</v>
          </cell>
          <cell r="B835"/>
          <cell r="C835"/>
          <cell r="D835" t="str">
            <v>AH Franchise</v>
          </cell>
          <cell r="E835" t="str">
            <v>NL3284AP052X</v>
          </cell>
          <cell r="F835">
            <v>485659</v>
          </cell>
          <cell r="G835">
            <v>6747585</v>
          </cell>
          <cell r="H835" t="str">
            <v>P</v>
          </cell>
          <cell r="I835" t="str">
            <v>Gravin Sabinastraat 52</v>
          </cell>
          <cell r="J835" t="str">
            <v>3284AP</v>
          </cell>
        </row>
        <row r="836">
          <cell r="A836">
            <v>8545</v>
          </cell>
          <cell r="B836"/>
          <cell r="C836"/>
          <cell r="D836" t="str">
            <v>AH Franchise</v>
          </cell>
          <cell r="E836" t="str">
            <v>NL6991GH032X</v>
          </cell>
          <cell r="F836">
            <v>671181</v>
          </cell>
          <cell r="G836">
            <v>6793293</v>
          </cell>
          <cell r="H836" t="str">
            <v>O</v>
          </cell>
          <cell r="I836" t="str">
            <v>Groenestraat 78</v>
          </cell>
          <cell r="J836" t="str">
            <v>6991GH</v>
          </cell>
        </row>
        <row r="837">
          <cell r="A837">
            <v>8548</v>
          </cell>
          <cell r="B837"/>
          <cell r="C837"/>
          <cell r="D837" t="str">
            <v>AH Franchise</v>
          </cell>
          <cell r="E837" t="str">
            <v>NL9645LN060X</v>
          </cell>
          <cell r="F837">
            <v>765509</v>
          </cell>
          <cell r="G837">
            <v>6995803</v>
          </cell>
          <cell r="H837" t="str">
            <v>O</v>
          </cell>
          <cell r="I837" t="str">
            <v>Beneden Oosterdiep 165</v>
          </cell>
          <cell r="J837" t="str">
            <v>9645LN</v>
          </cell>
        </row>
        <row r="838">
          <cell r="A838">
            <v>8549</v>
          </cell>
          <cell r="B838"/>
          <cell r="C838"/>
          <cell r="D838" t="str">
            <v>AH Franchise</v>
          </cell>
          <cell r="E838" t="str">
            <v>NL9801BH005X</v>
          </cell>
          <cell r="F838">
            <v>712806</v>
          </cell>
          <cell r="G838">
            <v>7020454</v>
          </cell>
          <cell r="H838" t="str">
            <v>O</v>
          </cell>
          <cell r="I838" t="str">
            <v>Burg Kruisingalaan 5</v>
          </cell>
          <cell r="J838" t="str">
            <v>9801BH</v>
          </cell>
        </row>
        <row r="839">
          <cell r="A839">
            <v>8550</v>
          </cell>
          <cell r="B839" t="str">
            <v>Sluiting</v>
          </cell>
          <cell r="C839" t="str">
            <v>Relocatie week 19</v>
          </cell>
          <cell r="D839" t="str">
            <v>AH Franchise</v>
          </cell>
          <cell r="E839" t="str">
            <v>NL1749AC002X</v>
          </cell>
          <cell r="F839">
            <v>526935</v>
          </cell>
          <cell r="G839">
            <v>6924066</v>
          </cell>
          <cell r="H839" t="str">
            <v>Z</v>
          </cell>
          <cell r="I839" t="str">
            <v>Dorpsstraat 165</v>
          </cell>
          <cell r="J839" t="str">
            <v>1749AC</v>
          </cell>
        </row>
        <row r="840">
          <cell r="A840">
            <v>8550</v>
          </cell>
          <cell r="B840" t="str">
            <v>Nieuw</v>
          </cell>
          <cell r="C840" t="str">
            <v>Week 19</v>
          </cell>
          <cell r="D840" t="str">
            <v>AH Franchise</v>
          </cell>
          <cell r="E840" t="str">
            <v>NL1749GX008X</v>
          </cell>
          <cell r="F840">
            <v>526812</v>
          </cell>
          <cell r="G840">
            <v>6924195</v>
          </cell>
          <cell r="H840" t="str">
            <v>Z</v>
          </cell>
          <cell r="I840" t="str">
            <v>Theresiaplein 8</v>
          </cell>
          <cell r="J840" t="str">
            <v>1749GX</v>
          </cell>
        </row>
        <row r="841">
          <cell r="A841">
            <v>8551</v>
          </cell>
          <cell r="B841"/>
          <cell r="C841"/>
          <cell r="D841" t="str">
            <v>AH Franchise</v>
          </cell>
          <cell r="E841" t="str">
            <v>NL1433KJ103X</v>
          </cell>
          <cell r="F841">
            <v>528097</v>
          </cell>
          <cell r="G841">
            <v>6834972</v>
          </cell>
          <cell r="H841" t="str">
            <v>Z</v>
          </cell>
          <cell r="I841" t="str">
            <v>Einsteinstraat 103</v>
          </cell>
          <cell r="J841" t="str">
            <v>1433KJ</v>
          </cell>
        </row>
        <row r="842">
          <cell r="A842">
            <v>8553</v>
          </cell>
          <cell r="B842"/>
          <cell r="C842"/>
          <cell r="D842" t="str">
            <v>AH Franchise</v>
          </cell>
          <cell r="E842" t="str">
            <v>NL8051JM007X</v>
          </cell>
          <cell r="F842">
            <v>673278</v>
          </cell>
          <cell r="G842">
            <v>6879328</v>
          </cell>
          <cell r="H842" t="str">
            <v>O</v>
          </cell>
          <cell r="I842" t="str">
            <v>Vechtstraat 7</v>
          </cell>
          <cell r="J842" t="str">
            <v>8051JM</v>
          </cell>
        </row>
        <row r="843">
          <cell r="A843">
            <v>8554</v>
          </cell>
          <cell r="B843"/>
          <cell r="C843"/>
          <cell r="D843" t="str">
            <v>AH Franchise</v>
          </cell>
          <cell r="E843" t="str">
            <v>NL1906BS001X</v>
          </cell>
          <cell r="F843">
            <v>522140</v>
          </cell>
          <cell r="G843">
            <v>6896315</v>
          </cell>
          <cell r="H843" t="str">
            <v>Z</v>
          </cell>
          <cell r="I843" t="str">
            <v>Vuurbaak 1</v>
          </cell>
          <cell r="J843" t="str">
            <v>1906BS</v>
          </cell>
        </row>
        <row r="844">
          <cell r="A844">
            <v>8555</v>
          </cell>
          <cell r="B844"/>
          <cell r="C844"/>
          <cell r="D844" t="str">
            <v>AH Franchise</v>
          </cell>
          <cell r="E844" t="str">
            <v>NL5384MC011X</v>
          </cell>
          <cell r="F844">
            <v>614911</v>
          </cell>
          <cell r="G844">
            <v>6745058</v>
          </cell>
          <cell r="H844" t="str">
            <v>T</v>
          </cell>
          <cell r="I844" t="str">
            <v>'t Dorp 40</v>
          </cell>
          <cell r="J844" t="str">
            <v>5384MC</v>
          </cell>
        </row>
        <row r="845">
          <cell r="A845">
            <v>8556</v>
          </cell>
          <cell r="B845"/>
          <cell r="C845"/>
          <cell r="D845" t="str">
            <v>AH Franchise</v>
          </cell>
          <cell r="E845" t="str">
            <v>NL3291AL018X</v>
          </cell>
          <cell r="F845">
            <v>506353</v>
          </cell>
          <cell r="G845">
            <v>6746449</v>
          </cell>
          <cell r="H845" t="str">
            <v>P</v>
          </cell>
          <cell r="I845" t="str">
            <v>Kerkstraat 18</v>
          </cell>
          <cell r="J845" t="str">
            <v>3291AL</v>
          </cell>
        </row>
        <row r="846">
          <cell r="A846">
            <v>8557</v>
          </cell>
          <cell r="B846"/>
          <cell r="C846"/>
          <cell r="D846" t="str">
            <v>AH Franchise</v>
          </cell>
          <cell r="E846" t="str">
            <v>NL3218AW005X</v>
          </cell>
          <cell r="F846">
            <v>472192</v>
          </cell>
          <cell r="G846">
            <v>6767882</v>
          </cell>
          <cell r="H846" t="str">
            <v>P</v>
          </cell>
          <cell r="I846" t="str">
            <v>Toldam 5</v>
          </cell>
          <cell r="J846" t="str">
            <v>3218AW</v>
          </cell>
        </row>
        <row r="847">
          <cell r="A847">
            <v>8558</v>
          </cell>
          <cell r="B847"/>
          <cell r="C847"/>
          <cell r="D847" t="str">
            <v>AH Franchise</v>
          </cell>
          <cell r="E847" t="str">
            <v>NL4191XT008X</v>
          </cell>
          <cell r="F847">
            <v>589226</v>
          </cell>
          <cell r="G847">
            <v>6772087</v>
          </cell>
          <cell r="H847" t="str">
            <v>T</v>
          </cell>
          <cell r="I847" t="str">
            <v>Prinses Maximaplein 8</v>
          </cell>
          <cell r="J847" t="str">
            <v>4191XT</v>
          </cell>
        </row>
        <row r="848">
          <cell r="A848">
            <v>8559</v>
          </cell>
          <cell r="B848"/>
          <cell r="C848"/>
          <cell r="D848" t="str">
            <v>AH Franchise</v>
          </cell>
          <cell r="E848" t="str">
            <v>NL3991DK001X</v>
          </cell>
          <cell r="F848">
            <v>574019</v>
          </cell>
          <cell r="G848">
            <v>6797298</v>
          </cell>
          <cell r="H848" t="str">
            <v>Z</v>
          </cell>
          <cell r="I848" t="str">
            <v>Plein 13</v>
          </cell>
          <cell r="J848" t="str">
            <v>3991DK</v>
          </cell>
        </row>
        <row r="849">
          <cell r="A849">
            <v>8560</v>
          </cell>
          <cell r="B849"/>
          <cell r="C849"/>
          <cell r="D849" t="str">
            <v>AH Franchise</v>
          </cell>
          <cell r="E849" t="str">
            <v>NL1313EV017X</v>
          </cell>
          <cell r="F849">
            <v>578026</v>
          </cell>
          <cell r="G849">
            <v>6861911</v>
          </cell>
          <cell r="H849" t="str">
            <v>Z</v>
          </cell>
          <cell r="I849" t="str">
            <v>Lavendelplantsoen 60</v>
          </cell>
          <cell r="J849" t="str">
            <v>1313GA</v>
          </cell>
        </row>
        <row r="850">
          <cell r="A850">
            <v>8561</v>
          </cell>
          <cell r="B850"/>
          <cell r="C850"/>
          <cell r="D850" t="str">
            <v>AH Franchise</v>
          </cell>
          <cell r="E850" t="str">
            <v>NL5582JZ004X</v>
          </cell>
          <cell r="F850">
            <v>608810</v>
          </cell>
          <cell r="G850">
            <v>6684094</v>
          </cell>
          <cell r="H850" t="str">
            <v>T</v>
          </cell>
          <cell r="I850" t="str">
            <v>Den Hof 4</v>
          </cell>
          <cell r="J850" t="str">
            <v>5582JZ</v>
          </cell>
        </row>
        <row r="851">
          <cell r="A851">
            <v>8562</v>
          </cell>
          <cell r="B851"/>
          <cell r="C851"/>
          <cell r="D851" t="str">
            <v>AH Franchise</v>
          </cell>
          <cell r="E851" t="str">
            <v>NL5506CZ008X</v>
          </cell>
          <cell r="F851">
            <v>599592</v>
          </cell>
          <cell r="G851">
            <v>6688210</v>
          </cell>
          <cell r="H851" t="str">
            <v>T</v>
          </cell>
          <cell r="I851" t="str">
            <v>De Schaatsenmaker 8</v>
          </cell>
          <cell r="J851" t="str">
            <v>5506CZ</v>
          </cell>
        </row>
        <row r="852">
          <cell r="A852">
            <v>8563</v>
          </cell>
          <cell r="B852"/>
          <cell r="C852"/>
          <cell r="D852" t="str">
            <v>AH Franchise</v>
          </cell>
          <cell r="E852" t="str">
            <v>NL5615AA004X</v>
          </cell>
          <cell r="F852">
            <v>610275</v>
          </cell>
          <cell r="G852">
            <v>6689632</v>
          </cell>
          <cell r="H852" t="str">
            <v>T</v>
          </cell>
          <cell r="I852" t="str">
            <v>Leenderweg 50</v>
          </cell>
          <cell r="J852" t="str">
            <v>5615AA</v>
          </cell>
        </row>
        <row r="853">
          <cell r="A853">
            <v>8564</v>
          </cell>
          <cell r="B853"/>
          <cell r="C853"/>
          <cell r="D853" t="str">
            <v>AH Franchise</v>
          </cell>
          <cell r="E853" t="str">
            <v>NL5374GZ014X</v>
          </cell>
          <cell r="F853">
            <v>626244</v>
          </cell>
          <cell r="G853">
            <v>6746417</v>
          </cell>
          <cell r="H853" t="str">
            <v>T</v>
          </cell>
          <cell r="I853" t="str">
            <v>Burg Hoefnagelstraat 14</v>
          </cell>
          <cell r="J853" t="str">
            <v>5374GZ</v>
          </cell>
        </row>
        <row r="854">
          <cell r="A854">
            <v>8565</v>
          </cell>
          <cell r="B854"/>
          <cell r="C854"/>
          <cell r="D854" t="str">
            <v>AH Franchise</v>
          </cell>
          <cell r="E854" t="str">
            <v>NL7772VJ017X</v>
          </cell>
          <cell r="F854">
            <v>736111</v>
          </cell>
          <cell r="G854">
            <v>6897451</v>
          </cell>
          <cell r="H854" t="str">
            <v>O</v>
          </cell>
          <cell r="I854" t="str">
            <v>Van Wevelinckhovenplein 60</v>
          </cell>
          <cell r="J854" t="str">
            <v>7772VJ</v>
          </cell>
        </row>
        <row r="855">
          <cell r="A855">
            <v>8566</v>
          </cell>
          <cell r="B855"/>
          <cell r="C855"/>
          <cell r="D855" t="str">
            <v>AH Franchise</v>
          </cell>
          <cell r="E855" t="str">
            <v>NL1355GJ103X</v>
          </cell>
          <cell r="F855">
            <v>581117</v>
          </cell>
          <cell r="G855">
            <v>6854589</v>
          </cell>
          <cell r="H855" t="str">
            <v>Z</v>
          </cell>
          <cell r="I855" t="str">
            <v>Markenlaan 3</v>
          </cell>
          <cell r="J855" t="str">
            <v>1355BA</v>
          </cell>
        </row>
        <row r="856">
          <cell r="A856">
            <v>8569</v>
          </cell>
          <cell r="B856"/>
          <cell r="C856"/>
          <cell r="D856" t="str">
            <v>AH Franchise</v>
          </cell>
          <cell r="E856" t="str">
            <v>NL6336BE001X</v>
          </cell>
          <cell r="F856">
            <v>651289</v>
          </cell>
          <cell r="G856">
            <v>6594484</v>
          </cell>
          <cell r="H856" t="str">
            <v>T</v>
          </cell>
          <cell r="I856" t="str">
            <v>Europaplein 1</v>
          </cell>
          <cell r="J856" t="str">
            <v>6336BE</v>
          </cell>
        </row>
        <row r="857">
          <cell r="A857">
            <v>8570</v>
          </cell>
          <cell r="B857"/>
          <cell r="C857"/>
          <cell r="D857" t="str">
            <v>AH Franchise</v>
          </cell>
          <cell r="E857" t="str">
            <v>NL5391AA008X</v>
          </cell>
          <cell r="F857">
            <v>604131</v>
          </cell>
          <cell r="G857">
            <v>6743663</v>
          </cell>
          <cell r="H857" t="str">
            <v>T</v>
          </cell>
          <cell r="I857" t="str">
            <v>Kerkstraat 8</v>
          </cell>
          <cell r="J857" t="str">
            <v>5391AA</v>
          </cell>
        </row>
        <row r="858">
          <cell r="A858">
            <v>8571</v>
          </cell>
          <cell r="B858"/>
          <cell r="C858"/>
          <cell r="D858" t="str">
            <v>AH Franchise</v>
          </cell>
          <cell r="E858" t="str">
            <v>NL7631AA005X</v>
          </cell>
          <cell r="F858">
            <v>767025</v>
          </cell>
          <cell r="G858">
            <v>6866934</v>
          </cell>
          <cell r="H858" t="str">
            <v>O</v>
          </cell>
          <cell r="I858" t="str">
            <v>Denekamperstraat 5</v>
          </cell>
          <cell r="J858" t="str">
            <v>7631AA</v>
          </cell>
        </row>
        <row r="859">
          <cell r="A859">
            <v>8572</v>
          </cell>
          <cell r="B859"/>
          <cell r="C859"/>
          <cell r="D859" t="str">
            <v>AH Franchise</v>
          </cell>
          <cell r="E859" t="str">
            <v>NL9531AB035X</v>
          </cell>
          <cell r="F859">
            <v>755228</v>
          </cell>
          <cell r="G859">
            <v>6960981</v>
          </cell>
          <cell r="H859" t="str">
            <v>O</v>
          </cell>
          <cell r="I859" t="str">
            <v>Hoofdstraat 35</v>
          </cell>
          <cell r="J859" t="str">
            <v>9531AB</v>
          </cell>
        </row>
        <row r="860">
          <cell r="A860">
            <v>8573</v>
          </cell>
          <cell r="B860"/>
          <cell r="C860"/>
          <cell r="D860" t="str">
            <v>AH Franchise</v>
          </cell>
          <cell r="E860" t="str">
            <v>NL1324WB015X</v>
          </cell>
          <cell r="F860">
            <v>578870</v>
          </cell>
          <cell r="G860">
            <v>6857796</v>
          </cell>
          <cell r="H860" t="str">
            <v>Z</v>
          </cell>
          <cell r="I860" t="str">
            <v>'s-Hertogenboschplein 15</v>
          </cell>
          <cell r="J860" t="str">
            <v>1324WB</v>
          </cell>
        </row>
        <row r="861">
          <cell r="A861">
            <v>8574</v>
          </cell>
          <cell r="B861"/>
          <cell r="C861"/>
          <cell r="D861" t="str">
            <v>AH Franchise</v>
          </cell>
          <cell r="E861" t="str">
            <v>NL6127EC009X</v>
          </cell>
          <cell r="F861">
            <v>642609</v>
          </cell>
          <cell r="G861">
            <v>6620226</v>
          </cell>
          <cell r="H861" t="str">
            <v>T</v>
          </cell>
          <cell r="I861" t="str">
            <v>Houtstraat 67</v>
          </cell>
          <cell r="J861" t="str">
            <v>6127EC</v>
          </cell>
        </row>
        <row r="862">
          <cell r="A862">
            <v>8575</v>
          </cell>
          <cell r="B862"/>
          <cell r="C862"/>
          <cell r="D862" t="str">
            <v>AH Franchise</v>
          </cell>
          <cell r="E862" t="str">
            <v>NL4328LA073X</v>
          </cell>
          <cell r="F862">
            <v>415473</v>
          </cell>
          <cell r="G862">
            <v>6737171</v>
          </cell>
          <cell r="H862" t="str">
            <v>P</v>
          </cell>
          <cell r="I862" t="str">
            <v>Burghseweg 73</v>
          </cell>
          <cell r="J862" t="str">
            <v>4328LA</v>
          </cell>
        </row>
        <row r="863">
          <cell r="A863">
            <v>8578</v>
          </cell>
          <cell r="B863"/>
          <cell r="C863"/>
          <cell r="D863" t="str">
            <v>AH Franchise</v>
          </cell>
          <cell r="E863" t="str">
            <v>NL2221BE137X</v>
          </cell>
          <cell r="F863">
            <v>491380</v>
          </cell>
          <cell r="G863">
            <v>6829887</v>
          </cell>
          <cell r="H863" t="str">
            <v>P</v>
          </cell>
          <cell r="I863" t="str">
            <v>Hoornesplein 137</v>
          </cell>
          <cell r="J863" t="str">
            <v>2221BE</v>
          </cell>
        </row>
        <row r="864">
          <cell r="A864">
            <v>8580</v>
          </cell>
          <cell r="B864"/>
          <cell r="C864"/>
          <cell r="D864" t="str">
            <v>AH Franchise</v>
          </cell>
          <cell r="E864" t="str">
            <v>NL1317SK015X</v>
          </cell>
          <cell r="F864">
            <v>581725</v>
          </cell>
          <cell r="G864">
            <v>6863154</v>
          </cell>
          <cell r="H864" t="str">
            <v>Z</v>
          </cell>
          <cell r="I864" t="str">
            <v>Botplein 15</v>
          </cell>
          <cell r="J864" t="str">
            <v>1317SK</v>
          </cell>
        </row>
        <row r="865">
          <cell r="A865">
            <v>8581</v>
          </cell>
          <cell r="B865"/>
          <cell r="C865"/>
          <cell r="D865" t="str">
            <v>AH Franchise</v>
          </cell>
          <cell r="E865" t="str">
            <v>NL2231GT036X</v>
          </cell>
          <cell r="F865">
            <v>494003</v>
          </cell>
          <cell r="G865">
            <v>6827353</v>
          </cell>
          <cell r="H865" t="str">
            <v>P</v>
          </cell>
          <cell r="I865" t="str">
            <v>Anjelierenstraat 36</v>
          </cell>
          <cell r="J865" t="str">
            <v>2231GT</v>
          </cell>
        </row>
        <row r="866">
          <cell r="A866">
            <v>8582</v>
          </cell>
          <cell r="B866"/>
          <cell r="C866"/>
          <cell r="D866" t="str">
            <v>AH Franchise</v>
          </cell>
          <cell r="E866" t="str">
            <v>NL1544NT350X</v>
          </cell>
          <cell r="F866">
            <v>533658</v>
          </cell>
          <cell r="G866">
            <v>6879088</v>
          </cell>
          <cell r="H866" t="str">
            <v>Z</v>
          </cell>
          <cell r="I866" t="str">
            <v>John Lennonstraat 265</v>
          </cell>
          <cell r="J866" t="str">
            <v>1544LT</v>
          </cell>
        </row>
        <row r="867">
          <cell r="A867">
            <v>8583</v>
          </cell>
          <cell r="B867"/>
          <cell r="C867"/>
          <cell r="D867" t="str">
            <v>AH Franchise</v>
          </cell>
          <cell r="E867" t="str">
            <v>NL4311AK002X</v>
          </cell>
          <cell r="F867">
            <v>455204</v>
          </cell>
          <cell r="G867">
            <v>6731493</v>
          </cell>
          <cell r="H867" t="str">
            <v>P</v>
          </cell>
          <cell r="I867" t="str">
            <v>Dreef 2</v>
          </cell>
          <cell r="J867" t="str">
            <v>4311AK</v>
          </cell>
        </row>
        <row r="868">
          <cell r="A868">
            <v>8584</v>
          </cell>
          <cell r="B868"/>
          <cell r="C868"/>
          <cell r="D868" t="str">
            <v>AH Franchise</v>
          </cell>
          <cell r="E868" t="str">
            <v>NL1241CZ037X</v>
          </cell>
          <cell r="F868">
            <v>568537</v>
          </cell>
          <cell r="G868">
            <v>6836091</v>
          </cell>
          <cell r="H868" t="str">
            <v>Z</v>
          </cell>
          <cell r="I868" t="str">
            <v>Meenthof 37</v>
          </cell>
          <cell r="J868" t="str">
            <v>1241CZ</v>
          </cell>
        </row>
        <row r="869">
          <cell r="A869">
            <v>8585</v>
          </cell>
          <cell r="B869"/>
          <cell r="C869"/>
          <cell r="D869" t="str">
            <v>AH Franchise</v>
          </cell>
          <cell r="E869" t="str">
            <v>NL9076DL037X</v>
          </cell>
          <cell r="F869">
            <v>629118</v>
          </cell>
          <cell r="G869">
            <v>7026256</v>
          </cell>
          <cell r="H869" t="str">
            <v>O</v>
          </cell>
          <cell r="I869" t="str">
            <v>Warmoesstraat 37</v>
          </cell>
          <cell r="J869" t="str">
            <v>9076DL</v>
          </cell>
        </row>
        <row r="870">
          <cell r="A870">
            <v>8586</v>
          </cell>
          <cell r="B870"/>
          <cell r="C870"/>
          <cell r="D870" t="str">
            <v>AH Franchise</v>
          </cell>
          <cell r="E870" t="str">
            <v>NL2134SV060X</v>
          </cell>
          <cell r="F870">
            <v>518076</v>
          </cell>
          <cell r="G870">
            <v>6849615</v>
          </cell>
          <cell r="H870" t="str">
            <v>Z</v>
          </cell>
          <cell r="I870" t="str">
            <v>Muiderbos 140</v>
          </cell>
          <cell r="J870" t="str">
            <v>2134SV</v>
          </cell>
        </row>
        <row r="871">
          <cell r="A871">
            <v>8587</v>
          </cell>
          <cell r="B871"/>
          <cell r="C871"/>
          <cell r="D871" t="str">
            <v>AH Franchise</v>
          </cell>
          <cell r="E871" t="str">
            <v>NL6436CB009X</v>
          </cell>
          <cell r="F871">
            <v>658648</v>
          </cell>
          <cell r="G871">
            <v>6603444</v>
          </cell>
          <cell r="H871" t="str">
            <v>T</v>
          </cell>
          <cell r="I871" t="str">
            <v>Hoofdstraat 45</v>
          </cell>
          <cell r="J871" t="str">
            <v>6436CB</v>
          </cell>
        </row>
        <row r="872">
          <cell r="A872">
            <v>8590</v>
          </cell>
          <cell r="B872"/>
          <cell r="C872"/>
          <cell r="D872" t="str">
            <v>AH Franchise</v>
          </cell>
          <cell r="E872" t="str">
            <v>NL4881CT005X</v>
          </cell>
          <cell r="F872">
            <v>518320</v>
          </cell>
          <cell r="G872">
            <v>6697646</v>
          </cell>
          <cell r="H872" t="str">
            <v>T</v>
          </cell>
          <cell r="I872" t="str">
            <v>Molenstraat 58</v>
          </cell>
          <cell r="J872" t="str">
            <v>4881CT</v>
          </cell>
        </row>
        <row r="873">
          <cell r="A873">
            <v>8591</v>
          </cell>
          <cell r="B873"/>
          <cell r="C873"/>
          <cell r="D873" t="str">
            <v>AH Franchise</v>
          </cell>
          <cell r="E873" t="str">
            <v>NL1326CP056X</v>
          </cell>
          <cell r="F873">
            <v>582996</v>
          </cell>
          <cell r="G873">
            <v>6860599</v>
          </cell>
          <cell r="H873" t="str">
            <v>Z</v>
          </cell>
          <cell r="I873" t="str">
            <v>Watercipresstraat 15</v>
          </cell>
          <cell r="J873" t="str">
            <v>1326CM</v>
          </cell>
        </row>
        <row r="874">
          <cell r="A874">
            <v>8592</v>
          </cell>
          <cell r="B874"/>
          <cell r="C874"/>
          <cell r="D874" t="str">
            <v>AH Franchise</v>
          </cell>
          <cell r="E874" t="str">
            <v>NL1759GP003X</v>
          </cell>
          <cell r="F874">
            <v>522191</v>
          </cell>
          <cell r="G874">
            <v>6944939</v>
          </cell>
          <cell r="H874" t="str">
            <v>Z</v>
          </cell>
          <cell r="I874" t="str">
            <v>Schoolstraat 3</v>
          </cell>
          <cell r="J874" t="str">
            <v>1759GP</v>
          </cell>
        </row>
        <row r="875">
          <cell r="A875">
            <v>8593</v>
          </cell>
          <cell r="B875"/>
          <cell r="C875"/>
          <cell r="D875" t="str">
            <v>AH Franchise</v>
          </cell>
          <cell r="E875" t="str">
            <v>NL3956HH057X</v>
          </cell>
          <cell r="F875">
            <v>604024</v>
          </cell>
          <cell r="G875">
            <v>6794249</v>
          </cell>
          <cell r="H875" t="str">
            <v>Z</v>
          </cell>
          <cell r="I875" t="str">
            <v>Honingraat 57</v>
          </cell>
          <cell r="J875" t="str">
            <v>3956HH</v>
          </cell>
        </row>
        <row r="876">
          <cell r="A876">
            <v>8594</v>
          </cell>
          <cell r="B876"/>
          <cell r="C876"/>
          <cell r="D876" t="str">
            <v>AH Franchise</v>
          </cell>
          <cell r="E876" t="str">
            <v>NL7122BJ025X</v>
          </cell>
          <cell r="F876">
            <v>731629</v>
          </cell>
          <cell r="G876">
            <v>6779386</v>
          </cell>
          <cell r="H876" t="str">
            <v>O</v>
          </cell>
          <cell r="I876" t="str">
            <v>De Hoven 25</v>
          </cell>
          <cell r="J876" t="str">
            <v>7122BJ</v>
          </cell>
        </row>
        <row r="877">
          <cell r="A877">
            <v>8595</v>
          </cell>
          <cell r="B877"/>
          <cell r="C877"/>
          <cell r="D877" t="str">
            <v>AH Franchise</v>
          </cell>
          <cell r="E877" t="str">
            <v>NL9731AH129X</v>
          </cell>
          <cell r="F877">
            <v>735829</v>
          </cell>
          <cell r="G877">
            <v>7018004</v>
          </cell>
          <cell r="H877" t="str">
            <v>O</v>
          </cell>
          <cell r="I877" t="str">
            <v>Rijksweg 129</v>
          </cell>
          <cell r="J877" t="str">
            <v>9731AH</v>
          </cell>
        </row>
        <row r="878">
          <cell r="A878">
            <v>8598</v>
          </cell>
          <cell r="B878"/>
          <cell r="C878"/>
          <cell r="D878" t="str">
            <v>AH Franchise</v>
          </cell>
          <cell r="E878" t="str">
            <v>NL1013HS034X</v>
          </cell>
          <cell r="F878">
            <v>543122</v>
          </cell>
          <cell r="G878">
            <v>6862378</v>
          </cell>
          <cell r="H878" t="str">
            <v>Z</v>
          </cell>
          <cell r="I878" t="str">
            <v>Haarlemmerplein 34</v>
          </cell>
          <cell r="J878" t="str">
            <v>1013HS</v>
          </cell>
        </row>
        <row r="879">
          <cell r="A879">
            <v>8599</v>
          </cell>
          <cell r="B879"/>
          <cell r="C879"/>
          <cell r="D879" t="str">
            <v>AH Franchise</v>
          </cell>
          <cell r="E879" t="str">
            <v>NL5051SV075X</v>
          </cell>
          <cell r="F879">
            <v>562351</v>
          </cell>
          <cell r="G879">
            <v>6706197</v>
          </cell>
          <cell r="H879" t="str">
            <v>T</v>
          </cell>
          <cell r="I879" t="str">
            <v>Koningsschild 11</v>
          </cell>
          <cell r="J879" t="str">
            <v>5051TT</v>
          </cell>
        </row>
        <row r="880">
          <cell r="A880">
            <v>8601</v>
          </cell>
          <cell r="B880"/>
          <cell r="C880"/>
          <cell r="D880" t="str">
            <v>AH Franchise</v>
          </cell>
          <cell r="E880" t="str">
            <v>NL8224JB127X</v>
          </cell>
          <cell r="F880">
            <v>609141</v>
          </cell>
          <cell r="G880">
            <v>6884908</v>
          </cell>
          <cell r="H880" t="str">
            <v>Z</v>
          </cell>
          <cell r="I880" t="str">
            <v>Neringpassage 127</v>
          </cell>
          <cell r="J880" t="str">
            <v>8224JB</v>
          </cell>
        </row>
        <row r="881">
          <cell r="A881">
            <v>8603</v>
          </cell>
          <cell r="B881"/>
          <cell r="C881"/>
          <cell r="D881" t="str">
            <v>AH Franchise</v>
          </cell>
          <cell r="E881" t="str">
            <v>NL8302NP002X</v>
          </cell>
          <cell r="F881">
            <v>637166</v>
          </cell>
          <cell r="G881">
            <v>6923692</v>
          </cell>
          <cell r="H881" t="str">
            <v>O</v>
          </cell>
          <cell r="I881" t="str">
            <v>Haarlemmermeer 2</v>
          </cell>
          <cell r="J881" t="str">
            <v>8302NP</v>
          </cell>
        </row>
        <row r="882">
          <cell r="A882">
            <v>8605</v>
          </cell>
          <cell r="B882"/>
          <cell r="C882"/>
          <cell r="D882" t="str">
            <v>AH Franchise</v>
          </cell>
          <cell r="E882" t="str">
            <v>NL7325DR097X</v>
          </cell>
          <cell r="F882">
            <v>667543</v>
          </cell>
          <cell r="G882">
            <v>6831943</v>
          </cell>
          <cell r="H882" t="str">
            <v>O</v>
          </cell>
          <cell r="I882" t="str">
            <v>Linie 189</v>
          </cell>
          <cell r="J882" t="str">
            <v>7325DR</v>
          </cell>
        </row>
        <row r="883">
          <cell r="A883">
            <v>8607</v>
          </cell>
          <cell r="B883"/>
          <cell r="C883"/>
          <cell r="D883" t="str">
            <v>AH Franchise</v>
          </cell>
          <cell r="E883" t="str">
            <v>NL2421BE003X</v>
          </cell>
          <cell r="F883">
            <v>531366</v>
          </cell>
          <cell r="G883">
            <v>6819855</v>
          </cell>
          <cell r="H883" t="str">
            <v>P</v>
          </cell>
          <cell r="I883" t="str">
            <v>Reghthuysplein 3</v>
          </cell>
          <cell r="J883" t="str">
            <v>2421BE</v>
          </cell>
        </row>
        <row r="884">
          <cell r="A884">
            <v>8611</v>
          </cell>
          <cell r="B884"/>
          <cell r="C884"/>
          <cell r="D884" t="str">
            <v>AH Franchise</v>
          </cell>
          <cell r="E884" t="str">
            <v>NL5171GJ124X</v>
          </cell>
          <cell r="F884">
            <v>560355</v>
          </cell>
          <cell r="G884">
            <v>6730759</v>
          </cell>
          <cell r="H884" t="str">
            <v>T</v>
          </cell>
          <cell r="I884" t="str">
            <v>Gasthuisstraat 124</v>
          </cell>
          <cell r="J884" t="str">
            <v>5171GJ</v>
          </cell>
        </row>
        <row r="885">
          <cell r="A885">
            <v>8612</v>
          </cell>
          <cell r="B885"/>
          <cell r="C885"/>
          <cell r="D885" t="str">
            <v>AH Franchise</v>
          </cell>
          <cell r="E885" t="str">
            <v>NL3221BL068X</v>
          </cell>
          <cell r="F885">
            <v>459309</v>
          </cell>
          <cell r="G885">
            <v>6762424</v>
          </cell>
          <cell r="H885" t="str">
            <v>P</v>
          </cell>
          <cell r="I885" t="str">
            <v>Evertsenplein 68</v>
          </cell>
          <cell r="J885" t="str">
            <v>3221BL</v>
          </cell>
        </row>
        <row r="886">
          <cell r="A886">
            <v>8613</v>
          </cell>
          <cell r="B886"/>
          <cell r="C886"/>
          <cell r="D886" t="str">
            <v>AH Franchise</v>
          </cell>
          <cell r="E886" t="str">
            <v>NL4851CM048X</v>
          </cell>
          <cell r="F886">
            <v>533294</v>
          </cell>
          <cell r="G886">
            <v>6711895</v>
          </cell>
          <cell r="H886" t="str">
            <v>T</v>
          </cell>
          <cell r="I886" t="str">
            <v>Dorpstraat 48</v>
          </cell>
          <cell r="J886" t="str">
            <v>4851CM</v>
          </cell>
        </row>
        <row r="887">
          <cell r="A887">
            <v>8614</v>
          </cell>
          <cell r="B887"/>
          <cell r="C887"/>
          <cell r="D887" t="str">
            <v>AH Franchise</v>
          </cell>
          <cell r="E887" t="str">
            <v>NL1093EZ091X</v>
          </cell>
          <cell r="F887">
            <v>547707</v>
          </cell>
          <cell r="G887">
            <v>6858217</v>
          </cell>
          <cell r="H887" t="str">
            <v>Z</v>
          </cell>
          <cell r="I887" t="str">
            <v>Eerste van Swindenstraat 91</v>
          </cell>
          <cell r="J887" t="str">
            <v>1093EZ</v>
          </cell>
        </row>
        <row r="888">
          <cell r="A888">
            <v>8615</v>
          </cell>
          <cell r="B888"/>
          <cell r="C888"/>
          <cell r="D888" t="str">
            <v>AH Franchise</v>
          </cell>
          <cell r="E888" t="str">
            <v>NL6721JL036X</v>
          </cell>
          <cell r="F888">
            <v>630993</v>
          </cell>
          <cell r="G888">
            <v>6792171</v>
          </cell>
          <cell r="H888" t="str">
            <v>O</v>
          </cell>
          <cell r="I888" t="str">
            <v>Dorpsstraat 36</v>
          </cell>
          <cell r="J888" t="str">
            <v>6721JL</v>
          </cell>
        </row>
        <row r="889">
          <cell r="A889">
            <v>8616</v>
          </cell>
          <cell r="B889"/>
          <cell r="C889"/>
          <cell r="D889" t="str">
            <v>AH Franchise</v>
          </cell>
          <cell r="E889" t="str">
            <v>NL5616GM002X</v>
          </cell>
          <cell r="F889">
            <v>606416</v>
          </cell>
          <cell r="G889">
            <v>6692062</v>
          </cell>
          <cell r="H889" t="str">
            <v>T</v>
          </cell>
          <cell r="I889" t="str">
            <v>Strijpsestraat 137</v>
          </cell>
          <cell r="J889" t="str">
            <v>5616GM</v>
          </cell>
        </row>
        <row r="890">
          <cell r="A890">
            <v>8617</v>
          </cell>
          <cell r="B890"/>
          <cell r="C890"/>
          <cell r="D890" t="str">
            <v>AH Franchise</v>
          </cell>
          <cell r="E890" t="str">
            <v>NL5581GP038X</v>
          </cell>
          <cell r="F890">
            <v>605524</v>
          </cell>
          <cell r="G890">
            <v>6682628</v>
          </cell>
          <cell r="H890" t="str">
            <v>T</v>
          </cell>
          <cell r="I890" t="str">
            <v>De Bus 38</v>
          </cell>
          <cell r="J890" t="str">
            <v>5581GP</v>
          </cell>
        </row>
        <row r="891">
          <cell r="A891">
            <v>8618</v>
          </cell>
          <cell r="B891"/>
          <cell r="C891"/>
          <cell r="D891" t="str">
            <v>AH Franchise</v>
          </cell>
          <cell r="E891" t="str">
            <v>NL5469BS003X</v>
          </cell>
          <cell r="F891">
            <v>623535</v>
          </cell>
          <cell r="G891">
            <v>6720769</v>
          </cell>
          <cell r="H891" t="str">
            <v>T</v>
          </cell>
          <cell r="I891" t="str">
            <v>Cruijgenstraat 3</v>
          </cell>
          <cell r="J891" t="str">
            <v>5469BS</v>
          </cell>
        </row>
        <row r="892">
          <cell r="A892">
            <v>8619</v>
          </cell>
          <cell r="B892"/>
          <cell r="C892"/>
          <cell r="D892" t="str">
            <v>AH Franchise</v>
          </cell>
          <cell r="E892" t="str">
            <v>NL9471GK033X</v>
          </cell>
          <cell r="F892">
            <v>742938</v>
          </cell>
          <cell r="G892">
            <v>6992294</v>
          </cell>
          <cell r="H892" t="str">
            <v>O</v>
          </cell>
          <cell r="I892" t="str">
            <v>Stationsweg 33</v>
          </cell>
          <cell r="J892" t="str">
            <v>9471GK</v>
          </cell>
        </row>
        <row r="893">
          <cell r="A893">
            <v>8620</v>
          </cell>
          <cell r="B893"/>
          <cell r="C893"/>
          <cell r="D893" t="str">
            <v>AH Franchise</v>
          </cell>
          <cell r="E893" t="str">
            <v>NL4854CP008X</v>
          </cell>
          <cell r="F893">
            <v>537295</v>
          </cell>
          <cell r="G893">
            <v>6714462</v>
          </cell>
          <cell r="H893" t="str">
            <v>T</v>
          </cell>
          <cell r="I893" t="str">
            <v>Pastoor Doensstraat 8</v>
          </cell>
          <cell r="J893" t="str">
            <v>4854CP</v>
          </cell>
        </row>
        <row r="894">
          <cell r="A894">
            <v>8621</v>
          </cell>
          <cell r="B894"/>
          <cell r="C894"/>
          <cell r="D894" t="str">
            <v>AH Franchise</v>
          </cell>
          <cell r="E894" t="str">
            <v>NL7731GZ001X</v>
          </cell>
          <cell r="F894">
            <v>714574</v>
          </cell>
          <cell r="G894">
            <v>6888029</v>
          </cell>
          <cell r="H894" t="str">
            <v>O</v>
          </cell>
          <cell r="I894" t="str">
            <v>Haven Noord 1</v>
          </cell>
          <cell r="J894" t="str">
            <v>7731GZ</v>
          </cell>
        </row>
        <row r="895">
          <cell r="A895">
            <v>8622</v>
          </cell>
          <cell r="B895"/>
          <cell r="C895"/>
          <cell r="D895" t="str">
            <v>AH Franchise</v>
          </cell>
          <cell r="E895" t="str">
            <v>NL2315EB049X</v>
          </cell>
          <cell r="F895">
            <v>501233</v>
          </cell>
          <cell r="G895">
            <v>6822786</v>
          </cell>
          <cell r="H895" t="str">
            <v>P</v>
          </cell>
          <cell r="I895" t="str">
            <v>Kooilaan 49</v>
          </cell>
          <cell r="J895" t="str">
            <v>2315EB</v>
          </cell>
        </row>
        <row r="896">
          <cell r="A896">
            <v>8626</v>
          </cell>
          <cell r="B896"/>
          <cell r="C896"/>
          <cell r="D896" t="str">
            <v>AH Franchise</v>
          </cell>
          <cell r="E896" t="str">
            <v>NL9721PE099X</v>
          </cell>
          <cell r="F896">
            <v>730274</v>
          </cell>
          <cell r="G896">
            <v>7011507</v>
          </cell>
          <cell r="H896" t="str">
            <v>O</v>
          </cell>
          <cell r="I896" t="str">
            <v>Van Lenneplaan 99</v>
          </cell>
          <cell r="J896" t="str">
            <v>9721PE</v>
          </cell>
        </row>
        <row r="897">
          <cell r="A897">
            <v>8627</v>
          </cell>
          <cell r="B897"/>
          <cell r="C897"/>
          <cell r="D897" t="str">
            <v>AH Franchise</v>
          </cell>
          <cell r="E897" t="str">
            <v>NL5492AB001X</v>
          </cell>
          <cell r="F897">
            <v>607058</v>
          </cell>
          <cell r="G897">
            <v>6714212</v>
          </cell>
          <cell r="H897" t="str">
            <v>T</v>
          </cell>
          <cell r="I897" t="str">
            <v>Markt 18</v>
          </cell>
          <cell r="J897" t="str">
            <v>5492AB</v>
          </cell>
        </row>
        <row r="898">
          <cell r="A898">
            <v>8628</v>
          </cell>
          <cell r="B898"/>
          <cell r="C898"/>
          <cell r="D898" t="str">
            <v>AH Franchise</v>
          </cell>
          <cell r="E898" t="str">
            <v>NL7101GX034X</v>
          </cell>
          <cell r="F898">
            <v>747051</v>
          </cell>
          <cell r="G898">
            <v>6786699</v>
          </cell>
          <cell r="H898" t="str">
            <v>O</v>
          </cell>
          <cell r="I898" t="str">
            <v>Dingstraat 34</v>
          </cell>
          <cell r="J898" t="str">
            <v>7101GX</v>
          </cell>
        </row>
        <row r="899">
          <cell r="A899">
            <v>8629</v>
          </cell>
          <cell r="B899"/>
          <cell r="C899"/>
          <cell r="D899" t="str">
            <v>AH Franchise</v>
          </cell>
          <cell r="E899" t="str">
            <v>NL2675AZ102X</v>
          </cell>
          <cell r="F899">
            <v>470257</v>
          </cell>
          <cell r="G899">
            <v>6794031</v>
          </cell>
          <cell r="H899" t="str">
            <v>P</v>
          </cell>
          <cell r="I899" t="str">
            <v>Dijkstraat 102</v>
          </cell>
          <cell r="J899" t="str">
            <v>2675AZ</v>
          </cell>
        </row>
        <row r="900">
          <cell r="A900">
            <v>8631</v>
          </cell>
          <cell r="B900"/>
          <cell r="C900"/>
          <cell r="D900" t="str">
            <v>AH Franchise</v>
          </cell>
          <cell r="E900" t="str">
            <v>NL2671VX004X</v>
          </cell>
          <cell r="F900">
            <v>468250</v>
          </cell>
          <cell r="G900">
            <v>6791297</v>
          </cell>
          <cell r="H900" t="str">
            <v>P</v>
          </cell>
          <cell r="I900" t="str">
            <v>Verdilaan 4</v>
          </cell>
          <cell r="J900" t="str">
            <v>2671VX</v>
          </cell>
        </row>
        <row r="901">
          <cell r="A901">
            <v>8632</v>
          </cell>
          <cell r="B901"/>
          <cell r="C901"/>
          <cell r="D901" t="str">
            <v>AH Franchise</v>
          </cell>
          <cell r="E901" t="str">
            <v>NL6741PE087X</v>
          </cell>
          <cell r="F901">
            <v>624269</v>
          </cell>
          <cell r="G901">
            <v>6807113</v>
          </cell>
          <cell r="H901" t="str">
            <v>O</v>
          </cell>
          <cell r="I901" t="str">
            <v>Klomperweg 87</v>
          </cell>
          <cell r="J901" t="str">
            <v>6741PE</v>
          </cell>
        </row>
        <row r="902">
          <cell r="A902">
            <v>8633</v>
          </cell>
          <cell r="B902"/>
          <cell r="C902"/>
          <cell r="D902" t="str">
            <v>AH Franchise</v>
          </cell>
          <cell r="E902" t="str">
            <v>NL6846DX010X</v>
          </cell>
          <cell r="F902">
            <v>649729</v>
          </cell>
          <cell r="G902">
            <v>6783642</v>
          </cell>
          <cell r="H902" t="str">
            <v>O</v>
          </cell>
          <cell r="I902" t="str">
            <v>Marasingel 10</v>
          </cell>
          <cell r="J902" t="str">
            <v>6846DX</v>
          </cell>
        </row>
        <row r="903">
          <cell r="A903">
            <v>8634</v>
          </cell>
          <cell r="B903"/>
          <cell r="C903"/>
          <cell r="D903" t="str">
            <v>AH Franchise</v>
          </cell>
          <cell r="E903" t="str">
            <v>NL1018LW018X</v>
          </cell>
          <cell r="F903">
            <v>547070</v>
          </cell>
          <cell r="G903">
            <v>6859645</v>
          </cell>
          <cell r="H903" t="str">
            <v>Z</v>
          </cell>
          <cell r="I903" t="str">
            <v>Kleine Wittenburgerstr 18</v>
          </cell>
          <cell r="J903" t="str">
            <v>1018LW</v>
          </cell>
        </row>
        <row r="904">
          <cell r="A904">
            <v>8635</v>
          </cell>
          <cell r="B904"/>
          <cell r="C904"/>
          <cell r="D904" t="str">
            <v>AH Franchise</v>
          </cell>
          <cell r="E904" t="str">
            <v>NL3452MT014X</v>
          </cell>
          <cell r="F904">
            <v>557483</v>
          </cell>
          <cell r="G904">
            <v>6809306</v>
          </cell>
          <cell r="H904" t="str">
            <v>Z</v>
          </cell>
          <cell r="I904" t="str">
            <v>Middenburcht 14</v>
          </cell>
          <cell r="J904" t="str">
            <v>3452MT</v>
          </cell>
        </row>
        <row r="905">
          <cell r="A905">
            <v>8636</v>
          </cell>
          <cell r="B905"/>
          <cell r="C905"/>
          <cell r="D905" t="str">
            <v>AH Franchise</v>
          </cell>
          <cell r="E905" t="str">
            <v>NL1052HM081X</v>
          </cell>
          <cell r="F905">
            <v>541893</v>
          </cell>
          <cell r="G905">
            <v>6860615</v>
          </cell>
          <cell r="H905" t="str">
            <v>Z</v>
          </cell>
          <cell r="I905" t="str">
            <v>Frederik Hendrikstraat 81</v>
          </cell>
          <cell r="J905" t="str">
            <v>1052HM</v>
          </cell>
        </row>
        <row r="906">
          <cell r="A906">
            <v>8637</v>
          </cell>
          <cell r="B906"/>
          <cell r="C906"/>
          <cell r="D906" t="str">
            <v>AH Franchise</v>
          </cell>
          <cell r="E906" t="str">
            <v>NL6681JJ002X</v>
          </cell>
          <cell r="F906">
            <v>655855</v>
          </cell>
          <cell r="G906">
            <v>6773197</v>
          </cell>
          <cell r="H906" t="str">
            <v>T</v>
          </cell>
          <cell r="I906" t="str">
            <v>Buitengracht 2</v>
          </cell>
          <cell r="J906" t="str">
            <v>6681JJ</v>
          </cell>
        </row>
        <row r="907">
          <cell r="A907">
            <v>8638</v>
          </cell>
          <cell r="B907"/>
          <cell r="C907"/>
          <cell r="D907" t="str">
            <v>AH Franchise</v>
          </cell>
          <cell r="E907" t="str">
            <v>NL6301ZK304X</v>
          </cell>
          <cell r="F907">
            <v>648861</v>
          </cell>
          <cell r="G907">
            <v>6589582</v>
          </cell>
          <cell r="H907" t="str">
            <v>T</v>
          </cell>
          <cell r="I907" t="str">
            <v>Berkelplein 304</v>
          </cell>
          <cell r="J907" t="str">
            <v>6301ZK</v>
          </cell>
        </row>
        <row r="908">
          <cell r="A908">
            <v>8640</v>
          </cell>
          <cell r="B908"/>
          <cell r="C908"/>
          <cell r="D908" t="str">
            <v>AH Franchise</v>
          </cell>
          <cell r="E908" t="str">
            <v>NL3513AH056X</v>
          </cell>
          <cell r="F908">
            <v>567959</v>
          </cell>
          <cell r="G908">
            <v>6809913</v>
          </cell>
          <cell r="H908" t="str">
            <v>Z</v>
          </cell>
          <cell r="I908" t="str">
            <v>Amsterdamsestraatweg 56</v>
          </cell>
          <cell r="J908" t="str">
            <v>3513AH</v>
          </cell>
        </row>
        <row r="909">
          <cell r="A909">
            <v>8641</v>
          </cell>
          <cell r="B909"/>
          <cell r="C909"/>
          <cell r="D909" t="str">
            <v>AH Franchise</v>
          </cell>
          <cell r="E909" t="str">
            <v>NL3514GK006X</v>
          </cell>
          <cell r="F909">
            <v>569664</v>
          </cell>
          <cell r="G909">
            <v>6811036</v>
          </cell>
          <cell r="H909" t="str">
            <v>Z</v>
          </cell>
          <cell r="I909" t="str">
            <v>Willem van Noortplein 6</v>
          </cell>
          <cell r="J909" t="str">
            <v>3514GK</v>
          </cell>
        </row>
        <row r="910">
          <cell r="A910">
            <v>8642</v>
          </cell>
          <cell r="B910"/>
          <cell r="C910"/>
          <cell r="D910" t="str">
            <v>AH Franchise</v>
          </cell>
          <cell r="E910" t="str">
            <v>NL1328KA044X</v>
          </cell>
          <cell r="F910">
            <v>585464</v>
          </cell>
          <cell r="G910">
            <v>6859989</v>
          </cell>
          <cell r="H910" t="str">
            <v>Z</v>
          </cell>
          <cell r="I910" t="str">
            <v>Juan Grisstraat 44</v>
          </cell>
          <cell r="J910" t="str">
            <v>1328KA</v>
          </cell>
        </row>
        <row r="911">
          <cell r="A911">
            <v>8643</v>
          </cell>
          <cell r="B911" t="str">
            <v>Sluiting</v>
          </cell>
          <cell r="C911" t="str">
            <v>Relocatie 11-03-2016</v>
          </cell>
          <cell r="D911" t="str">
            <v>AH Franchise</v>
          </cell>
          <cell r="E911" t="str">
            <v>NL1335JV2008</v>
          </cell>
          <cell r="F911">
            <v>589816</v>
          </cell>
          <cell r="G911">
            <v>6865816</v>
          </cell>
          <cell r="H911" t="str">
            <v>Z</v>
          </cell>
          <cell r="I911" t="str">
            <v>Ambonstraat 2008</v>
          </cell>
          <cell r="J911" t="str">
            <v>1335JV</v>
          </cell>
        </row>
        <row r="912">
          <cell r="A912">
            <v>8643</v>
          </cell>
          <cell r="B912" t="str">
            <v>Nieuw</v>
          </cell>
          <cell r="C912">
            <v>42445</v>
          </cell>
          <cell r="D912" t="str">
            <v>AH Franchise</v>
          </cell>
          <cell r="E912" t="str">
            <v>NL1335JR002X</v>
          </cell>
          <cell r="F912">
            <v>589494</v>
          </cell>
          <cell r="G912">
            <v>6865504</v>
          </cell>
          <cell r="H912" t="str">
            <v>Z</v>
          </cell>
          <cell r="I912" t="str">
            <v>Lombokstraat 2</v>
          </cell>
          <cell r="J912" t="str">
            <v>1335JR</v>
          </cell>
        </row>
        <row r="913">
          <cell r="A913">
            <v>8646</v>
          </cell>
          <cell r="B913"/>
          <cell r="C913"/>
          <cell r="D913" t="str">
            <v>AH Franchise</v>
          </cell>
          <cell r="E913" t="str">
            <v>NL2361BB002X</v>
          </cell>
          <cell r="F913">
            <v>500547</v>
          </cell>
          <cell r="G913">
            <v>6827928</v>
          </cell>
          <cell r="H913" t="str">
            <v>P</v>
          </cell>
          <cell r="I913" t="str">
            <v>Dorpsstraat 2</v>
          </cell>
          <cell r="J913" t="str">
            <v>2361BB</v>
          </cell>
        </row>
        <row r="914">
          <cell r="A914">
            <v>8647</v>
          </cell>
          <cell r="B914"/>
          <cell r="C914"/>
          <cell r="D914" t="str">
            <v>AH Franchise</v>
          </cell>
          <cell r="E914" t="str">
            <v>NL7431CG027X</v>
          </cell>
          <cell r="F914">
            <v>683373</v>
          </cell>
          <cell r="G914">
            <v>6844835</v>
          </cell>
          <cell r="H914" t="str">
            <v>O</v>
          </cell>
          <cell r="I914" t="str">
            <v>Dorpsstraat 27</v>
          </cell>
          <cell r="J914" t="str">
            <v>7431CG</v>
          </cell>
        </row>
        <row r="915">
          <cell r="A915">
            <v>8648</v>
          </cell>
          <cell r="B915"/>
          <cell r="C915"/>
          <cell r="D915" t="str">
            <v>AH Franchise</v>
          </cell>
          <cell r="E915" t="str">
            <v>NL5281CN062X</v>
          </cell>
          <cell r="F915">
            <v>591734</v>
          </cell>
          <cell r="G915">
            <v>6718091</v>
          </cell>
          <cell r="H915" t="str">
            <v>T</v>
          </cell>
          <cell r="I915" t="str">
            <v>Prins Hendrikstraat 62</v>
          </cell>
          <cell r="J915" t="str">
            <v>5281CN</v>
          </cell>
        </row>
        <row r="916">
          <cell r="A916">
            <v>8649</v>
          </cell>
          <cell r="B916"/>
          <cell r="C916"/>
          <cell r="D916" t="str">
            <v>AH Franchise</v>
          </cell>
          <cell r="E916" t="str">
            <v>NL3204AT018X</v>
          </cell>
          <cell r="F916">
            <v>480833</v>
          </cell>
          <cell r="G916">
            <v>6764068</v>
          </cell>
          <cell r="H916" t="str">
            <v>P</v>
          </cell>
          <cell r="I916" t="str">
            <v>Sterrenhof 18</v>
          </cell>
          <cell r="J916" t="str">
            <v>3204AT</v>
          </cell>
        </row>
        <row r="917">
          <cell r="A917">
            <v>8650</v>
          </cell>
          <cell r="B917"/>
          <cell r="C917"/>
          <cell r="D917" t="str">
            <v>AH Franchise</v>
          </cell>
          <cell r="E917" t="str">
            <v>NL7841AA007X</v>
          </cell>
          <cell r="F917">
            <v>756345</v>
          </cell>
          <cell r="G917">
            <v>6933352</v>
          </cell>
          <cell r="H917" t="str">
            <v>O</v>
          </cell>
          <cell r="I917" t="str">
            <v>Bannerschultestraat 7</v>
          </cell>
          <cell r="J917" t="str">
            <v>7841AA</v>
          </cell>
        </row>
        <row r="918">
          <cell r="A918">
            <v>8652</v>
          </cell>
          <cell r="B918"/>
          <cell r="C918"/>
          <cell r="D918" t="str">
            <v>AH Franchise</v>
          </cell>
          <cell r="E918" t="str">
            <v>NL5451BS015X</v>
          </cell>
          <cell r="F918">
            <v>643110</v>
          </cell>
          <cell r="G918">
            <v>6735943</v>
          </cell>
          <cell r="H918" t="str">
            <v>T</v>
          </cell>
          <cell r="I918" t="str">
            <v>Markt 15</v>
          </cell>
          <cell r="J918" t="str">
            <v>5451BS</v>
          </cell>
        </row>
        <row r="919">
          <cell r="A919">
            <v>8653</v>
          </cell>
          <cell r="B919"/>
          <cell r="C919"/>
          <cell r="D919" t="str">
            <v>AH Franchise</v>
          </cell>
          <cell r="E919" t="str">
            <v>NL1781XA002X</v>
          </cell>
          <cell r="F919">
            <v>529563</v>
          </cell>
          <cell r="G919">
            <v>6966579</v>
          </cell>
          <cell r="H919" t="str">
            <v>Z</v>
          </cell>
          <cell r="I919" t="str">
            <v>Meeuwenstraat 2</v>
          </cell>
          <cell r="J919" t="str">
            <v>1781XA</v>
          </cell>
        </row>
        <row r="920">
          <cell r="A920">
            <v>8655</v>
          </cell>
          <cell r="B920"/>
          <cell r="C920"/>
          <cell r="D920" t="str">
            <v>AH Franchise</v>
          </cell>
          <cell r="E920" t="str">
            <v>NL5301HL008X</v>
          </cell>
          <cell r="F920">
            <v>582750</v>
          </cell>
          <cell r="G920">
            <v>6758607</v>
          </cell>
          <cell r="H920" t="str">
            <v>T</v>
          </cell>
          <cell r="I920" t="str">
            <v>Steenweg 8</v>
          </cell>
          <cell r="J920" t="str">
            <v>5301HL</v>
          </cell>
        </row>
        <row r="921">
          <cell r="A921">
            <v>8656</v>
          </cell>
          <cell r="B921"/>
          <cell r="C921"/>
          <cell r="D921" t="str">
            <v>AH Franchise</v>
          </cell>
          <cell r="E921" t="str">
            <v>NL2291RW005X</v>
          </cell>
          <cell r="F921">
            <v>475493</v>
          </cell>
          <cell r="G921">
            <v>6796941</v>
          </cell>
          <cell r="H921" t="str">
            <v>P</v>
          </cell>
          <cell r="I921" t="str">
            <v>Struyck van Bergenstraat 2</v>
          </cell>
          <cell r="J921" t="str">
            <v>2291RW</v>
          </cell>
        </row>
        <row r="922">
          <cell r="A922">
            <v>8659</v>
          </cell>
          <cell r="B922"/>
          <cell r="C922"/>
          <cell r="D922" t="str">
            <v>AH Franchise</v>
          </cell>
          <cell r="E922" t="str">
            <v>NL1421SB037X</v>
          </cell>
          <cell r="F922">
            <v>536974</v>
          </cell>
          <cell r="G922">
            <v>6834695</v>
          </cell>
          <cell r="H922" t="str">
            <v>Z</v>
          </cell>
          <cell r="I922" t="str">
            <v>Amstelplein 37</v>
          </cell>
          <cell r="J922" t="str">
            <v>1421SB</v>
          </cell>
        </row>
        <row r="923">
          <cell r="A923">
            <v>8660</v>
          </cell>
          <cell r="B923"/>
          <cell r="C923"/>
          <cell r="D923" t="str">
            <v>AH Franchise</v>
          </cell>
          <cell r="E923" t="str">
            <v>NL2922AH058X</v>
          </cell>
          <cell r="F923">
            <v>510185</v>
          </cell>
          <cell r="G923">
            <v>6777376</v>
          </cell>
          <cell r="H923" t="str">
            <v>P</v>
          </cell>
          <cell r="I923" t="str">
            <v>Raadhuisplein 58</v>
          </cell>
          <cell r="J923" t="str">
            <v>2922AH</v>
          </cell>
        </row>
        <row r="924">
          <cell r="A924">
            <v>8662</v>
          </cell>
          <cell r="B924"/>
          <cell r="C924"/>
          <cell r="D924" t="str">
            <v>AH Franchise</v>
          </cell>
          <cell r="E924" t="str">
            <v>NL6713EN008X</v>
          </cell>
          <cell r="F924">
            <v>629017</v>
          </cell>
          <cell r="G924">
            <v>6799544</v>
          </cell>
          <cell r="H924" t="str">
            <v>O</v>
          </cell>
          <cell r="I924" t="str">
            <v>Rozenplein 8</v>
          </cell>
          <cell r="J924" t="str">
            <v>6713EN</v>
          </cell>
        </row>
        <row r="925">
          <cell r="A925">
            <v>8663</v>
          </cell>
          <cell r="B925"/>
          <cell r="C925"/>
          <cell r="D925" t="str">
            <v>AH Franchise</v>
          </cell>
          <cell r="E925" t="str">
            <v>NL9051EJ012X</v>
          </cell>
          <cell r="F925">
            <v>641033</v>
          </cell>
          <cell r="G925">
            <v>7022812</v>
          </cell>
          <cell r="H925" t="str">
            <v>O</v>
          </cell>
          <cell r="I925" t="str">
            <v>Wythusterwei 12</v>
          </cell>
          <cell r="J925" t="str">
            <v>9051EJ</v>
          </cell>
        </row>
        <row r="926">
          <cell r="A926">
            <v>8665</v>
          </cell>
          <cell r="B926"/>
          <cell r="C926"/>
          <cell r="D926" t="str">
            <v>AH Franchise</v>
          </cell>
          <cell r="E926" t="str">
            <v>NL2025DV222X</v>
          </cell>
          <cell r="F926">
            <v>516782</v>
          </cell>
          <cell r="G926">
            <v>6868248</v>
          </cell>
          <cell r="H926" t="str">
            <v>Z</v>
          </cell>
          <cell r="I926" t="str">
            <v>Marsmanplein 222</v>
          </cell>
          <cell r="J926" t="str">
            <v>2025DV</v>
          </cell>
        </row>
        <row r="927">
          <cell r="A927">
            <v>8667</v>
          </cell>
          <cell r="B927"/>
          <cell r="C927"/>
          <cell r="D927" t="str">
            <v>AH Franchise</v>
          </cell>
          <cell r="E927" t="str">
            <v>NL5121ES035X</v>
          </cell>
          <cell r="F927">
            <v>546814</v>
          </cell>
          <cell r="G927">
            <v>6718647</v>
          </cell>
          <cell r="H927" t="str">
            <v>T</v>
          </cell>
          <cell r="I927" t="str">
            <v>Wilhelminaplein 8</v>
          </cell>
          <cell r="J927" t="str">
            <v>5121ES</v>
          </cell>
        </row>
        <row r="928">
          <cell r="A928">
            <v>8668</v>
          </cell>
          <cell r="B928"/>
          <cell r="C928"/>
          <cell r="D928" t="str">
            <v>AH Franchise</v>
          </cell>
          <cell r="E928" t="str">
            <v>NL5043XL001X</v>
          </cell>
          <cell r="F928">
            <v>558039</v>
          </cell>
          <cell r="G928">
            <v>6717219</v>
          </cell>
          <cell r="H928" t="str">
            <v>T</v>
          </cell>
          <cell r="I928" t="str">
            <v>Buurmalsenplein 1</v>
          </cell>
          <cell r="J928" t="str">
            <v>5043XL</v>
          </cell>
        </row>
        <row r="929">
          <cell r="A929">
            <v>8669</v>
          </cell>
          <cell r="B929"/>
          <cell r="C929"/>
          <cell r="D929" t="str">
            <v>AH Franchise</v>
          </cell>
          <cell r="E929" t="str">
            <v>NL5921GM007X</v>
          </cell>
          <cell r="F929">
            <v>684005</v>
          </cell>
          <cell r="G929">
            <v>6678745</v>
          </cell>
          <cell r="H929" t="str">
            <v>T</v>
          </cell>
          <cell r="I929" t="str">
            <v>Laurentiusstraat 7</v>
          </cell>
          <cell r="J929" t="str">
            <v>5921GM</v>
          </cell>
        </row>
        <row r="930">
          <cell r="A930">
            <v>8670</v>
          </cell>
          <cell r="B930"/>
          <cell r="C930"/>
          <cell r="D930" t="str">
            <v>AH Franchise</v>
          </cell>
          <cell r="E930" t="str">
            <v>NL5631GD002X</v>
          </cell>
          <cell r="F930">
            <v>610318</v>
          </cell>
          <cell r="G930">
            <v>6695602</v>
          </cell>
          <cell r="H930" t="str">
            <v>T</v>
          </cell>
          <cell r="I930" t="str">
            <v>Cassandraplein 8</v>
          </cell>
          <cell r="J930" t="str">
            <v>5631BA</v>
          </cell>
        </row>
        <row r="931">
          <cell r="A931">
            <v>8672</v>
          </cell>
          <cell r="B931"/>
          <cell r="C931"/>
          <cell r="D931" t="str">
            <v>AH Franchise</v>
          </cell>
          <cell r="E931" t="str">
            <v>NL5721EZ014X</v>
          </cell>
          <cell r="F931">
            <v>639040</v>
          </cell>
          <cell r="G931">
            <v>6685698</v>
          </cell>
          <cell r="H931" t="str">
            <v>T</v>
          </cell>
          <cell r="I931" t="str">
            <v>Burg Frenckenstraat 14</v>
          </cell>
          <cell r="J931" t="str">
            <v>5721EZ</v>
          </cell>
        </row>
        <row r="932">
          <cell r="A932">
            <v>8673</v>
          </cell>
          <cell r="B932"/>
          <cell r="C932"/>
          <cell r="D932" t="str">
            <v>AH Franchise</v>
          </cell>
          <cell r="E932" t="str">
            <v>NL1541HB010X</v>
          </cell>
          <cell r="F932">
            <v>534662</v>
          </cell>
          <cell r="G932">
            <v>6876663</v>
          </cell>
          <cell r="H932" t="str">
            <v>Z</v>
          </cell>
          <cell r="I932" t="str">
            <v>Verzetstraat 10</v>
          </cell>
          <cell r="J932" t="str">
            <v>1541HB</v>
          </cell>
        </row>
        <row r="933">
          <cell r="A933">
            <v>8674</v>
          </cell>
          <cell r="B933"/>
          <cell r="C933"/>
          <cell r="D933" t="str">
            <v>AH Franchise</v>
          </cell>
          <cell r="E933" t="str">
            <v>NL3317BC162X</v>
          </cell>
          <cell r="F933">
            <v>517459</v>
          </cell>
          <cell r="G933">
            <v>6754812</v>
          </cell>
          <cell r="H933" t="str">
            <v>P</v>
          </cell>
          <cell r="I933" t="str">
            <v>Admiraalsplein 162</v>
          </cell>
          <cell r="J933" t="str">
            <v>3317BC</v>
          </cell>
        </row>
        <row r="934">
          <cell r="A934">
            <v>8675</v>
          </cell>
          <cell r="B934"/>
          <cell r="C934"/>
          <cell r="D934" t="str">
            <v>AH Franchise</v>
          </cell>
          <cell r="E934" t="str">
            <v>NL2015BL001X</v>
          </cell>
          <cell r="F934">
            <v>514042</v>
          </cell>
          <cell r="G934">
            <v>6862649</v>
          </cell>
          <cell r="H934" t="str">
            <v>Z</v>
          </cell>
          <cell r="I934" t="str">
            <v>Spoorwegstraat 1</v>
          </cell>
          <cell r="J934" t="str">
            <v>2015BL</v>
          </cell>
        </row>
        <row r="935">
          <cell r="A935">
            <v>8678</v>
          </cell>
          <cell r="B935"/>
          <cell r="C935"/>
          <cell r="D935" t="str">
            <v>AH Franchise</v>
          </cell>
          <cell r="E935" t="str">
            <v>NL6074BB026X</v>
          </cell>
          <cell r="F935">
            <v>668557</v>
          </cell>
          <cell r="G935">
            <v>6641720</v>
          </cell>
          <cell r="H935" t="str">
            <v>T</v>
          </cell>
          <cell r="I935" t="str">
            <v>Markt 26</v>
          </cell>
          <cell r="J935" t="str">
            <v>6074BB</v>
          </cell>
        </row>
        <row r="936">
          <cell r="A936">
            <v>8679</v>
          </cell>
          <cell r="B936"/>
          <cell r="C936"/>
          <cell r="D936" t="str">
            <v>AH Franchise</v>
          </cell>
          <cell r="E936" t="str">
            <v>NL4132CB011X</v>
          </cell>
          <cell r="F936">
            <v>566408</v>
          </cell>
          <cell r="G936">
            <v>6790936</v>
          </cell>
          <cell r="H936" t="str">
            <v>T</v>
          </cell>
          <cell r="I936" t="str">
            <v>Lijnbaan 11</v>
          </cell>
          <cell r="J936" t="str">
            <v>4132CB</v>
          </cell>
        </row>
        <row r="937">
          <cell r="A937">
            <v>8680</v>
          </cell>
          <cell r="B937"/>
          <cell r="C937"/>
          <cell r="D937" t="str">
            <v>AH Franchise</v>
          </cell>
          <cell r="E937" t="str">
            <v>NL8102EX020X</v>
          </cell>
          <cell r="F937">
            <v>697979</v>
          </cell>
          <cell r="G937">
            <v>6862607</v>
          </cell>
          <cell r="H937" t="str">
            <v>O</v>
          </cell>
          <cell r="I937" t="str">
            <v>Molenhof 20</v>
          </cell>
          <cell r="J937" t="str">
            <v>8102EX</v>
          </cell>
        </row>
        <row r="938">
          <cell r="A938">
            <v>8681</v>
          </cell>
          <cell r="B938"/>
          <cell r="C938"/>
          <cell r="D938" t="str">
            <v>AH Franchise</v>
          </cell>
          <cell r="E938" t="str">
            <v>NL5709PZ010X</v>
          </cell>
          <cell r="F938">
            <v>632934</v>
          </cell>
          <cell r="G938">
            <v>6701754</v>
          </cell>
          <cell r="H938" t="str">
            <v>T</v>
          </cell>
          <cell r="I938" t="str">
            <v>Dierdonkpark 10</v>
          </cell>
          <cell r="J938" t="str">
            <v>5709PZ</v>
          </cell>
        </row>
        <row r="939">
          <cell r="A939">
            <v>8682</v>
          </cell>
          <cell r="B939"/>
          <cell r="C939"/>
          <cell r="D939" t="str">
            <v>AH Franchise</v>
          </cell>
          <cell r="E939" t="str">
            <v>NL6221JP052X</v>
          </cell>
          <cell r="F939">
            <v>633964</v>
          </cell>
          <cell r="G939">
            <v>6586846</v>
          </cell>
          <cell r="H939" t="str">
            <v>T</v>
          </cell>
          <cell r="I939" t="str">
            <v>Plein 1992 52</v>
          </cell>
          <cell r="J939" t="str">
            <v>6221JP</v>
          </cell>
        </row>
        <row r="940">
          <cell r="A940">
            <v>8683</v>
          </cell>
          <cell r="B940"/>
          <cell r="C940"/>
          <cell r="D940" t="str">
            <v>AH Franchise</v>
          </cell>
          <cell r="E940" t="str">
            <v>NL7546EN071X</v>
          </cell>
          <cell r="F940">
            <v>762283</v>
          </cell>
          <cell r="G940">
            <v>6827577</v>
          </cell>
          <cell r="H940" t="str">
            <v>O</v>
          </cell>
          <cell r="I940" t="str">
            <v>Kevelhamhoek 71</v>
          </cell>
          <cell r="J940" t="str">
            <v>7546EN</v>
          </cell>
        </row>
        <row r="941">
          <cell r="A941">
            <v>8684</v>
          </cell>
          <cell r="B941"/>
          <cell r="C941"/>
          <cell r="D941" t="str">
            <v>AH Franchise</v>
          </cell>
          <cell r="E941" t="str">
            <v>NL1016TM013X</v>
          </cell>
          <cell r="F941">
            <v>542839</v>
          </cell>
          <cell r="G941">
            <v>6859602</v>
          </cell>
          <cell r="H941" t="str">
            <v>Z</v>
          </cell>
          <cell r="I941" t="str">
            <v>Elandsgracht 13</v>
          </cell>
          <cell r="J941" t="str">
            <v>1016TM</v>
          </cell>
        </row>
        <row r="942">
          <cell r="A942">
            <v>8688</v>
          </cell>
          <cell r="B942"/>
          <cell r="C942"/>
          <cell r="D942" t="str">
            <v>AH Franchise</v>
          </cell>
          <cell r="E942" t="str">
            <v>NL6431HH100X</v>
          </cell>
          <cell r="F942">
            <v>659590</v>
          </cell>
          <cell r="G942">
            <v>6600696</v>
          </cell>
          <cell r="H942" t="str">
            <v>T</v>
          </cell>
          <cell r="I942" t="str">
            <v>Kouvenderstraat 100</v>
          </cell>
          <cell r="J942" t="str">
            <v>6431HH</v>
          </cell>
        </row>
        <row r="943">
          <cell r="A943">
            <v>8689</v>
          </cell>
          <cell r="B943"/>
          <cell r="C943"/>
          <cell r="D943" t="str">
            <v>AH Franchise</v>
          </cell>
          <cell r="E943" t="str">
            <v>NL3051GJ035X</v>
          </cell>
          <cell r="F943">
            <v>498304</v>
          </cell>
          <cell r="G943">
            <v>6782587</v>
          </cell>
          <cell r="H943" t="str">
            <v>P</v>
          </cell>
          <cell r="I943" t="str">
            <v>Kleiweg 35</v>
          </cell>
          <cell r="J943" t="str">
            <v>3051GJ</v>
          </cell>
        </row>
        <row r="944">
          <cell r="A944">
            <v>8690</v>
          </cell>
          <cell r="B944"/>
          <cell r="C944"/>
          <cell r="D944" t="str">
            <v>AH Franchise</v>
          </cell>
          <cell r="E944" t="str">
            <v>NL1784AH445X</v>
          </cell>
          <cell r="F944">
            <v>527217</v>
          </cell>
          <cell r="G944">
            <v>6964769</v>
          </cell>
          <cell r="H944" t="str">
            <v>Z</v>
          </cell>
          <cell r="I944" t="str">
            <v>Marsdiepstraat 262</v>
          </cell>
          <cell r="J944" t="str">
            <v>1784AV</v>
          </cell>
        </row>
        <row r="945">
          <cell r="A945">
            <v>8693</v>
          </cell>
          <cell r="B945"/>
          <cell r="C945"/>
          <cell r="D945" t="str">
            <v>AH Franchise</v>
          </cell>
          <cell r="E945" t="str">
            <v>NL1601AP188X</v>
          </cell>
          <cell r="F945">
            <v>587441</v>
          </cell>
          <cell r="G945">
            <v>6920437</v>
          </cell>
          <cell r="H945" t="str">
            <v>Z</v>
          </cell>
          <cell r="I945" t="str">
            <v>Westerstraat 188</v>
          </cell>
          <cell r="J945" t="str">
            <v>1601AP</v>
          </cell>
        </row>
        <row r="946">
          <cell r="A946">
            <v>8694</v>
          </cell>
          <cell r="B946"/>
          <cell r="C946"/>
          <cell r="D946" t="str">
            <v>AH Franchise</v>
          </cell>
          <cell r="E946" t="str">
            <v>NL8223AJ001X</v>
          </cell>
          <cell r="F946">
            <v>609942</v>
          </cell>
          <cell r="G946">
            <v>6887100</v>
          </cell>
          <cell r="H946" t="str">
            <v>Z</v>
          </cell>
          <cell r="I946" t="str">
            <v>Passage 1</v>
          </cell>
          <cell r="J946" t="str">
            <v>8223AJ</v>
          </cell>
        </row>
        <row r="947">
          <cell r="A947">
            <v>8695</v>
          </cell>
          <cell r="B947"/>
          <cell r="C947"/>
          <cell r="D947" t="str">
            <v>AH Franchise</v>
          </cell>
          <cell r="E947" t="str">
            <v>NL8302EZ200X</v>
          </cell>
          <cell r="F947">
            <v>640758</v>
          </cell>
          <cell r="G947">
            <v>6921972</v>
          </cell>
          <cell r="H947" t="str">
            <v>O</v>
          </cell>
          <cell r="I947" t="str">
            <v>Lange Nering 200</v>
          </cell>
          <cell r="J947" t="str">
            <v>8302EZ</v>
          </cell>
        </row>
        <row r="948">
          <cell r="A948">
            <v>8697</v>
          </cell>
          <cell r="B948"/>
          <cell r="C948"/>
          <cell r="D948" t="str">
            <v>Hoofdkantoor</v>
          </cell>
          <cell r="E948" t="str">
            <v>NL1506MA011X</v>
          </cell>
          <cell r="F948">
            <v>535568</v>
          </cell>
          <cell r="G948">
            <v>6871617</v>
          </cell>
          <cell r="H948"/>
          <cell r="I948" t="str">
            <v>Provincialeweg 11</v>
          </cell>
          <cell r="J948" t="str">
            <v>1506MA</v>
          </cell>
        </row>
        <row r="949">
          <cell r="A949">
            <v>8699</v>
          </cell>
          <cell r="B949"/>
          <cell r="C949"/>
          <cell r="D949" t="str">
            <v>Coffee Company</v>
          </cell>
          <cell r="E949" t="str">
            <v>NL1507CB007X</v>
          </cell>
          <cell r="F949">
            <v>535148</v>
          </cell>
          <cell r="G949">
            <v>6870800</v>
          </cell>
          <cell r="H949"/>
          <cell r="I949" t="str">
            <v>Kleine Tocht 7</v>
          </cell>
          <cell r="J949" t="str">
            <v>1507CB</v>
          </cell>
        </row>
        <row r="950">
          <cell r="A950">
            <v>8701</v>
          </cell>
          <cell r="B950"/>
          <cell r="C950"/>
          <cell r="D950" t="str">
            <v>AH Franchise</v>
          </cell>
          <cell r="E950" t="str">
            <v>NL9902BX002X</v>
          </cell>
          <cell r="F950">
            <v>762638</v>
          </cell>
          <cell r="G950">
            <v>7034189</v>
          </cell>
          <cell r="H950" t="str">
            <v>O</v>
          </cell>
          <cell r="I950" t="str">
            <v>Overdiep 1</v>
          </cell>
          <cell r="J950" t="str">
            <v>9902DB</v>
          </cell>
        </row>
        <row r="951">
          <cell r="A951">
            <v>8702</v>
          </cell>
          <cell r="B951"/>
          <cell r="C951"/>
          <cell r="D951" t="str">
            <v>AH Franchise</v>
          </cell>
          <cell r="E951" t="str">
            <v>NL1024LT255X</v>
          </cell>
          <cell r="F951">
            <v>551098</v>
          </cell>
          <cell r="G951">
            <v>6863745</v>
          </cell>
          <cell r="H951" t="str">
            <v>Z</v>
          </cell>
          <cell r="I951" t="str">
            <v>Waterlandplein 255</v>
          </cell>
          <cell r="J951" t="str">
            <v>1024LT</v>
          </cell>
        </row>
        <row r="952">
          <cell r="A952">
            <v>8704</v>
          </cell>
          <cell r="B952"/>
          <cell r="C952"/>
          <cell r="D952" t="str">
            <v>AH Franchise</v>
          </cell>
          <cell r="E952" t="str">
            <v>NL8255AA010X</v>
          </cell>
          <cell r="F952">
            <v>627613</v>
          </cell>
          <cell r="G952">
            <v>6896387</v>
          </cell>
          <cell r="H952" t="str">
            <v>O</v>
          </cell>
          <cell r="I952" t="str">
            <v>De Poort 10</v>
          </cell>
          <cell r="J952" t="str">
            <v>8255AA</v>
          </cell>
        </row>
        <row r="953">
          <cell r="A953">
            <v>8705</v>
          </cell>
          <cell r="B953"/>
          <cell r="C953"/>
          <cell r="D953" t="str">
            <v>AH Franchise</v>
          </cell>
          <cell r="E953" t="str">
            <v>NL6931CZ006X</v>
          </cell>
          <cell r="F953">
            <v>663618</v>
          </cell>
          <cell r="G953">
            <v>6785712</v>
          </cell>
          <cell r="H953" t="str">
            <v>O</v>
          </cell>
          <cell r="I953" t="str">
            <v>Dorpsplein 6</v>
          </cell>
          <cell r="J953" t="str">
            <v>6931CZ</v>
          </cell>
        </row>
        <row r="954">
          <cell r="A954">
            <v>8707</v>
          </cell>
          <cell r="B954"/>
          <cell r="C954"/>
          <cell r="D954" t="str">
            <v>AH Franchise</v>
          </cell>
          <cell r="E954" t="str">
            <v>NL7041GL016X</v>
          </cell>
          <cell r="F954">
            <v>696003</v>
          </cell>
          <cell r="G954">
            <v>6770866</v>
          </cell>
          <cell r="H954" t="str">
            <v>O</v>
          </cell>
          <cell r="I954" t="str">
            <v>De Bongerd 16</v>
          </cell>
          <cell r="J954" t="str">
            <v>7041GL</v>
          </cell>
        </row>
        <row r="955">
          <cell r="A955">
            <v>8708</v>
          </cell>
          <cell r="B955"/>
          <cell r="C955"/>
          <cell r="D955" t="str">
            <v>AH Franchise</v>
          </cell>
          <cell r="E955" t="str">
            <v>NL7206KC086X</v>
          </cell>
          <cell r="F955">
            <v>689303</v>
          </cell>
          <cell r="G955">
            <v>6815179</v>
          </cell>
          <cell r="H955" t="str">
            <v>O</v>
          </cell>
          <cell r="I955" t="str">
            <v>De Brink 86</v>
          </cell>
          <cell r="J955" t="str">
            <v>7206KC</v>
          </cell>
        </row>
        <row r="956">
          <cell r="A956">
            <v>8710</v>
          </cell>
          <cell r="B956"/>
          <cell r="C956"/>
          <cell r="D956" t="str">
            <v>AH Franchise</v>
          </cell>
          <cell r="E956" t="str">
            <v>NL7131DH012X</v>
          </cell>
          <cell r="F956">
            <v>730409</v>
          </cell>
          <cell r="G956">
            <v>6790524</v>
          </cell>
          <cell r="H956" t="str">
            <v>O</v>
          </cell>
          <cell r="I956" t="str">
            <v>Varkensmarkt 12</v>
          </cell>
          <cell r="J956" t="str">
            <v>7131DH</v>
          </cell>
        </row>
        <row r="957">
          <cell r="A957">
            <v>8711</v>
          </cell>
          <cell r="B957"/>
          <cell r="C957"/>
          <cell r="D957" t="str">
            <v>AH Franchise</v>
          </cell>
          <cell r="E957" t="str">
            <v>NL1511XW010X</v>
          </cell>
          <cell r="F957">
            <v>542416</v>
          </cell>
          <cell r="G957">
            <v>6871866</v>
          </cell>
          <cell r="H957" t="str">
            <v>Z</v>
          </cell>
          <cell r="I957" t="str">
            <v>Klaverweide 10</v>
          </cell>
          <cell r="J957" t="str">
            <v>1511XW</v>
          </cell>
        </row>
        <row r="958">
          <cell r="A958">
            <v>8712</v>
          </cell>
          <cell r="B958"/>
          <cell r="C958"/>
          <cell r="D958" t="str">
            <v>AH Franchise</v>
          </cell>
          <cell r="E958" t="str">
            <v>NL9451KA005X</v>
          </cell>
          <cell r="F958">
            <v>739316</v>
          </cell>
          <cell r="G958">
            <v>6972571</v>
          </cell>
          <cell r="H958" t="str">
            <v>O</v>
          </cell>
          <cell r="I958" t="str">
            <v>Grolloerstraat 5</v>
          </cell>
          <cell r="J958" t="str">
            <v>9451KA</v>
          </cell>
        </row>
        <row r="959">
          <cell r="A959">
            <v>8713</v>
          </cell>
          <cell r="B959"/>
          <cell r="C959"/>
          <cell r="D959" t="str">
            <v>AH Franchise</v>
          </cell>
          <cell r="E959" t="str">
            <v>NL3828VL012X</v>
          </cell>
          <cell r="F959">
            <v>597688</v>
          </cell>
          <cell r="G959">
            <v>6826374</v>
          </cell>
          <cell r="H959" t="str">
            <v>O</v>
          </cell>
          <cell r="I959" t="str">
            <v>Kraailandhof 106</v>
          </cell>
          <cell r="J959" t="str">
            <v>3828JM</v>
          </cell>
        </row>
        <row r="960">
          <cell r="A960">
            <v>8714</v>
          </cell>
          <cell r="B960"/>
          <cell r="C960"/>
          <cell r="D960" t="str">
            <v>AH Franchise</v>
          </cell>
          <cell r="E960" t="str">
            <v>NL9731AB001X</v>
          </cell>
          <cell r="F960">
            <v>733780</v>
          </cell>
          <cell r="G960">
            <v>7017316</v>
          </cell>
          <cell r="H960" t="str">
            <v>O</v>
          </cell>
          <cell r="I960" t="str">
            <v>Rijksweg 16</v>
          </cell>
          <cell r="J960" t="str">
            <v>9731AB</v>
          </cell>
        </row>
        <row r="961">
          <cell r="A961">
            <v>8716</v>
          </cell>
          <cell r="B961"/>
          <cell r="C961"/>
          <cell r="D961" t="str">
            <v>AH Franchise</v>
          </cell>
          <cell r="E961" t="str">
            <v>NL6431HW282X</v>
          </cell>
          <cell r="F961">
            <v>660732</v>
          </cell>
          <cell r="G961">
            <v>6600852</v>
          </cell>
          <cell r="H961" t="str">
            <v>T</v>
          </cell>
          <cell r="I961" t="str">
            <v>Akerstraat Noord 282</v>
          </cell>
          <cell r="J961" t="str">
            <v>6431HW</v>
          </cell>
        </row>
        <row r="962">
          <cell r="A962">
            <v>8717</v>
          </cell>
          <cell r="B962"/>
          <cell r="C962"/>
          <cell r="D962" t="str">
            <v>AH Franchise</v>
          </cell>
          <cell r="E962" t="str">
            <v>NL9981AG009X</v>
          </cell>
          <cell r="F962">
            <v>742138</v>
          </cell>
          <cell r="G962">
            <v>7050965</v>
          </cell>
          <cell r="H962" t="str">
            <v>O</v>
          </cell>
          <cell r="I962" t="str">
            <v>Hoofdstraat-Oost 9</v>
          </cell>
          <cell r="J962" t="str">
            <v>9981AG</v>
          </cell>
        </row>
        <row r="963">
          <cell r="A963">
            <v>8718</v>
          </cell>
          <cell r="B963"/>
          <cell r="C963"/>
          <cell r="D963" t="str">
            <v>AH Franchise</v>
          </cell>
          <cell r="E963" t="str">
            <v>NL3862BM072X</v>
          </cell>
          <cell r="F963">
            <v>609159</v>
          </cell>
          <cell r="G963">
            <v>6831748</v>
          </cell>
          <cell r="H963" t="str">
            <v>O</v>
          </cell>
          <cell r="I963" t="str">
            <v>Frieswijkstraat 72</v>
          </cell>
          <cell r="J963" t="str">
            <v>3862BM</v>
          </cell>
        </row>
        <row r="964">
          <cell r="A964">
            <v>8719</v>
          </cell>
          <cell r="B964"/>
          <cell r="C964"/>
          <cell r="D964" t="str">
            <v>AH Franchise</v>
          </cell>
          <cell r="E964" t="str">
            <v>NL3781GR021X</v>
          </cell>
          <cell r="F964">
            <v>623627</v>
          </cell>
          <cell r="G964">
            <v>6826197</v>
          </cell>
          <cell r="H964" t="str">
            <v>O</v>
          </cell>
          <cell r="I964" t="str">
            <v>Smitsplein 21</v>
          </cell>
          <cell r="J964" t="str">
            <v>3781GR</v>
          </cell>
        </row>
        <row r="965">
          <cell r="A965">
            <v>8720</v>
          </cell>
          <cell r="B965"/>
          <cell r="C965"/>
          <cell r="D965" t="str">
            <v>AH Franchise</v>
          </cell>
          <cell r="E965" t="str">
            <v>NL9737TM021X</v>
          </cell>
          <cell r="F965">
            <v>732651</v>
          </cell>
          <cell r="G965">
            <v>7020911</v>
          </cell>
          <cell r="H965" t="str">
            <v>O</v>
          </cell>
          <cell r="I965" t="str">
            <v>Stoepemaheerd 21</v>
          </cell>
          <cell r="J965" t="str">
            <v>9737TL</v>
          </cell>
        </row>
        <row r="966">
          <cell r="A966">
            <v>8724</v>
          </cell>
          <cell r="B966"/>
          <cell r="C966"/>
          <cell r="D966" t="str">
            <v>AH Franchise</v>
          </cell>
          <cell r="E966" t="str">
            <v>NL7255BN036X</v>
          </cell>
          <cell r="F966">
            <v>701447</v>
          </cell>
          <cell r="G966">
            <v>6802241</v>
          </cell>
          <cell r="H966" t="str">
            <v>O</v>
          </cell>
          <cell r="I966" t="str">
            <v>Raadhuisstraat 24</v>
          </cell>
          <cell r="J966" t="str">
            <v>7255BN</v>
          </cell>
        </row>
        <row r="967">
          <cell r="A967">
            <v>8725</v>
          </cell>
          <cell r="B967"/>
          <cell r="C967"/>
          <cell r="D967" t="str">
            <v>AH Franchise</v>
          </cell>
          <cell r="E967" t="str">
            <v>NL4254AW007X</v>
          </cell>
          <cell r="F967">
            <v>549799</v>
          </cell>
          <cell r="G967">
            <v>6758676</v>
          </cell>
          <cell r="H967" t="str">
            <v>T</v>
          </cell>
          <cell r="I967" t="str">
            <v>Nieuwe Es 7</v>
          </cell>
          <cell r="J967" t="str">
            <v>4254AW</v>
          </cell>
        </row>
        <row r="968">
          <cell r="A968">
            <v>8728</v>
          </cell>
          <cell r="B968"/>
          <cell r="C968"/>
          <cell r="D968" t="str">
            <v>AH Franchise</v>
          </cell>
          <cell r="E968" t="str">
            <v>NL2014XA070X</v>
          </cell>
          <cell r="F968">
            <v>513421</v>
          </cell>
          <cell r="G968">
            <v>6860946</v>
          </cell>
          <cell r="H968" t="str">
            <v>Z</v>
          </cell>
          <cell r="I968" t="str">
            <v>Westergracht 70</v>
          </cell>
          <cell r="J968" t="str">
            <v>2014XA</v>
          </cell>
        </row>
        <row r="969">
          <cell r="A969">
            <v>8729</v>
          </cell>
          <cell r="B969"/>
          <cell r="C969"/>
          <cell r="D969" t="str">
            <v>AH Franchise</v>
          </cell>
          <cell r="E969" t="str">
            <v>NL3645DG001X</v>
          </cell>
          <cell r="F969">
            <v>548724</v>
          </cell>
          <cell r="G969">
            <v>6831521</v>
          </cell>
          <cell r="H969" t="str">
            <v>Z</v>
          </cell>
          <cell r="I969" t="str">
            <v>Herenweg 71</v>
          </cell>
          <cell r="J969" t="str">
            <v>3645DG</v>
          </cell>
        </row>
        <row r="970">
          <cell r="A970">
            <v>8730</v>
          </cell>
          <cell r="B970"/>
          <cell r="C970"/>
          <cell r="D970" t="str">
            <v>AH Franchise</v>
          </cell>
          <cell r="E970" t="str">
            <v>NL3155SE002X</v>
          </cell>
          <cell r="F970">
            <v>474716</v>
          </cell>
          <cell r="G970">
            <v>6780546</v>
          </cell>
          <cell r="H970" t="str">
            <v>P</v>
          </cell>
          <cell r="I970" t="str">
            <v>Huis Te Veldelaan 2</v>
          </cell>
          <cell r="J970" t="str">
            <v>3155SE</v>
          </cell>
        </row>
        <row r="971">
          <cell r="A971">
            <v>8731</v>
          </cell>
          <cell r="B971"/>
          <cell r="C971"/>
          <cell r="D971" t="str">
            <v>AH Franchise</v>
          </cell>
          <cell r="E971" t="str">
            <v>NL1688CT040X</v>
          </cell>
          <cell r="F971">
            <v>562328</v>
          </cell>
          <cell r="G971">
            <v>6918437</v>
          </cell>
          <cell r="H971" t="str">
            <v>Z</v>
          </cell>
          <cell r="I971" t="str">
            <v>Ganker 40</v>
          </cell>
          <cell r="J971" t="str">
            <v>1688CT</v>
          </cell>
        </row>
        <row r="972">
          <cell r="A972">
            <v>8732</v>
          </cell>
          <cell r="B972"/>
          <cell r="C972"/>
          <cell r="D972" t="str">
            <v>AH Franchise</v>
          </cell>
          <cell r="E972" t="str">
            <v>NL7323TL027X</v>
          </cell>
          <cell r="F972">
            <v>665044</v>
          </cell>
          <cell r="G972">
            <v>6834657</v>
          </cell>
          <cell r="H972" t="str">
            <v>O</v>
          </cell>
          <cell r="I972" t="str">
            <v>Salomestraat 27</v>
          </cell>
          <cell r="J972" t="str">
            <v>7323TL</v>
          </cell>
        </row>
        <row r="973">
          <cell r="A973">
            <v>8733</v>
          </cell>
          <cell r="B973"/>
          <cell r="C973"/>
          <cell r="D973" t="str">
            <v>AH Franchise</v>
          </cell>
          <cell r="E973" t="str">
            <v>NL6652AK021X</v>
          </cell>
          <cell r="F973">
            <v>623410</v>
          </cell>
          <cell r="G973">
            <v>6771438</v>
          </cell>
          <cell r="H973" t="str">
            <v>T</v>
          </cell>
          <cell r="I973" t="str">
            <v>Scharenburg 21</v>
          </cell>
          <cell r="J973" t="str">
            <v>6652AK</v>
          </cell>
        </row>
        <row r="974">
          <cell r="A974">
            <v>8734</v>
          </cell>
          <cell r="B974"/>
          <cell r="C974"/>
          <cell r="D974" t="str">
            <v>AH Franchise</v>
          </cell>
          <cell r="E974" t="str">
            <v>NL2941BP100X</v>
          </cell>
          <cell r="F974">
            <v>520931</v>
          </cell>
          <cell r="G974">
            <v>6774530</v>
          </cell>
          <cell r="H974" t="str">
            <v>P</v>
          </cell>
          <cell r="I974" t="str">
            <v>Kerkweg 100</v>
          </cell>
          <cell r="J974" t="str">
            <v>2941BP</v>
          </cell>
        </row>
        <row r="975">
          <cell r="A975">
            <v>8735</v>
          </cell>
          <cell r="B975"/>
          <cell r="C975"/>
          <cell r="D975" t="str">
            <v>AH Franchise</v>
          </cell>
          <cell r="E975" t="str">
            <v>NL6581BV019X</v>
          </cell>
          <cell r="F975">
            <v>650983</v>
          </cell>
          <cell r="G975">
            <v>6753190</v>
          </cell>
          <cell r="H975" t="str">
            <v>T</v>
          </cell>
          <cell r="I975" t="str">
            <v>Winkelcentrum 19</v>
          </cell>
          <cell r="J975" t="str">
            <v>6581BV</v>
          </cell>
        </row>
        <row r="976">
          <cell r="A976">
            <v>8736</v>
          </cell>
          <cell r="B976"/>
          <cell r="C976"/>
          <cell r="D976" t="str">
            <v>AH Franchise</v>
          </cell>
          <cell r="E976" t="str">
            <v>NL1359HM003X</v>
          </cell>
          <cell r="F976">
            <v>578457</v>
          </cell>
          <cell r="G976">
            <v>6854672</v>
          </cell>
          <cell r="H976" t="str">
            <v>Z</v>
          </cell>
          <cell r="I976" t="str">
            <v>Meerveldplein 3</v>
          </cell>
          <cell r="J976" t="str">
            <v>1359HM</v>
          </cell>
        </row>
        <row r="977">
          <cell r="A977">
            <v>8739</v>
          </cell>
          <cell r="B977"/>
          <cell r="C977"/>
          <cell r="D977" t="str">
            <v>AH Franchise</v>
          </cell>
          <cell r="E977" t="str">
            <v>NL6942WE029X</v>
          </cell>
          <cell r="F977">
            <v>682236</v>
          </cell>
          <cell r="G977">
            <v>6782082</v>
          </cell>
          <cell r="H977" t="str">
            <v>O</v>
          </cell>
          <cell r="I977" t="str">
            <v>Leliestraat 47</v>
          </cell>
          <cell r="J977" t="str">
            <v>6942XL</v>
          </cell>
        </row>
        <row r="978">
          <cell r="A978">
            <v>8741</v>
          </cell>
          <cell r="B978"/>
          <cell r="C978"/>
          <cell r="D978" t="str">
            <v>AH Franchise</v>
          </cell>
          <cell r="E978" t="str">
            <v>NL1785RL019X</v>
          </cell>
          <cell r="F978">
            <v>530550</v>
          </cell>
          <cell r="G978">
            <v>6963424</v>
          </cell>
          <cell r="H978" t="str">
            <v>Z</v>
          </cell>
          <cell r="I978" t="str">
            <v>Vrede en Vrijheid 19</v>
          </cell>
          <cell r="J978" t="str">
            <v>1785RL</v>
          </cell>
        </row>
        <row r="979">
          <cell r="A979">
            <v>8742</v>
          </cell>
          <cell r="B979"/>
          <cell r="C979"/>
          <cell r="D979" t="str">
            <v>AH Franchise</v>
          </cell>
          <cell r="E979" t="str">
            <v>NL2396GA009X</v>
          </cell>
          <cell r="F979">
            <v>511509</v>
          </cell>
          <cell r="G979">
            <v>6816576</v>
          </cell>
          <cell r="H979" t="str">
            <v>P</v>
          </cell>
          <cell r="I979" t="str">
            <v>Prins Bernhardstraat 9</v>
          </cell>
          <cell r="J979" t="str">
            <v>2396GA</v>
          </cell>
        </row>
        <row r="980">
          <cell r="A980">
            <v>8743</v>
          </cell>
          <cell r="B980"/>
          <cell r="C980"/>
          <cell r="D980" t="str">
            <v>AH Franchise</v>
          </cell>
          <cell r="E980" t="str">
            <v>NL7451BR017X</v>
          </cell>
          <cell r="F980">
            <v>714148</v>
          </cell>
          <cell r="G980">
            <v>6843643</v>
          </cell>
          <cell r="H980" t="str">
            <v>O</v>
          </cell>
          <cell r="I980" t="str">
            <v>Dorpsstraat 17</v>
          </cell>
          <cell r="J980" t="str">
            <v>7451BR</v>
          </cell>
        </row>
        <row r="981">
          <cell r="A981">
            <v>8744</v>
          </cell>
          <cell r="B981"/>
          <cell r="C981"/>
          <cell r="D981" t="str">
            <v>AH Franchise</v>
          </cell>
          <cell r="E981" t="str">
            <v>NL5351ES005X</v>
          </cell>
          <cell r="F981">
            <v>619197</v>
          </cell>
          <cell r="G981">
            <v>6751122</v>
          </cell>
          <cell r="H981" t="str">
            <v>T</v>
          </cell>
          <cell r="I981" t="str">
            <v>St. Willibrordusstraat 45</v>
          </cell>
          <cell r="J981" t="str">
            <v>5351EE</v>
          </cell>
        </row>
        <row r="982">
          <cell r="A982">
            <v>8746</v>
          </cell>
          <cell r="B982"/>
          <cell r="C982"/>
          <cell r="D982" t="str">
            <v>AH Franchise</v>
          </cell>
          <cell r="E982" t="str">
            <v>NL6691AV036X</v>
          </cell>
          <cell r="F982">
            <v>663737</v>
          </cell>
          <cell r="G982">
            <v>6770573</v>
          </cell>
          <cell r="H982" t="str">
            <v>T</v>
          </cell>
          <cell r="I982" t="str">
            <v>Julianastraat 12</v>
          </cell>
          <cell r="J982" t="str">
            <v>6691AV</v>
          </cell>
        </row>
        <row r="983">
          <cell r="A983">
            <v>8747</v>
          </cell>
          <cell r="B983"/>
          <cell r="C983"/>
          <cell r="D983" t="str">
            <v>AH Franchise</v>
          </cell>
          <cell r="E983" t="str">
            <v>NL6851AH002X</v>
          </cell>
          <cell r="F983">
            <v>661023</v>
          </cell>
          <cell r="G983">
            <v>6780757</v>
          </cell>
          <cell r="H983" t="str">
            <v>O</v>
          </cell>
          <cell r="I983" t="str">
            <v>Stadsdam 2</v>
          </cell>
          <cell r="J983" t="str">
            <v>6851AH</v>
          </cell>
        </row>
        <row r="984">
          <cell r="A984">
            <v>8748</v>
          </cell>
          <cell r="B984"/>
          <cell r="C984"/>
          <cell r="D984" t="str">
            <v>AH Franchise</v>
          </cell>
          <cell r="E984" t="str">
            <v>NL7161GP011X</v>
          </cell>
          <cell r="F984">
            <v>735096</v>
          </cell>
          <cell r="G984">
            <v>6816841</v>
          </cell>
          <cell r="H984" t="str">
            <v>O</v>
          </cell>
          <cell r="I984" t="str">
            <v>Borculoseweg 11</v>
          </cell>
          <cell r="J984" t="str">
            <v>7161GP</v>
          </cell>
        </row>
        <row r="985">
          <cell r="A985">
            <v>8749</v>
          </cell>
          <cell r="B985"/>
          <cell r="C985"/>
          <cell r="D985" t="str">
            <v>AH Franchise</v>
          </cell>
          <cell r="E985" t="str">
            <v>NL8501AR015X</v>
          </cell>
          <cell r="F985">
            <v>644142</v>
          </cell>
          <cell r="G985">
            <v>6969277</v>
          </cell>
          <cell r="H985" t="str">
            <v>O</v>
          </cell>
          <cell r="I985" t="str">
            <v>Midstraat 28</v>
          </cell>
          <cell r="J985" t="str">
            <v>8501AR</v>
          </cell>
        </row>
        <row r="986">
          <cell r="A986">
            <v>8752</v>
          </cell>
          <cell r="B986"/>
          <cell r="C986"/>
          <cell r="D986" t="str">
            <v>AH Franchise</v>
          </cell>
          <cell r="E986" t="str">
            <v>NL1823HA011X</v>
          </cell>
          <cell r="F986">
            <v>529934</v>
          </cell>
          <cell r="G986">
            <v>6907934</v>
          </cell>
          <cell r="H986" t="str">
            <v>Z</v>
          </cell>
          <cell r="I986" t="str">
            <v>Oudorperplein 7</v>
          </cell>
          <cell r="J986" t="str">
            <v>1823HA</v>
          </cell>
        </row>
        <row r="987">
          <cell r="A987">
            <v>8753</v>
          </cell>
          <cell r="B987"/>
          <cell r="C987"/>
          <cell r="D987" t="str">
            <v>AH Franchise</v>
          </cell>
          <cell r="E987" t="str">
            <v>NL8401SH001X</v>
          </cell>
          <cell r="F987">
            <v>674594</v>
          </cell>
          <cell r="G987">
            <v>6975894</v>
          </cell>
          <cell r="H987" t="str">
            <v>O</v>
          </cell>
          <cell r="I987" t="str">
            <v>Hofland 1</v>
          </cell>
          <cell r="J987" t="str">
            <v>8401SH</v>
          </cell>
        </row>
        <row r="988">
          <cell r="A988">
            <v>8754</v>
          </cell>
          <cell r="B988"/>
          <cell r="C988"/>
          <cell r="D988" t="str">
            <v>AH Franchise</v>
          </cell>
          <cell r="E988" t="str">
            <v>NL9061CB002X</v>
          </cell>
          <cell r="F988">
            <v>655159</v>
          </cell>
          <cell r="G988">
            <v>7020155</v>
          </cell>
          <cell r="H988" t="str">
            <v>O</v>
          </cell>
          <cell r="I988" t="str">
            <v>Canterlandseweg 2</v>
          </cell>
          <cell r="J988" t="str">
            <v>9061CB</v>
          </cell>
        </row>
        <row r="989">
          <cell r="A989">
            <v>8755</v>
          </cell>
          <cell r="B989"/>
          <cell r="C989"/>
          <cell r="D989" t="str">
            <v>AH Franchise</v>
          </cell>
          <cell r="E989" t="str">
            <v>NL2011XW011X</v>
          </cell>
          <cell r="F989">
            <v>514899</v>
          </cell>
          <cell r="G989">
            <v>6861828</v>
          </cell>
          <cell r="H989" t="str">
            <v>Z</v>
          </cell>
          <cell r="I989" t="str">
            <v>Drossestraat 11</v>
          </cell>
          <cell r="J989" t="str">
            <v>2011XW</v>
          </cell>
        </row>
        <row r="990">
          <cell r="A990">
            <v>8756</v>
          </cell>
          <cell r="B990"/>
          <cell r="C990"/>
          <cell r="D990" t="str">
            <v>AH Franchise</v>
          </cell>
          <cell r="E990" t="str">
            <v>NL2121GC023X</v>
          </cell>
          <cell r="F990">
            <v>511460</v>
          </cell>
          <cell r="G990">
            <v>6850631</v>
          </cell>
          <cell r="H990" t="str">
            <v>Z</v>
          </cell>
          <cell r="I990" t="str">
            <v>Schoollaan 23</v>
          </cell>
          <cell r="J990" t="str">
            <v>2121GC</v>
          </cell>
        </row>
        <row r="991">
          <cell r="A991">
            <v>8757</v>
          </cell>
          <cell r="B991"/>
          <cell r="C991"/>
          <cell r="D991" t="str">
            <v>AH Franchise</v>
          </cell>
          <cell r="E991" t="str">
            <v>NL1112XC100X</v>
          </cell>
          <cell r="F991">
            <v>550972</v>
          </cell>
          <cell r="G991">
            <v>6852116</v>
          </cell>
          <cell r="H991" t="str">
            <v>Z</v>
          </cell>
          <cell r="I991" t="str">
            <v>Dalsteindreef 1009</v>
          </cell>
          <cell r="J991" t="str">
            <v>1112XC</v>
          </cell>
        </row>
        <row r="992">
          <cell r="A992">
            <v>8758</v>
          </cell>
          <cell r="B992"/>
          <cell r="C992"/>
          <cell r="D992" t="str">
            <v>AH Franchise</v>
          </cell>
          <cell r="E992" t="str">
            <v>NL3708DL110X</v>
          </cell>
          <cell r="F992">
            <v>585083</v>
          </cell>
          <cell r="G992">
            <v>6806256</v>
          </cell>
          <cell r="H992" t="str">
            <v>Z</v>
          </cell>
          <cell r="I992" t="str">
            <v>Hoog Kanje 110</v>
          </cell>
          <cell r="J992" t="str">
            <v>3708DL</v>
          </cell>
        </row>
        <row r="993">
          <cell r="A993">
            <v>8759</v>
          </cell>
          <cell r="B993"/>
          <cell r="C993"/>
          <cell r="D993" t="str">
            <v>AH Franchise</v>
          </cell>
          <cell r="E993" t="str">
            <v>NL5961ET011X</v>
          </cell>
          <cell r="F993">
            <v>672938</v>
          </cell>
          <cell r="G993">
            <v>6694318</v>
          </cell>
          <cell r="H993" t="str">
            <v>T</v>
          </cell>
          <cell r="I993" t="str">
            <v>Steenstraat 11</v>
          </cell>
          <cell r="J993" t="str">
            <v>5961ET</v>
          </cell>
        </row>
        <row r="994">
          <cell r="A994">
            <v>8760</v>
          </cell>
          <cell r="B994"/>
          <cell r="C994"/>
          <cell r="D994" t="str">
            <v>AH Franchise</v>
          </cell>
          <cell r="E994" t="str">
            <v>NL1056EC024X</v>
          </cell>
          <cell r="F994">
            <v>540130</v>
          </cell>
          <cell r="G994">
            <v>6859851</v>
          </cell>
          <cell r="H994" t="str">
            <v>Z</v>
          </cell>
          <cell r="I994" t="str">
            <v>Jan Evertsenstraat 24</v>
          </cell>
          <cell r="J994" t="str">
            <v>1056EC</v>
          </cell>
        </row>
        <row r="995">
          <cell r="A995">
            <v>8761</v>
          </cell>
          <cell r="B995"/>
          <cell r="C995"/>
          <cell r="D995" t="str">
            <v>AH Franchise</v>
          </cell>
          <cell r="E995" t="str">
            <v>NL7006NH063X</v>
          </cell>
          <cell r="F995">
            <v>695850</v>
          </cell>
          <cell r="G995">
            <v>6785497</v>
          </cell>
          <cell r="H995" t="str">
            <v>O</v>
          </cell>
          <cell r="I995" t="str">
            <v>De Bongerd 63</v>
          </cell>
          <cell r="J995" t="str">
            <v>7006NH</v>
          </cell>
        </row>
        <row r="996">
          <cell r="A996">
            <v>8765</v>
          </cell>
          <cell r="B996"/>
          <cell r="C996"/>
          <cell r="D996" t="str">
            <v>AH Franchise</v>
          </cell>
          <cell r="E996" t="str">
            <v>NL4861SN021X</v>
          </cell>
          <cell r="F996">
            <v>540491</v>
          </cell>
          <cell r="G996">
            <v>6703549</v>
          </cell>
          <cell r="H996" t="str">
            <v>T</v>
          </cell>
          <cell r="I996" t="str">
            <v>Brouwerij 40</v>
          </cell>
          <cell r="J996" t="str">
            <v>4861SN</v>
          </cell>
        </row>
        <row r="997">
          <cell r="A997">
            <v>8766</v>
          </cell>
          <cell r="B997"/>
          <cell r="C997"/>
          <cell r="D997" t="str">
            <v>AH Franchise</v>
          </cell>
          <cell r="E997" t="str">
            <v>NL5504BP002X</v>
          </cell>
          <cell r="F997">
            <v>600102</v>
          </cell>
          <cell r="G997">
            <v>6685677</v>
          </cell>
          <cell r="H997" t="str">
            <v>T</v>
          </cell>
          <cell r="I997" t="str">
            <v>Rapportstraat 2</v>
          </cell>
          <cell r="J997" t="str">
            <v>5504BP</v>
          </cell>
        </row>
        <row r="998">
          <cell r="A998">
            <v>8768</v>
          </cell>
          <cell r="B998"/>
          <cell r="C998"/>
          <cell r="D998" t="str">
            <v>AH Franchise</v>
          </cell>
          <cell r="E998" t="str">
            <v>NL7481HZ001X</v>
          </cell>
          <cell r="F998">
            <v>749606</v>
          </cell>
          <cell r="G998">
            <v>6820818</v>
          </cell>
          <cell r="H998" t="str">
            <v>O</v>
          </cell>
          <cell r="I998" t="str">
            <v>Spoorstraat 30</v>
          </cell>
          <cell r="J998" t="str">
            <v>7481HZ</v>
          </cell>
        </row>
        <row r="999">
          <cell r="A999">
            <v>8770</v>
          </cell>
          <cell r="B999"/>
          <cell r="C999"/>
          <cell r="D999" t="str">
            <v>AH Franchise</v>
          </cell>
          <cell r="E999" t="str">
            <v>NL6661EV020X</v>
          </cell>
          <cell r="F999">
            <v>649348</v>
          </cell>
          <cell r="G999">
            <v>6777935</v>
          </cell>
          <cell r="H999" t="str">
            <v>T</v>
          </cell>
          <cell r="I999" t="str">
            <v>Valburgseweg 20</v>
          </cell>
          <cell r="J999" t="str">
            <v>6661EV</v>
          </cell>
        </row>
        <row r="1000">
          <cell r="A1000">
            <v>8771</v>
          </cell>
          <cell r="B1000"/>
          <cell r="C1000"/>
          <cell r="D1000" t="str">
            <v>AH Franchise</v>
          </cell>
          <cell r="E1000" t="str">
            <v>NL3114NC001X</v>
          </cell>
          <cell r="F1000">
            <v>489405</v>
          </cell>
          <cell r="G1000">
            <v>6775859</v>
          </cell>
          <cell r="H1000" t="str">
            <v>P</v>
          </cell>
          <cell r="I1000" t="str">
            <v>Hagastraat 1</v>
          </cell>
          <cell r="J1000" t="str">
            <v>3114NC</v>
          </cell>
        </row>
        <row r="1001">
          <cell r="A1001">
            <v>8772</v>
          </cell>
          <cell r="B1001"/>
          <cell r="C1001"/>
          <cell r="D1001" t="str">
            <v>AH Franchise</v>
          </cell>
          <cell r="E1001" t="str">
            <v>NL3253AS014X</v>
          </cell>
          <cell r="F1001">
            <v>437360</v>
          </cell>
          <cell r="G1001">
            <v>6758199</v>
          </cell>
          <cell r="H1001" t="str">
            <v>P</v>
          </cell>
          <cell r="I1001" t="str">
            <v>Dorpstienden 14</v>
          </cell>
          <cell r="J1001" t="str">
            <v>3253AS</v>
          </cell>
        </row>
        <row r="1002">
          <cell r="A1002">
            <v>8773</v>
          </cell>
          <cell r="B1002"/>
          <cell r="C1002"/>
          <cell r="D1002" t="str">
            <v>AH Franchise</v>
          </cell>
          <cell r="E1002" t="str">
            <v>NL4873AC045X</v>
          </cell>
          <cell r="F1002">
            <v>515988</v>
          </cell>
          <cell r="G1002">
            <v>6714875</v>
          </cell>
          <cell r="H1002" t="str">
            <v>T</v>
          </cell>
          <cell r="I1002" t="str">
            <v>Burchtplein 13</v>
          </cell>
          <cell r="J1002" t="str">
            <v>4873BS</v>
          </cell>
        </row>
        <row r="1003">
          <cell r="A1003">
            <v>8776</v>
          </cell>
          <cell r="B1003"/>
          <cell r="C1003"/>
          <cell r="D1003" t="str">
            <v>AH Franchise</v>
          </cell>
          <cell r="E1003" t="str">
            <v>NL8604BH004X</v>
          </cell>
          <cell r="F1003">
            <v>631293</v>
          </cell>
          <cell r="G1003">
            <v>6982425</v>
          </cell>
          <cell r="H1003" t="str">
            <v>O</v>
          </cell>
          <cell r="I1003" t="str">
            <v>Middelzeelaan 4</v>
          </cell>
          <cell r="J1003" t="str">
            <v>8604BH</v>
          </cell>
        </row>
        <row r="1004">
          <cell r="A1004">
            <v>8777</v>
          </cell>
          <cell r="B1004"/>
          <cell r="C1004"/>
          <cell r="D1004" t="str">
            <v>AH Franchise</v>
          </cell>
          <cell r="E1004" t="str">
            <v>NL9765CK202X</v>
          </cell>
          <cell r="F1004">
            <v>730140</v>
          </cell>
          <cell r="G1004">
            <v>7002313</v>
          </cell>
          <cell r="H1004" t="str">
            <v>O</v>
          </cell>
          <cell r="I1004" t="str">
            <v>Hoofdweg 202</v>
          </cell>
          <cell r="J1004" t="str">
            <v>9765CK</v>
          </cell>
        </row>
        <row r="1005">
          <cell r="A1005">
            <v>8778</v>
          </cell>
          <cell r="B1005"/>
          <cell r="C1005"/>
          <cell r="D1005" t="str">
            <v>AH Franchise</v>
          </cell>
          <cell r="E1005" t="str">
            <v>NL1218CB040X</v>
          </cell>
          <cell r="F1005">
            <v>571311</v>
          </cell>
          <cell r="G1005">
            <v>6841503</v>
          </cell>
          <cell r="H1005" t="str">
            <v>Z</v>
          </cell>
          <cell r="I1005" t="str">
            <v>De Meent 19</v>
          </cell>
          <cell r="J1005" t="str">
            <v>1218CB</v>
          </cell>
        </row>
        <row r="1006">
          <cell r="A1006">
            <v>8780</v>
          </cell>
          <cell r="B1006"/>
          <cell r="C1006"/>
          <cell r="D1006" t="str">
            <v>AH Franchise</v>
          </cell>
          <cell r="E1006" t="str">
            <v>NL5531EH053X</v>
          </cell>
          <cell r="F1006">
            <v>580523</v>
          </cell>
          <cell r="G1006">
            <v>6679077</v>
          </cell>
          <cell r="H1006" t="str">
            <v>T</v>
          </cell>
          <cell r="I1006" t="str">
            <v>Sniederslaan 53</v>
          </cell>
          <cell r="J1006" t="str">
            <v>5531EH</v>
          </cell>
        </row>
        <row r="1007">
          <cell r="A1007">
            <v>8781</v>
          </cell>
          <cell r="B1007"/>
          <cell r="C1007"/>
          <cell r="D1007" t="str">
            <v>AH Franchise</v>
          </cell>
          <cell r="E1007" t="str">
            <v>NL3295BJ005X</v>
          </cell>
          <cell r="F1007">
            <v>513340</v>
          </cell>
          <cell r="G1007">
            <v>6752606</v>
          </cell>
          <cell r="H1007" t="str">
            <v>P</v>
          </cell>
          <cell r="I1007" t="str">
            <v>Langestraat 5</v>
          </cell>
          <cell r="J1007" t="str">
            <v>3295BJ</v>
          </cell>
        </row>
        <row r="1008">
          <cell r="A1008">
            <v>8782</v>
          </cell>
          <cell r="B1008"/>
          <cell r="C1008"/>
          <cell r="D1008" t="str">
            <v>AH Franchise</v>
          </cell>
          <cell r="E1008" t="str">
            <v>NL4286AL002X</v>
          </cell>
          <cell r="F1008">
            <v>551620</v>
          </cell>
          <cell r="G1008">
            <v>6751250</v>
          </cell>
          <cell r="H1008" t="str">
            <v>P</v>
          </cell>
          <cell r="I1008" t="str">
            <v>Voorstraat 2</v>
          </cell>
          <cell r="J1008" t="str">
            <v>4286AL</v>
          </cell>
        </row>
        <row r="1009">
          <cell r="A1009">
            <v>8783</v>
          </cell>
          <cell r="B1009"/>
          <cell r="C1009"/>
          <cell r="D1009" t="str">
            <v>AH Franchise</v>
          </cell>
          <cell r="E1009" t="str">
            <v>NL3417AB040X</v>
          </cell>
          <cell r="F1009">
            <v>550498</v>
          </cell>
          <cell r="G1009">
            <v>6801101</v>
          </cell>
          <cell r="H1009" t="str">
            <v>P</v>
          </cell>
          <cell r="I1009" t="str">
            <v>Boslaan 40</v>
          </cell>
          <cell r="J1009" t="str">
            <v>3417AB</v>
          </cell>
        </row>
        <row r="1010">
          <cell r="A1010">
            <v>8784</v>
          </cell>
          <cell r="B1010"/>
          <cell r="C1010"/>
          <cell r="D1010" t="str">
            <v>AH Franchise</v>
          </cell>
          <cell r="E1010" t="str">
            <v>NL8212CA012X</v>
          </cell>
          <cell r="F1010">
            <v>611968</v>
          </cell>
          <cell r="G1010">
            <v>6885884</v>
          </cell>
          <cell r="H1010" t="str">
            <v>Z</v>
          </cell>
          <cell r="I1010" t="str">
            <v>Voorhof 12</v>
          </cell>
          <cell r="J1010" t="str">
            <v>8212CA</v>
          </cell>
        </row>
        <row r="1011">
          <cell r="A1011">
            <v>8786</v>
          </cell>
          <cell r="B1011"/>
          <cell r="C1011"/>
          <cell r="D1011" t="str">
            <v>AH Franchise</v>
          </cell>
          <cell r="E1011" t="str">
            <v>NL5421DD025X</v>
          </cell>
          <cell r="F1011">
            <v>632157</v>
          </cell>
          <cell r="G1011">
            <v>6712272</v>
          </cell>
          <cell r="H1011" t="str">
            <v>T</v>
          </cell>
          <cell r="I1011" t="str">
            <v>Kapelaanstraat 25</v>
          </cell>
          <cell r="J1011" t="str">
            <v>5421DD</v>
          </cell>
        </row>
        <row r="1012">
          <cell r="A1012">
            <v>8788</v>
          </cell>
          <cell r="B1012"/>
          <cell r="C1012"/>
          <cell r="D1012" t="str">
            <v>AH Franchise</v>
          </cell>
          <cell r="E1012" t="str">
            <v>NL4711NH042X</v>
          </cell>
          <cell r="F1012">
            <v>510611</v>
          </cell>
          <cell r="G1012">
            <v>6711146</v>
          </cell>
          <cell r="H1012" t="str">
            <v>T</v>
          </cell>
          <cell r="I1012" t="str">
            <v>Dorpsstraat 42</v>
          </cell>
          <cell r="J1012" t="str">
            <v>4711NH</v>
          </cell>
        </row>
        <row r="1013">
          <cell r="A1013">
            <v>8789</v>
          </cell>
          <cell r="B1013"/>
          <cell r="C1013"/>
          <cell r="D1013" t="str">
            <v>AH Franchise</v>
          </cell>
          <cell r="E1013" t="str">
            <v>NL6591GX004X</v>
          </cell>
          <cell r="F1013">
            <v>664192</v>
          </cell>
          <cell r="G1013">
            <v>6737951</v>
          </cell>
          <cell r="H1013" t="str">
            <v>T</v>
          </cell>
          <cell r="I1013" t="str">
            <v>Wilhelminaplein 4</v>
          </cell>
          <cell r="J1013" t="str">
            <v>6591GX</v>
          </cell>
        </row>
        <row r="1014">
          <cell r="A1014">
            <v>8790</v>
          </cell>
          <cell r="B1014"/>
          <cell r="C1014"/>
          <cell r="D1014" t="str">
            <v>AH Franchise</v>
          </cell>
          <cell r="E1014" t="str">
            <v>NL8171CW006X</v>
          </cell>
          <cell r="F1014">
            <v>663860</v>
          </cell>
          <cell r="G1014">
            <v>6844706</v>
          </cell>
          <cell r="H1014" t="str">
            <v>O</v>
          </cell>
          <cell r="I1014" t="str">
            <v>Houtzagersstraat 6</v>
          </cell>
          <cell r="J1014" t="str">
            <v>8171CW</v>
          </cell>
        </row>
        <row r="1015">
          <cell r="A1015">
            <v>8791</v>
          </cell>
          <cell r="B1015"/>
          <cell r="C1015"/>
          <cell r="D1015" t="str">
            <v>AH Franchise</v>
          </cell>
          <cell r="E1015" t="str">
            <v>NL4921CZ104X</v>
          </cell>
          <cell r="F1015">
            <v>531834</v>
          </cell>
          <cell r="G1015">
            <v>6734050</v>
          </cell>
          <cell r="H1015" t="str">
            <v>T</v>
          </cell>
          <cell r="I1015" t="str">
            <v>Nieuwstraat 104</v>
          </cell>
          <cell r="J1015" t="str">
            <v>4921CZ</v>
          </cell>
        </row>
        <row r="1016">
          <cell r="A1016">
            <v>8792</v>
          </cell>
          <cell r="B1016"/>
          <cell r="C1016"/>
          <cell r="D1016" t="str">
            <v>AH Franchise</v>
          </cell>
          <cell r="E1016" t="str">
            <v>NL7641CD003X</v>
          </cell>
          <cell r="F1016">
            <v>733560</v>
          </cell>
          <cell r="G1016">
            <v>6858065</v>
          </cell>
          <cell r="H1016" t="str">
            <v>O</v>
          </cell>
          <cell r="I1016" t="str">
            <v>Anjelierstraat 3</v>
          </cell>
          <cell r="J1016" t="str">
            <v>7641CD</v>
          </cell>
        </row>
        <row r="1017">
          <cell r="A1017">
            <v>8793</v>
          </cell>
          <cell r="B1017"/>
          <cell r="C1017"/>
          <cell r="D1017" t="str">
            <v>AH Franchise</v>
          </cell>
          <cell r="E1017" t="str">
            <v>NL3151AW382X</v>
          </cell>
          <cell r="F1017">
            <v>459002</v>
          </cell>
          <cell r="G1017">
            <v>6788419</v>
          </cell>
          <cell r="H1017" t="str">
            <v>P</v>
          </cell>
          <cell r="I1017" t="str">
            <v>Prins Hendrikstraat 382</v>
          </cell>
          <cell r="J1017" t="str">
            <v>3151AW</v>
          </cell>
        </row>
        <row r="1018">
          <cell r="A1018">
            <v>8794</v>
          </cell>
          <cell r="B1018"/>
          <cell r="C1018"/>
          <cell r="D1018" t="str">
            <v>AH Franchise</v>
          </cell>
          <cell r="E1018" t="str">
            <v>NL2064KZ001X</v>
          </cell>
          <cell r="F1018">
            <v>520990</v>
          </cell>
          <cell r="G1018">
            <v>6867193</v>
          </cell>
          <cell r="H1018" t="str">
            <v>Z</v>
          </cell>
          <cell r="I1018" t="str">
            <v>Lageweg 1</v>
          </cell>
          <cell r="J1018" t="str">
            <v>2064KZ</v>
          </cell>
        </row>
        <row r="1019">
          <cell r="A1019">
            <v>8795</v>
          </cell>
          <cell r="B1019"/>
          <cell r="C1019"/>
          <cell r="D1019" t="str">
            <v>AH Franchise</v>
          </cell>
          <cell r="E1019" t="str">
            <v>NL5505AR025X</v>
          </cell>
          <cell r="F1019">
            <v>600144</v>
          </cell>
          <cell r="G1019">
            <v>6687137</v>
          </cell>
          <cell r="H1019" t="str">
            <v>T</v>
          </cell>
          <cell r="I1019" t="str">
            <v>Mira 25</v>
          </cell>
          <cell r="J1019" t="str">
            <v>5505AR</v>
          </cell>
        </row>
        <row r="1020">
          <cell r="A1020">
            <v>8796</v>
          </cell>
          <cell r="B1020"/>
          <cell r="C1020"/>
          <cell r="D1020" t="str">
            <v>AH Franchise</v>
          </cell>
          <cell r="E1020" t="str">
            <v>NL3871AP010X</v>
          </cell>
          <cell r="F1020">
            <v>606696</v>
          </cell>
          <cell r="G1020">
            <v>6824492</v>
          </cell>
          <cell r="H1020" t="str">
            <v>O</v>
          </cell>
          <cell r="I1020" t="str">
            <v>Kantemarsweg 10</v>
          </cell>
          <cell r="J1020" t="str">
            <v>3871AP</v>
          </cell>
        </row>
        <row r="1021">
          <cell r="A1021">
            <v>8798</v>
          </cell>
          <cell r="B1021"/>
          <cell r="C1021"/>
          <cell r="D1021" t="str">
            <v>AH Franchise</v>
          </cell>
          <cell r="E1021" t="str">
            <v>NL9919AP001X</v>
          </cell>
          <cell r="F1021">
            <v>750090</v>
          </cell>
          <cell r="G1021">
            <v>7036738</v>
          </cell>
          <cell r="H1021" t="str">
            <v>O</v>
          </cell>
          <cell r="I1021" t="str">
            <v>Pastoriepad 1</v>
          </cell>
          <cell r="J1021" t="str">
            <v>9919AP</v>
          </cell>
        </row>
        <row r="1022">
          <cell r="A1022">
            <v>8981</v>
          </cell>
          <cell r="B1022"/>
          <cell r="C1022"/>
          <cell r="D1022" t="str">
            <v>Albert.nl</v>
          </cell>
          <cell r="E1022" t="str">
            <v>NL3454PJ031X</v>
          </cell>
          <cell r="F1022">
            <v>562361</v>
          </cell>
          <cell r="G1022">
            <v>6806812</v>
          </cell>
          <cell r="H1022" t="str">
            <v>Z</v>
          </cell>
          <cell r="I1022" t="str">
            <v>Strijkviertel 31a</v>
          </cell>
          <cell r="J1022" t="str">
            <v>3454PJ</v>
          </cell>
        </row>
        <row r="1023">
          <cell r="A1023">
            <v>8982</v>
          </cell>
          <cell r="B1023"/>
          <cell r="C1023"/>
          <cell r="D1023" t="str">
            <v>Albert.nl</v>
          </cell>
          <cell r="E1023" t="str">
            <v>NL1311XB010X</v>
          </cell>
          <cell r="F1023">
            <v>575286</v>
          </cell>
          <cell r="G1023">
            <v>6858304</v>
          </cell>
          <cell r="H1023" t="str">
            <v>Z</v>
          </cell>
          <cell r="I1023" t="str">
            <v>Wormerweg 10</v>
          </cell>
          <cell r="J1023" t="str">
            <v>1311XB</v>
          </cell>
        </row>
        <row r="1024">
          <cell r="A1024">
            <v>8990</v>
          </cell>
          <cell r="B1024"/>
          <cell r="C1024"/>
          <cell r="D1024" t="str">
            <v>Albert.nl</v>
          </cell>
          <cell r="E1024" t="str">
            <v>NL1311XB010X</v>
          </cell>
          <cell r="F1024">
            <v>575286</v>
          </cell>
          <cell r="G1024">
            <v>6858304</v>
          </cell>
          <cell r="H1024" t="str">
            <v>Z</v>
          </cell>
          <cell r="I1024" t="str">
            <v>Wormerweg 10</v>
          </cell>
          <cell r="J1024" t="str">
            <v>1311XB</v>
          </cell>
        </row>
        <row r="1025">
          <cell r="A1025">
            <v>8991</v>
          </cell>
          <cell r="B1025"/>
          <cell r="C1025"/>
          <cell r="D1025" t="str">
            <v>Albert.nl</v>
          </cell>
          <cell r="E1025" t="str">
            <v>NL3041JA074X</v>
          </cell>
          <cell r="F1025">
            <v>493441</v>
          </cell>
          <cell r="G1025">
            <v>6779427</v>
          </cell>
          <cell r="H1025" t="str">
            <v>P</v>
          </cell>
          <cell r="I1025" t="str">
            <v>Abraham van Stolkweg  74</v>
          </cell>
          <cell r="J1025" t="str">
            <v>3041JA</v>
          </cell>
        </row>
        <row r="1026">
          <cell r="A1026">
            <v>8994</v>
          </cell>
          <cell r="B1026"/>
          <cell r="C1026"/>
          <cell r="D1026" t="str">
            <v>DV Tilburg</v>
          </cell>
          <cell r="E1026" t="str">
            <v>NL5032MP0010</v>
          </cell>
          <cell r="F1026">
            <v>560179</v>
          </cell>
          <cell r="G1026">
            <v>6709221</v>
          </cell>
          <cell r="H1026"/>
          <cell r="I1026" t="str">
            <v>Marga Klompeweg 10</v>
          </cell>
          <cell r="J1026" t="str">
            <v>5032MP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bble"/>
      <sheetName val="Bench-32"/>
      <sheetName val="Sheet2"/>
      <sheetName val="Sheet1"/>
      <sheetName val="Chart"/>
      <sheetName val="Sheet9"/>
      <sheetName val="PivotChart"/>
      <sheetName val="Sheet5"/>
      <sheetName val="alphaBeta"/>
    </sheetNames>
    <sheetDataSet>
      <sheetData sheetId="0" refreshError="1"/>
      <sheetData sheetId="1" refreshError="1"/>
      <sheetData sheetId="2">
        <row r="4">
          <cell r="Q4">
            <v>2</v>
          </cell>
          <cell r="R4">
            <v>96</v>
          </cell>
          <cell r="S4">
            <v>44</v>
          </cell>
          <cell r="T4">
            <v>34.928498393145958</v>
          </cell>
        </row>
        <row r="5">
          <cell r="Q5">
            <v>3</v>
          </cell>
          <cell r="R5">
            <v>50</v>
          </cell>
          <cell r="S5">
            <v>5</v>
          </cell>
          <cell r="T5">
            <v>77.878109889750149</v>
          </cell>
        </row>
        <row r="6">
          <cell r="Q6">
            <v>4</v>
          </cell>
          <cell r="R6">
            <v>49</v>
          </cell>
          <cell r="S6">
            <v>8</v>
          </cell>
          <cell r="T6">
            <v>75.584389922787622</v>
          </cell>
        </row>
        <row r="7">
          <cell r="Q7">
            <v>5</v>
          </cell>
          <cell r="R7">
            <v>13</v>
          </cell>
          <cell r="S7">
            <v>7</v>
          </cell>
          <cell r="T7">
            <v>97.580735803743565</v>
          </cell>
        </row>
        <row r="8">
          <cell r="Q8">
            <v>6</v>
          </cell>
          <cell r="R8">
            <v>29</v>
          </cell>
          <cell r="S8">
            <v>89</v>
          </cell>
          <cell r="T8">
            <v>54.571054598569013</v>
          </cell>
        </row>
        <row r="9">
          <cell r="Q9">
            <v>7</v>
          </cell>
          <cell r="R9">
            <v>58</v>
          </cell>
          <cell r="S9">
            <v>30</v>
          </cell>
          <cell r="T9">
            <v>51.884487084291386</v>
          </cell>
        </row>
        <row r="10">
          <cell r="Q10">
            <v>8</v>
          </cell>
          <cell r="R10">
            <v>84</v>
          </cell>
          <cell r="S10">
            <v>39</v>
          </cell>
          <cell r="T10">
            <v>37.054014627297811</v>
          </cell>
        </row>
        <row r="11">
          <cell r="Q11">
            <v>9</v>
          </cell>
          <cell r="R11">
            <v>14</v>
          </cell>
          <cell r="S11">
            <v>24</v>
          </cell>
          <cell r="T11">
            <v>85.603738236130781</v>
          </cell>
        </row>
        <row r="12">
          <cell r="Q12">
            <v>10</v>
          </cell>
          <cell r="R12">
            <v>2</v>
          </cell>
          <cell r="S12">
            <v>39</v>
          </cell>
          <cell r="T12">
            <v>88.141930997681229</v>
          </cell>
        </row>
        <row r="13">
          <cell r="Q13">
            <v>11</v>
          </cell>
          <cell r="R13">
            <v>3</v>
          </cell>
          <cell r="S13">
            <v>82</v>
          </cell>
          <cell r="T13">
            <v>79.227520471109031</v>
          </cell>
        </row>
        <row r="14">
          <cell r="Q14">
            <v>12</v>
          </cell>
          <cell r="R14">
            <v>5</v>
          </cell>
          <cell r="S14">
            <v>10</v>
          </cell>
          <cell r="T14">
            <v>101.41498903022176</v>
          </cell>
        </row>
        <row r="15">
          <cell r="Q15">
            <v>13</v>
          </cell>
          <cell r="R15">
            <v>98</v>
          </cell>
          <cell r="S15">
            <v>52</v>
          </cell>
          <cell r="T15">
            <v>28.844410203711913</v>
          </cell>
        </row>
        <row r="16">
          <cell r="Q16">
            <v>14</v>
          </cell>
          <cell r="R16">
            <v>84</v>
          </cell>
          <cell r="S16">
            <v>25</v>
          </cell>
          <cell r="T16">
            <v>51.039200620699383</v>
          </cell>
        </row>
        <row r="17">
          <cell r="Q17">
            <v>15</v>
          </cell>
          <cell r="R17">
            <v>61</v>
          </cell>
          <cell r="S17">
            <v>59</v>
          </cell>
          <cell r="T17">
            <v>27.018512172212592</v>
          </cell>
        </row>
        <row r="18">
          <cell r="Q18">
            <v>16</v>
          </cell>
          <cell r="R18">
            <v>1</v>
          </cell>
          <cell r="S18">
            <v>65</v>
          </cell>
          <cell r="T18">
            <v>81.743501270743224</v>
          </cell>
        </row>
        <row r="19">
          <cell r="Q19">
            <v>17</v>
          </cell>
          <cell r="R19">
            <v>88</v>
          </cell>
          <cell r="S19">
            <v>51</v>
          </cell>
          <cell r="T19">
            <v>25.709920264364882</v>
          </cell>
        </row>
        <row r="20">
          <cell r="Q20">
            <v>18</v>
          </cell>
          <cell r="R20">
            <v>91</v>
          </cell>
          <cell r="S20">
            <v>2</v>
          </cell>
          <cell r="T20">
            <v>74.545288248151536</v>
          </cell>
        </row>
        <row r="21">
          <cell r="Q21">
            <v>19</v>
          </cell>
          <cell r="R21">
            <v>19</v>
          </cell>
          <cell r="S21">
            <v>32</v>
          </cell>
          <cell r="T21">
            <v>76.843997813752509</v>
          </cell>
        </row>
        <row r="22">
          <cell r="Q22">
            <v>20</v>
          </cell>
          <cell r="R22">
            <v>93</v>
          </cell>
          <cell r="S22">
            <v>3</v>
          </cell>
          <cell r="T22">
            <v>73.824115301166998</v>
          </cell>
        </row>
        <row r="23">
          <cell r="Q23">
            <v>21</v>
          </cell>
          <cell r="R23">
            <v>50</v>
          </cell>
          <cell r="S23">
            <v>93</v>
          </cell>
          <cell r="T23">
            <v>36.235341863986875</v>
          </cell>
        </row>
        <row r="24">
          <cell r="Q24">
            <v>22</v>
          </cell>
          <cell r="R24">
            <v>98</v>
          </cell>
          <cell r="S24">
            <v>14</v>
          </cell>
          <cell r="T24">
            <v>64.031242374328485</v>
          </cell>
        </row>
        <row r="25">
          <cell r="Q25">
            <v>23</v>
          </cell>
          <cell r="R25">
            <v>5</v>
          </cell>
          <cell r="S25">
            <v>42</v>
          </cell>
          <cell r="T25">
            <v>84.172442046075858</v>
          </cell>
        </row>
        <row r="26">
          <cell r="Q26">
            <v>24</v>
          </cell>
          <cell r="R26">
            <v>42</v>
          </cell>
          <cell r="S26">
            <v>9</v>
          </cell>
          <cell r="T26">
            <v>78.03204469959762</v>
          </cell>
        </row>
        <row r="27">
          <cell r="Q27">
            <v>25</v>
          </cell>
          <cell r="R27">
            <v>61</v>
          </cell>
          <cell r="S27">
            <v>62</v>
          </cell>
          <cell r="T27">
            <v>25.238858928247925</v>
          </cell>
        </row>
        <row r="28">
          <cell r="Q28">
            <v>26</v>
          </cell>
          <cell r="R28">
            <v>9</v>
          </cell>
          <cell r="S28">
            <v>97</v>
          </cell>
          <cell r="T28">
            <v>75.960516059331766</v>
          </cell>
        </row>
        <row r="29">
          <cell r="Q29">
            <v>27</v>
          </cell>
          <cell r="R29">
            <v>80</v>
          </cell>
          <cell r="S29">
            <v>55</v>
          </cell>
          <cell r="T29">
            <v>21.095023109728988</v>
          </cell>
        </row>
        <row r="30">
          <cell r="Q30">
            <v>28</v>
          </cell>
          <cell r="R30">
            <v>57</v>
          </cell>
          <cell r="S30">
            <v>69</v>
          </cell>
          <cell r="T30">
            <v>25.96150997149434</v>
          </cell>
        </row>
        <row r="31">
          <cell r="Q31">
            <v>29</v>
          </cell>
          <cell r="R31">
            <v>23</v>
          </cell>
          <cell r="S31">
            <v>15</v>
          </cell>
          <cell r="T31">
            <v>84.864598037108507</v>
          </cell>
        </row>
        <row r="32">
          <cell r="Q32">
            <v>30</v>
          </cell>
          <cell r="R32">
            <v>20</v>
          </cell>
          <cell r="S32">
            <v>70</v>
          </cell>
          <cell r="T32">
            <v>62.289646009589745</v>
          </cell>
        </row>
        <row r="33">
          <cell r="Q33">
            <v>31</v>
          </cell>
          <cell r="R33">
            <v>85</v>
          </cell>
          <cell r="S33">
            <v>60</v>
          </cell>
          <cell r="T33">
            <v>16.278820596099706</v>
          </cell>
        </row>
        <row r="34">
          <cell r="Q34">
            <v>32</v>
          </cell>
          <cell r="R34">
            <v>98</v>
          </cell>
          <cell r="S34">
            <v>5</v>
          </cell>
          <cell r="T34">
            <v>72.780491891715045</v>
          </cell>
        </row>
      </sheetData>
      <sheetData sheetId="3">
        <row r="4">
          <cell r="A4">
            <v>15</v>
          </cell>
          <cell r="B4">
            <v>26</v>
          </cell>
          <cell r="C4">
            <v>3</v>
          </cell>
        </row>
        <row r="5">
          <cell r="A5">
            <v>8</v>
          </cell>
          <cell r="B5">
            <v>26</v>
          </cell>
          <cell r="C5">
            <v>16</v>
          </cell>
        </row>
        <row r="6">
          <cell r="A6">
            <v>2</v>
          </cell>
          <cell r="B6">
            <v>26</v>
          </cell>
          <cell r="C6">
            <v>19</v>
          </cell>
        </row>
        <row r="7">
          <cell r="A7">
            <v>13</v>
          </cell>
          <cell r="B7">
            <v>26</v>
          </cell>
          <cell r="C7">
            <v>21</v>
          </cell>
        </row>
        <row r="8">
          <cell r="A8">
            <v>17</v>
          </cell>
          <cell r="B8">
            <v>26</v>
          </cell>
          <cell r="C8">
            <v>18</v>
          </cell>
        </row>
        <row r="9">
          <cell r="A9">
            <v>31</v>
          </cell>
          <cell r="B9">
            <v>26</v>
          </cell>
          <cell r="C9">
            <v>14</v>
          </cell>
        </row>
        <row r="10">
          <cell r="A10">
            <v>19</v>
          </cell>
          <cell r="B10">
            <v>13</v>
          </cell>
          <cell r="C10">
            <v>1</v>
          </cell>
        </row>
        <row r="11">
          <cell r="A11">
            <v>9</v>
          </cell>
          <cell r="B11">
            <v>13</v>
          </cell>
          <cell r="C11">
            <v>6</v>
          </cell>
        </row>
        <row r="12">
          <cell r="A12">
            <v>12</v>
          </cell>
          <cell r="B12">
            <v>13</v>
          </cell>
          <cell r="C12">
            <v>14</v>
          </cell>
        </row>
        <row r="13">
          <cell r="A13">
            <v>5</v>
          </cell>
          <cell r="B13">
            <v>13</v>
          </cell>
          <cell r="C13">
            <v>19</v>
          </cell>
        </row>
        <row r="14">
          <cell r="A14">
            <v>29</v>
          </cell>
          <cell r="B14">
            <v>13</v>
          </cell>
          <cell r="C14">
            <v>15</v>
          </cell>
        </row>
        <row r="15">
          <cell r="A15">
            <v>21</v>
          </cell>
          <cell r="B15">
            <v>4</v>
          </cell>
          <cell r="C15">
            <v>8</v>
          </cell>
        </row>
        <row r="16">
          <cell r="A16">
            <v>6</v>
          </cell>
          <cell r="B16">
            <v>4</v>
          </cell>
          <cell r="C16">
            <v>7</v>
          </cell>
        </row>
        <row r="17">
          <cell r="A17">
            <v>30</v>
          </cell>
          <cell r="B17">
            <v>4</v>
          </cell>
          <cell r="C17">
            <v>2</v>
          </cell>
        </row>
        <row r="18">
          <cell r="A18">
            <v>22</v>
          </cell>
          <cell r="B18">
            <v>12</v>
          </cell>
          <cell r="C18">
            <v>12</v>
          </cell>
        </row>
        <row r="19">
          <cell r="A19">
            <v>32</v>
          </cell>
          <cell r="B19">
            <v>12</v>
          </cell>
          <cell r="C19">
            <v>9</v>
          </cell>
        </row>
        <row r="20">
          <cell r="A20">
            <v>20</v>
          </cell>
          <cell r="B20">
            <v>12</v>
          </cell>
          <cell r="C20">
            <v>24</v>
          </cell>
        </row>
        <row r="21">
          <cell r="A21">
            <v>18</v>
          </cell>
          <cell r="B21">
            <v>12</v>
          </cell>
          <cell r="C21">
            <v>19</v>
          </cell>
        </row>
        <row r="22">
          <cell r="A22">
            <v>14</v>
          </cell>
          <cell r="B22">
            <v>12</v>
          </cell>
          <cell r="C22">
            <v>16</v>
          </cell>
        </row>
        <row r="23">
          <cell r="A23">
            <v>23</v>
          </cell>
          <cell r="B23">
            <v>10</v>
          </cell>
          <cell r="C23">
            <v>4</v>
          </cell>
        </row>
        <row r="24">
          <cell r="A24">
            <v>10</v>
          </cell>
          <cell r="B24">
            <v>10</v>
          </cell>
          <cell r="C24">
            <v>16</v>
          </cell>
        </row>
        <row r="25">
          <cell r="A25">
            <v>16</v>
          </cell>
          <cell r="B25">
            <v>10</v>
          </cell>
          <cell r="C25">
            <v>22</v>
          </cell>
        </row>
        <row r="26">
          <cell r="A26">
            <v>11</v>
          </cell>
          <cell r="B26">
            <v>10</v>
          </cell>
          <cell r="C26">
            <v>8</v>
          </cell>
        </row>
        <row r="27">
          <cell r="A27">
            <v>26</v>
          </cell>
          <cell r="B27">
            <v>10</v>
          </cell>
          <cell r="C27">
            <v>24</v>
          </cell>
        </row>
        <row r="28">
          <cell r="A28">
            <v>24</v>
          </cell>
          <cell r="B28">
            <v>13</v>
          </cell>
          <cell r="C28">
            <v>8</v>
          </cell>
        </row>
        <row r="29">
          <cell r="A29">
            <v>3</v>
          </cell>
          <cell r="B29">
            <v>13</v>
          </cell>
          <cell r="C29">
            <v>21</v>
          </cell>
        </row>
        <row r="30">
          <cell r="A30">
            <v>4</v>
          </cell>
          <cell r="B30">
            <v>13</v>
          </cell>
          <cell r="C30">
            <v>6</v>
          </cell>
        </row>
        <row r="31">
          <cell r="A31">
            <v>7</v>
          </cell>
          <cell r="B31">
            <v>13</v>
          </cell>
          <cell r="C31">
            <v>12</v>
          </cell>
        </row>
        <row r="32">
          <cell r="A32">
            <v>27</v>
          </cell>
          <cell r="B32">
            <v>8</v>
          </cell>
          <cell r="C32">
            <v>2</v>
          </cell>
        </row>
        <row r="33">
          <cell r="A33">
            <v>25</v>
          </cell>
          <cell r="B33">
            <v>8</v>
          </cell>
          <cell r="C33">
            <v>24</v>
          </cell>
        </row>
        <row r="34">
          <cell r="A34">
            <v>28</v>
          </cell>
          <cell r="B34">
            <v>8</v>
          </cell>
          <cell r="C34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7"/>
  <sheetViews>
    <sheetView zoomScale="60" zoomScaleNormal="60" workbookViewId="0">
      <selection activeCell="O6" sqref="O6"/>
    </sheetView>
  </sheetViews>
  <sheetFormatPr defaultRowHeight="14.4" x14ac:dyDescent="0.3"/>
  <cols>
    <col min="1" max="1" width="12.5546875" style="66" customWidth="1"/>
    <col min="2" max="2" width="18.21875" style="67" bestFit="1" customWidth="1"/>
    <col min="3" max="8" width="8.88671875" style="67"/>
    <col min="9" max="9" width="12" style="67" bestFit="1" customWidth="1"/>
    <col min="10" max="10" width="8.88671875" style="68"/>
    <col min="11" max="11" width="9.21875" style="67" bestFit="1" customWidth="1"/>
    <col min="12" max="12" width="8" style="68" bestFit="1" customWidth="1"/>
    <col min="13" max="13" width="18.21875" style="67" bestFit="1" customWidth="1"/>
    <col min="14" max="20" width="8.88671875" style="67"/>
    <col min="21" max="21" width="5.5546875" style="69" customWidth="1"/>
    <col min="22" max="22" width="7.33203125" style="69" bestFit="1" customWidth="1"/>
    <col min="23" max="23" width="8.88671875" style="67"/>
    <col min="24" max="24" width="18.21875" style="67" bestFit="1" customWidth="1"/>
    <col min="25" max="30" width="8.88671875" style="67"/>
    <col min="31" max="31" width="10" style="67" bestFit="1" customWidth="1"/>
    <col min="32" max="32" width="5.5546875" style="70" customWidth="1"/>
    <col min="33" max="33" width="7.33203125" style="70" bestFit="1" customWidth="1"/>
    <col min="34" max="34" width="8.88671875" style="67"/>
    <col min="35" max="35" width="18.21875" style="67" hidden="1" customWidth="1"/>
    <col min="36" max="43" width="0" style="67" hidden="1" customWidth="1"/>
    <col min="44" max="16384" width="8.88671875" style="67"/>
  </cols>
  <sheetData>
    <row r="1" spans="1:42" ht="15" thickBot="1" x14ac:dyDescent="0.35"/>
    <row r="2" spans="1:42" ht="15" thickBot="1" x14ac:dyDescent="0.35">
      <c r="M2" s="7" t="s">
        <v>0</v>
      </c>
      <c r="N2" s="8">
        <v>31</v>
      </c>
      <c r="O2" s="9">
        <v>5</v>
      </c>
      <c r="P2" s="10">
        <v>784</v>
      </c>
      <c r="Q2" s="71"/>
      <c r="R2" s="72"/>
      <c r="S2" s="72"/>
      <c r="T2" s="72"/>
      <c r="U2" s="73"/>
      <c r="V2" s="73"/>
    </row>
    <row r="3" spans="1:42" ht="15" thickBot="1" x14ac:dyDescent="0.35">
      <c r="B3" s="12"/>
      <c r="C3" s="278" t="s">
        <v>1</v>
      </c>
      <c r="D3" s="278"/>
      <c r="E3" s="278"/>
      <c r="F3" s="278"/>
      <c r="G3" s="278"/>
      <c r="H3" s="278"/>
      <c r="I3" s="278"/>
      <c r="M3" s="12"/>
      <c r="N3" s="278" t="s">
        <v>2</v>
      </c>
      <c r="O3" s="278"/>
      <c r="P3" s="278"/>
      <c r="Q3" s="278"/>
      <c r="R3" s="278"/>
      <c r="S3" s="278"/>
      <c r="T3" s="278"/>
      <c r="U3" s="14"/>
      <c r="V3" s="14"/>
      <c r="X3" s="12"/>
      <c r="Y3" s="278" t="s">
        <v>3</v>
      </c>
      <c r="Z3" s="278"/>
      <c r="AA3" s="278"/>
      <c r="AB3" s="278"/>
      <c r="AC3" s="278"/>
      <c r="AD3" s="278"/>
      <c r="AE3" s="278"/>
      <c r="AF3" s="15"/>
      <c r="AG3" s="15"/>
      <c r="AI3" s="12"/>
      <c r="AJ3" s="278" t="s">
        <v>4</v>
      </c>
      <c r="AK3" s="278"/>
      <c r="AL3" s="278"/>
      <c r="AM3" s="278"/>
      <c r="AN3" s="278"/>
      <c r="AO3" s="278"/>
      <c r="AP3" s="278"/>
    </row>
    <row r="4" spans="1:42" ht="15" thickBot="1" x14ac:dyDescent="0.35">
      <c r="B4" s="74" t="s">
        <v>5</v>
      </c>
      <c r="C4" s="276" t="s">
        <v>6</v>
      </c>
      <c r="D4" s="279"/>
      <c r="E4" s="277"/>
      <c r="F4" s="276" t="s">
        <v>7</v>
      </c>
      <c r="G4" s="277"/>
      <c r="H4" s="276" t="s">
        <v>8</v>
      </c>
      <c r="I4" s="277"/>
      <c r="M4" s="74" t="s">
        <v>5</v>
      </c>
      <c r="N4" s="276" t="s">
        <v>6</v>
      </c>
      <c r="O4" s="279"/>
      <c r="P4" s="277"/>
      <c r="Q4" s="276" t="s">
        <v>7</v>
      </c>
      <c r="R4" s="277"/>
      <c r="S4" s="276" t="s">
        <v>8</v>
      </c>
      <c r="T4" s="277"/>
      <c r="U4" s="14"/>
      <c r="V4" s="14"/>
      <c r="X4" s="74" t="s">
        <v>5</v>
      </c>
      <c r="Y4" s="276" t="s">
        <v>6</v>
      </c>
      <c r="Z4" s="279"/>
      <c r="AA4" s="277"/>
      <c r="AB4" s="276" t="s">
        <v>7</v>
      </c>
      <c r="AC4" s="277"/>
      <c r="AD4" s="276" t="s">
        <v>8</v>
      </c>
      <c r="AE4" s="277"/>
      <c r="AF4" s="15"/>
      <c r="AG4" s="15"/>
      <c r="AI4" s="74" t="s">
        <v>5</v>
      </c>
      <c r="AJ4" s="276" t="s">
        <v>6</v>
      </c>
      <c r="AK4" s="279"/>
      <c r="AL4" s="277"/>
      <c r="AM4" s="276" t="s">
        <v>7</v>
      </c>
      <c r="AN4" s="277"/>
      <c r="AO4" s="276" t="s">
        <v>8</v>
      </c>
      <c r="AP4" s="277"/>
    </row>
    <row r="5" spans="1:42" ht="29.4" thickBot="1" x14ac:dyDescent="0.35">
      <c r="B5" s="17" t="s">
        <v>9</v>
      </c>
      <c r="C5" s="8" t="s">
        <v>10</v>
      </c>
      <c r="D5" s="9" t="s">
        <v>11</v>
      </c>
      <c r="E5" s="10" t="s">
        <v>12</v>
      </c>
      <c r="F5" s="8" t="s">
        <v>10</v>
      </c>
      <c r="G5" s="10" t="s">
        <v>11</v>
      </c>
      <c r="H5" s="8" t="s">
        <v>8</v>
      </c>
      <c r="I5" s="18" t="s">
        <v>13</v>
      </c>
      <c r="M5" s="17" t="s">
        <v>9</v>
      </c>
      <c r="N5" s="8" t="s">
        <v>10</v>
      </c>
      <c r="O5" s="9" t="s">
        <v>11</v>
      </c>
      <c r="P5" s="10" t="s">
        <v>12</v>
      </c>
      <c r="Q5" s="8" t="s">
        <v>10</v>
      </c>
      <c r="R5" s="10" t="s">
        <v>11</v>
      </c>
      <c r="S5" s="8" t="s">
        <v>8</v>
      </c>
      <c r="T5" s="18" t="s">
        <v>13</v>
      </c>
      <c r="U5" s="19"/>
      <c r="V5" s="19"/>
      <c r="X5" s="17" t="s">
        <v>9</v>
      </c>
      <c r="Y5" s="8" t="s">
        <v>10</v>
      </c>
      <c r="Z5" s="9" t="s">
        <v>11</v>
      </c>
      <c r="AA5" s="10" t="s">
        <v>12</v>
      </c>
      <c r="AB5" s="8" t="s">
        <v>10</v>
      </c>
      <c r="AC5" s="10" t="s">
        <v>11</v>
      </c>
      <c r="AD5" s="8" t="s">
        <v>8</v>
      </c>
      <c r="AE5" s="18" t="s">
        <v>13</v>
      </c>
      <c r="AF5" s="20"/>
      <c r="AG5" s="20"/>
      <c r="AI5" s="17" t="s">
        <v>9</v>
      </c>
      <c r="AJ5" s="8" t="s">
        <v>10</v>
      </c>
      <c r="AK5" s="9" t="s">
        <v>11</v>
      </c>
      <c r="AL5" s="10" t="s">
        <v>12</v>
      </c>
      <c r="AM5" s="8" t="s">
        <v>10</v>
      </c>
      <c r="AN5" s="10" t="s">
        <v>11</v>
      </c>
      <c r="AO5" s="8" t="s">
        <v>8</v>
      </c>
      <c r="AP5" s="18" t="s">
        <v>13</v>
      </c>
    </row>
    <row r="6" spans="1:42" x14ac:dyDescent="0.3">
      <c r="B6" s="75" t="s">
        <v>15</v>
      </c>
      <c r="C6" s="76">
        <f>AVERAGE(C11,C15,C19,C23,C27)</f>
        <v>17</v>
      </c>
      <c r="D6" s="77">
        <f t="shared" ref="D6:I8" si="0">AVERAGE(D11,D15,D19,D23,D27)</f>
        <v>3.4</v>
      </c>
      <c r="E6" s="78">
        <f t="shared" si="0"/>
        <v>699.32286380128664</v>
      </c>
      <c r="F6" s="76">
        <f>AVERAGE(F11,F15,F19,F23,F27)</f>
        <v>14</v>
      </c>
      <c r="G6" s="78">
        <f>AVERAGE(G11,G15,G19,G23,G27)</f>
        <v>1.6</v>
      </c>
      <c r="H6" s="79">
        <f>AVERAGE(H11,H15,H19,H23,H27)</f>
        <v>0.10800655127386911</v>
      </c>
      <c r="I6" s="80">
        <f>AVERAGE(I11,I15,I19,I23,I27)</f>
        <v>3.2117170815999998</v>
      </c>
      <c r="K6" s="81">
        <f>AVERAGE(K11,K15,K19,K23,K27)</f>
        <v>5.0632201694712164E-2</v>
      </c>
      <c r="M6" s="75" t="s">
        <v>15</v>
      </c>
      <c r="N6" s="76">
        <f>AVERAGE(N11,N15,N19,N23,N27)</f>
        <v>21.8</v>
      </c>
      <c r="O6" s="77">
        <f t="shared" ref="O6:T8" si="1">AVERAGE(O11,O15,O19,O23,O27)</f>
        <v>4</v>
      </c>
      <c r="P6" s="78">
        <f t="shared" si="1"/>
        <v>756.14652635210973</v>
      </c>
      <c r="Q6" s="76">
        <f>AVERAGE(Q11,Q15,Q19,Q23,Q27)</f>
        <v>9.1999999999999993</v>
      </c>
      <c r="R6" s="78">
        <f>AVERAGE(R11,R15,R19,R23,R27)</f>
        <v>1</v>
      </c>
      <c r="S6" s="79">
        <f>AVERAGE(S11,S15,S19,S23,S27)</f>
        <v>3.6284449514271191E-2</v>
      </c>
      <c r="T6" s="80">
        <f>AVERAGE(T11,T15,T19,T23,T27)</f>
        <v>7.9805949708000004</v>
      </c>
      <c r="U6" s="82"/>
      <c r="V6" s="81">
        <f>AVERAGE(V11,V15,V19,V23,V27)</f>
        <v>1.8684726524581273E-2</v>
      </c>
      <c r="X6" s="75" t="s">
        <v>15</v>
      </c>
      <c r="Y6" s="76">
        <f>AVERAGE(Y11,Y15,Y19,Y23,Y27)</f>
        <v>23.2</v>
      </c>
      <c r="Z6" s="77">
        <f t="shared" ref="Z6:AE8" si="2">AVERAGE(Z11,Z15,Z19,Z23,Z27)</f>
        <v>4</v>
      </c>
      <c r="AA6" s="78">
        <f t="shared" si="2"/>
        <v>757.90961126800653</v>
      </c>
      <c r="AB6" s="76">
        <f>AVERAGE(AB11,AB15,AB19,AB23,AB27)</f>
        <v>7.8</v>
      </c>
      <c r="AC6" s="78">
        <f>AVERAGE(AC11,AC15,AC19,AC23,AC27)</f>
        <v>1</v>
      </c>
      <c r="AD6" s="79">
        <f>AVERAGE(AD11,AD15,AD19,AD23,AD27)</f>
        <v>3.4475479817290579E-2</v>
      </c>
      <c r="AE6" s="80">
        <f>AVERAGE(AE11,AE15,AE19,AE23,AE27)</f>
        <v>1.0930650806000002</v>
      </c>
      <c r="AF6" s="83"/>
      <c r="AG6" s="81">
        <f>AVERAGE(AG11,AG15,AG19,AG23,AG27)</f>
        <v>2.1786802281534751E-2</v>
      </c>
      <c r="AI6" s="75" t="s">
        <v>15</v>
      </c>
      <c r="AJ6" s="76">
        <f>AVERAGE(AJ11,AJ15,AJ19,AJ23,AJ27)</f>
        <v>31</v>
      </c>
      <c r="AK6" s="77" t="e">
        <f t="shared" ref="AK6:AP8" si="3">AVERAGE(AK11,AK15,AK19,AK23,AK27)</f>
        <v>#DIV/0!</v>
      </c>
      <c r="AL6" s="78" t="e">
        <f t="shared" si="3"/>
        <v>#DIV/0!</v>
      </c>
      <c r="AM6" s="76" t="e">
        <f>AVERAGE(AM11,AM15,AM19,AM23,AM27)</f>
        <v>#DIV/0!</v>
      </c>
      <c r="AN6" s="78" t="e">
        <f>AVERAGE(AN11,AN15,AN19,AN23,AN27)</f>
        <v>#DIV/0!</v>
      </c>
      <c r="AO6" s="79">
        <f>AVERAGE(AO11,AO15,AO19,AO23,AO27)</f>
        <v>1</v>
      </c>
      <c r="AP6" s="78" t="e">
        <f>AVERAGE(AP11,AP15,AP19,AP23,AP27)</f>
        <v>#DIV/0!</v>
      </c>
    </row>
    <row r="7" spans="1:42" x14ac:dyDescent="0.3">
      <c r="B7" s="84" t="s">
        <v>16</v>
      </c>
      <c r="C7" s="85">
        <f>AVERAGE(C12,C16,C20,C24,C28)</f>
        <v>20.2</v>
      </c>
      <c r="D7" s="86">
        <f t="shared" si="0"/>
        <v>4</v>
      </c>
      <c r="E7" s="87">
        <f t="shared" si="0"/>
        <v>669.25844024177309</v>
      </c>
      <c r="F7" s="85">
        <f t="shared" si="0"/>
        <v>10.8</v>
      </c>
      <c r="G7" s="87">
        <f t="shared" si="0"/>
        <v>1</v>
      </c>
      <c r="H7" s="88">
        <f t="shared" si="0"/>
        <v>0.14635403030386071</v>
      </c>
      <c r="I7" s="89">
        <f t="shared" si="0"/>
        <v>59.092025429000003</v>
      </c>
      <c r="K7" s="81">
        <f>AVERAGE(K12,K16,K20,K24,K28)</f>
        <v>5.2391248318819543E-3</v>
      </c>
      <c r="M7" s="84" t="s">
        <v>16</v>
      </c>
      <c r="N7" s="85">
        <f>AVERAGE(N12,N16,N20,N24,N28)</f>
        <v>22.4</v>
      </c>
      <c r="O7" s="86">
        <f t="shared" si="1"/>
        <v>4</v>
      </c>
      <c r="P7" s="87">
        <f t="shared" si="1"/>
        <v>742.18215434278761</v>
      </c>
      <c r="Q7" s="85">
        <f t="shared" si="1"/>
        <v>8.6</v>
      </c>
      <c r="R7" s="87">
        <f t="shared" si="1"/>
        <v>1</v>
      </c>
      <c r="S7" s="88">
        <f t="shared" si="1"/>
        <v>5.3339088848485219E-2</v>
      </c>
      <c r="T7" s="89">
        <f t="shared" si="1"/>
        <v>147.17040855280001</v>
      </c>
      <c r="U7" s="82"/>
      <c r="V7" s="81">
        <f>AVERAGE(V12,V16,V20,V24,V28)</f>
        <v>2.9052511532918708E-7</v>
      </c>
      <c r="X7" s="84" t="s">
        <v>16</v>
      </c>
      <c r="Y7" s="85">
        <f>AVERAGE(Y12,Y16,Y20,Y24,Y28)</f>
        <v>24.2</v>
      </c>
      <c r="Z7" s="86">
        <f t="shared" si="2"/>
        <v>4</v>
      </c>
      <c r="AA7" s="87">
        <f t="shared" si="2"/>
        <v>742.07420611451948</v>
      </c>
      <c r="AB7" s="85">
        <f t="shared" si="2"/>
        <v>6.8</v>
      </c>
      <c r="AC7" s="87">
        <f t="shared" si="2"/>
        <v>1</v>
      </c>
      <c r="AD7" s="88">
        <f t="shared" si="2"/>
        <v>5.3476777915153838E-2</v>
      </c>
      <c r="AE7" s="89">
        <f t="shared" si="2"/>
        <v>52.977556665199998</v>
      </c>
      <c r="AF7" s="83"/>
      <c r="AG7" s="81">
        <f>AVERAGE(AG12,AG16,AG20,AG24,AG28)</f>
        <v>-6.0179323379161613E-8</v>
      </c>
      <c r="AI7" s="84" t="s">
        <v>16</v>
      </c>
      <c r="AJ7" s="85">
        <f>AVERAGE(AJ12,AJ16,AJ20,AJ24,AJ28)</f>
        <v>31</v>
      </c>
      <c r="AK7" s="86" t="e">
        <f t="shared" si="3"/>
        <v>#DIV/0!</v>
      </c>
      <c r="AL7" s="87" t="e">
        <f t="shared" si="3"/>
        <v>#DIV/0!</v>
      </c>
      <c r="AM7" s="85" t="e">
        <f t="shared" si="3"/>
        <v>#DIV/0!</v>
      </c>
      <c r="AN7" s="87" t="e">
        <f t="shared" si="3"/>
        <v>#DIV/0!</v>
      </c>
      <c r="AO7" s="88">
        <f t="shared" si="3"/>
        <v>1</v>
      </c>
      <c r="AP7" s="87" t="e">
        <f t="shared" si="3"/>
        <v>#DIV/0!</v>
      </c>
    </row>
    <row r="8" spans="1:42" ht="15" thickBot="1" x14ac:dyDescent="0.35">
      <c r="B8" s="90" t="s">
        <v>17</v>
      </c>
      <c r="C8" s="91">
        <f>AVERAGE(C13,C17,C21,C25,C29)</f>
        <v>20.399999999999999</v>
      </c>
      <c r="D8" s="92">
        <f t="shared" si="0"/>
        <v>4</v>
      </c>
      <c r="E8" s="93">
        <f t="shared" si="0"/>
        <v>665.84713028536464</v>
      </c>
      <c r="F8" s="91">
        <f t="shared" si="0"/>
        <v>10.6</v>
      </c>
      <c r="G8" s="93">
        <f t="shared" si="0"/>
        <v>1</v>
      </c>
      <c r="H8" s="94">
        <f t="shared" si="0"/>
        <v>0.15070519096254514</v>
      </c>
      <c r="I8" s="95">
        <f t="shared" si="0"/>
        <v>87031.557119135003</v>
      </c>
      <c r="K8" s="82"/>
      <c r="M8" s="90" t="s">
        <v>17</v>
      </c>
      <c r="N8" s="91">
        <f>AVERAGE(N13,N17,N21,N25,N29)</f>
        <v>22.4</v>
      </c>
      <c r="O8" s="92">
        <f t="shared" si="1"/>
        <v>4</v>
      </c>
      <c r="P8" s="93">
        <f t="shared" si="1"/>
        <v>742.18194450835801</v>
      </c>
      <c r="Q8" s="91">
        <f t="shared" si="1"/>
        <v>8.6</v>
      </c>
      <c r="R8" s="93">
        <f t="shared" si="1"/>
        <v>1</v>
      </c>
      <c r="S8" s="94">
        <f t="shared" si="1"/>
        <v>5.3339356494441305E-2</v>
      </c>
      <c r="T8" s="95" t="e">
        <f t="shared" si="1"/>
        <v>#DIV/0!</v>
      </c>
      <c r="U8" s="82"/>
      <c r="V8" s="82"/>
      <c r="X8" s="90" t="s">
        <v>17</v>
      </c>
      <c r="Y8" s="91">
        <f>AVERAGE(Y13,Y17,Y21,Y25,Y29)</f>
        <v>24.2</v>
      </c>
      <c r="Z8" s="92">
        <f t="shared" si="2"/>
        <v>4</v>
      </c>
      <c r="AA8" s="93">
        <f t="shared" si="2"/>
        <v>742.07425248101242</v>
      </c>
      <c r="AB8" s="91">
        <f t="shared" si="2"/>
        <v>6.8</v>
      </c>
      <c r="AC8" s="93">
        <f t="shared" si="2"/>
        <v>1</v>
      </c>
      <c r="AD8" s="94">
        <f t="shared" si="2"/>
        <v>5.3476718774218876E-2</v>
      </c>
      <c r="AE8" s="95" t="e">
        <f t="shared" si="2"/>
        <v>#DIV/0!</v>
      </c>
      <c r="AF8" s="83"/>
      <c r="AG8" s="82"/>
      <c r="AI8" s="90" t="s">
        <v>17</v>
      </c>
      <c r="AJ8" s="91">
        <f>AVERAGE(AJ13,AJ17,AJ21,AJ25,AJ29)</f>
        <v>31</v>
      </c>
      <c r="AK8" s="92" t="e">
        <f t="shared" si="3"/>
        <v>#DIV/0!</v>
      </c>
      <c r="AL8" s="93" t="e">
        <f t="shared" si="3"/>
        <v>#DIV/0!</v>
      </c>
      <c r="AM8" s="91" t="e">
        <f t="shared" si="3"/>
        <v>#DIV/0!</v>
      </c>
      <c r="AN8" s="93" t="e">
        <f t="shared" si="3"/>
        <v>#DIV/0!</v>
      </c>
      <c r="AO8" s="94">
        <f t="shared" si="3"/>
        <v>1</v>
      </c>
      <c r="AP8" s="95" t="e">
        <f t="shared" si="3"/>
        <v>#DIV/0!</v>
      </c>
    </row>
    <row r="9" spans="1:42" x14ac:dyDescent="0.3">
      <c r="K9" s="69"/>
      <c r="AG9" s="69"/>
    </row>
    <row r="10" spans="1:42" ht="15" thickBot="1" x14ac:dyDescent="0.35">
      <c r="K10" s="69"/>
      <c r="L10" s="68" t="s">
        <v>18</v>
      </c>
      <c r="AG10" s="69"/>
    </row>
    <row r="11" spans="1:42" x14ac:dyDescent="0.3">
      <c r="B11" s="75" t="s">
        <v>15</v>
      </c>
      <c r="C11" s="76">
        <f>$N$2-F11</f>
        <v>18</v>
      </c>
      <c r="D11" s="96">
        <v>4</v>
      </c>
      <c r="E11" s="97">
        <v>721.43750382823202</v>
      </c>
      <c r="F11" s="98">
        <v>13</v>
      </c>
      <c r="G11" s="99">
        <v>1</v>
      </c>
      <c r="H11" s="79">
        <f>MAX(($P$2-E11)/$P$2, 0)</f>
        <v>7.9799102259908133E-2</v>
      </c>
      <c r="I11" s="97">
        <v>1.0447382949999999</v>
      </c>
      <c r="K11" s="81">
        <f>(E11-E13)/E13</f>
        <v>4.5563751931759801E-2</v>
      </c>
      <c r="L11" s="68">
        <v>1</v>
      </c>
      <c r="M11" s="75" t="s">
        <v>15</v>
      </c>
      <c r="N11" s="76">
        <f>$N$2-Q11</f>
        <v>23</v>
      </c>
      <c r="O11" s="96">
        <v>4</v>
      </c>
      <c r="P11" s="97">
        <v>786.96767385649196</v>
      </c>
      <c r="Q11" s="98">
        <v>8</v>
      </c>
      <c r="R11" s="99">
        <v>1</v>
      </c>
      <c r="S11" s="79">
        <f>MAX(($P$2-P11)/$P$2, 0)</f>
        <v>0</v>
      </c>
      <c r="T11" s="97">
        <v>3.7922099720000002</v>
      </c>
      <c r="U11" s="100"/>
      <c r="V11" s="81">
        <f>(P11-P13)/P13</f>
        <v>3.2196046839559914E-2</v>
      </c>
      <c r="X11" s="75" t="s">
        <v>15</v>
      </c>
      <c r="Y11" s="76">
        <f>$N$2-AB11</f>
        <v>26</v>
      </c>
      <c r="Z11" s="96">
        <v>4</v>
      </c>
      <c r="AA11" s="97">
        <v>788.69193722381203</v>
      </c>
      <c r="AB11" s="98">
        <v>5</v>
      </c>
      <c r="AC11" s="99">
        <v>1</v>
      </c>
      <c r="AD11" s="79">
        <f>MAX(($P$2-AA11)/$P$2, 0)</f>
        <v>0</v>
      </c>
      <c r="AE11" s="97">
        <v>0.94934869600000005</v>
      </c>
      <c r="AF11" s="101"/>
      <c r="AG11" s="81">
        <f>(AA11-AA13)/AA13</f>
        <v>2.4124081483231793E-2</v>
      </c>
      <c r="AI11" s="75" t="s">
        <v>15</v>
      </c>
      <c r="AJ11" s="76">
        <f>$N$2-AM11</f>
        <v>31</v>
      </c>
      <c r="AK11" s="96"/>
      <c r="AL11" s="97"/>
      <c r="AM11" s="98"/>
      <c r="AN11" s="99"/>
      <c r="AO11" s="79">
        <f>MAX(($P$2-AL11)/$P$2, 0)</f>
        <v>1</v>
      </c>
      <c r="AP11" s="97"/>
    </row>
    <row r="12" spans="1:42" x14ac:dyDescent="0.3">
      <c r="B12" s="84" t="s">
        <v>16</v>
      </c>
      <c r="C12" s="85">
        <f>$N$2-F12</f>
        <v>21</v>
      </c>
      <c r="D12" s="100">
        <v>4</v>
      </c>
      <c r="E12" s="102">
        <v>689.9985797091</v>
      </c>
      <c r="F12" s="103">
        <v>10</v>
      </c>
      <c r="G12" s="104">
        <v>1</v>
      </c>
      <c r="H12" s="88">
        <f>MAX(($P$2-E12)/$P$2, 0)</f>
        <v>0.11989977077920919</v>
      </c>
      <c r="I12" s="102">
        <v>78.542332698999999</v>
      </c>
      <c r="J12" s="68">
        <v>150</v>
      </c>
      <c r="K12" s="81">
        <f>(E12-E13)/E13</f>
        <v>0</v>
      </c>
      <c r="M12" s="84" t="s">
        <v>16</v>
      </c>
      <c r="N12" s="85">
        <f>$N$2-Q12</f>
        <v>23</v>
      </c>
      <c r="O12" s="100">
        <v>4</v>
      </c>
      <c r="P12" s="102">
        <v>762.42074493867699</v>
      </c>
      <c r="Q12" s="103">
        <v>8</v>
      </c>
      <c r="R12" s="104">
        <v>1</v>
      </c>
      <c r="S12" s="88">
        <f>MAX(($P$2-P12)/$P$2, 0)</f>
        <v>2.7524560027197716E-2</v>
      </c>
      <c r="T12" s="102">
        <v>176.379702372</v>
      </c>
      <c r="U12" s="100">
        <v>103</v>
      </c>
      <c r="V12" s="81">
        <f>(P12-P13)/P13</f>
        <v>6.4776267314667498E-9</v>
      </c>
      <c r="X12" s="84" t="s">
        <v>16</v>
      </c>
      <c r="Y12" s="85">
        <f>$N$2-AB12</f>
        <v>27</v>
      </c>
      <c r="Z12" s="100">
        <v>4</v>
      </c>
      <c r="AA12" s="102">
        <v>770.11336519999998</v>
      </c>
      <c r="AB12" s="103">
        <v>4</v>
      </c>
      <c r="AC12" s="104">
        <v>1</v>
      </c>
      <c r="AD12" s="88">
        <f>MAX(($P$2-AA12)/$P$2, 0)</f>
        <v>1.7712544387755134E-2</v>
      </c>
      <c r="AE12" s="102">
        <v>51.923490096999998</v>
      </c>
      <c r="AF12" s="101">
        <v>175</v>
      </c>
      <c r="AG12" s="81">
        <f>(AA12-AA13)/AA13</f>
        <v>-3.7334019471492349E-7</v>
      </c>
      <c r="AI12" s="84" t="s">
        <v>16</v>
      </c>
      <c r="AJ12" s="85">
        <f>$N$2-AM12</f>
        <v>31</v>
      </c>
      <c r="AK12" s="100"/>
      <c r="AL12" s="102"/>
      <c r="AM12" s="103"/>
      <c r="AN12" s="104"/>
      <c r="AO12" s="88">
        <f>MAX(($P$2-AL12)/$P$2, 0)</f>
        <v>1</v>
      </c>
      <c r="AP12" s="102"/>
    </row>
    <row r="13" spans="1:42" ht="15" thickBot="1" x14ac:dyDescent="0.35">
      <c r="A13" s="105" t="s">
        <v>19</v>
      </c>
      <c r="B13" s="90" t="s">
        <v>17</v>
      </c>
      <c r="C13" s="91">
        <f>$N$2-F13</f>
        <v>21</v>
      </c>
      <c r="D13" s="60">
        <v>4</v>
      </c>
      <c r="E13" s="61">
        <v>689.9985797091</v>
      </c>
      <c r="F13" s="62">
        <v>10</v>
      </c>
      <c r="G13" s="63">
        <v>1</v>
      </c>
      <c r="H13" s="94">
        <f>MAX(($P$2-E13)/$P$2,0)</f>
        <v>0.11989977077920919</v>
      </c>
      <c r="I13" s="61">
        <v>10440.694855993001</v>
      </c>
      <c r="K13" s="81"/>
      <c r="M13" s="90" t="s">
        <v>17</v>
      </c>
      <c r="N13" s="91">
        <f>$N$2-Q13</f>
        <v>23</v>
      </c>
      <c r="O13" s="55">
        <v>4</v>
      </c>
      <c r="P13" s="52">
        <v>762.42074000000002</v>
      </c>
      <c r="Q13" s="62">
        <v>8</v>
      </c>
      <c r="R13" s="63">
        <v>1</v>
      </c>
      <c r="S13" s="94">
        <f>MAX(($P$2-P13)/$P$2,0)</f>
        <v>2.7524566326530581E-2</v>
      </c>
      <c r="T13" s="61"/>
      <c r="U13" s="100"/>
      <c r="V13" s="81"/>
      <c r="X13" s="90" t="s">
        <v>17</v>
      </c>
      <c r="Y13" s="91">
        <f>$N$2-AB13</f>
        <v>27</v>
      </c>
      <c r="Z13" s="60">
        <v>4</v>
      </c>
      <c r="AA13" s="61">
        <v>770.11365271438103</v>
      </c>
      <c r="AB13" s="62">
        <v>4</v>
      </c>
      <c r="AC13" s="63">
        <v>1</v>
      </c>
      <c r="AD13" s="94">
        <f>MAX(($P$2-AA13)/$P$2,0)</f>
        <v>1.7712177660228274E-2</v>
      </c>
      <c r="AE13" s="61"/>
      <c r="AF13" s="101"/>
      <c r="AG13" s="81"/>
      <c r="AI13" s="90" t="s">
        <v>17</v>
      </c>
      <c r="AJ13" s="91">
        <f>$N$2-AM13</f>
        <v>31</v>
      </c>
      <c r="AK13" s="60"/>
      <c r="AL13" s="61"/>
      <c r="AM13" s="62"/>
      <c r="AN13" s="63"/>
      <c r="AO13" s="94">
        <f>MAX(($P$2-AL13)/$P$2,0)</f>
        <v>1</v>
      </c>
      <c r="AP13" s="61"/>
    </row>
    <row r="14" spans="1:42" ht="15" thickBot="1" x14ac:dyDescent="0.35">
      <c r="C14" s="68"/>
      <c r="D14" s="68"/>
      <c r="E14" s="68"/>
      <c r="F14" s="68"/>
      <c r="G14" s="68"/>
      <c r="H14" s="68"/>
      <c r="I14" s="68"/>
      <c r="K14" s="106"/>
      <c r="N14" s="68"/>
      <c r="O14" s="68"/>
      <c r="P14" s="68"/>
      <c r="Q14" s="68"/>
      <c r="R14" s="68"/>
      <c r="S14" s="68"/>
      <c r="T14" s="68"/>
      <c r="U14" s="106"/>
      <c r="V14" s="106"/>
      <c r="Y14" s="68"/>
      <c r="Z14" s="68"/>
      <c r="AA14" s="68"/>
      <c r="AB14" s="68"/>
      <c r="AC14" s="68"/>
      <c r="AD14" s="68"/>
      <c r="AE14" s="68"/>
      <c r="AF14" s="107"/>
      <c r="AG14" s="106"/>
      <c r="AJ14" s="68"/>
      <c r="AK14" s="68"/>
      <c r="AL14" s="68"/>
      <c r="AM14" s="68"/>
      <c r="AN14" s="68"/>
      <c r="AO14" s="68"/>
      <c r="AP14" s="68"/>
    </row>
    <row r="15" spans="1:42" x14ac:dyDescent="0.3">
      <c r="B15" s="75" t="s">
        <v>15</v>
      </c>
      <c r="C15" s="76">
        <f>$N$2-F15</f>
        <v>15</v>
      </c>
      <c r="D15" s="96">
        <v>3</v>
      </c>
      <c r="E15" s="97">
        <v>680.93418850348905</v>
      </c>
      <c r="F15" s="98">
        <v>16</v>
      </c>
      <c r="G15" s="99">
        <v>2</v>
      </c>
      <c r="H15" s="79">
        <f>MAX(($P$2-E15)/$P$2, 0)</f>
        <v>0.13146149425575376</v>
      </c>
      <c r="I15" s="97">
        <v>2.2222256840000001</v>
      </c>
      <c r="K15" s="81">
        <f>(E15-E17)/E17</f>
        <v>6.9167997422032362E-2</v>
      </c>
      <c r="L15" s="68">
        <v>2</v>
      </c>
      <c r="M15" s="75" t="s">
        <v>15</v>
      </c>
      <c r="N15" s="76">
        <f>$N$2-Q15</f>
        <v>22</v>
      </c>
      <c r="O15" s="96">
        <v>4</v>
      </c>
      <c r="P15" s="97">
        <v>769.42076508884998</v>
      </c>
      <c r="Q15" s="98">
        <v>9</v>
      </c>
      <c r="R15" s="99">
        <v>1</v>
      </c>
      <c r="S15" s="79">
        <f>MAX(($P$2-P15)/$P$2, 0)</f>
        <v>1.859596289687503E-2</v>
      </c>
      <c r="T15" s="97">
        <v>5.5866120419999996</v>
      </c>
      <c r="U15" s="100"/>
      <c r="V15" s="81">
        <f>(P15-P17)/P17</f>
        <v>2.0662031612939443E-2</v>
      </c>
      <c r="X15" s="75" t="s">
        <v>15</v>
      </c>
      <c r="Y15" s="76">
        <f>$N$2-AB15</f>
        <v>24</v>
      </c>
      <c r="Z15" s="96">
        <v>4</v>
      </c>
      <c r="AA15" s="97">
        <v>779.60367294376397</v>
      </c>
      <c r="AB15" s="98">
        <v>7</v>
      </c>
      <c r="AC15" s="99">
        <v>1</v>
      </c>
      <c r="AD15" s="79">
        <f>MAX(($P$2-AA15)/$P$2, 0)</f>
        <v>5.6075600207092244E-3</v>
      </c>
      <c r="AE15" s="97">
        <v>1.0798153530000001</v>
      </c>
      <c r="AF15" s="101"/>
      <c r="AG15" s="81">
        <f>(AA15-AA17)/AA17</f>
        <v>1.1136358394917405E-2</v>
      </c>
      <c r="AI15" s="75" t="s">
        <v>15</v>
      </c>
      <c r="AJ15" s="76">
        <f>$N$2-AM15</f>
        <v>31</v>
      </c>
      <c r="AK15" s="96"/>
      <c r="AL15" s="97"/>
      <c r="AM15" s="98"/>
      <c r="AN15" s="99"/>
      <c r="AO15" s="79">
        <f>MAX(($P$2-AL15)/$P$2, 0)</f>
        <v>1</v>
      </c>
      <c r="AP15" s="97"/>
    </row>
    <row r="16" spans="1:42" x14ac:dyDescent="0.3">
      <c r="B16" s="84" t="s">
        <v>16</v>
      </c>
      <c r="C16" s="85">
        <f>$N$2-F16</f>
        <v>20</v>
      </c>
      <c r="D16" s="100">
        <v>4</v>
      </c>
      <c r="E16" s="102">
        <v>646.02123635076396</v>
      </c>
      <c r="F16" s="103">
        <v>11</v>
      </c>
      <c r="G16" s="104">
        <v>1</v>
      </c>
      <c r="H16" s="88">
        <f>MAX(($P$2-E16)/$P$2, 0)</f>
        <v>0.17599332098116843</v>
      </c>
      <c r="I16" s="102">
        <v>86.683980629000004</v>
      </c>
      <c r="J16" s="68">
        <v>273</v>
      </c>
      <c r="K16" s="81">
        <f>(E16-E17)/E17</f>
        <v>1.4349467573711994E-2</v>
      </c>
      <c r="M16" s="84" t="s">
        <v>16</v>
      </c>
      <c r="N16" s="85">
        <f>$N$2-Q16</f>
        <v>22</v>
      </c>
      <c r="O16" s="100">
        <v>4</v>
      </c>
      <c r="P16" s="102">
        <v>753.84482888930302</v>
      </c>
      <c r="Q16" s="103">
        <v>9</v>
      </c>
      <c r="R16" s="104">
        <v>1</v>
      </c>
      <c r="S16" s="88">
        <f>MAX(($P$2-P16)/$P$2, 0)</f>
        <v>3.8463228457521662E-2</v>
      </c>
      <c r="T16" s="102">
        <v>180.002940145</v>
      </c>
      <c r="U16" s="100">
        <v>106</v>
      </c>
      <c r="V16" s="81">
        <f>(P16-P17)/P17</f>
        <v>3.8322613690367703E-8</v>
      </c>
      <c r="X16" s="84" t="s">
        <v>16</v>
      </c>
      <c r="Y16" s="85">
        <f>$N$2-AB16</f>
        <v>24</v>
      </c>
      <c r="Z16" s="100">
        <v>4</v>
      </c>
      <c r="AA16" s="102">
        <v>771.01734743403995</v>
      </c>
      <c r="AB16" s="103">
        <v>7</v>
      </c>
      <c r="AC16" s="104">
        <v>1</v>
      </c>
      <c r="AD16" s="88">
        <f>MAX(($P$2-AA16)/$P$2, 0)</f>
        <v>1.6559505823928639E-2</v>
      </c>
      <c r="AE16" s="102">
        <v>65.525453573999997</v>
      </c>
      <c r="AF16" s="101">
        <v>183</v>
      </c>
      <c r="AG16" s="81">
        <f>(AA16-AA17)/AA17</f>
        <v>0</v>
      </c>
      <c r="AI16" s="84" t="s">
        <v>16</v>
      </c>
      <c r="AJ16" s="85">
        <f>$N$2-AM16</f>
        <v>31</v>
      </c>
      <c r="AK16" s="100"/>
      <c r="AL16" s="102"/>
      <c r="AM16" s="103"/>
      <c r="AN16" s="104"/>
      <c r="AO16" s="88">
        <f>MAX(($P$2-AL16)/$P$2, 0)</f>
        <v>1</v>
      </c>
      <c r="AP16" s="102"/>
    </row>
    <row r="17" spans="1:42" ht="15" thickBot="1" x14ac:dyDescent="0.35">
      <c r="A17" s="105" t="s">
        <v>20</v>
      </c>
      <c r="B17" s="90" t="s">
        <v>17</v>
      </c>
      <c r="C17" s="91">
        <f>$N$2-F17</f>
        <v>21</v>
      </c>
      <c r="D17" s="60">
        <v>4</v>
      </c>
      <c r="E17" s="61">
        <v>636.88231423438697</v>
      </c>
      <c r="F17" s="62">
        <v>10</v>
      </c>
      <c r="G17" s="63">
        <v>1</v>
      </c>
      <c r="H17" s="94">
        <f>MAX(($P$2-E17)/$P$2,0)</f>
        <v>0.18765010939491458</v>
      </c>
      <c r="I17" s="61"/>
      <c r="K17" s="100"/>
      <c r="M17" s="90" t="s">
        <v>17</v>
      </c>
      <c r="N17" s="91">
        <f>$N$2-Q17</f>
        <v>22</v>
      </c>
      <c r="O17" s="60">
        <v>4</v>
      </c>
      <c r="P17" s="61">
        <v>753.84479999999996</v>
      </c>
      <c r="Q17" s="62">
        <v>9</v>
      </c>
      <c r="R17" s="63">
        <v>1</v>
      </c>
      <c r="S17" s="94">
        <f>MAX(($P$2-P17)/$P$2,0)</f>
        <v>3.8463265306122492E-2</v>
      </c>
      <c r="T17" s="61"/>
      <c r="U17" s="100"/>
      <c r="V17" s="100"/>
      <c r="X17" s="90" t="s">
        <v>17</v>
      </c>
      <c r="Y17" s="91">
        <f>$N$2-AB17</f>
        <v>24</v>
      </c>
      <c r="Z17" s="60">
        <v>4</v>
      </c>
      <c r="AA17" s="61">
        <v>771.01734743403995</v>
      </c>
      <c r="AB17" s="62">
        <v>7</v>
      </c>
      <c r="AC17" s="63">
        <v>1</v>
      </c>
      <c r="AD17" s="94">
        <f>MAX(($P$2-AA17)/$P$2,0)</f>
        <v>1.6559505823928639E-2</v>
      </c>
      <c r="AE17" s="61"/>
      <c r="AF17" s="101"/>
      <c r="AG17" s="100"/>
      <c r="AI17" s="90" t="s">
        <v>17</v>
      </c>
      <c r="AJ17" s="91">
        <f>$N$2-AM17</f>
        <v>31</v>
      </c>
      <c r="AK17" s="60"/>
      <c r="AL17" s="61"/>
      <c r="AM17" s="62"/>
      <c r="AN17" s="63"/>
      <c r="AO17" s="94">
        <f>MAX(($P$2-AL17)/$P$2,0)</f>
        <v>1</v>
      </c>
      <c r="AP17" s="61"/>
    </row>
    <row r="18" spans="1:42" ht="15" thickBot="1" x14ac:dyDescent="0.35">
      <c r="C18" s="68"/>
      <c r="D18" s="68"/>
      <c r="E18" s="68"/>
      <c r="F18" s="68"/>
      <c r="G18" s="68"/>
      <c r="H18" s="68"/>
      <c r="I18" s="68"/>
      <c r="K18" s="106"/>
      <c r="N18" s="68"/>
      <c r="O18" s="68"/>
      <c r="P18" s="68"/>
      <c r="Q18" s="68"/>
      <c r="R18" s="68"/>
      <c r="S18" s="68"/>
      <c r="T18" s="68"/>
      <c r="U18" s="106"/>
      <c r="V18" s="106"/>
      <c r="Y18" s="68"/>
      <c r="Z18" s="68"/>
      <c r="AA18" s="68"/>
      <c r="AB18" s="68"/>
      <c r="AC18" s="68"/>
      <c r="AD18" s="68"/>
      <c r="AE18" s="68"/>
      <c r="AF18" s="107"/>
      <c r="AG18" s="106"/>
      <c r="AJ18" s="68"/>
      <c r="AK18" s="68"/>
      <c r="AL18" s="68"/>
      <c r="AM18" s="68"/>
      <c r="AN18" s="68"/>
      <c r="AO18" s="68"/>
      <c r="AP18" s="68"/>
    </row>
    <row r="19" spans="1:42" x14ac:dyDescent="0.3">
      <c r="B19" s="75" t="s">
        <v>15</v>
      </c>
      <c r="C19" s="76">
        <f>$N$2-F19</f>
        <v>18</v>
      </c>
      <c r="D19" s="96">
        <v>4</v>
      </c>
      <c r="E19" s="97">
        <v>670.42343734078202</v>
      </c>
      <c r="F19" s="98">
        <v>13</v>
      </c>
      <c r="G19" s="99">
        <v>1</v>
      </c>
      <c r="H19" s="79">
        <f>MAX(($P$2-E19)/$P$2, 0)</f>
        <v>0.14486806461634946</v>
      </c>
      <c r="I19" s="97">
        <v>6.2341305069999997</v>
      </c>
      <c r="K19" s="81">
        <f>(E19-E21)/E21</f>
        <v>3.1869044566904298E-3</v>
      </c>
      <c r="L19" s="68">
        <v>3</v>
      </c>
      <c r="M19" s="75" t="s">
        <v>15</v>
      </c>
      <c r="N19" s="76">
        <f>$N$2-Q19</f>
        <v>23</v>
      </c>
      <c r="O19" s="96">
        <v>4</v>
      </c>
      <c r="P19" s="97">
        <v>766.67663585222294</v>
      </c>
      <c r="Q19" s="98">
        <v>8</v>
      </c>
      <c r="R19" s="99">
        <v>1</v>
      </c>
      <c r="S19" s="79">
        <f>MAX(($P$2-P19)/$P$2, 0)</f>
        <v>2.2096127739511553E-2</v>
      </c>
      <c r="T19" s="97">
        <v>16.342983914000001</v>
      </c>
      <c r="U19" s="100"/>
      <c r="V19" s="81">
        <f>(P19-P21)/P21</f>
        <v>1.5105548444760976E-2</v>
      </c>
      <c r="X19" s="75" t="s">
        <v>15</v>
      </c>
      <c r="Y19" s="76">
        <f>$N$2-AB19</f>
        <v>24</v>
      </c>
      <c r="Z19" s="96">
        <v>4</v>
      </c>
      <c r="AA19" s="97">
        <v>769.816052913985</v>
      </c>
      <c r="AB19" s="98">
        <v>7</v>
      </c>
      <c r="AC19" s="99">
        <v>1</v>
      </c>
      <c r="AD19" s="79">
        <f>MAX(($P$2-AA19)/$P$2, 0)</f>
        <v>1.8091769242366065E-2</v>
      </c>
      <c r="AE19" s="97">
        <v>1.880354678</v>
      </c>
      <c r="AF19" s="101"/>
      <c r="AG19" s="81">
        <f>(AA19-AA21)/AA21</f>
        <v>1.5501103061039386E-3</v>
      </c>
      <c r="AI19" s="75" t="s">
        <v>15</v>
      </c>
      <c r="AJ19" s="76">
        <f>$N$2-AM19</f>
        <v>31</v>
      </c>
      <c r="AK19" s="96"/>
      <c r="AL19" s="97"/>
      <c r="AM19" s="98"/>
      <c r="AN19" s="99"/>
      <c r="AO19" s="79">
        <f>MAX(($P$2-AL19)/$P$2, 0)</f>
        <v>1</v>
      </c>
      <c r="AP19" s="97"/>
    </row>
    <row r="20" spans="1:42" x14ac:dyDescent="0.3">
      <c r="B20" s="84" t="s">
        <v>16</v>
      </c>
      <c r="C20" s="85">
        <f>$N$2-F20</f>
        <v>20</v>
      </c>
      <c r="D20" s="100">
        <v>4</v>
      </c>
      <c r="E20" s="102">
        <v>669.58952446274202</v>
      </c>
      <c r="F20" s="103">
        <v>11</v>
      </c>
      <c r="G20" s="104">
        <v>1</v>
      </c>
      <c r="H20" s="88">
        <f>MAX(($P$2-E20)/$P$2, 0)</f>
        <v>0.14593172900160456</v>
      </c>
      <c r="I20" s="102">
        <v>46.009360309000002</v>
      </c>
      <c r="J20" s="68">
        <v>104</v>
      </c>
      <c r="K20" s="81">
        <f>(E20-E21)/E21</f>
        <v>1.9390804217405938E-3</v>
      </c>
      <c r="M20" s="84" t="s">
        <v>16</v>
      </c>
      <c r="N20" s="85">
        <f>$N$2-Q20</f>
        <v>23</v>
      </c>
      <c r="O20" s="100">
        <v>4</v>
      </c>
      <c r="P20" s="102">
        <v>755.26799509222997</v>
      </c>
      <c r="Q20" s="103">
        <v>8</v>
      </c>
      <c r="R20" s="104">
        <v>1</v>
      </c>
      <c r="S20" s="88">
        <f>MAX(($P$2-P20)/$P$2, 0)</f>
        <v>3.6647965443584229E-2</v>
      </c>
      <c r="T20" s="102">
        <v>151.26340575200001</v>
      </c>
      <c r="U20" s="100">
        <v>115</v>
      </c>
      <c r="V20" s="81">
        <f>(P20-P21)/P21</f>
        <v>1.2590529785861716E-7</v>
      </c>
      <c r="X20" s="84" t="s">
        <v>16</v>
      </c>
      <c r="Y20" s="85">
        <f>$N$2-AB20</f>
        <v>25</v>
      </c>
      <c r="Z20" s="100">
        <v>4</v>
      </c>
      <c r="AA20" s="102">
        <v>768.62465568191601</v>
      </c>
      <c r="AB20" s="103">
        <v>6</v>
      </c>
      <c r="AC20" s="104">
        <v>1</v>
      </c>
      <c r="AD20" s="88">
        <f>MAX(($P$2-AA20)/$P$2, 0)</f>
        <v>1.9611408568984679E-2</v>
      </c>
      <c r="AE20" s="102">
        <v>59.067423765000001</v>
      </c>
      <c r="AF20" s="101">
        <v>101</v>
      </c>
      <c r="AG20" s="81">
        <f>(AA20-AA21)/AA21</f>
        <v>7.2443577819115427E-8</v>
      </c>
      <c r="AI20" s="84" t="s">
        <v>16</v>
      </c>
      <c r="AJ20" s="85">
        <f>$N$2-AM20</f>
        <v>31</v>
      </c>
      <c r="AK20" s="100"/>
      <c r="AL20" s="102"/>
      <c r="AM20" s="103"/>
      <c r="AN20" s="104"/>
      <c r="AO20" s="88">
        <f>MAX(($P$2-AL20)/$P$2, 0)</f>
        <v>1</v>
      </c>
      <c r="AP20" s="102"/>
    </row>
    <row r="21" spans="1:42" ht="15" thickBot="1" x14ac:dyDescent="0.35">
      <c r="A21" s="105" t="s">
        <v>22</v>
      </c>
      <c r="B21" s="90" t="s">
        <v>17</v>
      </c>
      <c r="C21" s="91">
        <f>$N$2-F21</f>
        <v>19</v>
      </c>
      <c r="D21" s="60">
        <v>4</v>
      </c>
      <c r="E21" s="61">
        <v>668.29364933135003</v>
      </c>
      <c r="F21" s="62">
        <v>12</v>
      </c>
      <c r="G21" s="63">
        <v>1</v>
      </c>
      <c r="H21" s="94">
        <f>MAX(($P$2-E21)/$P$2,0)</f>
        <v>0.14758463095491067</v>
      </c>
      <c r="I21" s="61"/>
      <c r="K21" s="100"/>
      <c r="M21" s="90" t="s">
        <v>17</v>
      </c>
      <c r="N21" s="91">
        <f>$N$2-Q21</f>
        <v>23</v>
      </c>
      <c r="O21" s="60">
        <v>4</v>
      </c>
      <c r="P21" s="61">
        <v>755.26790000000005</v>
      </c>
      <c r="Q21" s="62">
        <v>8</v>
      </c>
      <c r="R21" s="63">
        <v>1</v>
      </c>
      <c r="S21" s="94">
        <f>MAX(($P$2-P21)/$P$2,0)</f>
        <v>3.6648086734693809E-2</v>
      </c>
      <c r="T21" s="61"/>
      <c r="U21" s="100"/>
      <c r="V21" s="100"/>
      <c r="X21" s="90" t="s">
        <v>17</v>
      </c>
      <c r="Y21" s="91">
        <f>$N$2-AB21</f>
        <v>25</v>
      </c>
      <c r="Z21" s="60">
        <v>4</v>
      </c>
      <c r="AA21" s="61">
        <v>768.62459999999999</v>
      </c>
      <c r="AB21" s="62">
        <v>6</v>
      </c>
      <c r="AC21" s="63">
        <v>1</v>
      </c>
      <c r="AD21" s="94">
        <f>MAX(($P$2-AA21)/$P$2,0)</f>
        <v>1.9611479591836751E-2</v>
      </c>
      <c r="AE21" s="61"/>
      <c r="AF21" s="101"/>
      <c r="AG21" s="100"/>
      <c r="AI21" s="90" t="s">
        <v>17</v>
      </c>
      <c r="AJ21" s="91">
        <f>$N$2-AM21</f>
        <v>31</v>
      </c>
      <c r="AK21" s="60"/>
      <c r="AL21" s="61"/>
      <c r="AM21" s="62"/>
      <c r="AN21" s="63"/>
      <c r="AO21" s="94">
        <f>MAX(($P$2-AL21)/$P$2,0)</f>
        <v>1</v>
      </c>
      <c r="AP21" s="61"/>
    </row>
    <row r="22" spans="1:42" ht="15" thickBot="1" x14ac:dyDescent="0.35">
      <c r="C22" s="68"/>
      <c r="D22" s="68"/>
      <c r="E22" s="68"/>
      <c r="F22" s="68"/>
      <c r="G22" s="68"/>
      <c r="H22" s="68"/>
      <c r="I22" s="68"/>
      <c r="K22" s="106"/>
      <c r="N22" s="68"/>
      <c r="O22" s="68"/>
      <c r="P22" s="68"/>
      <c r="Q22" s="68"/>
      <c r="R22" s="68"/>
      <c r="S22" s="68"/>
      <c r="T22" s="68"/>
      <c r="U22" s="106"/>
      <c r="V22" s="106"/>
      <c r="Y22" s="68"/>
      <c r="Z22" s="68"/>
      <c r="AA22" s="68"/>
      <c r="AB22" s="68"/>
      <c r="AC22" s="68"/>
      <c r="AD22" s="68"/>
      <c r="AE22" s="68"/>
      <c r="AF22" s="107"/>
      <c r="AG22" s="106"/>
      <c r="AJ22" s="68"/>
      <c r="AK22" s="68"/>
      <c r="AL22" s="68"/>
      <c r="AM22" s="68"/>
      <c r="AN22" s="68"/>
      <c r="AO22" s="68"/>
      <c r="AP22" s="68"/>
    </row>
    <row r="23" spans="1:42" x14ac:dyDescent="0.3">
      <c r="B23" s="75" t="s">
        <v>15</v>
      </c>
      <c r="C23" s="76">
        <f>$N$2-F23</f>
        <v>17</v>
      </c>
      <c r="D23" s="96">
        <v>3</v>
      </c>
      <c r="E23" s="97">
        <v>719.91830326749005</v>
      </c>
      <c r="F23" s="98">
        <v>14</v>
      </c>
      <c r="G23" s="99">
        <v>2</v>
      </c>
      <c r="H23" s="79">
        <f>MAX(($P$2-E23)/$P$2, 0)</f>
        <v>8.1736858077181063E-2</v>
      </c>
      <c r="I23" s="97">
        <v>2.825260187</v>
      </c>
      <c r="K23" s="81">
        <f>(E23-E25)/E25</f>
        <v>9.3582554855590055E-2</v>
      </c>
      <c r="L23" s="68">
        <v>4</v>
      </c>
      <c r="M23" s="75" t="s">
        <v>15</v>
      </c>
      <c r="N23" s="76">
        <f>$N$2-Q23</f>
        <v>20</v>
      </c>
      <c r="O23" s="96">
        <v>4</v>
      </c>
      <c r="P23" s="97">
        <v>733.32386567903598</v>
      </c>
      <c r="Q23" s="98">
        <v>11</v>
      </c>
      <c r="R23" s="99">
        <v>1</v>
      </c>
      <c r="S23" s="79">
        <f>MAX(($P$2-P23)/$P$2, 0)</f>
        <v>6.4637926429801054E-2</v>
      </c>
      <c r="T23" s="97">
        <v>5.2991166740000004</v>
      </c>
      <c r="U23" s="100"/>
      <c r="V23" s="81">
        <f>(P23-P25)/P25</f>
        <v>2.1527387520074624E-2</v>
      </c>
      <c r="X23" s="75" t="s">
        <v>15</v>
      </c>
      <c r="Y23" s="76">
        <f>$N$2-AB23</f>
        <v>20</v>
      </c>
      <c r="Z23" s="96">
        <v>4</v>
      </c>
      <c r="AA23" s="97">
        <v>689.33014630497996</v>
      </c>
      <c r="AB23" s="98">
        <v>11</v>
      </c>
      <c r="AC23" s="99">
        <v>1</v>
      </c>
      <c r="AD23" s="79">
        <f>MAX(($P$2-AA23)/$P$2, 0)</f>
        <v>0.12075236440691331</v>
      </c>
      <c r="AE23" s="97">
        <v>0.740317687</v>
      </c>
      <c r="AF23" s="101"/>
      <c r="AG23" s="81">
        <f>(AA23-AA25)/AA25</f>
        <v>3.1155171069563097E-2</v>
      </c>
      <c r="AI23" s="75" t="s">
        <v>15</v>
      </c>
      <c r="AJ23" s="76">
        <f>$N$2-AM23</f>
        <v>31</v>
      </c>
      <c r="AK23" s="96"/>
      <c r="AL23" s="97"/>
      <c r="AM23" s="98"/>
      <c r="AN23" s="99"/>
      <c r="AO23" s="79">
        <f>MAX(($P$2-AL23)/$P$2, 0)</f>
        <v>1</v>
      </c>
      <c r="AP23" s="97"/>
    </row>
    <row r="24" spans="1:42" x14ac:dyDescent="0.3">
      <c r="B24" s="84" t="s">
        <v>16</v>
      </c>
      <c r="C24" s="85">
        <f>$N$2-F24</f>
        <v>20</v>
      </c>
      <c r="D24" s="100">
        <v>4</v>
      </c>
      <c r="E24" s="102">
        <v>661.06575627066002</v>
      </c>
      <c r="F24" s="103">
        <v>11</v>
      </c>
      <c r="G24" s="104">
        <v>1</v>
      </c>
      <c r="H24" s="88">
        <f>MAX(($P$2-E24)/$P$2, 0)</f>
        <v>0.1568038823078316</v>
      </c>
      <c r="I24" s="102">
        <v>49.818143831</v>
      </c>
      <c r="J24" s="68">
        <v>119</v>
      </c>
      <c r="K24" s="81">
        <f>(E24-E25)/E25</f>
        <v>4.1833571793522444E-3</v>
      </c>
      <c r="M24" s="84" t="s">
        <v>16</v>
      </c>
      <c r="N24" s="85">
        <f>$N$2-Q24</f>
        <v>21</v>
      </c>
      <c r="O24" s="100">
        <v>4</v>
      </c>
      <c r="P24" s="102">
        <v>717.87092025193795</v>
      </c>
      <c r="Q24" s="103">
        <v>10</v>
      </c>
      <c r="R24" s="104">
        <v>1</v>
      </c>
      <c r="S24" s="88">
        <f>MAX(($P$2-P24)/$P$2, 0)</f>
        <v>8.4348316005181195E-2</v>
      </c>
      <c r="T24" s="102">
        <v>127.53294358700001</v>
      </c>
      <c r="U24" s="100">
        <v>153</v>
      </c>
      <c r="V24" s="81">
        <f>(P24-P25)/P25</f>
        <v>1.2819200383654837E-6</v>
      </c>
      <c r="X24" s="84" t="s">
        <v>16</v>
      </c>
      <c r="Y24" s="85">
        <f>$N$2-AB24</f>
        <v>21</v>
      </c>
      <c r="Z24" s="100">
        <v>4</v>
      </c>
      <c r="AA24" s="102">
        <v>668.50282638836404</v>
      </c>
      <c r="AB24" s="103">
        <v>10</v>
      </c>
      <c r="AC24" s="104">
        <v>1</v>
      </c>
      <c r="AD24" s="88">
        <f>MAX(($P$2-AA24)/$P$2, 0)</f>
        <v>0.14731782348422953</v>
      </c>
      <c r="AE24" s="102">
        <v>37.544556125</v>
      </c>
      <c r="AF24" s="101">
        <v>104</v>
      </c>
      <c r="AG24" s="81">
        <f>(AA24-AA25)/AA25</f>
        <v>0</v>
      </c>
      <c r="AI24" s="84" t="s">
        <v>16</v>
      </c>
      <c r="AJ24" s="85">
        <f>$N$2-AM24</f>
        <v>31</v>
      </c>
      <c r="AK24" s="100"/>
      <c r="AL24" s="102"/>
      <c r="AM24" s="103"/>
      <c r="AN24" s="104"/>
      <c r="AO24" s="88">
        <f>MAX(($P$2-AL24)/$P$2, 0)</f>
        <v>1</v>
      </c>
      <c r="AP24" s="102"/>
    </row>
    <row r="25" spans="1:42" ht="15" thickBot="1" x14ac:dyDescent="0.35">
      <c r="A25" s="105" t="s">
        <v>24</v>
      </c>
      <c r="B25" s="90" t="s">
        <v>17</v>
      </c>
      <c r="C25" s="91">
        <f>$N$2-F25</f>
        <v>20</v>
      </c>
      <c r="D25" s="60">
        <v>4</v>
      </c>
      <c r="E25" s="61">
        <v>658.31180286389701</v>
      </c>
      <c r="F25" s="62">
        <v>11</v>
      </c>
      <c r="G25" s="63">
        <v>1</v>
      </c>
      <c r="H25" s="94">
        <f>MAX(($P$2-E25)/$P$2,0)</f>
        <v>0.16031657797972321</v>
      </c>
      <c r="I25" s="61">
        <v>50955.380219790997</v>
      </c>
      <c r="K25" s="100"/>
      <c r="M25" s="90" t="s">
        <v>17</v>
      </c>
      <c r="N25" s="91">
        <f>$N$2-Q25</f>
        <v>21</v>
      </c>
      <c r="O25" s="60">
        <v>4</v>
      </c>
      <c r="P25" s="61">
        <v>717.87</v>
      </c>
      <c r="Q25" s="62">
        <v>10</v>
      </c>
      <c r="R25" s="63">
        <v>1</v>
      </c>
      <c r="S25" s="94">
        <f>MAX(($P$2-P25)/$P$2,0)</f>
        <v>8.4349489795918359E-2</v>
      </c>
      <c r="T25" s="61"/>
      <c r="U25" s="100"/>
      <c r="V25" s="100"/>
      <c r="X25" s="90" t="s">
        <v>17</v>
      </c>
      <c r="Y25" s="91">
        <f>$N$2-AB25</f>
        <v>21</v>
      </c>
      <c r="Z25" s="60">
        <v>4</v>
      </c>
      <c r="AA25" s="61">
        <v>668.50282638836404</v>
      </c>
      <c r="AB25" s="62">
        <v>10</v>
      </c>
      <c r="AC25" s="63">
        <v>1</v>
      </c>
      <c r="AD25" s="94">
        <f>MAX(($P$2-AA25)/$P$2,0)</f>
        <v>0.14731782348422953</v>
      </c>
      <c r="AE25" s="61"/>
      <c r="AF25" s="101"/>
      <c r="AG25" s="100"/>
      <c r="AI25" s="90" t="s">
        <v>17</v>
      </c>
      <c r="AJ25" s="91">
        <f>$N$2-AM25</f>
        <v>31</v>
      </c>
      <c r="AK25" s="60"/>
      <c r="AL25" s="61"/>
      <c r="AM25" s="62"/>
      <c r="AN25" s="63"/>
      <c r="AO25" s="94">
        <f>MAX(($P$2-AL25)/$P$2,0)</f>
        <v>1</v>
      </c>
      <c r="AP25" s="61"/>
    </row>
    <row r="26" spans="1:42" ht="15" thickBot="1" x14ac:dyDescent="0.35">
      <c r="C26" s="68"/>
      <c r="D26" s="68"/>
      <c r="E26" s="68"/>
      <c r="F26" s="68"/>
      <c r="G26" s="68"/>
      <c r="H26" s="68"/>
      <c r="I26" s="68"/>
      <c r="K26" s="106"/>
      <c r="N26" s="68"/>
      <c r="O26" s="68"/>
      <c r="P26" s="68"/>
      <c r="Q26" s="68"/>
      <c r="R26" s="68"/>
      <c r="S26" s="68"/>
      <c r="T26" s="68"/>
      <c r="U26" s="106"/>
      <c r="V26" s="106"/>
      <c r="Y26" s="68"/>
      <c r="Z26" s="68"/>
      <c r="AA26" s="68"/>
      <c r="AB26" s="68"/>
      <c r="AC26" s="68"/>
      <c r="AD26" s="68"/>
      <c r="AE26" s="68"/>
      <c r="AF26" s="107"/>
      <c r="AG26" s="106"/>
      <c r="AJ26" s="68"/>
      <c r="AK26" s="68"/>
      <c r="AL26" s="68"/>
      <c r="AM26" s="68"/>
      <c r="AN26" s="68"/>
      <c r="AO26" s="68"/>
      <c r="AP26" s="68"/>
    </row>
    <row r="27" spans="1:42" x14ac:dyDescent="0.3">
      <c r="B27" s="75" t="s">
        <v>15</v>
      </c>
      <c r="C27" s="76">
        <f>$N$2-F27</f>
        <v>17</v>
      </c>
      <c r="D27" s="96">
        <v>3</v>
      </c>
      <c r="E27" s="97">
        <v>703.90088606643997</v>
      </c>
      <c r="F27" s="98">
        <v>14</v>
      </c>
      <c r="G27" s="99">
        <v>2</v>
      </c>
      <c r="H27" s="79">
        <f>MAX(($P$2-E27)/$P$2, 0)</f>
        <v>0.10216723716015311</v>
      </c>
      <c r="I27" s="97">
        <v>3.7322307349999999</v>
      </c>
      <c r="K27" s="81">
        <f>(E27-E29)/E29</f>
        <v>4.1659799807488164E-2</v>
      </c>
      <c r="L27" s="68">
        <v>5</v>
      </c>
      <c r="M27" s="75" t="s">
        <v>15</v>
      </c>
      <c r="N27" s="76">
        <f>$N$2-Q27</f>
        <v>21</v>
      </c>
      <c r="O27" s="96">
        <v>4</v>
      </c>
      <c r="P27" s="97">
        <v>724.34369128394803</v>
      </c>
      <c r="Q27" s="98">
        <v>10</v>
      </c>
      <c r="R27" s="99">
        <v>1</v>
      </c>
      <c r="S27" s="79">
        <f>MAX(($P$2-P27)/$P$2, 0)</f>
        <v>7.6092230505168321E-2</v>
      </c>
      <c r="T27" s="97">
        <v>8.8820522519999994</v>
      </c>
      <c r="U27" s="100"/>
      <c r="V27" s="81">
        <f>(P27-P29)/P29</f>
        <v>3.9326182055714259E-3</v>
      </c>
      <c r="X27" s="75" t="s">
        <v>15</v>
      </c>
      <c r="Y27" s="76">
        <f>$N$2-AB27</f>
        <v>22</v>
      </c>
      <c r="Z27" s="96">
        <v>4</v>
      </c>
      <c r="AA27" s="97">
        <v>762.10624695349202</v>
      </c>
      <c r="AB27" s="98">
        <v>9</v>
      </c>
      <c r="AC27" s="99">
        <v>1</v>
      </c>
      <c r="AD27" s="79">
        <f>MAX(($P$2-AA27)/$P$2, 0)</f>
        <v>2.7925705416464261E-2</v>
      </c>
      <c r="AE27" s="97">
        <v>0.815488989</v>
      </c>
      <c r="AF27" s="101"/>
      <c r="AG27" s="81">
        <f>(AA27-AA29)/AA29</f>
        <v>4.0968290153857508E-2</v>
      </c>
      <c r="AI27" s="75" t="s">
        <v>15</v>
      </c>
      <c r="AJ27" s="76">
        <f>$N$2-AM27</f>
        <v>31</v>
      </c>
      <c r="AK27" s="96"/>
      <c r="AL27" s="97"/>
      <c r="AM27" s="98"/>
      <c r="AN27" s="99"/>
      <c r="AO27" s="79">
        <f>MAX(($P$2-AL27)/$P$2, 0)</f>
        <v>1</v>
      </c>
      <c r="AP27" s="97"/>
    </row>
    <row r="28" spans="1:42" x14ac:dyDescent="0.3">
      <c r="B28" s="84" t="s">
        <v>16</v>
      </c>
      <c r="C28" s="85">
        <f>$N$2-F28</f>
        <v>20</v>
      </c>
      <c r="D28" s="100">
        <v>4</v>
      </c>
      <c r="E28" s="102">
        <v>679.61710441560001</v>
      </c>
      <c r="F28" s="103">
        <v>11</v>
      </c>
      <c r="G28" s="104">
        <v>1</v>
      </c>
      <c r="H28" s="88">
        <f>MAX(($P$2-E28)/$P$2, 0)</f>
        <v>0.13314144844948977</v>
      </c>
      <c r="I28" s="102">
        <v>34.406309677000003</v>
      </c>
      <c r="J28" s="68">
        <v>121</v>
      </c>
      <c r="K28" s="81">
        <f>(E28-E29)/E29</f>
        <v>5.7237189846049401E-3</v>
      </c>
      <c r="M28" s="84" t="s">
        <v>16</v>
      </c>
      <c r="N28" s="85">
        <f>$N$2-Q28</f>
        <v>23</v>
      </c>
      <c r="O28" s="100">
        <v>4</v>
      </c>
      <c r="P28" s="102">
        <v>721.50628254179003</v>
      </c>
      <c r="Q28" s="103">
        <v>8</v>
      </c>
      <c r="R28" s="104">
        <v>1</v>
      </c>
      <c r="S28" s="88">
        <f>MAX(($P$2-P28)/$P$2, 0)</f>
        <v>7.9711374308941291E-2</v>
      </c>
      <c r="T28" s="102">
        <v>100.67305090799999</v>
      </c>
      <c r="U28" s="100">
        <v>120</v>
      </c>
      <c r="V28" s="81">
        <f>(P28-P29)/P29</f>
        <v>0</v>
      </c>
      <c r="X28" s="84" t="s">
        <v>16</v>
      </c>
      <c r="Y28" s="85">
        <f>$N$2-AB28</f>
        <v>24</v>
      </c>
      <c r="Z28" s="100">
        <v>4</v>
      </c>
      <c r="AA28" s="102">
        <v>732.11283586827699</v>
      </c>
      <c r="AB28" s="103">
        <v>7</v>
      </c>
      <c r="AC28" s="104">
        <v>1</v>
      </c>
      <c r="AD28" s="88">
        <f>MAX(($P$2-AA28)/$P$2, 0)</f>
        <v>6.6182607310871194E-2</v>
      </c>
      <c r="AE28" s="102">
        <v>50.826859765000002</v>
      </c>
      <c r="AF28" s="101">
        <v>137</v>
      </c>
      <c r="AG28" s="81">
        <f>(AA28-AA29)/AA29</f>
        <v>0</v>
      </c>
      <c r="AI28" s="84" t="s">
        <v>16</v>
      </c>
      <c r="AJ28" s="85">
        <f>$N$2-AM28</f>
        <v>31</v>
      </c>
      <c r="AK28" s="100"/>
      <c r="AL28" s="102"/>
      <c r="AM28" s="103"/>
      <c r="AN28" s="104"/>
      <c r="AO28" s="88">
        <f>MAX(($P$2-AL28)/$P$2, 0)</f>
        <v>1</v>
      </c>
      <c r="AP28" s="102"/>
    </row>
    <row r="29" spans="1:42" ht="15" thickBot="1" x14ac:dyDescent="0.35">
      <c r="A29" s="105" t="s">
        <v>25</v>
      </c>
      <c r="B29" s="90" t="s">
        <v>17</v>
      </c>
      <c r="C29" s="91">
        <f>$N$2-F29</f>
        <v>21</v>
      </c>
      <c r="D29" s="60">
        <v>4</v>
      </c>
      <c r="E29" s="61">
        <v>675.74930528808898</v>
      </c>
      <c r="F29" s="62">
        <v>10</v>
      </c>
      <c r="G29" s="63">
        <v>1</v>
      </c>
      <c r="H29" s="94">
        <f>MAX(($P$2-E29)/$P$2,0)</f>
        <v>0.13807486570396815</v>
      </c>
      <c r="I29" s="61">
        <v>199698.59628162099</v>
      </c>
      <c r="K29" s="100"/>
      <c r="M29" s="90" t="s">
        <v>17</v>
      </c>
      <c r="N29" s="91">
        <f>$N$2-Q29</f>
        <v>23</v>
      </c>
      <c r="O29" s="60">
        <v>4</v>
      </c>
      <c r="P29" s="61">
        <v>721.50628254179003</v>
      </c>
      <c r="Q29" s="62">
        <v>8</v>
      </c>
      <c r="R29" s="63">
        <v>1</v>
      </c>
      <c r="S29" s="94">
        <f>MAX(($P$2-P29)/$P$2,0)</f>
        <v>7.9711374308941291E-2</v>
      </c>
      <c r="T29" s="61"/>
      <c r="U29" s="100"/>
      <c r="V29" s="100"/>
      <c r="X29" s="90" t="s">
        <v>17</v>
      </c>
      <c r="Y29" s="91">
        <f>$N$2-AB29</f>
        <v>24</v>
      </c>
      <c r="Z29" s="60">
        <v>4</v>
      </c>
      <c r="AA29" s="61">
        <v>732.11283586827699</v>
      </c>
      <c r="AB29" s="62">
        <v>7</v>
      </c>
      <c r="AC29" s="63">
        <v>1</v>
      </c>
      <c r="AD29" s="94">
        <f>MAX(($P$2-AA29)/$P$2,0)</f>
        <v>6.6182607310871194E-2</v>
      </c>
      <c r="AE29" s="61"/>
      <c r="AF29" s="101"/>
      <c r="AG29" s="100"/>
      <c r="AI29" s="90" t="s">
        <v>17</v>
      </c>
      <c r="AJ29" s="91">
        <f>$N$2-AM29</f>
        <v>31</v>
      </c>
      <c r="AK29" s="60"/>
      <c r="AL29" s="61"/>
      <c r="AM29" s="62"/>
      <c r="AN29" s="63"/>
      <c r="AO29" s="94">
        <f>MAX(($P$2-AL29)/$P$2,0)</f>
        <v>1</v>
      </c>
      <c r="AP29" s="61"/>
    </row>
    <row r="30" spans="1:42" x14ac:dyDescent="0.3">
      <c r="P30" s="108">
        <v>657.50432944659201</v>
      </c>
      <c r="Q30" s="67">
        <f>64.0019530951985</f>
        <v>64.001953095198502</v>
      </c>
      <c r="R30" s="108">
        <f>P28-Q30</f>
        <v>657.50432944659156</v>
      </c>
    </row>
    <row r="32" spans="1:42" ht="15" thickBot="1" x14ac:dyDescent="0.35">
      <c r="B32" s="12"/>
      <c r="C32" s="278" t="s">
        <v>26</v>
      </c>
      <c r="D32" s="278"/>
      <c r="E32" s="278"/>
      <c r="F32" s="278"/>
      <c r="G32" s="278"/>
      <c r="H32" s="278"/>
      <c r="I32" s="278"/>
      <c r="M32" s="12"/>
      <c r="N32" s="278" t="s">
        <v>27</v>
      </c>
      <c r="O32" s="278"/>
      <c r="P32" s="278"/>
      <c r="Q32" s="278"/>
      <c r="R32" s="278"/>
      <c r="S32" s="278"/>
      <c r="T32" s="278"/>
      <c r="U32" s="14"/>
      <c r="V32" s="14"/>
      <c r="X32" s="12"/>
      <c r="Y32" s="278" t="s">
        <v>28</v>
      </c>
      <c r="Z32" s="278"/>
      <c r="AA32" s="278"/>
      <c r="AB32" s="278"/>
      <c r="AC32" s="278"/>
      <c r="AD32" s="278"/>
      <c r="AE32" s="278"/>
      <c r="AF32" s="15"/>
      <c r="AG32" s="15"/>
      <c r="AI32" s="12"/>
      <c r="AJ32" s="278" t="s">
        <v>29</v>
      </c>
      <c r="AK32" s="278"/>
      <c r="AL32" s="278"/>
      <c r="AM32" s="278"/>
      <c r="AN32" s="278"/>
      <c r="AO32" s="278"/>
      <c r="AP32" s="278"/>
    </row>
    <row r="33" spans="1:42" ht="15" thickBot="1" x14ac:dyDescent="0.35">
      <c r="B33" s="74" t="s">
        <v>5</v>
      </c>
      <c r="C33" s="276" t="s">
        <v>6</v>
      </c>
      <c r="D33" s="279"/>
      <c r="E33" s="277"/>
      <c r="F33" s="276" t="s">
        <v>7</v>
      </c>
      <c r="G33" s="277"/>
      <c r="H33" s="276" t="s">
        <v>8</v>
      </c>
      <c r="I33" s="277"/>
      <c r="M33" s="74" t="s">
        <v>5</v>
      </c>
      <c r="N33" s="276" t="s">
        <v>6</v>
      </c>
      <c r="O33" s="279"/>
      <c r="P33" s="277"/>
      <c r="Q33" s="276" t="s">
        <v>7</v>
      </c>
      <c r="R33" s="277"/>
      <c r="S33" s="276" t="s">
        <v>8</v>
      </c>
      <c r="T33" s="277"/>
      <c r="U33" s="14"/>
      <c r="V33" s="14"/>
      <c r="X33" s="74" t="s">
        <v>5</v>
      </c>
      <c r="Y33" s="276" t="s">
        <v>6</v>
      </c>
      <c r="Z33" s="279"/>
      <c r="AA33" s="277"/>
      <c r="AB33" s="276" t="s">
        <v>7</v>
      </c>
      <c r="AC33" s="277"/>
      <c r="AD33" s="276" t="s">
        <v>8</v>
      </c>
      <c r="AE33" s="277"/>
      <c r="AF33" s="15"/>
      <c r="AG33" s="15"/>
      <c r="AI33" s="74" t="s">
        <v>5</v>
      </c>
      <c r="AJ33" s="276" t="s">
        <v>6</v>
      </c>
      <c r="AK33" s="279"/>
      <c r="AL33" s="277"/>
      <c r="AM33" s="276" t="s">
        <v>7</v>
      </c>
      <c r="AN33" s="277"/>
      <c r="AO33" s="276" t="s">
        <v>8</v>
      </c>
      <c r="AP33" s="277"/>
    </row>
    <row r="34" spans="1:42" ht="29.4" thickBot="1" x14ac:dyDescent="0.35">
      <c r="B34" s="17" t="s">
        <v>9</v>
      </c>
      <c r="C34" s="8" t="s">
        <v>10</v>
      </c>
      <c r="D34" s="9" t="s">
        <v>11</v>
      </c>
      <c r="E34" s="10" t="s">
        <v>12</v>
      </c>
      <c r="F34" s="8" t="s">
        <v>10</v>
      </c>
      <c r="G34" s="10" t="s">
        <v>11</v>
      </c>
      <c r="H34" s="8" t="s">
        <v>8</v>
      </c>
      <c r="I34" s="18" t="s">
        <v>13</v>
      </c>
      <c r="M34" s="17" t="s">
        <v>9</v>
      </c>
      <c r="N34" s="8" t="s">
        <v>10</v>
      </c>
      <c r="O34" s="9" t="s">
        <v>11</v>
      </c>
      <c r="P34" s="10" t="s">
        <v>12</v>
      </c>
      <c r="Q34" s="8" t="s">
        <v>10</v>
      </c>
      <c r="R34" s="10" t="s">
        <v>11</v>
      </c>
      <c r="S34" s="8" t="s">
        <v>8</v>
      </c>
      <c r="T34" s="18" t="s">
        <v>13</v>
      </c>
      <c r="U34" s="19"/>
      <c r="V34" s="19"/>
      <c r="X34" s="17" t="s">
        <v>9</v>
      </c>
      <c r="Y34" s="8" t="s">
        <v>10</v>
      </c>
      <c r="Z34" s="9" t="s">
        <v>11</v>
      </c>
      <c r="AA34" s="10" t="s">
        <v>12</v>
      </c>
      <c r="AB34" s="8" t="s">
        <v>10</v>
      </c>
      <c r="AC34" s="10" t="s">
        <v>11</v>
      </c>
      <c r="AD34" s="8" t="s">
        <v>8</v>
      </c>
      <c r="AE34" s="18" t="s">
        <v>13</v>
      </c>
      <c r="AF34" s="20"/>
      <c r="AG34" s="20"/>
      <c r="AI34" s="17" t="s">
        <v>9</v>
      </c>
      <c r="AJ34" s="8" t="s">
        <v>10</v>
      </c>
      <c r="AK34" s="9" t="s">
        <v>11</v>
      </c>
      <c r="AL34" s="10" t="s">
        <v>12</v>
      </c>
      <c r="AM34" s="8" t="s">
        <v>10</v>
      </c>
      <c r="AN34" s="10" t="s">
        <v>11</v>
      </c>
      <c r="AO34" s="8" t="s">
        <v>8</v>
      </c>
      <c r="AP34" s="18" t="s">
        <v>13</v>
      </c>
    </row>
    <row r="35" spans="1:42" x14ac:dyDescent="0.3">
      <c r="B35" s="75" t="s">
        <v>15</v>
      </c>
      <c r="C35" s="76">
        <f>AVERAGE(C40,C44,C48,C52,C56)</f>
        <v>16</v>
      </c>
      <c r="D35" s="77">
        <f t="shared" ref="D35:I37" si="4">AVERAGE(D40,D44,D48,D52,D56)</f>
        <v>3.2</v>
      </c>
      <c r="E35" s="78">
        <f t="shared" si="4"/>
        <v>678.44239768152602</v>
      </c>
      <c r="F35" s="76">
        <f>AVERAGE(F40,F44,F48,F52,F56)</f>
        <v>15</v>
      </c>
      <c r="G35" s="78">
        <f>AVERAGE(G40,G44,G48,G52,G56)</f>
        <v>1.8</v>
      </c>
      <c r="H35" s="76">
        <f>AVERAGE(H40,H44,H48,H52,H56)</f>
        <v>0.13463979887560457</v>
      </c>
      <c r="I35" s="78">
        <f>AVERAGE(I40,I44,I48,I52,I56)</f>
        <v>2.4290783520000003</v>
      </c>
      <c r="K35" s="81">
        <f>AVERAGE(K44,K48,K52,K56)</f>
        <v>4.3216380973557456E-2</v>
      </c>
      <c r="M35" s="75" t="s">
        <v>15</v>
      </c>
      <c r="N35" s="76">
        <f>AVERAGE(N40,N44,N48,N52,N56)</f>
        <v>21.2</v>
      </c>
      <c r="O35" s="77">
        <f t="shared" ref="O35:T37" si="5">AVERAGE(O40,O44,O48,O52,O56)</f>
        <v>4</v>
      </c>
      <c r="P35" s="78">
        <f t="shared" si="5"/>
        <v>746.03715432973695</v>
      </c>
      <c r="Q35" s="76">
        <f>AVERAGE(Q40,Q44,Q48,Q52,Q56)</f>
        <v>9.8000000000000007</v>
      </c>
      <c r="R35" s="78">
        <f>AVERAGE(R40,R44,R48,R52,R56)</f>
        <v>1</v>
      </c>
      <c r="S35" s="79">
        <f>AVERAGE(S40,S44,S48,S52,S56)</f>
        <v>5.0969430184333961E-2</v>
      </c>
      <c r="T35" s="80">
        <f>AVERAGE(T40,T44,T48,T52,T56)</f>
        <v>2.2965311472000001</v>
      </c>
      <c r="U35" s="82"/>
      <c r="V35" s="81">
        <f>AVERAGE(V40,V44,V48,V52,V56)</f>
        <v>2.2594208318994894E-2</v>
      </c>
      <c r="X35" s="75" t="s">
        <v>15</v>
      </c>
      <c r="Y35" s="76">
        <f>AVERAGE(Y40,Y44,Y48,Y52,Y56)</f>
        <v>20.399999999999999</v>
      </c>
      <c r="Z35" s="77">
        <f t="shared" ref="Z35:AE37" si="6">AVERAGE(Z40,Z44,Z48,Z52,Z56)</f>
        <v>4</v>
      </c>
      <c r="AA35" s="78">
        <f t="shared" si="6"/>
        <v>726.51831491439043</v>
      </c>
      <c r="AB35" s="76">
        <f>AVERAGE(AB40,AB44,AB48,AB52,AB56)</f>
        <v>10.6</v>
      </c>
      <c r="AC35" s="78">
        <f>AVERAGE(AC40,AC44,AC48,AC52,AC56)</f>
        <v>1</v>
      </c>
      <c r="AD35" s="79">
        <f>AVERAGE(AD40,AD44,AD48,AD52,AD56)</f>
        <v>7.3318475874502048E-2</v>
      </c>
      <c r="AE35" s="80">
        <f>AVERAGE(AE40,AE44,AE48,AE52,AE56)</f>
        <v>1.1799854264</v>
      </c>
      <c r="AF35" s="83"/>
      <c r="AG35" s="81">
        <f>AVERAGE(AG40,AG48,AG52,AG56)</f>
        <v>3.7300643562369673E-2</v>
      </c>
      <c r="AI35" s="75" t="s">
        <v>15</v>
      </c>
      <c r="AJ35" s="76">
        <f>AVERAGE(AJ40,AJ44,AJ48,AJ52,AJ56)</f>
        <v>31</v>
      </c>
      <c r="AK35" s="77" t="e">
        <f t="shared" ref="AK35:AP37" si="7">AVERAGE(AK40,AK44,AK48,AK52,AK56)</f>
        <v>#DIV/0!</v>
      </c>
      <c r="AL35" s="78" t="e">
        <f t="shared" si="7"/>
        <v>#DIV/0!</v>
      </c>
      <c r="AM35" s="76" t="e">
        <f>AVERAGE(AM40,AM44,AM48,AM52,AM56)</f>
        <v>#DIV/0!</v>
      </c>
      <c r="AN35" s="78" t="e">
        <f>AVERAGE(AN40,AN44,AN48,AN52,AN56)</f>
        <v>#DIV/0!</v>
      </c>
      <c r="AO35" s="76">
        <f>AVERAGE(AO40,AO44,AO48,AO52,AO56)</f>
        <v>1</v>
      </c>
      <c r="AP35" s="78" t="e">
        <f>AVERAGE(AP40,AP44,AP48,AP52,AP56)</f>
        <v>#DIV/0!</v>
      </c>
    </row>
    <row r="36" spans="1:42" x14ac:dyDescent="0.3">
      <c r="B36" s="84" t="s">
        <v>16</v>
      </c>
      <c r="C36" s="85">
        <f>AVERAGE(C41,C45,C49,C53,C57)</f>
        <v>18.600000000000001</v>
      </c>
      <c r="D36" s="86">
        <f t="shared" si="4"/>
        <v>3.8</v>
      </c>
      <c r="E36" s="87">
        <f t="shared" si="4"/>
        <v>651.70064115880143</v>
      </c>
      <c r="F36" s="85">
        <f t="shared" si="4"/>
        <v>12.4</v>
      </c>
      <c r="G36" s="87">
        <f t="shared" si="4"/>
        <v>1.2</v>
      </c>
      <c r="H36" s="85">
        <f t="shared" si="4"/>
        <v>0.16874918219540638</v>
      </c>
      <c r="I36" s="87">
        <f t="shared" si="4"/>
        <v>48.104737737599997</v>
      </c>
      <c r="K36" s="81">
        <f>AVERAGE(K45,K49,K53,K57)</f>
        <v>3.0532807235952056E-4</v>
      </c>
      <c r="M36" s="84" t="s">
        <v>16</v>
      </c>
      <c r="N36" s="85">
        <f>AVERAGE(N41,N45,N49,N53,N57)</f>
        <v>21.6</v>
      </c>
      <c r="O36" s="86">
        <f t="shared" si="5"/>
        <v>4</v>
      </c>
      <c r="P36" s="87">
        <f t="shared" si="5"/>
        <v>730.07042393323866</v>
      </c>
      <c r="Q36" s="85">
        <f t="shared" si="5"/>
        <v>9.4</v>
      </c>
      <c r="R36" s="87">
        <f t="shared" si="5"/>
        <v>1</v>
      </c>
      <c r="S36" s="88">
        <f t="shared" si="5"/>
        <v>6.8787724574950804E-2</v>
      </c>
      <c r="T36" s="89">
        <f t="shared" si="5"/>
        <v>47.353721361400005</v>
      </c>
      <c r="U36" s="82"/>
      <c r="V36" s="81">
        <f>AVERAGE(V41,V45,V49,V53,V57)</f>
        <v>4.4716733517123863E-4</v>
      </c>
      <c r="X36" s="84" t="s">
        <v>16</v>
      </c>
      <c r="Y36" s="85">
        <f>AVERAGE(Y41,Y45,Y49,Y53,Y57)</f>
        <v>22.4</v>
      </c>
      <c r="Z36" s="86">
        <f t="shared" si="6"/>
        <v>4</v>
      </c>
      <c r="AA36" s="87">
        <f t="shared" si="6"/>
        <v>695.14814120646281</v>
      </c>
      <c r="AB36" s="85">
        <f t="shared" si="6"/>
        <v>8.6</v>
      </c>
      <c r="AC36" s="87">
        <f t="shared" si="6"/>
        <v>1</v>
      </c>
      <c r="AD36" s="88">
        <f t="shared" si="6"/>
        <v>0.11333145254277703</v>
      </c>
      <c r="AE36" s="89">
        <f t="shared" si="6"/>
        <v>52.6368758116</v>
      </c>
      <c r="AF36" s="83"/>
      <c r="AG36" s="81">
        <f>AVERAGE(AG41,AG49,AG53,AG57)</f>
        <v>4.8313515659208298E-4</v>
      </c>
      <c r="AI36" s="84" t="s">
        <v>16</v>
      </c>
      <c r="AJ36" s="85">
        <f>AVERAGE(AJ41,AJ45,AJ49,AJ53,AJ57)</f>
        <v>31</v>
      </c>
      <c r="AK36" s="86" t="e">
        <f t="shared" si="7"/>
        <v>#DIV/0!</v>
      </c>
      <c r="AL36" s="87" t="e">
        <f t="shared" si="7"/>
        <v>#DIV/0!</v>
      </c>
      <c r="AM36" s="85" t="e">
        <f t="shared" si="7"/>
        <v>#DIV/0!</v>
      </c>
      <c r="AN36" s="87" t="e">
        <f t="shared" si="7"/>
        <v>#DIV/0!</v>
      </c>
      <c r="AO36" s="85">
        <f t="shared" si="7"/>
        <v>1</v>
      </c>
      <c r="AP36" s="87" t="e">
        <f t="shared" si="7"/>
        <v>#DIV/0!</v>
      </c>
    </row>
    <row r="37" spans="1:42" ht="15" thickBot="1" x14ac:dyDescent="0.35">
      <c r="B37" s="90" t="s">
        <v>17</v>
      </c>
      <c r="C37" s="91">
        <f>AVERAGE(C42,C46,C50,C54,C58)</f>
        <v>22</v>
      </c>
      <c r="D37" s="92">
        <f t="shared" si="4"/>
        <v>4</v>
      </c>
      <c r="E37" s="93">
        <f t="shared" si="4"/>
        <v>667.47996515752766</v>
      </c>
      <c r="F37" s="91">
        <f t="shared" si="4"/>
        <v>11.25</v>
      </c>
      <c r="G37" s="93">
        <f t="shared" si="4"/>
        <v>1</v>
      </c>
      <c r="H37" s="91">
        <f t="shared" si="4"/>
        <v>0.31889799473721658</v>
      </c>
      <c r="I37" s="95">
        <f t="shared" si="4"/>
        <v>218860.74704973772</v>
      </c>
      <c r="K37" s="82"/>
      <c r="M37" s="90" t="s">
        <v>17</v>
      </c>
      <c r="N37" s="91">
        <f>AVERAGE(N42,N46,N50,N54,N58)</f>
        <v>21.6</v>
      </c>
      <c r="O37" s="92">
        <f t="shared" si="5"/>
        <v>4</v>
      </c>
      <c r="P37" s="93">
        <f t="shared" si="5"/>
        <v>729.7312729702802</v>
      </c>
      <c r="Q37" s="91">
        <f t="shared" si="5"/>
        <v>9.4</v>
      </c>
      <c r="R37" s="93">
        <f t="shared" si="5"/>
        <v>1</v>
      </c>
      <c r="S37" s="94">
        <f t="shared" si="5"/>
        <v>6.9220315088928341E-2</v>
      </c>
      <c r="T37" s="95" t="e">
        <f t="shared" si="5"/>
        <v>#DIV/0!</v>
      </c>
      <c r="U37" s="82"/>
      <c r="V37" s="82"/>
      <c r="X37" s="90" t="s">
        <v>17</v>
      </c>
      <c r="Y37" s="91">
        <f>AVERAGE(Y42,Y46,Y50,Y54,Y58)</f>
        <v>24.4</v>
      </c>
      <c r="Z37" s="92">
        <f t="shared" si="6"/>
        <v>4</v>
      </c>
      <c r="AA37" s="93">
        <f t="shared" si="6"/>
        <v>705.25423878150605</v>
      </c>
      <c r="AB37" s="91">
        <f t="shared" si="6"/>
        <v>8.25</v>
      </c>
      <c r="AC37" s="93">
        <f t="shared" si="6"/>
        <v>1</v>
      </c>
      <c r="AD37" s="94">
        <f t="shared" si="6"/>
        <v>0.28035281756989183</v>
      </c>
      <c r="AE37" s="95">
        <f t="shared" si="6"/>
        <v>33314.37323728</v>
      </c>
      <c r="AF37" s="83"/>
      <c r="AG37" s="82"/>
      <c r="AI37" s="90" t="s">
        <v>17</v>
      </c>
      <c r="AJ37" s="91">
        <f>AVERAGE(AJ42,AJ46,AJ50,AJ54,AJ58)</f>
        <v>31</v>
      </c>
      <c r="AK37" s="92" t="e">
        <f t="shared" si="7"/>
        <v>#DIV/0!</v>
      </c>
      <c r="AL37" s="93" t="e">
        <f t="shared" si="7"/>
        <v>#DIV/0!</v>
      </c>
      <c r="AM37" s="91" t="e">
        <f t="shared" si="7"/>
        <v>#DIV/0!</v>
      </c>
      <c r="AN37" s="93" t="e">
        <f t="shared" si="7"/>
        <v>#DIV/0!</v>
      </c>
      <c r="AO37" s="91">
        <f t="shared" si="7"/>
        <v>1</v>
      </c>
      <c r="AP37" s="95" t="e">
        <f t="shared" si="7"/>
        <v>#DIV/0!</v>
      </c>
    </row>
    <row r="38" spans="1:42" x14ac:dyDescent="0.3">
      <c r="K38" s="69"/>
      <c r="AG38" s="69"/>
    </row>
    <row r="39" spans="1:42" ht="15" thickBot="1" x14ac:dyDescent="0.35">
      <c r="K39" s="69"/>
      <c r="AG39" s="69"/>
    </row>
    <row r="40" spans="1:42" x14ac:dyDescent="0.3">
      <c r="B40" s="75" t="s">
        <v>15</v>
      </c>
      <c r="C40" s="76">
        <f>$N$2-F40</f>
        <v>14</v>
      </c>
      <c r="D40" s="96">
        <v>3</v>
      </c>
      <c r="E40" s="97">
        <v>606.62772830015399</v>
      </c>
      <c r="F40" s="98">
        <v>17</v>
      </c>
      <c r="G40" s="99">
        <v>2</v>
      </c>
      <c r="H40" s="79">
        <f>MAX(($P$2-E40)/$P$2, 0)</f>
        <v>0.22624014247429339</v>
      </c>
      <c r="I40" s="97">
        <v>1.2366039129999999</v>
      </c>
      <c r="K40" s="81" t="e">
        <f>(E40-E42)/E42</f>
        <v>#DIV/0!</v>
      </c>
      <c r="M40" s="75" t="s">
        <v>15</v>
      </c>
      <c r="N40" s="76">
        <f>$N$2-Q40</f>
        <v>20</v>
      </c>
      <c r="O40" s="96">
        <v>4</v>
      </c>
      <c r="P40" s="97">
        <v>722.94991912</v>
      </c>
      <c r="Q40" s="98">
        <v>11</v>
      </c>
      <c r="R40" s="99">
        <v>1</v>
      </c>
      <c r="S40" s="79">
        <f>MAX(($P$2-P40)/$P$2, 0)</f>
        <v>7.7870001122448976E-2</v>
      </c>
      <c r="T40" s="97">
        <v>2.1176058979999999</v>
      </c>
      <c r="U40" s="101"/>
      <c r="V40" s="81">
        <f>(P40-P42)/P42</f>
        <v>8.3063001885712773E-4</v>
      </c>
      <c r="X40" s="75" t="s">
        <v>15</v>
      </c>
      <c r="Y40" s="76">
        <f>$N$2-AB40</f>
        <v>20</v>
      </c>
      <c r="Z40" s="96">
        <v>4</v>
      </c>
      <c r="AA40" s="97">
        <v>712.13166962917603</v>
      </c>
      <c r="AB40" s="98">
        <v>11</v>
      </c>
      <c r="AC40" s="99">
        <v>1</v>
      </c>
      <c r="AD40" s="79">
        <f>MAX(($P$2-AA40)/$P$2, 0)</f>
        <v>9.1668788738295884E-2</v>
      </c>
      <c r="AE40" s="97">
        <v>1.2204948870000001</v>
      </c>
      <c r="AF40" s="101"/>
      <c r="AG40" s="81">
        <f>(AA40-AA42)/AA42</f>
        <v>8.969928732639533E-2</v>
      </c>
      <c r="AI40" s="75" t="s">
        <v>15</v>
      </c>
      <c r="AJ40" s="76">
        <f>$N$2-AM40</f>
        <v>31</v>
      </c>
      <c r="AK40" s="96"/>
      <c r="AL40" s="97"/>
      <c r="AM40" s="98"/>
      <c r="AN40" s="99"/>
      <c r="AO40" s="79">
        <f>MAX(($P$2-AL40)/$P$2, 0)</f>
        <v>1</v>
      </c>
      <c r="AP40" s="97"/>
    </row>
    <row r="41" spans="1:42" x14ac:dyDescent="0.3">
      <c r="B41" s="84" t="s">
        <v>16</v>
      </c>
      <c r="C41" s="85">
        <f>$N$2-F41</f>
        <v>14</v>
      </c>
      <c r="D41" s="100">
        <v>3</v>
      </c>
      <c r="E41" s="102">
        <v>587.79155812808494</v>
      </c>
      <c r="F41" s="103">
        <v>17</v>
      </c>
      <c r="G41" s="104">
        <v>2</v>
      </c>
      <c r="H41" s="88">
        <f>MAX(($P$2-E41)/$P$2, 0)</f>
        <v>0.25026586973458553</v>
      </c>
      <c r="I41" s="102">
        <v>28.455750669</v>
      </c>
      <c r="J41" s="68">
        <v>101</v>
      </c>
      <c r="K41" s="81" t="e">
        <f>(E41-E42)/E42</f>
        <v>#DIV/0!</v>
      </c>
      <c r="M41" s="84" t="s">
        <v>16</v>
      </c>
      <c r="N41" s="85">
        <f>$N$2-Q41</f>
        <v>20</v>
      </c>
      <c r="O41" s="100">
        <v>4</v>
      </c>
      <c r="P41" s="102">
        <v>722.34991359764695</v>
      </c>
      <c r="Q41" s="103">
        <v>11</v>
      </c>
      <c r="R41" s="104">
        <v>1</v>
      </c>
      <c r="S41" s="88">
        <f>MAX(($P$2-P41)/$P$2, 0)</f>
        <v>7.8635314288715633E-2</v>
      </c>
      <c r="T41" s="102">
        <v>47.528714672</v>
      </c>
      <c r="U41" s="101">
        <v>146</v>
      </c>
      <c r="V41" s="81">
        <f>(P41-P42)/P42</f>
        <v>0</v>
      </c>
      <c r="X41" s="84" t="s">
        <v>16</v>
      </c>
      <c r="Y41" s="85">
        <f>$N$2-AB41</f>
        <v>24</v>
      </c>
      <c r="Z41" s="100">
        <v>4</v>
      </c>
      <c r="AA41" s="102">
        <v>653.51215828098202</v>
      </c>
      <c r="AB41" s="103">
        <v>7</v>
      </c>
      <c r="AC41" s="104">
        <v>1</v>
      </c>
      <c r="AD41" s="88">
        <f>MAX(($P$2-AA41)/$P$2, 0)</f>
        <v>0.16643857362119641</v>
      </c>
      <c r="AE41" s="102">
        <v>76.999721430999998</v>
      </c>
      <c r="AF41" s="101">
        <v>258</v>
      </c>
      <c r="AG41" s="81">
        <f>(AA41-AA42)/AA42</f>
        <v>8.9181182703274735E-8</v>
      </c>
      <c r="AI41" s="84" t="s">
        <v>16</v>
      </c>
      <c r="AJ41" s="85">
        <f>$N$2-AM41</f>
        <v>31</v>
      </c>
      <c r="AK41" s="100"/>
      <c r="AL41" s="102"/>
      <c r="AM41" s="103"/>
      <c r="AN41" s="104"/>
      <c r="AO41" s="88">
        <f>MAX(($P$2-AL41)/$P$2, 0)</f>
        <v>1</v>
      </c>
      <c r="AP41" s="102"/>
    </row>
    <row r="42" spans="1:42" ht="15" thickBot="1" x14ac:dyDescent="0.35">
      <c r="A42" s="105" t="s">
        <v>30</v>
      </c>
      <c r="B42" s="90" t="s">
        <v>17</v>
      </c>
      <c r="C42" s="91">
        <f>$N$2-F42</f>
        <v>31</v>
      </c>
      <c r="D42" s="60"/>
      <c r="E42" s="61"/>
      <c r="F42" s="62"/>
      <c r="G42" s="63"/>
      <c r="H42" s="94">
        <f>MAX(($P$2-E42)/$P$2,0)</f>
        <v>1</v>
      </c>
      <c r="I42" s="61"/>
      <c r="K42" s="81"/>
      <c r="M42" s="90" t="s">
        <v>17</v>
      </c>
      <c r="N42" s="91">
        <f>$N$2-Q42</f>
        <v>20</v>
      </c>
      <c r="O42" s="60">
        <v>4</v>
      </c>
      <c r="P42" s="61">
        <v>722.34991359764695</v>
      </c>
      <c r="Q42" s="62">
        <v>11</v>
      </c>
      <c r="R42" s="63">
        <v>1</v>
      </c>
      <c r="S42" s="94">
        <f>MAX(($P$2-P42)/$P$2,0)</f>
        <v>7.8635314288715633E-2</v>
      </c>
      <c r="T42" s="61"/>
      <c r="U42" s="101"/>
      <c r="V42" s="81"/>
      <c r="X42" s="90" t="s">
        <v>17</v>
      </c>
      <c r="Y42" s="91">
        <f>$N$2-AB42</f>
        <v>24</v>
      </c>
      <c r="Z42" s="60">
        <v>4</v>
      </c>
      <c r="AA42" s="61">
        <v>653.51210000000003</v>
      </c>
      <c r="AB42" s="62">
        <v>7</v>
      </c>
      <c r="AC42" s="63">
        <v>1</v>
      </c>
      <c r="AD42" s="94">
        <f>MAX(($P$2-AA42)/$P$2,0)</f>
        <v>0.16643864795918364</v>
      </c>
      <c r="AE42" s="61"/>
      <c r="AF42" s="101"/>
      <c r="AG42" s="81"/>
      <c r="AI42" s="90" t="s">
        <v>17</v>
      </c>
      <c r="AJ42" s="91">
        <f>$N$2-AM42</f>
        <v>31</v>
      </c>
      <c r="AK42" s="60"/>
      <c r="AL42" s="61"/>
      <c r="AM42" s="62"/>
      <c r="AN42" s="63"/>
      <c r="AO42" s="94">
        <f>MAX(($P$2-AL42)/$P$2,0)</f>
        <v>1</v>
      </c>
      <c r="AP42" s="61"/>
    </row>
    <row r="43" spans="1:42" ht="15" thickBot="1" x14ac:dyDescent="0.35">
      <c r="C43" s="68"/>
      <c r="D43" s="68"/>
      <c r="E43" s="68"/>
      <c r="F43" s="68"/>
      <c r="G43" s="68"/>
      <c r="H43" s="68"/>
      <c r="I43" s="68"/>
      <c r="K43" s="106"/>
      <c r="N43" s="68"/>
      <c r="O43" s="68"/>
      <c r="P43" s="68"/>
      <c r="Q43" s="68"/>
      <c r="R43" s="68"/>
      <c r="S43" s="68"/>
      <c r="T43" s="68"/>
      <c r="U43" s="107"/>
      <c r="V43" s="106"/>
      <c r="Y43" s="68"/>
      <c r="Z43" s="68"/>
      <c r="AA43" s="68"/>
      <c r="AB43" s="68"/>
      <c r="AC43" s="68"/>
      <c r="AD43" s="68"/>
      <c r="AE43" s="68"/>
      <c r="AF43" s="107"/>
      <c r="AG43" s="106"/>
      <c r="AJ43" s="68"/>
      <c r="AK43" s="68"/>
      <c r="AL43" s="68"/>
      <c r="AM43" s="68"/>
      <c r="AN43" s="68"/>
      <c r="AO43" s="68"/>
      <c r="AP43" s="68"/>
    </row>
    <row r="44" spans="1:42" x14ac:dyDescent="0.3">
      <c r="B44" s="75" t="s">
        <v>15</v>
      </c>
      <c r="C44" s="76">
        <f>$N$2-F44</f>
        <v>18</v>
      </c>
      <c r="D44" s="96">
        <v>4</v>
      </c>
      <c r="E44" s="97">
        <v>717.11129081499701</v>
      </c>
      <c r="F44" s="98">
        <v>13</v>
      </c>
      <c r="G44" s="99">
        <v>1</v>
      </c>
      <c r="H44" s="79">
        <f>MAX(($P$2-E44)/$P$2, 0)</f>
        <v>8.5317231103320151E-2</v>
      </c>
      <c r="I44" s="97">
        <v>2.3795732159999998</v>
      </c>
      <c r="K44" s="81">
        <f>(E44-E46)/E46</f>
        <v>3.6411533506258878E-2</v>
      </c>
      <c r="M44" s="75" t="s">
        <v>15</v>
      </c>
      <c r="N44" s="76">
        <f>$N$2-Q44</f>
        <v>24</v>
      </c>
      <c r="O44" s="96">
        <v>4</v>
      </c>
      <c r="P44" s="97">
        <v>793.98593797127398</v>
      </c>
      <c r="Q44" s="98">
        <v>7</v>
      </c>
      <c r="R44" s="99">
        <v>1</v>
      </c>
      <c r="S44" s="79">
        <f>MAX(($P$2-P44)/$P$2, 0)</f>
        <v>0</v>
      </c>
      <c r="T44" s="97">
        <v>1.058631592</v>
      </c>
      <c r="U44" s="101"/>
      <c r="V44" s="81">
        <f>(P44-P46)/P46</f>
        <v>4.6862945483160959E-2</v>
      </c>
      <c r="X44" s="75" t="s">
        <v>15</v>
      </c>
      <c r="Y44" s="76">
        <f>$N$2-AB44</f>
        <v>17</v>
      </c>
      <c r="Z44" s="96">
        <v>4</v>
      </c>
      <c r="AA44" s="97">
        <v>712.46325375087497</v>
      </c>
      <c r="AB44" s="98">
        <v>14</v>
      </c>
      <c r="AC44" s="99">
        <v>1</v>
      </c>
      <c r="AD44" s="79">
        <f>MAX(($P$2-AA44)/$P$2, 0)</f>
        <v>9.1245849807557441E-2</v>
      </c>
      <c r="AE44" s="97">
        <v>1.186927603</v>
      </c>
      <c r="AF44" s="101"/>
      <c r="AG44" s="81" t="e">
        <f>(AA44-AA46)/AA46</f>
        <v>#DIV/0!</v>
      </c>
      <c r="AI44" s="75" t="s">
        <v>15</v>
      </c>
      <c r="AJ44" s="76">
        <f>$N$2-AM44</f>
        <v>31</v>
      </c>
      <c r="AK44" s="96"/>
      <c r="AL44" s="97"/>
      <c r="AM44" s="98"/>
      <c r="AN44" s="99"/>
      <c r="AO44" s="79">
        <f>MAX(($P$2-AL44)/$P$2, 0)</f>
        <v>1</v>
      </c>
      <c r="AP44" s="97"/>
    </row>
    <row r="45" spans="1:42" x14ac:dyDescent="0.3">
      <c r="B45" s="84" t="s">
        <v>16</v>
      </c>
      <c r="C45" s="85">
        <f>$N$2-F45</f>
        <v>21</v>
      </c>
      <c r="D45" s="100">
        <v>4</v>
      </c>
      <c r="E45" s="102">
        <v>691.917513103077</v>
      </c>
      <c r="F45" s="103">
        <v>10</v>
      </c>
      <c r="G45" s="104">
        <v>1</v>
      </c>
      <c r="H45" s="88">
        <f>MAX(($P$2-E45)/$P$2, 0)</f>
        <v>0.11745215165423852</v>
      </c>
      <c r="I45" s="102">
        <v>77.234592345999999</v>
      </c>
      <c r="J45" s="68">
        <v>277</v>
      </c>
      <c r="K45" s="81">
        <f>(E45-E46)/E46</f>
        <v>0</v>
      </c>
      <c r="M45" s="84" t="s">
        <v>16</v>
      </c>
      <c r="N45" s="85">
        <f>$N$2-Q45</f>
        <v>24</v>
      </c>
      <c r="O45" s="100">
        <v>4</v>
      </c>
      <c r="P45" s="102">
        <v>760.13881691479298</v>
      </c>
      <c r="Q45" s="103">
        <v>7</v>
      </c>
      <c r="R45" s="104">
        <v>1</v>
      </c>
      <c r="S45" s="88">
        <f>MAX(($P$2-P45)/$P$2, 0)</f>
        <v>3.0435182506641602E-2</v>
      </c>
      <c r="T45" s="102">
        <v>29.839826451</v>
      </c>
      <c r="U45" s="101">
        <v>102</v>
      </c>
      <c r="V45" s="81">
        <f>(P45-P46)/P46</f>
        <v>2.2358366758576521E-3</v>
      </c>
      <c r="X45" s="84" t="s">
        <v>16</v>
      </c>
      <c r="Y45" s="85">
        <f>$N$2-AB45</f>
        <v>21</v>
      </c>
      <c r="Z45" s="100">
        <v>4</v>
      </c>
      <c r="AA45" s="109">
        <v>653.44672209094597</v>
      </c>
      <c r="AB45" s="103">
        <v>10</v>
      </c>
      <c r="AC45" s="104">
        <v>1</v>
      </c>
      <c r="AD45" s="88">
        <f>MAX(($P$2-AA45)/$P$2, 0)</f>
        <v>0.16652203814930361</v>
      </c>
      <c r="AE45" s="102">
        <v>71.967621769999994</v>
      </c>
      <c r="AF45" s="101">
        <v>194</v>
      </c>
      <c r="AG45" s="81" t="e">
        <f>(AA45-AA46)/AA46</f>
        <v>#DIV/0!</v>
      </c>
      <c r="AI45" s="84" t="s">
        <v>16</v>
      </c>
      <c r="AJ45" s="85">
        <f>$N$2-AM45</f>
        <v>31</v>
      </c>
      <c r="AK45" s="100"/>
      <c r="AL45" s="102"/>
      <c r="AM45" s="103"/>
      <c r="AN45" s="104"/>
      <c r="AO45" s="88">
        <f>MAX(($P$2-AL45)/$P$2, 0)</f>
        <v>1</v>
      </c>
      <c r="AP45" s="102"/>
    </row>
    <row r="46" spans="1:42" ht="15" thickBot="1" x14ac:dyDescent="0.35">
      <c r="A46" s="105" t="s">
        <v>19</v>
      </c>
      <c r="B46" s="90" t="s">
        <v>17</v>
      </c>
      <c r="C46" s="91">
        <f>$N$2-F46</f>
        <v>21</v>
      </c>
      <c r="D46" s="60">
        <v>4</v>
      </c>
      <c r="E46" s="61">
        <v>691.917513103077</v>
      </c>
      <c r="F46" s="62">
        <v>10</v>
      </c>
      <c r="G46" s="63">
        <v>1</v>
      </c>
      <c r="H46" s="94">
        <f>MAX(($P$2-E46)/$P$2,0)</f>
        <v>0.11745215165423852</v>
      </c>
      <c r="I46" s="61">
        <v>186229.890049307</v>
      </c>
      <c r="K46" s="100"/>
      <c r="M46" s="90" t="s">
        <v>17</v>
      </c>
      <c r="N46" s="91">
        <f>$N$2-Q46</f>
        <v>24</v>
      </c>
      <c r="O46" s="60">
        <v>4</v>
      </c>
      <c r="P46" s="61">
        <v>758.44306210000002</v>
      </c>
      <c r="Q46" s="62">
        <v>7</v>
      </c>
      <c r="R46" s="63">
        <v>1</v>
      </c>
      <c r="S46" s="94">
        <f>MAX(($P$2-P46)/$P$2,0)</f>
        <v>3.2598135076530588E-2</v>
      </c>
      <c r="T46" s="61"/>
      <c r="U46" s="101"/>
      <c r="V46" s="100"/>
      <c r="X46" s="90" t="s">
        <v>17</v>
      </c>
      <c r="Y46" s="91">
        <f>$N$2-AB46</f>
        <v>31</v>
      </c>
      <c r="Z46" s="60"/>
      <c r="AA46" s="61"/>
      <c r="AB46" s="62"/>
      <c r="AC46" s="63"/>
      <c r="AD46" s="94">
        <f>MAX(($P$2-AA46)/$P$2,0)</f>
        <v>1</v>
      </c>
      <c r="AE46" s="61"/>
      <c r="AF46" s="101"/>
      <c r="AG46" s="100"/>
      <c r="AI46" s="90" t="s">
        <v>17</v>
      </c>
      <c r="AJ46" s="91">
        <f>$N$2-AM46</f>
        <v>31</v>
      </c>
      <c r="AK46" s="60"/>
      <c r="AL46" s="61"/>
      <c r="AM46" s="62"/>
      <c r="AN46" s="63"/>
      <c r="AO46" s="94">
        <f>MAX(($P$2-AL46)/$P$2,0)</f>
        <v>1</v>
      </c>
      <c r="AP46" s="61"/>
    </row>
    <row r="47" spans="1:42" ht="15" thickBot="1" x14ac:dyDescent="0.35">
      <c r="C47" s="68"/>
      <c r="D47" s="68"/>
      <c r="E47" s="68"/>
      <c r="F47" s="68"/>
      <c r="G47" s="68"/>
      <c r="H47" s="68"/>
      <c r="I47" s="68"/>
      <c r="K47" s="106"/>
      <c r="N47" s="68"/>
      <c r="O47" s="68"/>
      <c r="P47" s="68"/>
      <c r="Q47" s="68"/>
      <c r="R47" s="68"/>
      <c r="S47" s="68"/>
      <c r="T47" s="68"/>
      <c r="U47" s="107"/>
      <c r="V47" s="106"/>
      <c r="Y47" s="68"/>
      <c r="Z47" s="68"/>
      <c r="AA47" s="68"/>
      <c r="AB47" s="68"/>
      <c r="AC47" s="68"/>
      <c r="AD47" s="68"/>
      <c r="AE47" s="68"/>
      <c r="AF47" s="107"/>
      <c r="AG47" s="106"/>
      <c r="AJ47" s="68"/>
      <c r="AK47" s="68"/>
      <c r="AL47" s="68"/>
      <c r="AM47" s="68"/>
      <c r="AN47" s="68"/>
      <c r="AO47" s="68"/>
      <c r="AP47" s="68"/>
    </row>
    <row r="48" spans="1:42" x14ac:dyDescent="0.3">
      <c r="B48" s="75" t="s">
        <v>15</v>
      </c>
      <c r="C48" s="76">
        <f>$N$2-F48</f>
        <v>16</v>
      </c>
      <c r="D48" s="96">
        <v>3</v>
      </c>
      <c r="E48" s="97">
        <v>717.51828024680503</v>
      </c>
      <c r="F48" s="98">
        <v>15</v>
      </c>
      <c r="G48" s="99">
        <v>2</v>
      </c>
      <c r="H48" s="79">
        <f>MAX(($P$2-E48)/$P$2, 0)</f>
        <v>8.4798111930095621E-2</v>
      </c>
      <c r="I48" s="97">
        <v>5.6411904899999996</v>
      </c>
      <c r="K48" s="81">
        <f>(E48-E50)/E50</f>
        <v>7.0644016126444428E-2</v>
      </c>
      <c r="M48" s="75" t="s">
        <v>15</v>
      </c>
      <c r="N48" s="76">
        <f>$N$2-Q48</f>
        <v>20</v>
      </c>
      <c r="O48" s="96">
        <v>4</v>
      </c>
      <c r="P48" s="97">
        <v>724.89812484053596</v>
      </c>
      <c r="Q48" s="98">
        <v>11</v>
      </c>
      <c r="R48" s="99">
        <v>1</v>
      </c>
      <c r="S48" s="79">
        <f>MAX(($P$2-P48)/$P$2, 0)</f>
        <v>7.5385044846255161E-2</v>
      </c>
      <c r="T48" s="97">
        <v>0.79327782000000002</v>
      </c>
      <c r="U48" s="101"/>
      <c r="V48" s="81">
        <f>(P48-P50)/P50</f>
        <v>4.6340461334257628E-2</v>
      </c>
      <c r="X48" s="75" t="s">
        <v>15</v>
      </c>
      <c r="Y48" s="76">
        <f>$N$2-AB48</f>
        <v>23</v>
      </c>
      <c r="Z48" s="96">
        <v>4</v>
      </c>
      <c r="AA48" s="97">
        <v>759.43173846660602</v>
      </c>
      <c r="AB48" s="98">
        <v>8</v>
      </c>
      <c r="AC48" s="99">
        <v>1</v>
      </c>
      <c r="AD48" s="79">
        <f>MAX(($P$2-AA48)/$P$2, 0)</f>
        <v>3.133706828239028E-2</v>
      </c>
      <c r="AE48" s="97">
        <v>1.0186014919999999</v>
      </c>
      <c r="AF48" s="101"/>
      <c r="AG48" s="81">
        <f>(AA48-AA50)/AA50</f>
        <v>4.7396187931713482E-3</v>
      </c>
      <c r="AI48" s="75" t="s">
        <v>15</v>
      </c>
      <c r="AJ48" s="76">
        <f>$N$2-AM48</f>
        <v>31</v>
      </c>
      <c r="AK48" s="96"/>
      <c r="AL48" s="97"/>
      <c r="AM48" s="98"/>
      <c r="AN48" s="99"/>
      <c r="AO48" s="79">
        <f>MAX(($P$2-AL48)/$P$2, 0)</f>
        <v>1</v>
      </c>
      <c r="AP48" s="97"/>
    </row>
    <row r="49" spans="1:42" x14ac:dyDescent="0.3">
      <c r="B49" s="84" t="s">
        <v>16</v>
      </c>
      <c r="C49" s="85">
        <f>$N$2-F49</f>
        <v>19</v>
      </c>
      <c r="D49" s="100">
        <v>4</v>
      </c>
      <c r="E49" s="102">
        <v>670.17446456457401</v>
      </c>
      <c r="F49" s="103">
        <v>12</v>
      </c>
      <c r="G49" s="104">
        <v>1</v>
      </c>
      <c r="H49" s="88">
        <f>MAX(($P$2-E49)/$P$2, 0)</f>
        <v>0.14518563193294132</v>
      </c>
      <c r="I49" s="102">
        <v>45.238920807</v>
      </c>
      <c r="J49" s="68">
        <v>160</v>
      </c>
      <c r="K49" s="81">
        <f>(E49-E50)/E50</f>
        <v>0</v>
      </c>
      <c r="M49" s="84" t="s">
        <v>16</v>
      </c>
      <c r="N49" s="85">
        <f>$N$2-Q49</f>
        <v>22</v>
      </c>
      <c r="O49" s="100">
        <v>4</v>
      </c>
      <c r="P49" s="102">
        <v>692.79374317243798</v>
      </c>
      <c r="Q49" s="103">
        <v>9</v>
      </c>
      <c r="R49" s="104">
        <v>1</v>
      </c>
      <c r="S49" s="88">
        <f>MAX(($P$2-P49)/$P$2, 0)</f>
        <v>0.11633451125964543</v>
      </c>
      <c r="T49" s="102">
        <v>65.872835495000004</v>
      </c>
      <c r="U49" s="101">
        <v>147</v>
      </c>
      <c r="V49" s="81">
        <f>(P49-P50)/P50</f>
        <v>0</v>
      </c>
      <c r="X49" s="84" t="s">
        <v>16</v>
      </c>
      <c r="Y49" s="85">
        <f>$N$2-AB49</f>
        <v>23</v>
      </c>
      <c r="Z49" s="100">
        <v>4</v>
      </c>
      <c r="AA49" s="102">
        <v>755.84930091518299</v>
      </c>
      <c r="AB49" s="103">
        <v>8</v>
      </c>
      <c r="AC49" s="104">
        <v>1</v>
      </c>
      <c r="AD49" s="88">
        <f>MAX(($P$2-AA49)/$P$2, 0)</f>
        <v>3.5906503934715568E-2</v>
      </c>
      <c r="AE49" s="102">
        <v>50.142511130000003</v>
      </c>
      <c r="AF49" s="101">
        <v>163</v>
      </c>
      <c r="AG49" s="81">
        <f>(AA49-AA50)/AA50</f>
        <v>0</v>
      </c>
      <c r="AI49" s="84" t="s">
        <v>16</v>
      </c>
      <c r="AJ49" s="85">
        <f>$N$2-AM49</f>
        <v>31</v>
      </c>
      <c r="AK49" s="100"/>
      <c r="AL49" s="102"/>
      <c r="AM49" s="103"/>
      <c r="AN49" s="104"/>
      <c r="AO49" s="88">
        <f>MAX(($P$2-AL49)/$P$2, 0)</f>
        <v>1</v>
      </c>
      <c r="AP49" s="102"/>
    </row>
    <row r="50" spans="1:42" ht="15" thickBot="1" x14ac:dyDescent="0.35">
      <c r="A50" s="105" t="s">
        <v>31</v>
      </c>
      <c r="B50" s="90" t="s">
        <v>17</v>
      </c>
      <c r="C50" s="91">
        <f>$N$2-F50</f>
        <v>19</v>
      </c>
      <c r="D50" s="60">
        <v>4</v>
      </c>
      <c r="E50" s="61">
        <v>670.17446456457401</v>
      </c>
      <c r="F50" s="62">
        <v>12</v>
      </c>
      <c r="G50" s="63">
        <v>1</v>
      </c>
      <c r="H50" s="94">
        <f>MAX(($P$2-E50)/$P$2,0)</f>
        <v>0.14518563193294132</v>
      </c>
      <c r="I50" s="61">
        <v>303750.92657735798</v>
      </c>
      <c r="K50" s="100"/>
      <c r="M50" s="90" t="s">
        <v>17</v>
      </c>
      <c r="N50" s="91">
        <f>$N$2-Q50</f>
        <v>22</v>
      </c>
      <c r="O50" s="60">
        <v>4</v>
      </c>
      <c r="P50" s="61">
        <v>692.79374317243798</v>
      </c>
      <c r="Q50" s="62">
        <v>9</v>
      </c>
      <c r="R50" s="63">
        <v>1</v>
      </c>
      <c r="S50" s="94">
        <f>MAX(($P$2-P50)/$P$2,0)</f>
        <v>0.11633451125964543</v>
      </c>
      <c r="T50" s="61"/>
      <c r="U50" s="101"/>
      <c r="V50" s="100"/>
      <c r="X50" s="90" t="s">
        <v>17</v>
      </c>
      <c r="Y50" s="91">
        <f>$N$2-AB50</f>
        <v>23</v>
      </c>
      <c r="Z50" s="60">
        <v>4</v>
      </c>
      <c r="AA50" s="61">
        <v>755.84930091518299</v>
      </c>
      <c r="AB50" s="62">
        <v>8</v>
      </c>
      <c r="AC50" s="63">
        <v>1</v>
      </c>
      <c r="AD50" s="94">
        <f>MAX(($P$2-AA50)/$P$2,0)</f>
        <v>3.5906503934715568E-2</v>
      </c>
      <c r="AE50" s="61">
        <v>62545.604321266001</v>
      </c>
      <c r="AF50" s="101"/>
      <c r="AG50" s="100"/>
      <c r="AI50" s="90" t="s">
        <v>17</v>
      </c>
      <c r="AJ50" s="91">
        <f>$N$2-AM50</f>
        <v>31</v>
      </c>
      <c r="AK50" s="60"/>
      <c r="AL50" s="61"/>
      <c r="AM50" s="62"/>
      <c r="AN50" s="63"/>
      <c r="AO50" s="94">
        <f>MAX(($P$2-AL50)/$P$2,0)</f>
        <v>1</v>
      </c>
      <c r="AP50" s="61"/>
    </row>
    <row r="51" spans="1:42" ht="15" thickBot="1" x14ac:dyDescent="0.35">
      <c r="C51" s="68"/>
      <c r="D51" s="68"/>
      <c r="E51" s="68"/>
      <c r="F51" s="68"/>
      <c r="G51" s="68"/>
      <c r="H51" s="68"/>
      <c r="I51" s="68"/>
      <c r="K51" s="106"/>
      <c r="N51" s="68"/>
      <c r="O51" s="68"/>
      <c r="P51" s="68"/>
      <c r="Q51" s="68"/>
      <c r="R51" s="68"/>
      <c r="S51" s="68"/>
      <c r="T51" s="68"/>
      <c r="U51" s="107"/>
      <c r="V51" s="106"/>
      <c r="Y51" s="68"/>
      <c r="Z51" s="68"/>
      <c r="AA51" s="68"/>
      <c r="AB51" s="68"/>
      <c r="AC51" s="68"/>
      <c r="AD51" s="68"/>
      <c r="AE51" s="68"/>
      <c r="AF51" s="107"/>
      <c r="AG51" s="106"/>
      <c r="AJ51" s="68"/>
      <c r="AK51" s="68"/>
      <c r="AL51" s="68"/>
      <c r="AM51" s="68"/>
      <c r="AN51" s="68"/>
      <c r="AO51" s="68"/>
      <c r="AP51" s="68"/>
    </row>
    <row r="52" spans="1:42" x14ac:dyDescent="0.3">
      <c r="B52" s="75" t="s">
        <v>15</v>
      </c>
      <c r="C52" s="76">
        <f>$N$2-F52</f>
        <v>17</v>
      </c>
      <c r="D52" s="96">
        <v>3</v>
      </c>
      <c r="E52" s="97">
        <v>686.67699816105005</v>
      </c>
      <c r="F52" s="98">
        <v>14</v>
      </c>
      <c r="G52" s="99">
        <v>2</v>
      </c>
      <c r="H52" s="79">
        <f>MAX(($P$2-E52)/$P$2, 0)</f>
        <v>0.12413648193743616</v>
      </c>
      <c r="I52" s="97">
        <v>1.1021658059999999</v>
      </c>
      <c r="K52" s="81">
        <f>(E52-E54)/E54</f>
        <v>4.117775526345506E-2</v>
      </c>
      <c r="M52" s="75" t="s">
        <v>15</v>
      </c>
      <c r="N52" s="76">
        <f>$N$2-Q52</f>
        <v>19</v>
      </c>
      <c r="O52" s="96">
        <v>4</v>
      </c>
      <c r="P52" s="97">
        <v>714.66781189185997</v>
      </c>
      <c r="Q52" s="98">
        <v>12</v>
      </c>
      <c r="R52" s="99">
        <v>1</v>
      </c>
      <c r="S52" s="79">
        <f>MAX(($P$2-P52)/$P$2, 0)</f>
        <v>8.8433913403239833E-2</v>
      </c>
      <c r="T52" s="97">
        <v>4.841798431</v>
      </c>
      <c r="U52" s="101"/>
      <c r="V52" s="81">
        <f>(P52-P54)/P54</f>
        <v>1.893700475869875E-2</v>
      </c>
      <c r="X52" s="75" t="s">
        <v>15</v>
      </c>
      <c r="Y52" s="76">
        <f>$N$2-AB52</f>
        <v>19</v>
      </c>
      <c r="Z52" s="96">
        <v>4</v>
      </c>
      <c r="AA52" s="97">
        <v>691.69805049211595</v>
      </c>
      <c r="AB52" s="98">
        <v>12</v>
      </c>
      <c r="AC52" s="99">
        <v>1</v>
      </c>
      <c r="AD52" s="79">
        <f>MAX(($P$2-AA52)/$P$2, 0)</f>
        <v>0.11773207845393373</v>
      </c>
      <c r="AE52" s="97">
        <v>1.4819398859999999</v>
      </c>
      <c r="AF52" s="101"/>
      <c r="AG52" s="81">
        <f>(AA52-AA54)/AA54</f>
        <v>4.6753124944560367E-2</v>
      </c>
      <c r="AI52" s="75" t="s">
        <v>15</v>
      </c>
      <c r="AJ52" s="76">
        <f>$N$2-AM52</f>
        <v>31</v>
      </c>
      <c r="AK52" s="96"/>
      <c r="AL52" s="97"/>
      <c r="AM52" s="98"/>
      <c r="AN52" s="99"/>
      <c r="AO52" s="79">
        <f>MAX(($P$2-AL52)/$P$2, 0)</f>
        <v>1</v>
      </c>
      <c r="AP52" s="97"/>
    </row>
    <row r="53" spans="1:42" x14ac:dyDescent="0.3">
      <c r="B53" s="84" t="s">
        <v>16</v>
      </c>
      <c r="C53" s="85">
        <f>$N$2-F53</f>
        <v>20</v>
      </c>
      <c r="D53" s="100">
        <v>4</v>
      </c>
      <c r="E53" s="102">
        <v>659.51946695912295</v>
      </c>
      <c r="F53" s="103">
        <v>11</v>
      </c>
      <c r="G53" s="104">
        <v>1</v>
      </c>
      <c r="H53" s="88">
        <f>MAX(($P$2-E53)/$P$2, 0)</f>
        <v>0.15877619010315949</v>
      </c>
      <c r="I53" s="102">
        <v>44.457977026000002</v>
      </c>
      <c r="J53" s="68">
        <v>113</v>
      </c>
      <c r="K53" s="81">
        <f>(E53-E54)/E54</f>
        <v>0</v>
      </c>
      <c r="M53" s="84" t="s">
        <v>16</v>
      </c>
      <c r="N53" s="85">
        <f>$N$2-Q53</f>
        <v>19</v>
      </c>
      <c r="O53" s="100">
        <v>4</v>
      </c>
      <c r="P53" s="102">
        <v>701.38566815629997</v>
      </c>
      <c r="Q53" s="103">
        <v>12</v>
      </c>
      <c r="R53" s="104">
        <v>1</v>
      </c>
      <c r="S53" s="88">
        <f>MAX(($P$2-P53)/$P$2, 0)</f>
        <v>0.10537542327002555</v>
      </c>
      <c r="T53" s="102">
        <v>53.240241447000002</v>
      </c>
      <c r="U53" s="101">
        <v>122</v>
      </c>
      <c r="V53" s="81">
        <f>(P53-P54)/P54</f>
        <v>-1.4588001807680682E-15</v>
      </c>
      <c r="X53" s="84" t="s">
        <v>16</v>
      </c>
      <c r="Y53" s="85">
        <f>$N$2-AB53</f>
        <v>21</v>
      </c>
      <c r="Z53" s="100">
        <v>4</v>
      </c>
      <c r="AA53" s="102">
        <v>662.08039591582497</v>
      </c>
      <c r="AB53" s="103">
        <v>10</v>
      </c>
      <c r="AC53" s="104">
        <v>1</v>
      </c>
      <c r="AD53" s="88">
        <f>MAX(($P$2-AA53)/$P$2, 0)</f>
        <v>0.15550969908695794</v>
      </c>
      <c r="AE53" s="102">
        <v>34.790086363999997</v>
      </c>
      <c r="AF53" s="101">
        <v>108</v>
      </c>
      <c r="AG53" s="81">
        <f>(AA53-AA54)/AA54</f>
        <v>1.9324514451856286E-3</v>
      </c>
      <c r="AI53" s="84" t="s">
        <v>16</v>
      </c>
      <c r="AJ53" s="85">
        <f>$N$2-AM53</f>
        <v>31</v>
      </c>
      <c r="AK53" s="100"/>
      <c r="AL53" s="102"/>
      <c r="AM53" s="103"/>
      <c r="AN53" s="104"/>
      <c r="AO53" s="88">
        <f>MAX(($P$2-AL53)/$P$2, 0)</f>
        <v>1</v>
      </c>
      <c r="AP53" s="102"/>
    </row>
    <row r="54" spans="1:42" ht="15" thickBot="1" x14ac:dyDescent="0.35">
      <c r="A54" s="105" t="s">
        <v>32</v>
      </c>
      <c r="B54" s="90" t="s">
        <v>17</v>
      </c>
      <c r="C54" s="91">
        <f>$N$2-F54</f>
        <v>20</v>
      </c>
      <c r="D54" s="60">
        <v>4</v>
      </c>
      <c r="E54" s="61">
        <v>659.51946695912295</v>
      </c>
      <c r="F54" s="62">
        <v>11</v>
      </c>
      <c r="G54" s="63">
        <v>1</v>
      </c>
      <c r="H54" s="94">
        <f>MAX(($P$2-E54)/$P$2,0)</f>
        <v>0.15877619010315949</v>
      </c>
      <c r="I54" s="61">
        <v>178326.46059719301</v>
      </c>
      <c r="K54" s="100"/>
      <c r="M54" s="90" t="s">
        <v>17</v>
      </c>
      <c r="N54" s="91">
        <f>$N$2-Q54</f>
        <v>19</v>
      </c>
      <c r="O54" s="60">
        <v>4</v>
      </c>
      <c r="P54" s="61">
        <v>701.38566815630099</v>
      </c>
      <c r="Q54" s="62">
        <v>12</v>
      </c>
      <c r="R54" s="63">
        <v>1</v>
      </c>
      <c r="S54" s="94">
        <f>MAX(($P$2-P54)/$P$2,0)</f>
        <v>0.10537542327002425</v>
      </c>
      <c r="T54" s="61"/>
      <c r="U54" s="101"/>
      <c r="V54" s="100"/>
      <c r="X54" s="90" t="s">
        <v>17</v>
      </c>
      <c r="Y54" s="91">
        <f>$N$2-AB54</f>
        <v>21</v>
      </c>
      <c r="Z54" s="60">
        <v>4</v>
      </c>
      <c r="AA54" s="61">
        <v>660.80342538146294</v>
      </c>
      <c r="AB54" s="62">
        <v>10</v>
      </c>
      <c r="AC54" s="63">
        <v>1</v>
      </c>
      <c r="AD54" s="94">
        <f>MAX(($P$2-AA54)/$P$2,0)</f>
        <v>0.15713848803384828</v>
      </c>
      <c r="AE54" s="61">
        <v>31474.118081021999</v>
      </c>
      <c r="AF54" s="101"/>
      <c r="AG54" s="100"/>
      <c r="AI54" s="90" t="s">
        <v>17</v>
      </c>
      <c r="AJ54" s="91">
        <f>$N$2-AM54</f>
        <v>31</v>
      </c>
      <c r="AK54" s="60"/>
      <c r="AL54" s="61"/>
      <c r="AM54" s="62"/>
      <c r="AN54" s="63"/>
      <c r="AO54" s="94">
        <f>MAX(($P$2-AL54)/$P$2,0)</f>
        <v>1</v>
      </c>
      <c r="AP54" s="61"/>
    </row>
    <row r="55" spans="1:42" ht="15" thickBot="1" x14ac:dyDescent="0.35">
      <c r="C55" s="68"/>
      <c r="D55" s="68"/>
      <c r="E55" s="68"/>
      <c r="F55" s="68"/>
      <c r="G55" s="68"/>
      <c r="H55" s="68"/>
      <c r="I55" s="68"/>
      <c r="K55" s="106"/>
      <c r="N55" s="68"/>
      <c r="O55" s="68"/>
      <c r="P55" s="68"/>
      <c r="Q55" s="68"/>
      <c r="R55" s="68"/>
      <c r="S55" s="68"/>
      <c r="T55" s="68"/>
      <c r="U55" s="107"/>
      <c r="V55" s="106"/>
      <c r="Y55" s="68"/>
      <c r="Z55" s="68"/>
      <c r="AA55" s="68"/>
      <c r="AB55" s="68"/>
      <c r="AC55" s="68"/>
      <c r="AD55" s="68"/>
      <c r="AE55" s="68"/>
      <c r="AF55" s="107"/>
      <c r="AG55" s="106"/>
      <c r="AJ55" s="68"/>
      <c r="AK55" s="68"/>
      <c r="AL55" s="68"/>
      <c r="AM55" s="68"/>
      <c r="AN55" s="68"/>
      <c r="AO55" s="68"/>
      <c r="AP55" s="68"/>
    </row>
    <row r="56" spans="1:42" x14ac:dyDescent="0.3">
      <c r="B56" s="75" t="s">
        <v>15</v>
      </c>
      <c r="C56" s="76">
        <f>$N$2-F56</f>
        <v>15</v>
      </c>
      <c r="D56" s="96">
        <v>3</v>
      </c>
      <c r="E56" s="97">
        <v>664.27769088462401</v>
      </c>
      <c r="F56" s="98">
        <v>16</v>
      </c>
      <c r="G56" s="99">
        <v>2</v>
      </c>
      <c r="H56" s="79">
        <f>MAX(($P$2-E56)/$P$2, 0)</f>
        <v>0.15270702693287755</v>
      </c>
      <c r="I56" s="97">
        <v>1.7858583349999999</v>
      </c>
      <c r="K56" s="81">
        <f>(E56-E58)/E58</f>
        <v>2.4632218998071428E-2</v>
      </c>
      <c r="M56" s="75" t="s">
        <v>15</v>
      </c>
      <c r="N56" s="76">
        <f>$N$2-Q56</f>
        <v>23</v>
      </c>
      <c r="O56" s="96">
        <v>4</v>
      </c>
      <c r="P56" s="97">
        <v>773.68397782501495</v>
      </c>
      <c r="Q56" s="98">
        <v>8</v>
      </c>
      <c r="R56" s="99">
        <v>1</v>
      </c>
      <c r="S56" s="79">
        <f>MAX(($P$2-P56)/$P$2, 0)</f>
        <v>1.315819154972583E-2</v>
      </c>
      <c r="T56" s="97">
        <v>2.6713419950000001</v>
      </c>
      <c r="U56" s="101"/>
      <c r="V56" s="81">
        <f>(P56-P58)/P58</f>
        <v>0</v>
      </c>
      <c r="X56" s="75" t="s">
        <v>15</v>
      </c>
      <c r="Y56" s="76">
        <f>$N$2-AB56</f>
        <v>23</v>
      </c>
      <c r="Z56" s="96">
        <v>4</v>
      </c>
      <c r="AA56" s="97">
        <v>756.86686223317895</v>
      </c>
      <c r="AB56" s="98">
        <v>8</v>
      </c>
      <c r="AC56" s="99">
        <v>1</v>
      </c>
      <c r="AD56" s="79">
        <f>MAX(($P$2-AA56)/$P$2, 0)</f>
        <v>3.460859409033297E-2</v>
      </c>
      <c r="AE56" s="97">
        <v>0.99196326400000001</v>
      </c>
      <c r="AF56" s="101"/>
      <c r="AG56" s="81">
        <f>(AA56-AA58)/AA58</f>
        <v>8.0105431853516595E-3</v>
      </c>
      <c r="AI56" s="75" t="s">
        <v>15</v>
      </c>
      <c r="AJ56" s="76">
        <f>$N$2-AM56</f>
        <v>31</v>
      </c>
      <c r="AK56" s="96"/>
      <c r="AL56" s="97"/>
      <c r="AM56" s="98"/>
      <c r="AN56" s="99"/>
      <c r="AO56" s="79">
        <f>MAX(($P$2-AL56)/$P$2, 0)</f>
        <v>1</v>
      </c>
      <c r="AP56" s="97"/>
    </row>
    <row r="57" spans="1:42" x14ac:dyDescent="0.3">
      <c r="B57" s="84" t="s">
        <v>16</v>
      </c>
      <c r="C57" s="85">
        <f>$N$2-F57</f>
        <v>19</v>
      </c>
      <c r="D57" s="100">
        <v>4</v>
      </c>
      <c r="E57" s="102">
        <v>649.10020303914803</v>
      </c>
      <c r="F57" s="103">
        <v>12</v>
      </c>
      <c r="G57" s="104">
        <v>1</v>
      </c>
      <c r="H57" s="88">
        <f>MAX(($P$2-E57)/$P$2, 0)</f>
        <v>0.1720660675521071</v>
      </c>
      <c r="I57" s="102">
        <v>45.136447840000002</v>
      </c>
      <c r="J57" s="68">
        <v>183</v>
      </c>
      <c r="K57" s="81">
        <f>(E57-E58)/E58</f>
        <v>1.2213122894380822E-3</v>
      </c>
      <c r="M57" s="84" t="s">
        <v>16</v>
      </c>
      <c r="N57" s="85">
        <f>$N$2-Q57</f>
        <v>23</v>
      </c>
      <c r="O57" s="100">
        <v>4</v>
      </c>
      <c r="P57" s="102">
        <v>773.68397782501495</v>
      </c>
      <c r="Q57" s="103">
        <v>8</v>
      </c>
      <c r="R57" s="104">
        <v>1</v>
      </c>
      <c r="S57" s="88">
        <f>MAX(($P$2-P57)/$P$2, 0)</f>
        <v>1.315819154972583E-2</v>
      </c>
      <c r="T57" s="102">
        <v>40.286988741999998</v>
      </c>
      <c r="U57" s="101">
        <v>100</v>
      </c>
      <c r="V57" s="81">
        <f>(P57-P58)/P58</f>
        <v>0</v>
      </c>
      <c r="X57" s="84" t="s">
        <v>16</v>
      </c>
      <c r="Y57" s="85">
        <f>$N$2-AB57</f>
        <v>23</v>
      </c>
      <c r="Z57" s="100">
        <v>4</v>
      </c>
      <c r="AA57" s="102">
        <v>750.85212882937799</v>
      </c>
      <c r="AB57" s="103">
        <v>8</v>
      </c>
      <c r="AC57" s="104">
        <v>1</v>
      </c>
      <c r="AD57" s="88">
        <f>MAX(($P$2-AA57)/$P$2, 0)</f>
        <v>4.2280447921711747E-2</v>
      </c>
      <c r="AE57" s="102">
        <v>29.284438363</v>
      </c>
      <c r="AF57" s="101">
        <v>105</v>
      </c>
      <c r="AG57" s="81">
        <f>(AA57-AA58)/AA58</f>
        <v>0</v>
      </c>
      <c r="AI57" s="84" t="s">
        <v>16</v>
      </c>
      <c r="AJ57" s="85">
        <f>$N$2-AM57</f>
        <v>31</v>
      </c>
      <c r="AK57" s="100"/>
      <c r="AL57" s="102"/>
      <c r="AM57" s="103"/>
      <c r="AN57" s="104"/>
      <c r="AO57" s="88">
        <f>MAX(($P$2-AL57)/$P$2, 0)</f>
        <v>1</v>
      </c>
      <c r="AP57" s="102"/>
    </row>
    <row r="58" spans="1:42" ht="15" thickBot="1" x14ac:dyDescent="0.35">
      <c r="A58" s="105" t="s">
        <v>33</v>
      </c>
      <c r="B58" s="90" t="s">
        <v>17</v>
      </c>
      <c r="C58" s="91">
        <f>$N$2-F58</f>
        <v>19</v>
      </c>
      <c r="D58" s="60">
        <v>4</v>
      </c>
      <c r="E58" s="61">
        <v>648.30841600333702</v>
      </c>
      <c r="F58" s="62">
        <v>12</v>
      </c>
      <c r="G58" s="63">
        <v>1</v>
      </c>
      <c r="H58" s="94">
        <f>MAX(($P$2-E58)/$P$2,0)</f>
        <v>0.17307599999574361</v>
      </c>
      <c r="I58" s="61">
        <v>207135.71097509301</v>
      </c>
      <c r="K58" s="100"/>
      <c r="M58" s="90" t="s">
        <v>17</v>
      </c>
      <c r="N58" s="91">
        <f>$N$2-Q58</f>
        <v>23</v>
      </c>
      <c r="O58" s="60">
        <v>4</v>
      </c>
      <c r="P58" s="61">
        <v>773.68397782501495</v>
      </c>
      <c r="Q58" s="62">
        <v>8</v>
      </c>
      <c r="R58" s="63">
        <v>1</v>
      </c>
      <c r="S58" s="94">
        <f>MAX(($P$2-P58)/$P$2,0)</f>
        <v>1.315819154972583E-2</v>
      </c>
      <c r="T58" s="61"/>
      <c r="U58" s="100"/>
      <c r="V58" s="100"/>
      <c r="X58" s="90" t="s">
        <v>17</v>
      </c>
      <c r="Y58" s="91">
        <f>$N$2-AB58</f>
        <v>23</v>
      </c>
      <c r="Z58" s="60">
        <v>4</v>
      </c>
      <c r="AA58" s="61">
        <v>750.85212882937799</v>
      </c>
      <c r="AB58" s="62">
        <v>8</v>
      </c>
      <c r="AC58" s="63">
        <v>1</v>
      </c>
      <c r="AD58" s="94">
        <f>MAX(($P$2-AA58)/$P$2,0)</f>
        <v>4.2280447921711747E-2</v>
      </c>
      <c r="AE58" s="61">
        <v>5923.3973095519996</v>
      </c>
      <c r="AF58" s="101"/>
      <c r="AG58" s="100"/>
      <c r="AI58" s="90" t="s">
        <v>17</v>
      </c>
      <c r="AJ58" s="91">
        <f>$N$2-AM58</f>
        <v>31</v>
      </c>
      <c r="AK58" s="60"/>
      <c r="AL58" s="61"/>
      <c r="AM58" s="62"/>
      <c r="AN58" s="63"/>
      <c r="AO58" s="94">
        <f>MAX(($P$2-AL58)/$P$2,0)</f>
        <v>1</v>
      </c>
      <c r="AP58" s="61"/>
    </row>
    <row r="61" spans="1:42" ht="15" thickBot="1" x14ac:dyDescent="0.35">
      <c r="B61" s="12"/>
      <c r="C61" s="278" t="s">
        <v>34</v>
      </c>
      <c r="D61" s="278"/>
      <c r="E61" s="278"/>
      <c r="F61" s="278"/>
      <c r="G61" s="278"/>
      <c r="H61" s="278"/>
      <c r="I61" s="278"/>
      <c r="M61" s="12"/>
      <c r="N61" s="278" t="s">
        <v>35</v>
      </c>
      <c r="O61" s="278"/>
      <c r="P61" s="278"/>
      <c r="Q61" s="278"/>
      <c r="R61" s="278"/>
      <c r="S61" s="278"/>
      <c r="T61" s="278"/>
      <c r="U61" s="14"/>
      <c r="V61" s="14"/>
      <c r="X61" s="12"/>
      <c r="Y61" s="278" t="s">
        <v>36</v>
      </c>
      <c r="Z61" s="278"/>
      <c r="AA61" s="278"/>
      <c r="AB61" s="278"/>
      <c r="AC61" s="278"/>
      <c r="AD61" s="278"/>
      <c r="AE61" s="278"/>
      <c r="AF61" s="15"/>
      <c r="AG61" s="15"/>
      <c r="AI61" s="12"/>
      <c r="AJ61" s="278" t="s">
        <v>37</v>
      </c>
      <c r="AK61" s="278"/>
      <c r="AL61" s="278"/>
      <c r="AM61" s="278"/>
      <c r="AN61" s="278"/>
      <c r="AO61" s="278"/>
      <c r="AP61" s="278"/>
    </row>
    <row r="62" spans="1:42" ht="15" thickBot="1" x14ac:dyDescent="0.35">
      <c r="B62" s="74" t="s">
        <v>5</v>
      </c>
      <c r="C62" s="276" t="s">
        <v>6</v>
      </c>
      <c r="D62" s="279"/>
      <c r="E62" s="277"/>
      <c r="F62" s="276" t="s">
        <v>7</v>
      </c>
      <c r="G62" s="277"/>
      <c r="H62" s="276" t="s">
        <v>8</v>
      </c>
      <c r="I62" s="277"/>
      <c r="M62" s="74" t="s">
        <v>5</v>
      </c>
      <c r="N62" s="276" t="s">
        <v>6</v>
      </c>
      <c r="O62" s="279"/>
      <c r="P62" s="277"/>
      <c r="Q62" s="276" t="s">
        <v>7</v>
      </c>
      <c r="R62" s="277"/>
      <c r="S62" s="276" t="s">
        <v>8</v>
      </c>
      <c r="T62" s="277"/>
      <c r="U62" s="14"/>
      <c r="V62" s="14"/>
      <c r="X62" s="74" t="s">
        <v>5</v>
      </c>
      <c r="Y62" s="276" t="s">
        <v>6</v>
      </c>
      <c r="Z62" s="279"/>
      <c r="AA62" s="277"/>
      <c r="AB62" s="276" t="s">
        <v>7</v>
      </c>
      <c r="AC62" s="277"/>
      <c r="AD62" s="276" t="s">
        <v>8</v>
      </c>
      <c r="AE62" s="277"/>
      <c r="AF62" s="15"/>
      <c r="AG62" s="15"/>
      <c r="AI62" s="74" t="s">
        <v>5</v>
      </c>
      <c r="AJ62" s="276" t="s">
        <v>6</v>
      </c>
      <c r="AK62" s="279"/>
      <c r="AL62" s="277"/>
      <c r="AM62" s="276" t="s">
        <v>7</v>
      </c>
      <c r="AN62" s="277"/>
      <c r="AO62" s="276" t="s">
        <v>8</v>
      </c>
      <c r="AP62" s="277"/>
    </row>
    <row r="63" spans="1:42" ht="29.4" thickBot="1" x14ac:dyDescent="0.35">
      <c r="B63" s="17" t="s">
        <v>9</v>
      </c>
      <c r="C63" s="8" t="s">
        <v>10</v>
      </c>
      <c r="D63" s="9" t="s">
        <v>11</v>
      </c>
      <c r="E63" s="10" t="s">
        <v>12</v>
      </c>
      <c r="F63" s="8" t="s">
        <v>10</v>
      </c>
      <c r="G63" s="10" t="s">
        <v>11</v>
      </c>
      <c r="H63" s="8" t="s">
        <v>8</v>
      </c>
      <c r="I63" s="18" t="s">
        <v>13</v>
      </c>
      <c r="M63" s="17" t="s">
        <v>9</v>
      </c>
      <c r="N63" s="8" t="s">
        <v>10</v>
      </c>
      <c r="O63" s="9" t="s">
        <v>11</v>
      </c>
      <c r="P63" s="10" t="s">
        <v>12</v>
      </c>
      <c r="Q63" s="8" t="s">
        <v>10</v>
      </c>
      <c r="R63" s="10" t="s">
        <v>11</v>
      </c>
      <c r="S63" s="8" t="s">
        <v>8</v>
      </c>
      <c r="T63" s="18" t="s">
        <v>13</v>
      </c>
      <c r="U63" s="19"/>
      <c r="V63" s="19"/>
      <c r="X63" s="17" t="s">
        <v>9</v>
      </c>
      <c r="Y63" s="8" t="s">
        <v>10</v>
      </c>
      <c r="Z63" s="9" t="s">
        <v>11</v>
      </c>
      <c r="AA63" s="10" t="s">
        <v>12</v>
      </c>
      <c r="AB63" s="8" t="s">
        <v>10</v>
      </c>
      <c r="AC63" s="10" t="s">
        <v>11</v>
      </c>
      <c r="AD63" s="8" t="s">
        <v>8</v>
      </c>
      <c r="AE63" s="18" t="s">
        <v>13</v>
      </c>
      <c r="AF63" s="20"/>
      <c r="AG63" s="20"/>
      <c r="AI63" s="17" t="s">
        <v>9</v>
      </c>
      <c r="AJ63" s="8" t="s">
        <v>10</v>
      </c>
      <c r="AK63" s="9" t="s">
        <v>11</v>
      </c>
      <c r="AL63" s="10" t="s">
        <v>12</v>
      </c>
      <c r="AM63" s="8" t="s">
        <v>10</v>
      </c>
      <c r="AN63" s="10" t="s">
        <v>11</v>
      </c>
      <c r="AO63" s="8" t="s">
        <v>8</v>
      </c>
      <c r="AP63" s="18" t="s">
        <v>13</v>
      </c>
    </row>
    <row r="64" spans="1:42" x14ac:dyDescent="0.3">
      <c r="B64" s="75" t="s">
        <v>15</v>
      </c>
      <c r="C64" s="76">
        <f>AVERAGE(C69,C73,C77,C81,C85)</f>
        <v>16.600000000000001</v>
      </c>
      <c r="D64" s="77">
        <f t="shared" ref="D64:I66" si="8">AVERAGE(D69,D73,D77,D81,D85)</f>
        <v>3.6</v>
      </c>
      <c r="E64" s="78">
        <f t="shared" si="8"/>
        <v>681.50035835532321</v>
      </c>
      <c r="F64" s="76">
        <f>AVERAGE(F69,F73,F77,F81,F85)</f>
        <v>14.4</v>
      </c>
      <c r="G64" s="78">
        <f>AVERAGE(G69,G73,G77,G81,G85)</f>
        <v>1.4</v>
      </c>
      <c r="H64" s="76">
        <f>AVERAGE(H69,H73,H77,H81,H85)</f>
        <v>0.13073933883249592</v>
      </c>
      <c r="I64" s="78">
        <f>AVERAGE(I69,I73,I77,I81,I85)</f>
        <v>1.8574923888000001</v>
      </c>
      <c r="K64" s="81">
        <f>AVERAGE(K69,K73,K77,K81,K85)</f>
        <v>3.9314690058539839E-2</v>
      </c>
      <c r="M64" s="75" t="s">
        <v>15</v>
      </c>
      <c r="N64" s="76">
        <f>AVERAGE(N69,N73,N77,N81,N85)</f>
        <v>20.399999999999999</v>
      </c>
      <c r="O64" s="77">
        <f t="shared" ref="O64:T66" si="9">AVERAGE(O69,O73,O77,O81,O85)</f>
        <v>4</v>
      </c>
      <c r="P64" s="78">
        <f t="shared" si="9"/>
        <v>735.3045801736331</v>
      </c>
      <c r="Q64" s="76">
        <f>AVERAGE(Q69,Q73,Q77,Q81,Q85)</f>
        <v>10.6</v>
      </c>
      <c r="R64" s="78">
        <f>AVERAGE(R69,R73,R77,R81,R85)</f>
        <v>1</v>
      </c>
      <c r="S64" s="79">
        <f>AVERAGE(S69,S73,S77,S81,S85)</f>
        <v>6.2111504880570143E-2</v>
      </c>
      <c r="T64" s="80">
        <f>AVERAGE(T69,T73,T77,T81,T85)</f>
        <v>7.1473024556000002</v>
      </c>
      <c r="U64" s="82"/>
      <c r="V64" s="81">
        <f>AVERAGE(V69,V73,V77,V81,V85)</f>
        <v>1.5092687236851837E-2</v>
      </c>
      <c r="X64" s="75" t="s">
        <v>15</v>
      </c>
      <c r="Y64" s="76">
        <f>AVERAGE(Y69,Y73,Y77,Y81,Y85)</f>
        <v>21</v>
      </c>
      <c r="Z64" s="77">
        <f t="shared" ref="Z64:AE66" si="10">AVERAGE(Z69,Z73,Z77,Z81,Z85)</f>
        <v>4</v>
      </c>
      <c r="AA64" s="78">
        <f t="shared" si="10"/>
        <v>745.78840649261599</v>
      </c>
      <c r="AB64" s="76">
        <f>AVERAGE(AB69,AB73,AB77,AB81,AB85)</f>
        <v>10</v>
      </c>
      <c r="AC64" s="78">
        <f>AVERAGE(AC69,AC73,AC77,AC81,AC85)</f>
        <v>1</v>
      </c>
      <c r="AD64" s="79">
        <f>AVERAGE(AD69,AD73,AD77,AD81,AD85)</f>
        <v>4.8739277432887765E-2</v>
      </c>
      <c r="AE64" s="80">
        <f>AVERAGE(AE69,AE73,AE77,AE81,AE85)</f>
        <v>0.96096996479999996</v>
      </c>
      <c r="AF64" s="83"/>
      <c r="AG64" s="81">
        <f>AVERAGE(AG69,AG73,AG77,AG81,AG85)</f>
        <v>6.2108998858243891E-2</v>
      </c>
      <c r="AI64" s="75" t="s">
        <v>15</v>
      </c>
      <c r="AJ64" s="76">
        <f>AVERAGE(AJ69,AJ73,AJ77,AJ81,AJ85)</f>
        <v>31</v>
      </c>
      <c r="AK64" s="77" t="e">
        <f t="shared" ref="AK64:AP66" si="11">AVERAGE(AK69,AK73,AK77,AK81,AK85)</f>
        <v>#DIV/0!</v>
      </c>
      <c r="AL64" s="78" t="e">
        <f t="shared" si="11"/>
        <v>#DIV/0!</v>
      </c>
      <c r="AM64" s="76" t="e">
        <f>AVERAGE(AM69,AM73,AM77,AM81,AM85)</f>
        <v>#DIV/0!</v>
      </c>
      <c r="AN64" s="78" t="e">
        <f>AVERAGE(AN69,AN73,AN77,AN81,AN85)</f>
        <v>#DIV/0!</v>
      </c>
      <c r="AO64" s="76">
        <f>AVERAGE(AO69,AO73,AO77,AO81,AO85)</f>
        <v>1</v>
      </c>
      <c r="AP64" s="78" t="e">
        <f>AVERAGE(AP69,AP73,AP77,AP81,AP85)</f>
        <v>#DIV/0!</v>
      </c>
    </row>
    <row r="65" spans="1:44" x14ac:dyDescent="0.3">
      <c r="B65" s="84" t="s">
        <v>16</v>
      </c>
      <c r="C65" s="85">
        <f>AVERAGE(C70,C74,C78,C82,C86)</f>
        <v>18</v>
      </c>
      <c r="D65" s="86">
        <f t="shared" si="8"/>
        <v>3.8</v>
      </c>
      <c r="E65" s="87">
        <f t="shared" si="8"/>
        <v>655.60495780234805</v>
      </c>
      <c r="F65" s="85">
        <f t="shared" si="8"/>
        <v>13</v>
      </c>
      <c r="G65" s="87">
        <f t="shared" si="8"/>
        <v>1.2</v>
      </c>
      <c r="H65" s="85">
        <f t="shared" si="8"/>
        <v>0.16376918647659688</v>
      </c>
      <c r="I65" s="87">
        <f t="shared" si="8"/>
        <v>41.224863812199999</v>
      </c>
      <c r="K65" s="81">
        <f>AVERAGE(K70,K74,K78,K82,K86)</f>
        <v>7.9762160549021966E-5</v>
      </c>
      <c r="M65" s="84" t="s">
        <v>16</v>
      </c>
      <c r="N65" s="85">
        <f>AVERAGE(N70,N74,N78,N82,N86)</f>
        <v>20.6</v>
      </c>
      <c r="O65" s="86">
        <f t="shared" si="9"/>
        <v>4</v>
      </c>
      <c r="P65" s="87">
        <f t="shared" si="9"/>
        <v>725.9337099592525</v>
      </c>
      <c r="Q65" s="85">
        <f t="shared" si="9"/>
        <v>10.4</v>
      </c>
      <c r="R65" s="87">
        <f t="shared" si="9"/>
        <v>1</v>
      </c>
      <c r="S65" s="88">
        <f t="shared" si="9"/>
        <v>7.4064145460136982E-2</v>
      </c>
      <c r="T65" s="89">
        <f t="shared" si="9"/>
        <v>51.477879210399998</v>
      </c>
      <c r="U65" s="82"/>
      <c r="V65" s="81">
        <f>AVERAGE(V70,V74,V78,V82,V86)</f>
        <v>1.3842283198446542E-3</v>
      </c>
      <c r="X65" s="84" t="s">
        <v>16</v>
      </c>
      <c r="Y65" s="85">
        <f>AVERAGE(Y70,Y74,Y78,Y82,Y86)</f>
        <v>23</v>
      </c>
      <c r="Z65" s="86">
        <f t="shared" si="10"/>
        <v>4</v>
      </c>
      <c r="AA65" s="87">
        <f t="shared" si="10"/>
        <v>703.03037429608617</v>
      </c>
      <c r="AB65" s="85">
        <f t="shared" si="10"/>
        <v>8</v>
      </c>
      <c r="AC65" s="87">
        <f t="shared" si="10"/>
        <v>1</v>
      </c>
      <c r="AD65" s="88">
        <f t="shared" si="10"/>
        <v>0.10327758380601244</v>
      </c>
      <c r="AE65" s="89">
        <f t="shared" si="10"/>
        <v>65.698222505199993</v>
      </c>
      <c r="AF65" s="83"/>
      <c r="AG65" s="81">
        <f>AVERAGE(AG70,AG74,AG78,AG82,AG86)</f>
        <v>2.6589320645480737E-5</v>
      </c>
      <c r="AI65" s="84" t="s">
        <v>16</v>
      </c>
      <c r="AJ65" s="85">
        <f>AVERAGE(AJ70,AJ74,AJ78,AJ82,AJ86)</f>
        <v>31</v>
      </c>
      <c r="AK65" s="86" t="e">
        <f t="shared" si="11"/>
        <v>#DIV/0!</v>
      </c>
      <c r="AL65" s="87" t="e">
        <f t="shared" si="11"/>
        <v>#DIV/0!</v>
      </c>
      <c r="AM65" s="85" t="e">
        <f t="shared" si="11"/>
        <v>#DIV/0!</v>
      </c>
      <c r="AN65" s="87" t="e">
        <f t="shared" si="11"/>
        <v>#DIV/0!</v>
      </c>
      <c r="AO65" s="85">
        <f t="shared" si="11"/>
        <v>1</v>
      </c>
      <c r="AP65" s="87" t="e">
        <f t="shared" si="11"/>
        <v>#DIV/0!</v>
      </c>
    </row>
    <row r="66" spans="1:44" ht="15" thickBot="1" x14ac:dyDescent="0.35">
      <c r="B66" s="90" t="s">
        <v>17</v>
      </c>
      <c r="C66" s="91">
        <f>AVERAGE(C71,C75,C79,C83,C87)</f>
        <v>18</v>
      </c>
      <c r="D66" s="92">
        <f t="shared" si="8"/>
        <v>3.8</v>
      </c>
      <c r="E66" s="93">
        <f t="shared" si="8"/>
        <v>655.54976896658127</v>
      </c>
      <c r="F66" s="91">
        <f t="shared" si="8"/>
        <v>13</v>
      </c>
      <c r="G66" s="93">
        <f t="shared" si="8"/>
        <v>1.2</v>
      </c>
      <c r="H66" s="91">
        <f t="shared" si="8"/>
        <v>0.16383958039976884</v>
      </c>
      <c r="I66" s="95">
        <f t="shared" si="8"/>
        <v>87803.284714423004</v>
      </c>
      <c r="K66" s="82"/>
      <c r="M66" s="90" t="s">
        <v>17</v>
      </c>
      <c r="N66" s="91">
        <f>AVERAGE(N71,N75,N79,N83,N87)</f>
        <v>20.6</v>
      </c>
      <c r="O66" s="92">
        <f t="shared" si="9"/>
        <v>4</v>
      </c>
      <c r="P66" s="93">
        <f t="shared" si="9"/>
        <v>725.00369934987123</v>
      </c>
      <c r="Q66" s="91">
        <f t="shared" si="9"/>
        <v>10.4</v>
      </c>
      <c r="R66" s="93">
        <f t="shared" si="9"/>
        <v>1</v>
      </c>
      <c r="S66" s="94">
        <f t="shared" si="9"/>
        <v>7.5250383482307143E-2</v>
      </c>
      <c r="T66" s="95">
        <f t="shared" si="9"/>
        <v>157446.13123109101</v>
      </c>
      <c r="U66" s="82"/>
      <c r="V66" s="82"/>
      <c r="X66" s="90" t="s">
        <v>17</v>
      </c>
      <c r="Y66" s="91">
        <f>AVERAGE(Y71,Y75,Y79,Y83,Y87)</f>
        <v>22.8</v>
      </c>
      <c r="Z66" s="92">
        <f t="shared" si="10"/>
        <v>4</v>
      </c>
      <c r="AA66" s="93">
        <f t="shared" si="10"/>
        <v>703.01252154613462</v>
      </c>
      <c r="AB66" s="91">
        <f t="shared" si="10"/>
        <v>8.1999999999999993</v>
      </c>
      <c r="AC66" s="93">
        <f t="shared" si="10"/>
        <v>1</v>
      </c>
      <c r="AD66" s="94">
        <f t="shared" si="10"/>
        <v>0.10330035517074665</v>
      </c>
      <c r="AE66" s="95">
        <f t="shared" si="10"/>
        <v>68036.523757275994</v>
      </c>
      <c r="AF66" s="83"/>
      <c r="AG66" s="82"/>
      <c r="AI66" s="90" t="s">
        <v>17</v>
      </c>
      <c r="AJ66" s="91">
        <f>AVERAGE(AJ71,AJ75,AJ79,AJ83,AJ87)</f>
        <v>31</v>
      </c>
      <c r="AK66" s="92" t="e">
        <f t="shared" si="11"/>
        <v>#DIV/0!</v>
      </c>
      <c r="AL66" s="93" t="e">
        <f t="shared" si="11"/>
        <v>#DIV/0!</v>
      </c>
      <c r="AM66" s="91" t="e">
        <f t="shared" si="11"/>
        <v>#DIV/0!</v>
      </c>
      <c r="AN66" s="93" t="e">
        <f t="shared" si="11"/>
        <v>#DIV/0!</v>
      </c>
      <c r="AO66" s="91">
        <f t="shared" si="11"/>
        <v>1</v>
      </c>
      <c r="AP66" s="95" t="e">
        <f t="shared" si="11"/>
        <v>#DIV/0!</v>
      </c>
    </row>
    <row r="67" spans="1:44" x14ac:dyDescent="0.3">
      <c r="K67" s="69"/>
      <c r="AG67" s="69"/>
    </row>
    <row r="68" spans="1:44" ht="15" thickBot="1" x14ac:dyDescent="0.35">
      <c r="K68" s="69"/>
      <c r="AG68" s="69"/>
    </row>
    <row r="69" spans="1:44" x14ac:dyDescent="0.3">
      <c r="B69" s="75" t="s">
        <v>15</v>
      </c>
      <c r="C69" s="76">
        <f>$N$2-F69</f>
        <v>14</v>
      </c>
      <c r="D69" s="96">
        <v>3</v>
      </c>
      <c r="E69" s="97">
        <v>605.96391978853796</v>
      </c>
      <c r="F69" s="98">
        <v>17</v>
      </c>
      <c r="G69" s="99">
        <v>2</v>
      </c>
      <c r="H69" s="79">
        <f>MAX(($P$2-E69)/$P$2, 0)</f>
        <v>0.22708683700441587</v>
      </c>
      <c r="I69" s="97">
        <v>1.40646289</v>
      </c>
      <c r="K69" s="81">
        <f>(E69-E71)/E71</f>
        <v>2.4142666682304883E-2</v>
      </c>
      <c r="M69" s="75" t="s">
        <v>15</v>
      </c>
      <c r="N69" s="76">
        <f>$N$2-Q69</f>
        <v>21</v>
      </c>
      <c r="O69" s="96">
        <v>4</v>
      </c>
      <c r="P69" s="97">
        <v>731.75503180767203</v>
      </c>
      <c r="Q69" s="98">
        <v>10</v>
      </c>
      <c r="R69" s="99">
        <v>1</v>
      </c>
      <c r="S69" s="79">
        <f>MAX(($P$2-P69)/$P$2, 0)</f>
        <v>6.6638990041234664E-2</v>
      </c>
      <c r="T69" s="97">
        <v>29.068359173000001</v>
      </c>
      <c r="U69" s="100"/>
      <c r="V69" s="81">
        <f>(P69-P71)/P71</f>
        <v>4.3467652466305836E-8</v>
      </c>
      <c r="X69" s="75" t="s">
        <v>15</v>
      </c>
      <c r="Y69" s="76">
        <f>$N$2-AB69</f>
        <v>22</v>
      </c>
      <c r="Z69" s="96">
        <v>4</v>
      </c>
      <c r="AA69" s="97">
        <v>754.11726977766295</v>
      </c>
      <c r="AB69" s="98">
        <v>9</v>
      </c>
      <c r="AC69" s="99">
        <v>1</v>
      </c>
      <c r="AD69" s="79">
        <f>MAX(($P$2-AA69)/$P$2, 0)</f>
        <v>3.8115727324409494E-2</v>
      </c>
      <c r="AE69" s="97">
        <v>0.80143771200000002</v>
      </c>
      <c r="AF69" s="101"/>
      <c r="AG69" s="81">
        <f>(AA69-AA71)/AA71</f>
        <v>6.8552082588339378E-2</v>
      </c>
      <c r="AI69" s="75" t="s">
        <v>15</v>
      </c>
      <c r="AJ69" s="76">
        <f>$N$2-AM69</f>
        <v>31</v>
      </c>
      <c r="AK69" s="96"/>
      <c r="AL69" s="97"/>
      <c r="AM69" s="98"/>
      <c r="AN69" s="99"/>
      <c r="AO69" s="79">
        <f>MAX(($P$2-AL69)/$P$2, 0)</f>
        <v>1</v>
      </c>
      <c r="AP69" s="97"/>
    </row>
    <row r="70" spans="1:44" x14ac:dyDescent="0.3">
      <c r="B70" s="84" t="s">
        <v>16</v>
      </c>
      <c r="C70" s="85">
        <f>$N$2-F70</f>
        <v>14</v>
      </c>
      <c r="D70" s="100">
        <v>3</v>
      </c>
      <c r="E70" s="102">
        <v>591.67920593675603</v>
      </c>
      <c r="F70" s="103">
        <v>17</v>
      </c>
      <c r="G70" s="104">
        <v>2</v>
      </c>
      <c r="H70" s="88">
        <f>MAX(($P$2-E70)/$P$2, 0)</f>
        <v>0.24530713528474996</v>
      </c>
      <c r="I70" s="102">
        <v>16.898300430999999</v>
      </c>
      <c r="J70" s="68">
        <v>106</v>
      </c>
      <c r="K70" s="81">
        <f>(E70-E71)/E71</f>
        <v>0</v>
      </c>
      <c r="M70" s="84" t="s">
        <v>16</v>
      </c>
      <c r="N70" s="85">
        <f>$N$2-Q70</f>
        <v>21</v>
      </c>
      <c r="O70" s="100">
        <v>4</v>
      </c>
      <c r="P70" s="102">
        <v>731.75503180767203</v>
      </c>
      <c r="Q70" s="103">
        <v>10</v>
      </c>
      <c r="R70" s="104">
        <v>1</v>
      </c>
      <c r="S70" s="88">
        <f>MAX(($P$2-P70)/$P$2, 0)</f>
        <v>6.6638990041234664E-2</v>
      </c>
      <c r="T70" s="102">
        <v>100.5625</v>
      </c>
      <c r="U70" s="100">
        <v>100</v>
      </c>
      <c r="V70" s="81">
        <f>(P70-P71)/P71</f>
        <v>4.3467652466305836E-8</v>
      </c>
      <c r="X70" s="84" t="s">
        <v>16</v>
      </c>
      <c r="Y70" s="85">
        <f>$N$2-AB70</f>
        <v>24</v>
      </c>
      <c r="Z70" s="100">
        <v>4</v>
      </c>
      <c r="AA70" s="102">
        <v>705.73749475175305</v>
      </c>
      <c r="AB70" s="103">
        <v>7</v>
      </c>
      <c r="AC70" s="104">
        <v>1</v>
      </c>
      <c r="AD70" s="88">
        <f>MAX(($P$2-AA70)/$P$2, 0)</f>
        <v>9.9824624041131321E-2</v>
      </c>
      <c r="AE70" s="102">
        <v>70.666104150999999</v>
      </c>
      <c r="AF70" s="101">
        <v>224</v>
      </c>
      <c r="AG70" s="81">
        <f>(AA70-AA71)/AA71</f>
        <v>0</v>
      </c>
      <c r="AI70" s="84" t="s">
        <v>16</v>
      </c>
      <c r="AJ70" s="85">
        <f>$N$2-AM70</f>
        <v>31</v>
      </c>
      <c r="AK70" s="100"/>
      <c r="AL70" s="102"/>
      <c r="AM70" s="103"/>
      <c r="AN70" s="104"/>
      <c r="AO70" s="88">
        <f>MAX(($P$2-AL70)/$P$2, 0)</f>
        <v>1</v>
      </c>
      <c r="AP70" s="102"/>
    </row>
    <row r="71" spans="1:44" ht="15" thickBot="1" x14ac:dyDescent="0.35">
      <c r="A71" s="105" t="s">
        <v>38</v>
      </c>
      <c r="B71" s="90" t="s">
        <v>17</v>
      </c>
      <c r="C71" s="91">
        <f>$N$2-F71</f>
        <v>14</v>
      </c>
      <c r="D71" s="60">
        <v>3</v>
      </c>
      <c r="E71" s="61">
        <v>591.67920593675603</v>
      </c>
      <c r="F71" s="62">
        <v>17</v>
      </c>
      <c r="G71" s="63">
        <v>2</v>
      </c>
      <c r="H71" s="94">
        <f>MAX(($P$2-E71)/$P$2,0)</f>
        <v>0.24530713528474996</v>
      </c>
      <c r="I71" s="61"/>
      <c r="K71" s="81"/>
      <c r="M71" s="90" t="s">
        <v>17</v>
      </c>
      <c r="N71" s="91">
        <f>$N$2-Q71</f>
        <v>21</v>
      </c>
      <c r="O71" s="60">
        <v>4</v>
      </c>
      <c r="P71" s="61">
        <v>731.755</v>
      </c>
      <c r="Q71" s="62">
        <v>10</v>
      </c>
      <c r="R71" s="63">
        <v>1</v>
      </c>
      <c r="S71" s="94">
        <f>MAX(($P$2-P71)/$P$2,0)</f>
        <v>6.6639030612244909E-2</v>
      </c>
      <c r="T71" s="61"/>
      <c r="U71" s="100"/>
      <c r="V71" s="81"/>
      <c r="X71" s="90" t="s">
        <v>17</v>
      </c>
      <c r="Y71" s="91">
        <f>$N$2-AB71</f>
        <v>24</v>
      </c>
      <c r="Z71" s="60">
        <v>4</v>
      </c>
      <c r="AA71" s="61">
        <v>705.73749475175305</v>
      </c>
      <c r="AB71" s="62">
        <v>7</v>
      </c>
      <c r="AC71" s="63">
        <v>1</v>
      </c>
      <c r="AD71" s="94">
        <f>MAX(($P$2-AA71)/$P$2,0)</f>
        <v>9.9824624041131321E-2</v>
      </c>
      <c r="AE71" s="61">
        <v>6147.7187000000004</v>
      </c>
      <c r="AF71" s="101"/>
      <c r="AG71" s="81"/>
      <c r="AI71" s="90" t="s">
        <v>17</v>
      </c>
      <c r="AJ71" s="91">
        <f>$N$2-AM71</f>
        <v>31</v>
      </c>
      <c r="AK71" s="60"/>
      <c r="AL71" s="61"/>
      <c r="AM71" s="62"/>
      <c r="AN71" s="63"/>
      <c r="AO71" s="94">
        <f>MAX(($P$2-AL71)/$P$2,0)</f>
        <v>1</v>
      </c>
      <c r="AP71" s="61"/>
      <c r="AR71" s="108">
        <f>+P2-E70</f>
        <v>192.32079406324397</v>
      </c>
    </row>
    <row r="72" spans="1:44" ht="15" thickBot="1" x14ac:dyDescent="0.35">
      <c r="C72" s="68"/>
      <c r="D72" s="68"/>
      <c r="E72" s="68"/>
      <c r="F72" s="68"/>
      <c r="G72" s="68"/>
      <c r="H72" s="68"/>
      <c r="I72" s="68"/>
      <c r="K72" s="106"/>
      <c r="N72" s="68"/>
      <c r="O72" s="68"/>
      <c r="P72" s="68"/>
      <c r="Q72" s="68"/>
      <c r="R72" s="68"/>
      <c r="S72" s="68"/>
      <c r="T72" s="68"/>
      <c r="U72" s="106"/>
      <c r="V72" s="106"/>
      <c r="Y72" s="68"/>
      <c r="Z72" s="68"/>
      <c r="AA72" s="68"/>
      <c r="AB72" s="68"/>
      <c r="AC72" s="68"/>
      <c r="AD72" s="68"/>
      <c r="AE72" s="68"/>
      <c r="AF72" s="107"/>
      <c r="AG72" s="106"/>
      <c r="AJ72" s="68"/>
      <c r="AK72" s="68"/>
      <c r="AL72" s="68"/>
      <c r="AM72" s="68"/>
      <c r="AN72" s="68"/>
      <c r="AO72" s="68"/>
      <c r="AP72" s="68"/>
    </row>
    <row r="73" spans="1:44" x14ac:dyDescent="0.3">
      <c r="B73" s="75" t="s">
        <v>15</v>
      </c>
      <c r="C73" s="76">
        <f>$N$2-F73</f>
        <v>18</v>
      </c>
      <c r="D73" s="96">
        <v>4</v>
      </c>
      <c r="E73" s="97">
        <v>717.11129081499701</v>
      </c>
      <c r="F73" s="98">
        <v>13</v>
      </c>
      <c r="G73" s="99">
        <v>1</v>
      </c>
      <c r="H73" s="79">
        <f>MAX(($P$2-E73)/$P$2, 0)</f>
        <v>8.5317231103320151E-2</v>
      </c>
      <c r="I73" s="97">
        <v>1.43379791</v>
      </c>
      <c r="K73" s="81">
        <f>(E73-E75)/E75</f>
        <v>3.6411533506258878E-2</v>
      </c>
      <c r="M73" s="75" t="s">
        <v>15</v>
      </c>
      <c r="N73" s="76">
        <f>$N$2-Q73</f>
        <v>20</v>
      </c>
      <c r="O73" s="96">
        <v>4</v>
      </c>
      <c r="P73" s="97">
        <v>748.66472855524296</v>
      </c>
      <c r="Q73" s="98">
        <v>11</v>
      </c>
      <c r="R73" s="99">
        <v>1</v>
      </c>
      <c r="S73" s="79">
        <f>MAX(($P$2-P73)/$P$2, 0)</f>
        <v>4.5070499291781939E-2</v>
      </c>
      <c r="T73" s="97">
        <v>0.99129616200000004</v>
      </c>
      <c r="U73" s="100"/>
      <c r="V73" s="81">
        <f>(P73-P75)/P75</f>
        <v>1.7639582036272324E-3</v>
      </c>
      <c r="X73" s="75" t="s">
        <v>15</v>
      </c>
      <c r="Y73" s="76">
        <f>$N$2-AB73</f>
        <v>20</v>
      </c>
      <c r="Z73" s="96">
        <v>4</v>
      </c>
      <c r="AA73" s="97">
        <v>752.90273231353899</v>
      </c>
      <c r="AB73" s="98">
        <v>11</v>
      </c>
      <c r="AC73" s="99">
        <v>1</v>
      </c>
      <c r="AD73" s="79">
        <f>MAX(($P$2-AA73)/$P$2, 0)</f>
        <v>3.9664882253139043E-2</v>
      </c>
      <c r="AE73" s="97">
        <v>1.0355748170000001</v>
      </c>
      <c r="AF73" s="101"/>
      <c r="AG73" s="81">
        <f>(AA73-AA75)/AA75</f>
        <v>0.12134949621860901</v>
      </c>
      <c r="AI73" s="75" t="s">
        <v>15</v>
      </c>
      <c r="AJ73" s="76">
        <f>$N$2-AM73</f>
        <v>31</v>
      </c>
      <c r="AK73" s="96"/>
      <c r="AL73" s="97"/>
      <c r="AM73" s="98"/>
      <c r="AN73" s="99"/>
      <c r="AO73" s="79">
        <f>MAX(($P$2-AL73)/$P$2, 0)</f>
        <v>1</v>
      </c>
      <c r="AP73" s="97"/>
    </row>
    <row r="74" spans="1:44" x14ac:dyDescent="0.3">
      <c r="B74" s="84" t="s">
        <v>16</v>
      </c>
      <c r="C74" s="85">
        <f>$N$2-F74</f>
        <v>21</v>
      </c>
      <c r="D74" s="100">
        <v>4</v>
      </c>
      <c r="E74" s="102">
        <v>692.19345728191104</v>
      </c>
      <c r="F74" s="103">
        <v>10</v>
      </c>
      <c r="G74" s="104">
        <v>1</v>
      </c>
      <c r="H74" s="88">
        <f>MAX(($P$2-E74)/$P$2, 0)</f>
        <v>0.11710018203837878</v>
      </c>
      <c r="I74" s="102">
        <v>27.339527722</v>
      </c>
      <c r="J74" s="68">
        <v>115</v>
      </c>
      <c r="K74" s="81">
        <f>(E74-E75)/E75</f>
        <v>3.9881080274510984E-4</v>
      </c>
      <c r="M74" s="84" t="s">
        <v>16</v>
      </c>
      <c r="N74" s="85">
        <f>$N$2-Q74</f>
        <v>20</v>
      </c>
      <c r="O74" s="100">
        <v>4</v>
      </c>
      <c r="P74" s="102">
        <v>747.34644067027102</v>
      </c>
      <c r="Q74" s="103">
        <v>11</v>
      </c>
      <c r="R74" s="104">
        <v>1</v>
      </c>
      <c r="S74" s="88">
        <f>MAX(($P$2-P74)/$P$2, 0)</f>
        <v>4.6751988940980836E-2</v>
      </c>
      <c r="T74" s="102">
        <v>31.440455725</v>
      </c>
      <c r="U74" s="100">
        <v>101</v>
      </c>
      <c r="V74" s="81">
        <f>(P74-P75)/P75</f>
        <v>0</v>
      </c>
      <c r="X74" s="84" t="s">
        <v>16</v>
      </c>
      <c r="Y74" s="85">
        <f>$N$2-AB74</f>
        <v>23</v>
      </c>
      <c r="Z74" s="100">
        <v>4</v>
      </c>
      <c r="AA74" s="109">
        <v>671.51484056810102</v>
      </c>
      <c r="AB74" s="103">
        <v>8</v>
      </c>
      <c r="AC74" s="104">
        <v>1</v>
      </c>
      <c r="AD74" s="88">
        <f>MAX(($P$2-AA74)/$P$2, 0)</f>
        <v>0.14347596866313644</v>
      </c>
      <c r="AE74" s="102">
        <v>91.658904223999997</v>
      </c>
      <c r="AF74" s="101">
        <v>227</v>
      </c>
      <c r="AG74" s="81">
        <f>(AA74-AA75)/AA75</f>
        <v>1.3294660322597186E-4</v>
      </c>
      <c r="AI74" s="84" t="s">
        <v>16</v>
      </c>
      <c r="AJ74" s="85">
        <f>$N$2-AM74</f>
        <v>31</v>
      </c>
      <c r="AK74" s="100"/>
      <c r="AL74" s="102"/>
      <c r="AM74" s="103"/>
      <c r="AN74" s="104"/>
      <c r="AO74" s="88">
        <f>MAX(($P$2-AL74)/$P$2, 0)</f>
        <v>1</v>
      </c>
      <c r="AP74" s="102"/>
    </row>
    <row r="75" spans="1:44" ht="15" thickBot="1" x14ac:dyDescent="0.35">
      <c r="A75" s="105" t="s">
        <v>39</v>
      </c>
      <c r="B75" s="90" t="s">
        <v>17</v>
      </c>
      <c r="C75" s="91">
        <f>$N$2-F75</f>
        <v>21</v>
      </c>
      <c r="D75" s="60">
        <v>4</v>
      </c>
      <c r="E75" s="61">
        <v>691.917513103077</v>
      </c>
      <c r="F75" s="62">
        <v>10</v>
      </c>
      <c r="G75" s="63">
        <v>1</v>
      </c>
      <c r="H75" s="94">
        <f>MAX(($P$2-E75)/$P$2,0)</f>
        <v>0.11745215165423852</v>
      </c>
      <c r="I75" s="61"/>
      <c r="K75" s="100"/>
      <c r="M75" s="90" t="s">
        <v>17</v>
      </c>
      <c r="N75" s="91">
        <f>$N$2-Q75</f>
        <v>20</v>
      </c>
      <c r="O75" s="60">
        <v>4</v>
      </c>
      <c r="P75" s="61">
        <v>747.34644067027102</v>
      </c>
      <c r="Q75" s="62">
        <v>11</v>
      </c>
      <c r="R75" s="63">
        <v>1</v>
      </c>
      <c r="S75" s="94">
        <f>MAX(($P$2-P75)/$P$2,0)</f>
        <v>4.6751988940980836E-2</v>
      </c>
      <c r="T75" s="61"/>
      <c r="U75" s="100"/>
      <c r="V75" s="100"/>
      <c r="X75" s="90" t="s">
        <v>17</v>
      </c>
      <c r="Y75" s="91">
        <f>$N$2-AB75</f>
        <v>22</v>
      </c>
      <c r="Z75" s="60">
        <v>4</v>
      </c>
      <c r="AA75" s="61">
        <v>671.42557681834398</v>
      </c>
      <c r="AB75" s="62">
        <v>9</v>
      </c>
      <c r="AC75" s="63">
        <v>1</v>
      </c>
      <c r="AD75" s="94">
        <f>MAX(($P$2-AA75)/$P$2,0)</f>
        <v>0.14358982548680616</v>
      </c>
      <c r="AE75" s="61">
        <v>102640.27167364</v>
      </c>
      <c r="AF75" s="101"/>
      <c r="AG75" s="100"/>
      <c r="AI75" s="90" t="s">
        <v>17</v>
      </c>
      <c r="AJ75" s="91">
        <f>$N$2-AM75</f>
        <v>31</v>
      </c>
      <c r="AK75" s="60"/>
      <c r="AL75" s="61"/>
      <c r="AM75" s="62"/>
      <c r="AN75" s="63"/>
      <c r="AO75" s="94">
        <f>MAX(($P$2-AL75)/$P$2,0)</f>
        <v>1</v>
      </c>
      <c r="AP75" s="61"/>
    </row>
    <row r="76" spans="1:44" ht="15" thickBot="1" x14ac:dyDescent="0.35">
      <c r="C76" s="68"/>
      <c r="D76" s="68"/>
      <c r="E76" s="68"/>
      <c r="F76" s="68"/>
      <c r="G76" s="68"/>
      <c r="H76" s="68"/>
      <c r="I76" s="68"/>
      <c r="K76" s="106"/>
      <c r="N76" s="68"/>
      <c r="O76" s="68"/>
      <c r="P76" s="68"/>
      <c r="Q76" s="68"/>
      <c r="R76" s="68"/>
      <c r="S76" s="68"/>
      <c r="T76" s="68"/>
      <c r="U76" s="106"/>
      <c r="V76" s="106"/>
      <c r="Y76" s="68"/>
      <c r="Z76" s="68"/>
      <c r="AA76" s="68"/>
      <c r="AB76" s="68"/>
      <c r="AC76" s="68"/>
      <c r="AD76" s="68"/>
      <c r="AE76" s="68"/>
      <c r="AF76" s="107"/>
      <c r="AG76" s="106"/>
      <c r="AJ76" s="68"/>
      <c r="AK76" s="68"/>
      <c r="AL76" s="68"/>
      <c r="AM76" s="68"/>
      <c r="AN76" s="68"/>
      <c r="AO76" s="68"/>
      <c r="AP76" s="68"/>
    </row>
    <row r="77" spans="1:44" x14ac:dyDescent="0.3">
      <c r="B77" s="75" t="s">
        <v>15</v>
      </c>
      <c r="C77" s="76">
        <f>$N$2-F77</f>
        <v>15</v>
      </c>
      <c r="D77" s="96">
        <v>3</v>
      </c>
      <c r="E77" s="97">
        <v>697.62940147085305</v>
      </c>
      <c r="F77" s="98">
        <v>16</v>
      </c>
      <c r="G77" s="99">
        <v>2</v>
      </c>
      <c r="H77" s="79">
        <f>MAX(($P$2-E77)/$P$2, 0)</f>
        <v>0.11016657975656498</v>
      </c>
      <c r="I77" s="97">
        <v>1.0164363460000001</v>
      </c>
      <c r="K77" s="81">
        <f>(E77-E79)/E79</f>
        <v>4.3198860493208091E-2</v>
      </c>
      <c r="M77" s="75" t="s">
        <v>15</v>
      </c>
      <c r="N77" s="76">
        <f>$N$2-Q77</f>
        <v>20</v>
      </c>
      <c r="O77" s="96">
        <v>4</v>
      </c>
      <c r="P77" s="97">
        <v>721.33307062105905</v>
      </c>
      <c r="Q77" s="98">
        <v>11</v>
      </c>
      <c r="R77" s="99">
        <v>1</v>
      </c>
      <c r="S77" s="79">
        <f>MAX(($P$2-P77)/$P$2, 0)</f>
        <v>7.9932307881302234E-2</v>
      </c>
      <c r="T77" s="97">
        <v>2.8417797380000001</v>
      </c>
      <c r="U77" s="100"/>
      <c r="V77" s="81">
        <f>(P77-P79)/P79</f>
        <v>1.8390787807757162E-2</v>
      </c>
      <c r="X77" s="75" t="s">
        <v>15</v>
      </c>
      <c r="Y77" s="76">
        <f>$N$2-AB77</f>
        <v>22</v>
      </c>
      <c r="Z77" s="96">
        <v>4</v>
      </c>
      <c r="AA77" s="97">
        <v>763.786189238514</v>
      </c>
      <c r="AB77" s="98">
        <v>9</v>
      </c>
      <c r="AC77" s="99">
        <v>1</v>
      </c>
      <c r="AD77" s="79">
        <f>MAX(($P$2-AA77)/$P$2, 0)</f>
        <v>2.5782921889650513E-2</v>
      </c>
      <c r="AE77" s="97">
        <v>1.099100806</v>
      </c>
      <c r="AF77" s="101"/>
      <c r="AG77" s="81">
        <f>(AA77-AA79)/AA79</f>
        <v>1.4738631743158396E-2</v>
      </c>
      <c r="AI77" s="75" t="s">
        <v>15</v>
      </c>
      <c r="AJ77" s="76">
        <f>$N$2-AM77</f>
        <v>31</v>
      </c>
      <c r="AK77" s="96"/>
      <c r="AL77" s="97"/>
      <c r="AM77" s="98"/>
      <c r="AN77" s="99"/>
      <c r="AO77" s="79">
        <f>MAX(($P$2-AL77)/$P$2, 0)</f>
        <v>1</v>
      </c>
      <c r="AP77" s="97"/>
    </row>
    <row r="78" spans="1:44" x14ac:dyDescent="0.3">
      <c r="B78" s="84" t="s">
        <v>16</v>
      </c>
      <c r="C78" s="85">
        <f>$N$2-F78</f>
        <v>19</v>
      </c>
      <c r="D78" s="100">
        <v>4</v>
      </c>
      <c r="E78" s="102">
        <v>668.74057084478102</v>
      </c>
      <c r="F78" s="103">
        <v>12</v>
      </c>
      <c r="G78" s="104">
        <v>1</v>
      </c>
      <c r="H78" s="88">
        <f>MAX(($P$2-E78)/$P$2, 0)</f>
        <v>0.14701457800410583</v>
      </c>
      <c r="I78" s="102">
        <v>89.161886019999997</v>
      </c>
      <c r="J78" s="68">
        <v>375</v>
      </c>
      <c r="K78" s="81">
        <f>(E78-E79)/E79</f>
        <v>0</v>
      </c>
      <c r="M78" s="84" t="s">
        <v>16</v>
      </c>
      <c r="N78" s="85">
        <f>$N$2-Q78</f>
        <v>20</v>
      </c>
      <c r="O78" s="100">
        <v>4</v>
      </c>
      <c r="P78" s="102">
        <v>708.30675145229804</v>
      </c>
      <c r="Q78" s="103">
        <v>11</v>
      </c>
      <c r="R78" s="104">
        <v>1</v>
      </c>
      <c r="S78" s="88">
        <f>MAX(($P$2-P78)/$P$2, 0)</f>
        <v>9.6547510902681072E-2</v>
      </c>
      <c r="T78" s="102">
        <v>35.772921339</v>
      </c>
      <c r="U78" s="100">
        <v>147</v>
      </c>
      <c r="V78" s="81">
        <f>(P78-P79)/P79</f>
        <v>0</v>
      </c>
      <c r="X78" s="84" t="s">
        <v>16</v>
      </c>
      <c r="Y78" s="85">
        <f>$N$2-AB78</f>
        <v>23</v>
      </c>
      <c r="Z78" s="100">
        <v>4</v>
      </c>
      <c r="AA78" s="102">
        <v>752.692531205254</v>
      </c>
      <c r="AB78" s="103">
        <v>8</v>
      </c>
      <c r="AC78" s="104">
        <v>1</v>
      </c>
      <c r="AD78" s="88">
        <f>MAX(($P$2-AA78)/$P$2, 0)</f>
        <v>3.9932995911665818E-2</v>
      </c>
      <c r="AE78" s="102">
        <v>47.95819805</v>
      </c>
      <c r="AF78" s="101">
        <v>153</v>
      </c>
      <c r="AG78" s="81">
        <f>(AA78-AA79)/AA79</f>
        <v>0</v>
      </c>
      <c r="AI78" s="84" t="s">
        <v>16</v>
      </c>
      <c r="AJ78" s="85">
        <f>$N$2-AM78</f>
        <v>31</v>
      </c>
      <c r="AK78" s="100"/>
      <c r="AL78" s="102"/>
      <c r="AM78" s="103"/>
      <c r="AN78" s="104"/>
      <c r="AO78" s="88">
        <f>MAX(($P$2-AL78)/$P$2, 0)</f>
        <v>1</v>
      </c>
      <c r="AP78" s="102"/>
    </row>
    <row r="79" spans="1:44" ht="15" thickBot="1" x14ac:dyDescent="0.35">
      <c r="A79" s="105" t="s">
        <v>40</v>
      </c>
      <c r="B79" s="90" t="s">
        <v>17</v>
      </c>
      <c r="C79" s="91">
        <f>$N$2-F79</f>
        <v>19</v>
      </c>
      <c r="D79" s="60">
        <v>4</v>
      </c>
      <c r="E79" s="61">
        <v>668.74057084478102</v>
      </c>
      <c r="F79" s="62">
        <v>12</v>
      </c>
      <c r="G79" s="63">
        <v>1</v>
      </c>
      <c r="H79" s="94">
        <f>MAX(($P$2-E79)/$P$2,0)</f>
        <v>0.14701457800410583</v>
      </c>
      <c r="I79" s="61"/>
      <c r="K79" s="100"/>
      <c r="M79" s="90" t="s">
        <v>17</v>
      </c>
      <c r="N79" s="91">
        <f>$N$2-Q79</f>
        <v>20</v>
      </c>
      <c r="O79" s="60">
        <v>4</v>
      </c>
      <c r="P79" s="61">
        <v>708.30675145229804</v>
      </c>
      <c r="Q79" s="62">
        <v>11</v>
      </c>
      <c r="R79" s="63">
        <v>1</v>
      </c>
      <c r="S79" s="94">
        <f>MAX(($P$2-P79)/$P$2,0)</f>
        <v>9.6547510902681072E-2</v>
      </c>
      <c r="T79" s="61"/>
      <c r="U79" s="100"/>
      <c r="V79" s="100"/>
      <c r="X79" s="90" t="s">
        <v>17</v>
      </c>
      <c r="Y79" s="91">
        <f>$N$2-AB79</f>
        <v>23</v>
      </c>
      <c r="Z79" s="60">
        <v>4</v>
      </c>
      <c r="AA79" s="61">
        <v>752.692531205254</v>
      </c>
      <c r="AB79" s="62">
        <v>8</v>
      </c>
      <c r="AC79" s="63">
        <v>1</v>
      </c>
      <c r="AD79" s="94">
        <f>MAX(($P$2-AA79)/$P$2,0)</f>
        <v>3.9932995911665818E-2</v>
      </c>
      <c r="AE79" s="61">
        <v>160140.798074411</v>
      </c>
      <c r="AF79" s="101"/>
      <c r="AG79" s="100"/>
      <c r="AI79" s="90" t="s">
        <v>17</v>
      </c>
      <c r="AJ79" s="91">
        <f>$N$2-AM79</f>
        <v>31</v>
      </c>
      <c r="AK79" s="60"/>
      <c r="AL79" s="61"/>
      <c r="AM79" s="62"/>
      <c r="AN79" s="63"/>
      <c r="AO79" s="94">
        <f>MAX(($P$2-AL79)/$P$2,0)</f>
        <v>1</v>
      </c>
      <c r="AP79" s="61"/>
    </row>
    <row r="80" spans="1:44" ht="15" thickBot="1" x14ac:dyDescent="0.35">
      <c r="C80" s="68"/>
      <c r="D80" s="68"/>
      <c r="E80" s="68"/>
      <c r="F80" s="68"/>
      <c r="G80" s="68"/>
      <c r="H80" s="68"/>
      <c r="I80" s="68"/>
      <c r="K80" s="106"/>
      <c r="N80" s="68"/>
      <c r="O80" s="68"/>
      <c r="P80" s="68"/>
      <c r="Q80" s="68"/>
      <c r="R80" s="68"/>
      <c r="S80" s="68"/>
      <c r="T80" s="68"/>
      <c r="U80" s="106"/>
      <c r="V80" s="106"/>
      <c r="Y80" s="68"/>
      <c r="Z80" s="68"/>
      <c r="AA80" s="68"/>
      <c r="AB80" s="68"/>
      <c r="AC80" s="68"/>
      <c r="AD80" s="68"/>
      <c r="AE80" s="68"/>
      <c r="AF80" s="107"/>
      <c r="AG80" s="106"/>
      <c r="AJ80" s="68"/>
      <c r="AK80" s="68"/>
      <c r="AL80" s="68"/>
      <c r="AM80" s="68"/>
      <c r="AN80" s="68"/>
      <c r="AO80" s="68"/>
      <c r="AP80" s="68"/>
    </row>
    <row r="81" spans="1:42" x14ac:dyDescent="0.3">
      <c r="B81" s="75" t="s">
        <v>15</v>
      </c>
      <c r="C81" s="76">
        <f>$N$2-F81</f>
        <v>18</v>
      </c>
      <c r="D81" s="96">
        <v>4</v>
      </c>
      <c r="E81" s="97">
        <v>721.43750382823202</v>
      </c>
      <c r="F81" s="98">
        <v>13</v>
      </c>
      <c r="G81" s="99">
        <v>1</v>
      </c>
      <c r="H81" s="79">
        <f>MAX(($P$2-E81)/$P$2, 0)</f>
        <v>7.9799102259908133E-2</v>
      </c>
      <c r="I81" s="97">
        <v>3.5754231139999999</v>
      </c>
      <c r="K81" s="81">
        <f>(E81-E83)/E83</f>
        <v>9.0969813776193245E-2</v>
      </c>
      <c r="M81" s="75" t="s">
        <v>15</v>
      </c>
      <c r="N81" s="76">
        <f>$N$2-Q81</f>
        <v>19</v>
      </c>
      <c r="O81" s="96">
        <v>4</v>
      </c>
      <c r="P81" s="97">
        <v>709.02153499937401</v>
      </c>
      <c r="Q81" s="98">
        <v>12</v>
      </c>
      <c r="R81" s="99">
        <v>1</v>
      </c>
      <c r="S81" s="79">
        <f>MAX(($P$2-P81)/$P$2, 0)</f>
        <v>9.5635797194676006E-2</v>
      </c>
      <c r="T81" s="97">
        <v>1.173795608</v>
      </c>
      <c r="U81" s="100"/>
      <c r="V81" s="81">
        <f>(P81-P83)/P83</f>
        <v>5.5308646705222321E-2</v>
      </c>
      <c r="X81" s="75" t="s">
        <v>15</v>
      </c>
      <c r="Y81" s="76">
        <f>$N$2-AB81</f>
        <v>19</v>
      </c>
      <c r="Z81" s="96">
        <v>4</v>
      </c>
      <c r="AA81" s="97">
        <v>712.53310516163697</v>
      </c>
      <c r="AB81" s="98">
        <v>12</v>
      </c>
      <c r="AC81" s="99">
        <v>1</v>
      </c>
      <c r="AD81" s="79">
        <f>MAX(($P$2-AA81)/$P$2, 0)</f>
        <v>9.1156753620361006E-2</v>
      </c>
      <c r="AE81" s="97">
        <v>0.79429569899999997</v>
      </c>
      <c r="AF81" s="101"/>
      <c r="AG81" s="81">
        <f>(AA81-AA83)/AA83</f>
        <v>6.2524917107744812E-2</v>
      </c>
      <c r="AI81" s="75" t="s">
        <v>15</v>
      </c>
      <c r="AJ81" s="76">
        <f>$N$2-AM81</f>
        <v>31</v>
      </c>
      <c r="AK81" s="96"/>
      <c r="AL81" s="97"/>
      <c r="AM81" s="98"/>
      <c r="AN81" s="99"/>
      <c r="AO81" s="79">
        <f>MAX(($P$2-AL81)/$P$2, 0)</f>
        <v>1</v>
      </c>
      <c r="AP81" s="97"/>
    </row>
    <row r="82" spans="1:42" x14ac:dyDescent="0.3">
      <c r="B82" s="84" t="s">
        <v>16</v>
      </c>
      <c r="C82" s="85">
        <f>$N$2-F82</f>
        <v>18</v>
      </c>
      <c r="D82" s="100">
        <v>4</v>
      </c>
      <c r="E82" s="102">
        <v>661.28090320951003</v>
      </c>
      <c r="F82" s="103">
        <v>13</v>
      </c>
      <c r="G82" s="104">
        <v>1</v>
      </c>
      <c r="H82" s="88">
        <f>MAX(($P$2-E82)/$P$2, 0)</f>
        <v>0.15652946019195149</v>
      </c>
      <c r="I82" s="102">
        <v>37.770488618000002</v>
      </c>
      <c r="J82" s="68">
        <v>102</v>
      </c>
      <c r="K82" s="81">
        <f>(E82-E83)/E83</f>
        <v>0</v>
      </c>
      <c r="M82" s="84" t="s">
        <v>16</v>
      </c>
      <c r="N82" s="85">
        <f>$N$2-Q82</f>
        <v>20</v>
      </c>
      <c r="O82" s="100">
        <v>4</v>
      </c>
      <c r="P82" s="102">
        <v>676.51179098120497</v>
      </c>
      <c r="Q82" s="103">
        <v>11</v>
      </c>
      <c r="R82" s="104">
        <v>1</v>
      </c>
      <c r="S82" s="88">
        <f>MAX(($P$2-P82)/$P$2, 0)</f>
        <v>0.13710230742193244</v>
      </c>
      <c r="T82" s="102">
        <v>54.076874242999999</v>
      </c>
      <c r="U82" s="100">
        <v>205</v>
      </c>
      <c r="V82" s="81">
        <f>(P82-P83)/P83</f>
        <v>6.9210981315708043E-3</v>
      </c>
      <c r="W82" s="108">
        <f>AA82-[1]Graph!G12</f>
        <v>606.60171340628358</v>
      </c>
      <c r="X82" s="84" t="s">
        <v>16</v>
      </c>
      <c r="Y82" s="85">
        <f>$N$2-AB82</f>
        <v>22</v>
      </c>
      <c r="Z82" s="100">
        <v>4</v>
      </c>
      <c r="AA82" s="102">
        <v>670.60366650148205</v>
      </c>
      <c r="AB82" s="103">
        <v>9</v>
      </c>
      <c r="AC82" s="104">
        <v>1</v>
      </c>
      <c r="AD82" s="88">
        <f>MAX(($P$2-AA82)/$P$2, 0)</f>
        <v>0.1446381804828035</v>
      </c>
      <c r="AE82" s="102">
        <v>48.569816531999997</v>
      </c>
      <c r="AF82" s="101">
        <v>173</v>
      </c>
      <c r="AG82" s="81">
        <f>(AA82-AA83)/AA83</f>
        <v>0</v>
      </c>
      <c r="AI82" s="84" t="s">
        <v>16</v>
      </c>
      <c r="AJ82" s="85">
        <f>$N$2-AM82</f>
        <v>31</v>
      </c>
      <c r="AK82" s="100"/>
      <c r="AL82" s="102"/>
      <c r="AM82" s="103"/>
      <c r="AN82" s="104"/>
      <c r="AO82" s="88">
        <f>MAX(($P$2-AL82)/$P$2, 0)</f>
        <v>1</v>
      </c>
      <c r="AP82" s="102"/>
    </row>
    <row r="83" spans="1:42" ht="15" thickBot="1" x14ac:dyDescent="0.35">
      <c r="A83" s="105" t="s">
        <v>19</v>
      </c>
      <c r="B83" s="90" t="s">
        <v>17</v>
      </c>
      <c r="C83" s="91">
        <f>$N$2-F83</f>
        <v>18</v>
      </c>
      <c r="D83" s="60">
        <v>4</v>
      </c>
      <c r="E83" s="61">
        <v>661.28090320951003</v>
      </c>
      <c r="F83" s="62">
        <v>13</v>
      </c>
      <c r="G83" s="63">
        <v>1</v>
      </c>
      <c r="H83" s="94">
        <f>MAX(($P$2-E83)/$P$2,0)</f>
        <v>0.15652946019195149</v>
      </c>
      <c r="I83" s="61">
        <v>87803.284714423004</v>
      </c>
      <c r="K83" s="100"/>
      <c r="M83" s="90" t="s">
        <v>17</v>
      </c>
      <c r="N83" s="91">
        <f>$N$2-Q83</f>
        <v>20</v>
      </c>
      <c r="O83" s="60">
        <v>4</v>
      </c>
      <c r="P83" s="61">
        <v>671.86176974196997</v>
      </c>
      <c r="Q83" s="62">
        <v>11</v>
      </c>
      <c r="R83" s="63">
        <v>1</v>
      </c>
      <c r="S83" s="94">
        <f>MAX(($P$2-P83)/$P$2,0)</f>
        <v>0.143033456961773</v>
      </c>
      <c r="T83" s="61">
        <v>157446.13123109101</v>
      </c>
      <c r="U83" s="100"/>
      <c r="V83" s="100"/>
      <c r="X83" s="90" t="s">
        <v>17</v>
      </c>
      <c r="Y83" s="91">
        <f>$N$2-AB83</f>
        <v>22</v>
      </c>
      <c r="Z83" s="60">
        <v>4</v>
      </c>
      <c r="AA83" s="61">
        <v>670.60366650148205</v>
      </c>
      <c r="AB83" s="62">
        <v>9</v>
      </c>
      <c r="AC83" s="63">
        <v>1</v>
      </c>
      <c r="AD83" s="94">
        <f>MAX(($P$2-AA83)/$P$2,0)</f>
        <v>0.1446381804828035</v>
      </c>
      <c r="AE83" s="61">
        <v>3217.3065810530002</v>
      </c>
      <c r="AF83" s="101"/>
      <c r="AG83" s="100"/>
      <c r="AI83" s="90" t="s">
        <v>17</v>
      </c>
      <c r="AJ83" s="91">
        <f>$N$2-AM83</f>
        <v>31</v>
      </c>
      <c r="AK83" s="60"/>
      <c r="AL83" s="61"/>
      <c r="AM83" s="62"/>
      <c r="AN83" s="63"/>
      <c r="AO83" s="94">
        <f>MAX(($P$2-AL83)/$P$2,0)</f>
        <v>1</v>
      </c>
      <c r="AP83" s="61"/>
    </row>
    <row r="84" spans="1:42" ht="15" thickBot="1" x14ac:dyDescent="0.35">
      <c r="A84" s="105"/>
      <c r="C84" s="68"/>
      <c r="D84" s="68"/>
      <c r="E84" s="68"/>
      <c r="F84" s="68"/>
      <c r="G84" s="68"/>
      <c r="H84" s="68"/>
      <c r="I84" s="68"/>
      <c r="K84" s="106"/>
      <c r="N84" s="68"/>
      <c r="O84" s="68"/>
      <c r="P84" s="68"/>
      <c r="Q84" s="68"/>
      <c r="R84" s="68"/>
      <c r="S84" s="68"/>
      <c r="T84" s="68"/>
      <c r="U84" s="106"/>
      <c r="V84" s="106"/>
      <c r="Y84" s="68"/>
      <c r="Z84" s="68"/>
      <c r="AA84" s="68"/>
      <c r="AB84" s="68"/>
      <c r="AC84" s="68"/>
      <c r="AD84" s="68"/>
      <c r="AE84" s="68"/>
      <c r="AF84" s="107"/>
      <c r="AG84" s="106"/>
      <c r="AJ84" s="68"/>
      <c r="AK84" s="68"/>
      <c r="AL84" s="68"/>
      <c r="AM84" s="68"/>
      <c r="AN84" s="68"/>
      <c r="AO84" s="68"/>
      <c r="AP84" s="68"/>
    </row>
    <row r="85" spans="1:42" x14ac:dyDescent="0.3">
      <c r="B85" s="75" t="s">
        <v>15</v>
      </c>
      <c r="C85" s="76">
        <f>$N$2-F85</f>
        <v>18</v>
      </c>
      <c r="D85" s="96">
        <v>4</v>
      </c>
      <c r="E85" s="97">
        <v>665.35967587399603</v>
      </c>
      <c r="F85" s="98">
        <v>13</v>
      </c>
      <c r="G85" s="99">
        <v>1</v>
      </c>
      <c r="H85" s="79">
        <f>MAX(($P$2-E85)/$P$2, 0)</f>
        <v>0.15132694403827038</v>
      </c>
      <c r="I85" s="97">
        <v>1.8553416840000001</v>
      </c>
      <c r="K85" s="81">
        <f>(E85-E87)/E87</f>
        <v>1.8505758347340875E-3</v>
      </c>
      <c r="M85" s="75" t="s">
        <v>15</v>
      </c>
      <c r="N85" s="76">
        <f>$N$2-Q85</f>
        <v>22</v>
      </c>
      <c r="O85" s="96">
        <v>4</v>
      </c>
      <c r="P85" s="97">
        <v>765.74853488481699</v>
      </c>
      <c r="Q85" s="98">
        <v>9</v>
      </c>
      <c r="R85" s="99">
        <v>1</v>
      </c>
      <c r="S85" s="79">
        <f>MAX(($P$2-P85)/$P$2, 0)</f>
        <v>2.3279929993855881E-2</v>
      </c>
      <c r="T85" s="97">
        <v>1.6612815970000001</v>
      </c>
      <c r="U85" s="100"/>
      <c r="V85" s="81">
        <f>(P85-P87)/P87</f>
        <v>0</v>
      </c>
      <c r="X85" s="75" t="s">
        <v>15</v>
      </c>
      <c r="Y85" s="76">
        <f>$N$2-AB85</f>
        <v>22</v>
      </c>
      <c r="Z85" s="96">
        <v>4</v>
      </c>
      <c r="AA85" s="97">
        <v>745.60273597172704</v>
      </c>
      <c r="AB85" s="98">
        <v>9</v>
      </c>
      <c r="AC85" s="99">
        <v>1</v>
      </c>
      <c r="AD85" s="79">
        <f>MAX(($P$2-AA85)/$P$2, 0)</f>
        <v>4.8976102076878775E-2</v>
      </c>
      <c r="AE85" s="97">
        <v>1.0744407899999999</v>
      </c>
      <c r="AF85" s="101"/>
      <c r="AG85" s="81">
        <f>(AA85-AA87)/AA87</f>
        <v>4.3379866633367868E-2</v>
      </c>
      <c r="AI85" s="75" t="s">
        <v>15</v>
      </c>
      <c r="AJ85" s="76">
        <f>$N$2-AM85</f>
        <v>31</v>
      </c>
      <c r="AK85" s="96"/>
      <c r="AL85" s="97"/>
      <c r="AM85" s="98"/>
      <c r="AN85" s="99"/>
      <c r="AO85" s="79">
        <f>MAX(($P$2-AL85)/$P$2, 0)</f>
        <v>1</v>
      </c>
      <c r="AP85" s="97"/>
    </row>
    <row r="86" spans="1:42" x14ac:dyDescent="0.3">
      <c r="B86" s="84" t="s">
        <v>16</v>
      </c>
      <c r="C86" s="85">
        <f>$N$2-F86</f>
        <v>18</v>
      </c>
      <c r="D86" s="100">
        <v>4</v>
      </c>
      <c r="E86" s="102">
        <v>664.13065173878203</v>
      </c>
      <c r="F86" s="103">
        <v>13</v>
      </c>
      <c r="G86" s="104">
        <v>1</v>
      </c>
      <c r="H86" s="88">
        <f>MAX(($P$2-E86)/$P$2, 0)</f>
        <v>0.15289457686379843</v>
      </c>
      <c r="I86" s="102">
        <v>34.95411627</v>
      </c>
      <c r="J86" s="68">
        <v>162</v>
      </c>
      <c r="K86" s="81">
        <f>(E86-E87)/E87</f>
        <v>0</v>
      </c>
      <c r="M86" s="84" t="s">
        <v>16</v>
      </c>
      <c r="N86" s="85">
        <f>$N$2-Q86</f>
        <v>22</v>
      </c>
      <c r="O86" s="100">
        <v>4</v>
      </c>
      <c r="P86" s="102">
        <v>765.74853488481699</v>
      </c>
      <c r="Q86" s="103">
        <v>9</v>
      </c>
      <c r="R86" s="104">
        <v>1</v>
      </c>
      <c r="S86" s="88">
        <f>MAX(($P$2-P86)/$P$2, 0)</f>
        <v>2.3279929993855881E-2</v>
      </c>
      <c r="T86" s="102">
        <v>35.536644744999997</v>
      </c>
      <c r="U86" s="100">
        <v>100</v>
      </c>
      <c r="V86" s="81">
        <f>(P86-P87)/P87</f>
        <v>0</v>
      </c>
      <c r="X86" s="84" t="s">
        <v>16</v>
      </c>
      <c r="Y86" s="85">
        <f>$N$2-AB86</f>
        <v>23</v>
      </c>
      <c r="Z86" s="100">
        <v>4</v>
      </c>
      <c r="AA86" s="102">
        <v>714.60333845384105</v>
      </c>
      <c r="AB86" s="103">
        <v>8</v>
      </c>
      <c r="AC86" s="104">
        <v>1</v>
      </c>
      <c r="AD86" s="88">
        <f>MAX(($P$2-AA86)/$P$2, 0)</f>
        <v>8.85161499313252E-2</v>
      </c>
      <c r="AE86" s="102">
        <v>69.638089569000002</v>
      </c>
      <c r="AF86" s="101">
        <v>176</v>
      </c>
      <c r="AG86" s="81">
        <f>(AA86-AA87)/AA87</f>
        <v>1.431817463529296E-15</v>
      </c>
      <c r="AI86" s="84" t="s">
        <v>16</v>
      </c>
      <c r="AJ86" s="85">
        <f>$N$2-AM86</f>
        <v>31</v>
      </c>
      <c r="AK86" s="100"/>
      <c r="AL86" s="102"/>
      <c r="AM86" s="103"/>
      <c r="AN86" s="104"/>
      <c r="AO86" s="88">
        <f>MAX(($P$2-AL86)/$P$2, 0)</f>
        <v>1</v>
      </c>
      <c r="AP86" s="102"/>
    </row>
    <row r="87" spans="1:42" ht="15" thickBot="1" x14ac:dyDescent="0.35">
      <c r="A87" s="105" t="s">
        <v>41</v>
      </c>
      <c r="B87" s="90" t="s">
        <v>17</v>
      </c>
      <c r="C87" s="91">
        <f>$N$2-F87</f>
        <v>18</v>
      </c>
      <c r="D87" s="60">
        <v>4</v>
      </c>
      <c r="E87" s="61">
        <v>664.13065173878203</v>
      </c>
      <c r="F87" s="62">
        <v>13</v>
      </c>
      <c r="G87" s="63">
        <v>1</v>
      </c>
      <c r="H87" s="94">
        <f>MAX(($P$2-E87)/$P$2,0)</f>
        <v>0.15289457686379843</v>
      </c>
      <c r="I87" s="61"/>
      <c r="K87" s="100"/>
      <c r="M87" s="90" t="s">
        <v>17</v>
      </c>
      <c r="N87" s="91">
        <f>$N$2-Q87</f>
        <v>22</v>
      </c>
      <c r="O87" s="60">
        <v>4</v>
      </c>
      <c r="P87" s="61">
        <v>765.74853488481699</v>
      </c>
      <c r="Q87" s="62">
        <v>9</v>
      </c>
      <c r="R87" s="63">
        <v>1</v>
      </c>
      <c r="S87" s="94">
        <f>MAX(($P$2-P87)/$P$2,0)</f>
        <v>2.3279929993855881E-2</v>
      </c>
      <c r="T87" s="61"/>
      <c r="U87" s="100"/>
      <c r="V87" s="100"/>
      <c r="X87" s="90" t="s">
        <v>17</v>
      </c>
      <c r="Y87" s="91">
        <f>$N$2-AB87</f>
        <v>23</v>
      </c>
      <c r="Z87" s="60">
        <v>4</v>
      </c>
      <c r="AA87" s="61">
        <v>714.60333845384002</v>
      </c>
      <c r="AB87" s="62">
        <v>8</v>
      </c>
      <c r="AC87" s="63">
        <v>1</v>
      </c>
      <c r="AD87" s="94">
        <f>MAX(($P$2-AA87)/$P$2,0)</f>
        <v>8.8516149931326504E-2</v>
      </c>
      <c r="AE87" s="61"/>
      <c r="AF87" s="101"/>
      <c r="AG87" s="100"/>
      <c r="AI87" s="90" t="s">
        <v>17</v>
      </c>
      <c r="AJ87" s="91">
        <f>$N$2-AM87</f>
        <v>31</v>
      </c>
      <c r="AK87" s="60"/>
      <c r="AL87" s="61"/>
      <c r="AM87" s="62"/>
      <c r="AN87" s="63"/>
      <c r="AO87" s="94">
        <f>MAX(($P$2-AL87)/$P$2,0)</f>
        <v>1</v>
      </c>
      <c r="AP87" s="61"/>
    </row>
  </sheetData>
  <mergeCells count="48">
    <mergeCell ref="AO4:AP4"/>
    <mergeCell ref="C3:I3"/>
    <mergeCell ref="N3:T3"/>
    <mergeCell ref="Y3:AE3"/>
    <mergeCell ref="AJ3:AP3"/>
    <mergeCell ref="C4:E4"/>
    <mergeCell ref="F4:G4"/>
    <mergeCell ref="H4:I4"/>
    <mergeCell ref="N4:P4"/>
    <mergeCell ref="Q4:R4"/>
    <mergeCell ref="S4:T4"/>
    <mergeCell ref="Y4:AA4"/>
    <mergeCell ref="AB4:AC4"/>
    <mergeCell ref="AD4:AE4"/>
    <mergeCell ref="AJ4:AL4"/>
    <mergeCell ref="AM4:AN4"/>
    <mergeCell ref="AO33:AP33"/>
    <mergeCell ref="C32:I32"/>
    <mergeCell ref="N32:T32"/>
    <mergeCell ref="Y32:AE32"/>
    <mergeCell ref="AJ32:AP32"/>
    <mergeCell ref="C33:E33"/>
    <mergeCell ref="F33:G33"/>
    <mergeCell ref="H33:I33"/>
    <mergeCell ref="N33:P33"/>
    <mergeCell ref="Q33:R33"/>
    <mergeCell ref="S33:T33"/>
    <mergeCell ref="Y33:AA33"/>
    <mergeCell ref="AB33:AC33"/>
    <mergeCell ref="AD33:AE33"/>
    <mergeCell ref="AJ33:AL33"/>
    <mergeCell ref="AM33:AN33"/>
    <mergeCell ref="AO62:AP62"/>
    <mergeCell ref="C61:I61"/>
    <mergeCell ref="N61:T61"/>
    <mergeCell ref="Y61:AE61"/>
    <mergeCell ref="AJ61:AP61"/>
    <mergeCell ref="C62:E62"/>
    <mergeCell ref="F62:G62"/>
    <mergeCell ref="H62:I62"/>
    <mergeCell ref="N62:P62"/>
    <mergeCell ref="Q62:R62"/>
    <mergeCell ref="S62:T62"/>
    <mergeCell ref="Y62:AA62"/>
    <mergeCell ref="AB62:AC62"/>
    <mergeCell ref="AD62:AE62"/>
    <mergeCell ref="AJ62:AL62"/>
    <mergeCell ref="AM62:AN62"/>
  </mergeCells>
  <conditionalFormatting sqref="AA13">
    <cfRule type="expression" dxfId="18" priority="3">
      <formula>AA13=MIN($AA$11:$AA$13)</formula>
    </cfRule>
  </conditionalFormatting>
  <conditionalFormatting sqref="AA21">
    <cfRule type="expression" dxfId="17" priority="2">
      <formula>$AA$19=MIN($AA$19:$AA$21)</formula>
    </cfRule>
  </conditionalFormatting>
  <conditionalFormatting sqref="AA25">
    <cfRule type="expression" dxfId="16" priority="1">
      <formula>$AA$19=MIN($AA$19:$AA$21)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workbookViewId="0">
      <selection activeCell="L145" sqref="L145"/>
    </sheetView>
  </sheetViews>
  <sheetFormatPr defaultRowHeight="21" x14ac:dyDescent="0.3"/>
  <cols>
    <col min="1" max="7" width="8.88671875" style="184"/>
    <col min="8" max="8" width="8.88671875" style="182"/>
    <col min="9" max="10" width="8.88671875" style="184"/>
    <col min="11" max="11" width="8.88671875" style="193"/>
    <col min="12" max="16" width="8.88671875" style="184"/>
    <col min="17" max="17" width="9.33203125" style="184" bestFit="1" customWidth="1"/>
    <col min="18" max="19" width="8.88671875" style="184"/>
    <col min="20" max="20" width="17.21875" style="184" bestFit="1" customWidth="1"/>
    <col min="21" max="16384" width="8.88671875" style="184"/>
  </cols>
  <sheetData>
    <row r="1" spans="1:21" x14ac:dyDescent="0.3">
      <c r="A1" s="3" t="s">
        <v>69</v>
      </c>
      <c r="B1" s="3"/>
      <c r="C1" s="182"/>
      <c r="D1" s="3"/>
      <c r="E1" s="3"/>
      <c r="F1" s="3"/>
      <c r="G1" s="3"/>
      <c r="H1" s="3"/>
      <c r="I1" s="3"/>
      <c r="J1" s="3"/>
      <c r="K1" s="183"/>
      <c r="L1" s="3" t="s">
        <v>70</v>
      </c>
      <c r="M1" s="3"/>
      <c r="N1" s="3"/>
      <c r="O1" s="3"/>
    </row>
    <row r="2" spans="1:21" x14ac:dyDescent="0.3">
      <c r="A2" s="3" t="s">
        <v>292</v>
      </c>
      <c r="B2" s="3"/>
      <c r="C2" s="182"/>
      <c r="D2" s="3"/>
      <c r="E2" s="3"/>
      <c r="F2" s="3"/>
      <c r="G2" s="3"/>
      <c r="H2" s="3"/>
      <c r="I2" s="3"/>
      <c r="J2" s="3"/>
      <c r="K2" s="183"/>
      <c r="L2" s="3" t="s">
        <v>293</v>
      </c>
      <c r="M2" s="3"/>
      <c r="N2" s="3"/>
      <c r="O2" s="3"/>
      <c r="P2" s="165">
        <f>575286/1000</f>
        <v>575.28599999999994</v>
      </c>
      <c r="Q2" s="165">
        <f>6858304/1000</f>
        <v>6858.3040000000001</v>
      </c>
      <c r="R2" s="184" t="str">
        <f>"1"&amp;" "&amp;P2&amp;" "&amp;Q2</f>
        <v>1 575.286 6858.304</v>
      </c>
    </row>
    <row r="3" spans="1:21" ht="27.6" x14ac:dyDescent="0.3">
      <c r="A3" s="143" t="s">
        <v>100</v>
      </c>
      <c r="B3" s="143" t="s">
        <v>101</v>
      </c>
      <c r="C3" s="143"/>
      <c r="D3" s="115" t="s">
        <v>102</v>
      </c>
      <c r="E3" s="185"/>
      <c r="F3" s="298" t="s">
        <v>79</v>
      </c>
      <c r="G3" s="299"/>
      <c r="H3" s="300"/>
      <c r="I3" s="186" t="s">
        <v>103</v>
      </c>
      <c r="J3" s="187"/>
      <c r="K3" s="188"/>
      <c r="L3" s="168" t="s">
        <v>104</v>
      </c>
      <c r="M3" s="168" t="s">
        <v>105</v>
      </c>
      <c r="N3" s="168" t="s">
        <v>106</v>
      </c>
      <c r="O3" s="168" t="s">
        <v>107</v>
      </c>
      <c r="T3" s="184" t="s">
        <v>108</v>
      </c>
      <c r="U3" s="184" t="s">
        <v>109</v>
      </c>
    </row>
    <row r="4" spans="1:21" x14ac:dyDescent="0.3">
      <c r="A4" s="189">
        <v>5</v>
      </c>
      <c r="B4" s="190">
        <v>1</v>
      </c>
      <c r="C4" s="182">
        <f t="shared" ref="C4:C10" si="0">COUNTIF($D$4:$D$150,D4)</f>
        <v>1</v>
      </c>
      <c r="D4" s="191" t="s">
        <v>294</v>
      </c>
      <c r="E4" s="182">
        <v>2</v>
      </c>
      <c r="F4" s="192" t="s">
        <v>295</v>
      </c>
      <c r="H4" s="182">
        <v>0</v>
      </c>
      <c r="I4" s="191">
        <v>21</v>
      </c>
      <c r="J4" s="191" t="str">
        <f>H4&amp;" "&amp;H4&amp;" "&amp;E4&amp;" "&amp;I4</f>
        <v>0 0 2 21</v>
      </c>
      <c r="K4" s="193">
        <v>1</v>
      </c>
      <c r="L4" s="194">
        <v>1493</v>
      </c>
      <c r="M4" s="192" t="s">
        <v>295</v>
      </c>
      <c r="N4" s="195">
        <v>12</v>
      </c>
      <c r="O4" s="195" t="s">
        <v>117</v>
      </c>
      <c r="P4" s="3">
        <f>VLOOKUP(L4,[4]Stores!$A$2:$G$1026,6,FALSE)/1000</f>
        <v>555.01800000000003</v>
      </c>
      <c r="Q4" s="3">
        <f>VLOOKUP(L4,[4]Stores!$A$2:$G$1026,7,FALSE)/1000</f>
        <v>6857.4409999999998</v>
      </c>
      <c r="R4" s="3">
        <f t="shared" ref="R4:R10" si="1">SQRT((P4-$P$2)^2+(Q4-$Q$2)^2)</f>
        <v>20.286364706373515</v>
      </c>
      <c r="S4" s="182">
        <v>2</v>
      </c>
      <c r="T4" s="184" t="str">
        <f>S4&amp;" "&amp;P4&amp;" "&amp;Q4</f>
        <v>2 555.018 6857.441</v>
      </c>
      <c r="U4" s="184" t="str">
        <f>S4&amp;" "&amp;N4</f>
        <v>2 12</v>
      </c>
    </row>
    <row r="5" spans="1:21" x14ac:dyDescent="0.3">
      <c r="A5" s="189">
        <v>5</v>
      </c>
      <c r="B5" s="196">
        <v>1</v>
      </c>
      <c r="C5" s="182">
        <f t="shared" si="0"/>
        <v>1</v>
      </c>
      <c r="D5" s="191" t="s">
        <v>296</v>
      </c>
      <c r="E5" s="182">
        <v>3</v>
      </c>
      <c r="F5" s="192" t="s">
        <v>297</v>
      </c>
      <c r="H5" s="182">
        <v>1</v>
      </c>
      <c r="I5" s="191">
        <v>10</v>
      </c>
      <c r="J5" s="191" t="str">
        <f t="shared" ref="J5:J10" si="2">H5&amp;" "&amp;H5&amp;" "&amp;E5&amp;" "&amp;I5</f>
        <v>1 1 3 10</v>
      </c>
      <c r="L5" s="194">
        <v>1275</v>
      </c>
      <c r="M5" s="192" t="s">
        <v>297</v>
      </c>
      <c r="N5" s="195">
        <v>7</v>
      </c>
      <c r="O5" s="195" t="s">
        <v>117</v>
      </c>
      <c r="P5" s="3">
        <f>VLOOKUP(L5,[4]Stores!$A$2:$G$1026,6,FALSE)/1000</f>
        <v>587.21</v>
      </c>
      <c r="Q5" s="3">
        <f>VLOOKUP(L5,[4]Stores!$A$2:$G$1026,7,FALSE)/1000</f>
        <v>6864.25</v>
      </c>
      <c r="R5" s="3">
        <f t="shared" si="1"/>
        <v>13.324289549540762</v>
      </c>
      <c r="S5" s="182">
        <v>3</v>
      </c>
      <c r="T5" s="184" t="str">
        <f t="shared" ref="T5:T10" si="3">S5&amp;" "&amp;P5&amp;" "&amp;Q5</f>
        <v>3 587.21 6864.25</v>
      </c>
      <c r="U5" s="184" t="str">
        <f t="shared" ref="U5:U10" si="4">S5&amp;" "&amp;N5</f>
        <v>3 7</v>
      </c>
    </row>
    <row r="6" spans="1:21" x14ac:dyDescent="0.3">
      <c r="A6" s="189">
        <v>5</v>
      </c>
      <c r="B6" s="190">
        <v>1</v>
      </c>
      <c r="C6" s="182">
        <f t="shared" si="0"/>
        <v>1</v>
      </c>
      <c r="D6" s="191" t="s">
        <v>298</v>
      </c>
      <c r="E6" s="182">
        <v>4</v>
      </c>
      <c r="F6" s="192" t="s">
        <v>299</v>
      </c>
      <c r="H6" s="182">
        <v>2</v>
      </c>
      <c r="I6" s="191">
        <v>2</v>
      </c>
      <c r="J6" s="191" t="str">
        <f t="shared" si="2"/>
        <v>2 2 4 2</v>
      </c>
      <c r="L6" s="197">
        <v>1855</v>
      </c>
      <c r="M6" s="192" t="s">
        <v>299</v>
      </c>
      <c r="N6" s="195">
        <v>6</v>
      </c>
      <c r="O6" s="195" t="s">
        <v>112</v>
      </c>
      <c r="P6" s="3">
        <f>VLOOKUP(L6,[4]Stores!$A$2:$G$1026,6,FALSE)/1000</f>
        <v>558.572</v>
      </c>
      <c r="Q6" s="3">
        <f>VLOOKUP(L6,[4]Stores!$A$2:$G$1026,7,FALSE)/1000</f>
        <v>6853.2460000000001</v>
      </c>
      <c r="R6" s="3">
        <f t="shared" si="1"/>
        <v>17.46256453101886</v>
      </c>
      <c r="S6" s="182">
        <v>4</v>
      </c>
      <c r="T6" s="184" t="str">
        <f t="shared" si="3"/>
        <v>4 558.572 6853.246</v>
      </c>
      <c r="U6" s="184" t="str">
        <f t="shared" si="4"/>
        <v>4 6</v>
      </c>
    </row>
    <row r="7" spans="1:21" x14ac:dyDescent="0.3">
      <c r="A7" s="189">
        <v>5</v>
      </c>
      <c r="B7" s="190">
        <v>1</v>
      </c>
      <c r="C7" s="182">
        <f t="shared" si="0"/>
        <v>1</v>
      </c>
      <c r="D7" s="191" t="s">
        <v>300</v>
      </c>
      <c r="E7" s="182">
        <v>5</v>
      </c>
      <c r="F7" s="192" t="s">
        <v>301</v>
      </c>
      <c r="H7" s="182">
        <v>3</v>
      </c>
      <c r="I7" s="191">
        <v>12</v>
      </c>
      <c r="J7" s="191" t="str">
        <f t="shared" si="2"/>
        <v>3 3 5 12</v>
      </c>
      <c r="L7" s="194">
        <v>1516</v>
      </c>
      <c r="M7" s="192" t="s">
        <v>301</v>
      </c>
      <c r="N7" s="195">
        <v>12</v>
      </c>
      <c r="O7" s="195" t="s">
        <v>117</v>
      </c>
      <c r="P7" s="3">
        <f>VLOOKUP(L7,[4]Stores!$A$2:$G$1026,6,FALSE)/1000</f>
        <v>551.43299999999999</v>
      </c>
      <c r="Q7" s="3">
        <f>VLOOKUP(L7,[4]Stores!$A$2:$G$1026,7,FALSE)/1000</f>
        <v>6885.0559999999996</v>
      </c>
      <c r="R7" s="3">
        <f t="shared" si="1"/>
        <v>35.841806776444329</v>
      </c>
      <c r="S7" s="182">
        <v>5</v>
      </c>
      <c r="T7" s="184" t="str">
        <f t="shared" si="3"/>
        <v>5 551.433 6885.056</v>
      </c>
      <c r="U7" s="184" t="str">
        <f t="shared" si="4"/>
        <v>5 12</v>
      </c>
    </row>
    <row r="8" spans="1:21" x14ac:dyDescent="0.3">
      <c r="A8" s="189">
        <v>5</v>
      </c>
      <c r="B8" s="190">
        <v>1</v>
      </c>
      <c r="C8" s="182">
        <f t="shared" si="0"/>
        <v>1</v>
      </c>
      <c r="D8" s="191" t="s">
        <v>302</v>
      </c>
      <c r="E8" s="182">
        <v>6</v>
      </c>
      <c r="F8" s="192" t="s">
        <v>303</v>
      </c>
      <c r="H8" s="182">
        <v>4</v>
      </c>
      <c r="I8" s="191">
        <v>18</v>
      </c>
      <c r="J8" s="191" t="str">
        <f t="shared" si="2"/>
        <v>4 4 6 18</v>
      </c>
      <c r="L8" s="194">
        <v>1385</v>
      </c>
      <c r="M8" s="192" t="s">
        <v>303</v>
      </c>
      <c r="N8" s="195">
        <v>13</v>
      </c>
      <c r="O8" s="195" t="s">
        <v>117</v>
      </c>
      <c r="P8" s="3">
        <f>VLOOKUP(L8,[4]Stores!$A$2:$G$1026,6,FALSE)/1000</f>
        <v>526.59100000000001</v>
      </c>
      <c r="Q8" s="3">
        <f>VLOOKUP(L8,[4]Stores!$A$2:$G$1026,7,FALSE)/1000</f>
        <v>6905.1279999999997</v>
      </c>
      <c r="R8" s="3">
        <f t="shared" si="1"/>
        <v>67.555088638828366</v>
      </c>
      <c r="S8" s="182">
        <v>6</v>
      </c>
      <c r="T8" s="184" t="str">
        <f t="shared" si="3"/>
        <v>6 526.591 6905.128</v>
      </c>
      <c r="U8" s="184" t="str">
        <f t="shared" si="4"/>
        <v>6 13</v>
      </c>
    </row>
    <row r="9" spans="1:21" x14ac:dyDescent="0.3">
      <c r="A9" s="189">
        <v>5</v>
      </c>
      <c r="B9" s="190">
        <v>1</v>
      </c>
      <c r="C9" s="182">
        <f t="shared" si="0"/>
        <v>1</v>
      </c>
      <c r="D9" s="191" t="s">
        <v>304</v>
      </c>
      <c r="E9" s="182">
        <v>7</v>
      </c>
      <c r="F9" s="192" t="s">
        <v>305</v>
      </c>
      <c r="H9" s="182">
        <v>5</v>
      </c>
      <c r="I9" s="191">
        <v>5</v>
      </c>
      <c r="J9" s="191" t="str">
        <f t="shared" si="2"/>
        <v>5 5 7 5</v>
      </c>
      <c r="L9" s="194">
        <v>1403</v>
      </c>
      <c r="M9" s="192" t="s">
        <v>305</v>
      </c>
      <c r="N9" s="195">
        <v>12</v>
      </c>
      <c r="O9" s="195" t="s">
        <v>112</v>
      </c>
      <c r="P9" s="3">
        <f>VLOOKUP(L9,[4]Stores!$A$2:$G$1026,6,FALSE)/1000</f>
        <v>529.14200000000005</v>
      </c>
      <c r="Q9" s="3">
        <f>VLOOKUP(L9,[4]Stores!$A$2:$G$1026,7,FALSE)/1000</f>
        <v>6911.6909999999998</v>
      </c>
      <c r="R9" s="3">
        <f t="shared" si="1"/>
        <v>70.565150782804679</v>
      </c>
      <c r="S9" s="182">
        <v>7</v>
      </c>
      <c r="T9" s="184" t="str">
        <f t="shared" si="3"/>
        <v>7 529.142 6911.691</v>
      </c>
      <c r="U9" s="184" t="str">
        <f t="shared" si="4"/>
        <v>7 12</v>
      </c>
    </row>
    <row r="10" spans="1:21" x14ac:dyDescent="0.3">
      <c r="A10" s="189">
        <v>5</v>
      </c>
      <c r="B10" s="190">
        <v>1</v>
      </c>
      <c r="C10" s="182">
        <f t="shared" si="0"/>
        <v>1</v>
      </c>
      <c r="D10" s="191" t="s">
        <v>306</v>
      </c>
      <c r="E10" s="182">
        <v>8</v>
      </c>
      <c r="F10" s="192" t="s">
        <v>307</v>
      </c>
      <c r="H10" s="182">
        <v>6</v>
      </c>
      <c r="I10" s="191">
        <v>10</v>
      </c>
      <c r="J10" s="191" t="str">
        <f t="shared" si="2"/>
        <v>6 6 8 10</v>
      </c>
      <c r="L10" s="194">
        <v>1625</v>
      </c>
      <c r="M10" s="192" t="s">
        <v>307</v>
      </c>
      <c r="N10" s="195">
        <v>5</v>
      </c>
      <c r="O10" s="195" t="s">
        <v>117</v>
      </c>
      <c r="P10" s="3">
        <f>VLOOKUP(L10,[4]Stores!$A$2:$G$1026,6,FALSE)/1000</f>
        <v>517.77800000000002</v>
      </c>
      <c r="Q10" s="3">
        <f>VLOOKUP(L10,[4]Stores!$A$2:$G$1026,7,FALSE)/1000</f>
        <v>6884.4170000000004</v>
      </c>
      <c r="R10" s="3">
        <f t="shared" si="1"/>
        <v>63.158996453395346</v>
      </c>
      <c r="S10" s="182">
        <v>8</v>
      </c>
      <c r="T10" s="184" t="str">
        <f t="shared" si="3"/>
        <v>8 517.778 6884.417</v>
      </c>
      <c r="U10" s="184" t="str">
        <f t="shared" si="4"/>
        <v>8 5</v>
      </c>
    </row>
    <row r="11" spans="1:21" hidden="1" x14ac:dyDescent="0.3">
      <c r="A11" s="189"/>
      <c r="B11" s="190"/>
      <c r="C11" s="182"/>
      <c r="D11" s="191"/>
      <c r="E11" s="191"/>
      <c r="F11" s="192"/>
      <c r="I11" s="191"/>
      <c r="J11" s="191"/>
      <c r="L11" s="197"/>
      <c r="M11" s="192"/>
      <c r="N11" s="195"/>
      <c r="O11" s="195"/>
    </row>
    <row r="12" spans="1:21" hidden="1" x14ac:dyDescent="0.3">
      <c r="A12" s="189">
        <v>5</v>
      </c>
      <c r="B12" s="190">
        <v>2</v>
      </c>
      <c r="C12" s="182">
        <f>COUNTIF($D$4:$D$150,D12)</f>
        <v>1</v>
      </c>
      <c r="D12" s="191" t="s">
        <v>308</v>
      </c>
      <c r="E12" s="191"/>
      <c r="F12" s="192" t="s">
        <v>301</v>
      </c>
      <c r="I12" s="191">
        <v>18</v>
      </c>
      <c r="J12" s="191"/>
      <c r="L12" s="194">
        <v>1516</v>
      </c>
      <c r="M12" s="192" t="s">
        <v>301</v>
      </c>
      <c r="N12" s="195">
        <v>11</v>
      </c>
      <c r="O12" s="195" t="s">
        <v>117</v>
      </c>
    </row>
    <row r="13" spans="1:21" hidden="1" x14ac:dyDescent="0.3">
      <c r="A13" s="189">
        <v>5</v>
      </c>
      <c r="B13" s="190">
        <v>2</v>
      </c>
      <c r="C13" s="182">
        <f>COUNTIF($D$4:$D$150,D13)</f>
        <v>1</v>
      </c>
      <c r="D13" s="191" t="s">
        <v>309</v>
      </c>
      <c r="E13" s="191"/>
      <c r="F13" s="192" t="s">
        <v>303</v>
      </c>
      <c r="I13" s="191">
        <v>12</v>
      </c>
      <c r="J13" s="191"/>
      <c r="L13" s="194">
        <v>1385</v>
      </c>
      <c r="M13" s="192" t="s">
        <v>303</v>
      </c>
      <c r="N13" s="195">
        <v>11</v>
      </c>
      <c r="O13" s="195" t="s">
        <v>117</v>
      </c>
    </row>
    <row r="14" spans="1:21" hidden="1" x14ac:dyDescent="0.3">
      <c r="A14" s="189">
        <v>5</v>
      </c>
      <c r="B14" s="190">
        <v>3</v>
      </c>
      <c r="C14" s="182">
        <f>COUNTIF($D$4:$D$150,D14)</f>
        <v>1</v>
      </c>
      <c r="D14" s="191" t="s">
        <v>310</v>
      </c>
      <c r="E14" s="191"/>
      <c r="F14" s="192" t="s">
        <v>301</v>
      </c>
      <c r="I14" s="191">
        <v>14</v>
      </c>
      <c r="J14" s="191"/>
      <c r="L14" s="194">
        <v>1516</v>
      </c>
      <c r="M14" s="192" t="s">
        <v>301</v>
      </c>
      <c r="N14" s="195">
        <v>8</v>
      </c>
      <c r="O14" s="195" t="s">
        <v>117</v>
      </c>
    </row>
    <row r="15" spans="1:21" hidden="1" x14ac:dyDescent="0.3">
      <c r="A15" s="189">
        <v>5</v>
      </c>
      <c r="B15" s="190">
        <v>3</v>
      </c>
      <c r="C15" s="182">
        <f>COUNTIF($D$4:$D$150,D15)</f>
        <v>1</v>
      </c>
      <c r="D15" s="191" t="s">
        <v>311</v>
      </c>
      <c r="E15" s="191"/>
      <c r="F15" s="192" t="s">
        <v>303</v>
      </c>
      <c r="I15" s="191">
        <v>22</v>
      </c>
      <c r="J15" s="191"/>
      <c r="L15" s="194">
        <v>1385</v>
      </c>
      <c r="M15" s="192" t="s">
        <v>303</v>
      </c>
      <c r="N15" s="195">
        <v>8</v>
      </c>
      <c r="O15" s="195" t="s">
        <v>117</v>
      </c>
    </row>
    <row r="16" spans="1:21" x14ac:dyDescent="0.3">
      <c r="A16" s="189"/>
      <c r="B16" s="190"/>
      <c r="C16" s="182"/>
      <c r="D16" s="191"/>
      <c r="E16" s="191"/>
      <c r="F16" s="192"/>
      <c r="I16" s="191"/>
      <c r="J16" s="191"/>
      <c r="L16" s="194"/>
      <c r="M16" s="192"/>
      <c r="N16" s="195"/>
      <c r="O16" s="195"/>
    </row>
    <row r="17" spans="1:21" x14ac:dyDescent="0.3">
      <c r="A17" s="189">
        <v>5</v>
      </c>
      <c r="B17" s="198">
        <v>4</v>
      </c>
      <c r="C17" s="182">
        <f t="shared" ref="C17:C23" si="5">COUNTIF($D$4:$D$150,D17)</f>
        <v>1</v>
      </c>
      <c r="D17" s="191" t="s">
        <v>312</v>
      </c>
      <c r="E17" s="182">
        <v>2</v>
      </c>
      <c r="F17" s="192" t="s">
        <v>295</v>
      </c>
      <c r="H17" s="182">
        <v>0</v>
      </c>
      <c r="I17" s="191">
        <v>12</v>
      </c>
      <c r="J17" s="191" t="str">
        <f>H17&amp;" "&amp;H17&amp;" "&amp;E17&amp;" "&amp;I17</f>
        <v>0 0 2 12</v>
      </c>
      <c r="K17" s="193">
        <v>2</v>
      </c>
      <c r="L17" s="194">
        <v>1493</v>
      </c>
      <c r="M17" s="192" t="s">
        <v>295</v>
      </c>
      <c r="N17" s="195">
        <v>11</v>
      </c>
      <c r="O17" s="195" t="s">
        <v>117</v>
      </c>
      <c r="P17" s="3">
        <f>VLOOKUP(L17,[4]Stores!$A$2:$G$1026,6,FALSE)/1000</f>
        <v>555.01800000000003</v>
      </c>
      <c r="Q17" s="3">
        <f>VLOOKUP(L17,[4]Stores!$A$2:$G$1026,7,FALSE)/1000</f>
        <v>6857.4409999999998</v>
      </c>
      <c r="R17" s="3">
        <f t="shared" ref="R17:R23" si="6">SQRT((P17-$P$2)^2+(Q17-$Q$2)^2)</f>
        <v>20.286364706373515</v>
      </c>
      <c r="S17" s="182">
        <v>2</v>
      </c>
      <c r="T17" s="184" t="str">
        <f>S17&amp;" "&amp;P17&amp;" "&amp;Q17</f>
        <v>2 555.018 6857.441</v>
      </c>
      <c r="U17" s="184" t="str">
        <f>S17&amp;" "&amp;N17</f>
        <v>2 11</v>
      </c>
    </row>
    <row r="18" spans="1:21" x14ac:dyDescent="0.3">
      <c r="A18" s="189">
        <v>5</v>
      </c>
      <c r="B18" s="196">
        <v>4</v>
      </c>
      <c r="C18" s="182">
        <f t="shared" si="5"/>
        <v>1</v>
      </c>
      <c r="D18" s="191" t="s">
        <v>313</v>
      </c>
      <c r="E18" s="182">
        <v>3</v>
      </c>
      <c r="F18" s="192" t="s">
        <v>297</v>
      </c>
      <c r="H18" s="182">
        <v>1</v>
      </c>
      <c r="I18" s="191">
        <v>1</v>
      </c>
      <c r="J18" s="191" t="str">
        <f t="shared" ref="J18:J23" si="7">H18&amp;" "&amp;H18&amp;" "&amp;E18&amp;" "&amp;I18</f>
        <v>1 1 3 1</v>
      </c>
      <c r="L18" s="194">
        <v>1275</v>
      </c>
      <c r="M18" s="192" t="s">
        <v>297</v>
      </c>
      <c r="N18" s="195">
        <v>5</v>
      </c>
      <c r="O18" s="195" t="s">
        <v>112</v>
      </c>
      <c r="P18" s="3">
        <f>VLOOKUP(L18,[4]Stores!$A$2:$G$1026,6,FALSE)/1000</f>
        <v>587.21</v>
      </c>
      <c r="Q18" s="3">
        <f>VLOOKUP(L18,[4]Stores!$A$2:$G$1026,7,FALSE)/1000</f>
        <v>6864.25</v>
      </c>
      <c r="R18" s="3">
        <f t="shared" si="6"/>
        <v>13.324289549540762</v>
      </c>
      <c r="S18" s="182">
        <v>3</v>
      </c>
      <c r="T18" s="184" t="str">
        <f t="shared" ref="T18:T23" si="8">S18&amp;" "&amp;P18&amp;" "&amp;Q18</f>
        <v>3 587.21 6864.25</v>
      </c>
      <c r="U18" s="184" t="str">
        <f t="shared" ref="U18:U23" si="9">S18&amp;" "&amp;N18</f>
        <v>3 5</v>
      </c>
    </row>
    <row r="19" spans="1:21" x14ac:dyDescent="0.3">
      <c r="A19" s="189">
        <v>5</v>
      </c>
      <c r="B19" s="190">
        <v>4</v>
      </c>
      <c r="C19" s="182">
        <f t="shared" si="5"/>
        <v>1</v>
      </c>
      <c r="D19" s="191" t="s">
        <v>140</v>
      </c>
      <c r="E19" s="182">
        <v>4</v>
      </c>
      <c r="F19" s="192" t="s">
        <v>299</v>
      </c>
      <c r="H19" s="182">
        <v>2</v>
      </c>
      <c r="I19" s="191">
        <v>16</v>
      </c>
      <c r="J19" s="191" t="str">
        <f t="shared" si="7"/>
        <v>2 2 4 16</v>
      </c>
      <c r="L19" s="197">
        <v>1855</v>
      </c>
      <c r="M19" s="192" t="s">
        <v>299</v>
      </c>
      <c r="N19" s="195">
        <v>6</v>
      </c>
      <c r="O19" s="195" t="s">
        <v>117</v>
      </c>
      <c r="P19" s="3">
        <f>VLOOKUP(L19,[4]Stores!$A$2:$G$1026,6,FALSE)/1000</f>
        <v>558.572</v>
      </c>
      <c r="Q19" s="3">
        <f>VLOOKUP(L19,[4]Stores!$A$2:$G$1026,7,FALSE)/1000</f>
        <v>6853.2460000000001</v>
      </c>
      <c r="R19" s="3">
        <f t="shared" si="6"/>
        <v>17.46256453101886</v>
      </c>
      <c r="S19" s="182">
        <v>4</v>
      </c>
      <c r="T19" s="184" t="str">
        <f t="shared" si="8"/>
        <v>4 558.572 6853.246</v>
      </c>
      <c r="U19" s="184" t="str">
        <f t="shared" si="9"/>
        <v>4 6</v>
      </c>
    </row>
    <row r="20" spans="1:21" x14ac:dyDescent="0.3">
      <c r="A20" s="189">
        <v>5</v>
      </c>
      <c r="B20" s="198">
        <v>4</v>
      </c>
      <c r="C20" s="182">
        <f t="shared" si="5"/>
        <v>1</v>
      </c>
      <c r="D20" s="191" t="s">
        <v>314</v>
      </c>
      <c r="E20" s="182">
        <v>5</v>
      </c>
      <c r="F20" s="192" t="s">
        <v>301</v>
      </c>
      <c r="H20" s="182">
        <v>3</v>
      </c>
      <c r="I20" s="191">
        <v>11</v>
      </c>
      <c r="J20" s="191" t="str">
        <f t="shared" si="7"/>
        <v>3 3 5 11</v>
      </c>
      <c r="L20" s="194">
        <v>1516</v>
      </c>
      <c r="M20" s="192" t="s">
        <v>301</v>
      </c>
      <c r="N20" s="195">
        <v>12</v>
      </c>
      <c r="O20" s="195" t="s">
        <v>112</v>
      </c>
      <c r="P20" s="3">
        <f>VLOOKUP(L20,[4]Stores!$A$2:$G$1026,6,FALSE)/1000</f>
        <v>551.43299999999999</v>
      </c>
      <c r="Q20" s="3">
        <f>VLOOKUP(L20,[4]Stores!$A$2:$G$1026,7,FALSE)/1000</f>
        <v>6885.0559999999996</v>
      </c>
      <c r="R20" s="3">
        <f t="shared" si="6"/>
        <v>35.841806776444329</v>
      </c>
      <c r="S20" s="182">
        <v>5</v>
      </c>
      <c r="T20" s="184" t="str">
        <f t="shared" si="8"/>
        <v>5 551.433 6885.056</v>
      </c>
      <c r="U20" s="184" t="str">
        <f t="shared" si="9"/>
        <v>5 12</v>
      </c>
    </row>
    <row r="21" spans="1:21" x14ac:dyDescent="0.3">
      <c r="A21" s="189">
        <v>5</v>
      </c>
      <c r="B21" s="190">
        <v>4</v>
      </c>
      <c r="C21" s="182">
        <f t="shared" si="5"/>
        <v>1</v>
      </c>
      <c r="D21" s="191" t="s">
        <v>315</v>
      </c>
      <c r="E21" s="182">
        <v>6</v>
      </c>
      <c r="F21" s="192" t="s">
        <v>303</v>
      </c>
      <c r="H21" s="182">
        <v>4</v>
      </c>
      <c r="I21" s="191">
        <v>14</v>
      </c>
      <c r="J21" s="191" t="str">
        <f t="shared" si="7"/>
        <v>4 4 6 14</v>
      </c>
      <c r="L21" s="194">
        <v>1385</v>
      </c>
      <c r="M21" s="192" t="s">
        <v>303</v>
      </c>
      <c r="N21" s="195">
        <v>11</v>
      </c>
      <c r="O21" s="195" t="s">
        <v>117</v>
      </c>
      <c r="P21" s="3">
        <f>VLOOKUP(L21,[4]Stores!$A$2:$G$1026,6,FALSE)/1000</f>
        <v>526.59100000000001</v>
      </c>
      <c r="Q21" s="3">
        <f>VLOOKUP(L21,[4]Stores!$A$2:$G$1026,7,FALSE)/1000</f>
        <v>6905.1279999999997</v>
      </c>
      <c r="R21" s="3">
        <f t="shared" si="6"/>
        <v>67.555088638828366</v>
      </c>
      <c r="S21" s="182">
        <v>6</v>
      </c>
      <c r="T21" s="184" t="str">
        <f t="shared" si="8"/>
        <v>6 526.591 6905.128</v>
      </c>
      <c r="U21" s="184" t="str">
        <f t="shared" si="9"/>
        <v>6 11</v>
      </c>
    </row>
    <row r="22" spans="1:21" x14ac:dyDescent="0.3">
      <c r="A22" s="189">
        <v>5</v>
      </c>
      <c r="B22" s="190">
        <v>4</v>
      </c>
      <c r="C22" s="182">
        <f t="shared" si="5"/>
        <v>1</v>
      </c>
      <c r="D22" s="191" t="s">
        <v>316</v>
      </c>
      <c r="E22" s="182">
        <v>7</v>
      </c>
      <c r="F22" s="192" t="s">
        <v>305</v>
      </c>
      <c r="H22" s="182">
        <v>5</v>
      </c>
      <c r="I22" s="191">
        <v>5</v>
      </c>
      <c r="J22" s="191" t="str">
        <f t="shared" si="7"/>
        <v>5 5 7 5</v>
      </c>
      <c r="L22" s="194">
        <v>1403</v>
      </c>
      <c r="M22" s="192" t="s">
        <v>305</v>
      </c>
      <c r="N22" s="195">
        <v>8</v>
      </c>
      <c r="O22" s="195" t="s">
        <v>112</v>
      </c>
      <c r="P22" s="3">
        <f>VLOOKUP(L22,[4]Stores!$A$2:$G$1026,6,FALSE)/1000</f>
        <v>529.14200000000005</v>
      </c>
      <c r="Q22" s="3">
        <f>VLOOKUP(L22,[4]Stores!$A$2:$G$1026,7,FALSE)/1000</f>
        <v>6911.6909999999998</v>
      </c>
      <c r="R22" s="3">
        <f t="shared" si="6"/>
        <v>70.565150782804679</v>
      </c>
      <c r="S22" s="182">
        <v>7</v>
      </c>
      <c r="T22" s="184" t="str">
        <f t="shared" si="8"/>
        <v>7 529.142 6911.691</v>
      </c>
      <c r="U22" s="184" t="str">
        <f t="shared" si="9"/>
        <v>7 8</v>
      </c>
    </row>
    <row r="23" spans="1:21" x14ac:dyDescent="0.3">
      <c r="A23" s="189">
        <v>5</v>
      </c>
      <c r="B23" s="198">
        <v>4</v>
      </c>
      <c r="C23" s="182">
        <f t="shared" si="5"/>
        <v>1</v>
      </c>
      <c r="D23" s="191" t="s">
        <v>317</v>
      </c>
      <c r="E23" s="182">
        <v>8</v>
      </c>
      <c r="F23" s="192" t="s">
        <v>307</v>
      </c>
      <c r="H23" s="182">
        <v>6</v>
      </c>
      <c r="I23" s="191">
        <v>14</v>
      </c>
      <c r="J23" s="191" t="str">
        <f t="shared" si="7"/>
        <v>6 6 8 14</v>
      </c>
      <c r="L23" s="194">
        <v>1625</v>
      </c>
      <c r="M23" s="192" t="s">
        <v>307</v>
      </c>
      <c r="N23" s="195">
        <v>5</v>
      </c>
      <c r="O23" s="195" t="s">
        <v>117</v>
      </c>
      <c r="P23" s="3">
        <f>VLOOKUP(L23,[4]Stores!$A$2:$G$1026,6,FALSE)/1000</f>
        <v>517.77800000000002</v>
      </c>
      <c r="Q23" s="3">
        <f>VLOOKUP(L23,[4]Stores!$A$2:$G$1026,7,FALSE)/1000</f>
        <v>6884.4170000000004</v>
      </c>
      <c r="R23" s="3">
        <f t="shared" si="6"/>
        <v>63.158996453395346</v>
      </c>
      <c r="S23" s="182">
        <v>8</v>
      </c>
      <c r="T23" s="184" t="str">
        <f t="shared" si="8"/>
        <v>8 517.778 6884.417</v>
      </c>
      <c r="U23" s="184" t="str">
        <f t="shared" si="9"/>
        <v>8 5</v>
      </c>
    </row>
    <row r="24" spans="1:21" x14ac:dyDescent="0.3">
      <c r="A24" s="189"/>
      <c r="B24" s="190"/>
      <c r="C24" s="182"/>
      <c r="D24" s="191"/>
      <c r="E24" s="191"/>
      <c r="F24" s="192"/>
      <c r="I24" s="191"/>
      <c r="J24" s="191"/>
      <c r="L24" s="197"/>
      <c r="M24" s="192"/>
      <c r="N24" s="195"/>
      <c r="O24" s="195"/>
      <c r="P24" s="3"/>
      <c r="Q24" s="3"/>
      <c r="R24" s="3"/>
    </row>
    <row r="25" spans="1:21" x14ac:dyDescent="0.3">
      <c r="A25" s="189">
        <v>5</v>
      </c>
      <c r="B25" s="190">
        <v>5</v>
      </c>
      <c r="C25" s="182">
        <f t="shared" ref="C25:C31" si="10">COUNTIF($D$4:$D$150,D25)</f>
        <v>1</v>
      </c>
      <c r="D25" s="191" t="s">
        <v>318</v>
      </c>
      <c r="E25" s="182">
        <v>2</v>
      </c>
      <c r="F25" s="192" t="s">
        <v>295</v>
      </c>
      <c r="H25" s="182">
        <v>0</v>
      </c>
      <c r="I25" s="191">
        <v>15</v>
      </c>
      <c r="J25" s="191" t="str">
        <f>H25&amp;" "&amp;H25&amp;" "&amp;E25&amp;" "&amp;I25</f>
        <v>0 0 2 15</v>
      </c>
      <c r="K25" s="193">
        <v>3</v>
      </c>
      <c r="L25" s="194">
        <v>1493</v>
      </c>
      <c r="M25" s="192" t="s">
        <v>295</v>
      </c>
      <c r="N25" s="195">
        <v>11</v>
      </c>
      <c r="O25" s="195" t="s">
        <v>117</v>
      </c>
      <c r="P25" s="3">
        <f>VLOOKUP(L25,[4]Stores!$A$2:$G$1026,6,FALSE)/1000</f>
        <v>555.01800000000003</v>
      </c>
      <c r="Q25" s="3">
        <f>VLOOKUP(L25,[4]Stores!$A$2:$G$1026,7,FALSE)/1000</f>
        <v>6857.4409999999998</v>
      </c>
      <c r="R25" s="3">
        <f t="shared" ref="R25:R31" si="11">SQRT((P25-$P$2)^2+(Q25-$Q$2)^2)</f>
        <v>20.286364706373515</v>
      </c>
      <c r="S25" s="182">
        <v>2</v>
      </c>
      <c r="T25" s="184" t="str">
        <f>S25&amp;" "&amp;P25&amp;" "&amp;Q25</f>
        <v>2 555.018 6857.441</v>
      </c>
      <c r="U25" s="184" t="str">
        <f>S25&amp;" "&amp;N25</f>
        <v>2 11</v>
      </c>
    </row>
    <row r="26" spans="1:21" x14ac:dyDescent="0.3">
      <c r="A26" s="189">
        <v>5</v>
      </c>
      <c r="B26" s="196">
        <v>5</v>
      </c>
      <c r="C26" s="182">
        <f t="shared" si="10"/>
        <v>1</v>
      </c>
      <c r="D26" s="191" t="s">
        <v>319</v>
      </c>
      <c r="E26" s="182">
        <v>3</v>
      </c>
      <c r="F26" s="192" t="s">
        <v>297</v>
      </c>
      <c r="H26" s="182">
        <v>1</v>
      </c>
      <c r="I26" s="191">
        <v>10</v>
      </c>
      <c r="J26" s="191" t="str">
        <f t="shared" ref="J26:J89" si="12">H26&amp;" "&amp;H26&amp;" "&amp;E26&amp;" "&amp;I26</f>
        <v>1 1 3 10</v>
      </c>
      <c r="L26" s="194">
        <v>1275</v>
      </c>
      <c r="M26" s="192" t="s">
        <v>297</v>
      </c>
      <c r="N26" s="195">
        <v>8</v>
      </c>
      <c r="O26" s="195" t="s">
        <v>117</v>
      </c>
      <c r="P26" s="3">
        <f>VLOOKUP(L26,[4]Stores!$A$2:$G$1026,6,FALSE)/1000</f>
        <v>587.21</v>
      </c>
      <c r="Q26" s="3">
        <f>VLOOKUP(L26,[4]Stores!$A$2:$G$1026,7,FALSE)/1000</f>
        <v>6864.25</v>
      </c>
      <c r="R26" s="3">
        <f t="shared" si="11"/>
        <v>13.324289549540762</v>
      </c>
      <c r="S26" s="182">
        <v>3</v>
      </c>
      <c r="T26" s="184" t="str">
        <f t="shared" ref="T26:T31" si="13">S26&amp;" "&amp;P26&amp;" "&amp;Q26</f>
        <v>3 587.21 6864.25</v>
      </c>
      <c r="U26" s="184" t="str">
        <f t="shared" ref="U26:U31" si="14">S26&amp;" "&amp;N26</f>
        <v>3 8</v>
      </c>
    </row>
    <row r="27" spans="1:21" x14ac:dyDescent="0.3">
      <c r="A27" s="189">
        <v>5</v>
      </c>
      <c r="B27" s="190">
        <v>5</v>
      </c>
      <c r="C27" s="182">
        <f t="shared" si="10"/>
        <v>1</v>
      </c>
      <c r="D27" s="191" t="s">
        <v>320</v>
      </c>
      <c r="E27" s="182">
        <v>4</v>
      </c>
      <c r="F27" s="192" t="s">
        <v>299</v>
      </c>
      <c r="H27" s="182">
        <v>2</v>
      </c>
      <c r="I27" s="191">
        <v>11</v>
      </c>
      <c r="J27" s="191" t="str">
        <f t="shared" si="12"/>
        <v>2 2 4 11</v>
      </c>
      <c r="L27" s="197">
        <v>1855</v>
      </c>
      <c r="M27" s="192" t="s">
        <v>299</v>
      </c>
      <c r="N27" s="195">
        <v>9</v>
      </c>
      <c r="O27" s="195" t="s">
        <v>117</v>
      </c>
      <c r="P27" s="3">
        <f>VLOOKUP(L27,[4]Stores!$A$2:$G$1026,6,FALSE)/1000</f>
        <v>558.572</v>
      </c>
      <c r="Q27" s="3">
        <f>VLOOKUP(L27,[4]Stores!$A$2:$G$1026,7,FALSE)/1000</f>
        <v>6853.2460000000001</v>
      </c>
      <c r="R27" s="3">
        <f t="shared" si="11"/>
        <v>17.46256453101886</v>
      </c>
      <c r="S27" s="182">
        <v>4</v>
      </c>
      <c r="T27" s="184" t="str">
        <f t="shared" si="13"/>
        <v>4 558.572 6853.246</v>
      </c>
      <c r="U27" s="184" t="str">
        <f t="shared" si="14"/>
        <v>4 9</v>
      </c>
    </row>
    <row r="28" spans="1:21" x14ac:dyDescent="0.3">
      <c r="A28" s="189">
        <v>5</v>
      </c>
      <c r="B28" s="190">
        <v>5</v>
      </c>
      <c r="C28" s="182">
        <f t="shared" si="10"/>
        <v>1</v>
      </c>
      <c r="D28" s="191" t="s">
        <v>321</v>
      </c>
      <c r="E28" s="182">
        <v>5</v>
      </c>
      <c r="F28" s="192" t="s">
        <v>301</v>
      </c>
      <c r="H28" s="182">
        <v>3</v>
      </c>
      <c r="I28" s="191">
        <v>16</v>
      </c>
      <c r="J28" s="191" t="str">
        <f t="shared" si="12"/>
        <v>3 3 5 16</v>
      </c>
      <c r="L28" s="194">
        <v>1516</v>
      </c>
      <c r="M28" s="192" t="s">
        <v>301</v>
      </c>
      <c r="N28" s="195">
        <f>12+19</f>
        <v>31</v>
      </c>
      <c r="O28" s="195" t="s">
        <v>112</v>
      </c>
      <c r="P28" s="3">
        <f>VLOOKUP(L28,[4]Stores!$A$2:$G$1026,6,FALSE)/1000</f>
        <v>551.43299999999999</v>
      </c>
      <c r="Q28" s="3">
        <f>VLOOKUP(L28,[4]Stores!$A$2:$G$1026,7,FALSE)/1000</f>
        <v>6885.0559999999996</v>
      </c>
      <c r="R28" s="3">
        <f t="shared" si="11"/>
        <v>35.841806776444329</v>
      </c>
      <c r="S28" s="182">
        <v>5</v>
      </c>
      <c r="T28" s="184" t="str">
        <f t="shared" si="13"/>
        <v>5 551.433 6885.056</v>
      </c>
      <c r="U28" s="184" t="str">
        <f t="shared" si="14"/>
        <v>5 31</v>
      </c>
    </row>
    <row r="29" spans="1:21" x14ac:dyDescent="0.3">
      <c r="A29" s="189">
        <v>5</v>
      </c>
      <c r="B29" s="190">
        <v>5</v>
      </c>
      <c r="C29" s="182">
        <f t="shared" si="10"/>
        <v>1</v>
      </c>
      <c r="D29" s="191" t="s">
        <v>322</v>
      </c>
      <c r="E29" s="182">
        <v>6</v>
      </c>
      <c r="F29" s="192" t="s">
        <v>303</v>
      </c>
      <c r="H29" s="182">
        <v>4</v>
      </c>
      <c r="I29" s="191">
        <v>10</v>
      </c>
      <c r="J29" s="191" t="str">
        <f t="shared" si="12"/>
        <v>4 4 6 10</v>
      </c>
      <c r="L29" s="194">
        <v>1385</v>
      </c>
      <c r="M29" s="192" t="s">
        <v>303</v>
      </c>
      <c r="N29" s="195">
        <f>9+16</f>
        <v>25</v>
      </c>
      <c r="O29" s="195" t="s">
        <v>112</v>
      </c>
      <c r="P29" s="3">
        <f>VLOOKUP(L29,[4]Stores!$A$2:$G$1026,6,FALSE)/1000</f>
        <v>526.59100000000001</v>
      </c>
      <c r="Q29" s="3">
        <f>VLOOKUP(L29,[4]Stores!$A$2:$G$1026,7,FALSE)/1000</f>
        <v>6905.1279999999997</v>
      </c>
      <c r="R29" s="3">
        <f t="shared" si="11"/>
        <v>67.555088638828366</v>
      </c>
      <c r="S29" s="182">
        <v>6</v>
      </c>
      <c r="T29" s="184" t="str">
        <f t="shared" si="13"/>
        <v>6 526.591 6905.128</v>
      </c>
      <c r="U29" s="184" t="str">
        <f t="shared" si="14"/>
        <v>6 25</v>
      </c>
    </row>
    <row r="30" spans="1:21" x14ac:dyDescent="0.3">
      <c r="A30" s="189">
        <v>5</v>
      </c>
      <c r="B30" s="198">
        <v>5</v>
      </c>
      <c r="C30" s="182">
        <f t="shared" si="10"/>
        <v>1</v>
      </c>
      <c r="D30" s="191" t="s">
        <v>323</v>
      </c>
      <c r="E30" s="182">
        <v>7</v>
      </c>
      <c r="F30" s="192" t="s">
        <v>305</v>
      </c>
      <c r="H30" s="182">
        <v>5</v>
      </c>
      <c r="I30" s="191">
        <v>3</v>
      </c>
      <c r="J30" s="191" t="str">
        <f t="shared" si="12"/>
        <v>5 5 7 3</v>
      </c>
      <c r="L30" s="194">
        <v>1403</v>
      </c>
      <c r="M30" s="192" t="s">
        <v>305</v>
      </c>
      <c r="N30" s="195">
        <v>8</v>
      </c>
      <c r="O30" s="195" t="s">
        <v>112</v>
      </c>
      <c r="P30" s="3">
        <f>VLOOKUP(L30,[4]Stores!$A$2:$G$1026,6,FALSE)/1000</f>
        <v>529.14200000000005</v>
      </c>
      <c r="Q30" s="3">
        <f>VLOOKUP(L30,[4]Stores!$A$2:$G$1026,7,FALSE)/1000</f>
        <v>6911.6909999999998</v>
      </c>
      <c r="R30" s="3">
        <f t="shared" si="11"/>
        <v>70.565150782804679</v>
      </c>
      <c r="S30" s="182">
        <v>7</v>
      </c>
      <c r="T30" s="184" t="str">
        <f t="shared" si="13"/>
        <v>7 529.142 6911.691</v>
      </c>
      <c r="U30" s="184" t="str">
        <f t="shared" si="14"/>
        <v>7 8</v>
      </c>
    </row>
    <row r="31" spans="1:21" x14ac:dyDescent="0.3">
      <c r="A31" s="189">
        <v>5</v>
      </c>
      <c r="B31" s="198">
        <v>5</v>
      </c>
      <c r="C31" s="182">
        <f t="shared" si="10"/>
        <v>1</v>
      </c>
      <c r="D31" s="191" t="s">
        <v>324</v>
      </c>
      <c r="E31" s="182">
        <v>8</v>
      </c>
      <c r="F31" s="192" t="s">
        <v>307</v>
      </c>
      <c r="H31" s="182">
        <v>6</v>
      </c>
      <c r="I31" s="191">
        <v>3</v>
      </c>
      <c r="J31" s="191" t="str">
        <f t="shared" si="12"/>
        <v>6 6 8 3</v>
      </c>
      <c r="L31" s="194">
        <v>1625</v>
      </c>
      <c r="M31" s="192" t="s">
        <v>307</v>
      </c>
      <c r="N31" s="195">
        <f>4+6</f>
        <v>10</v>
      </c>
      <c r="O31" s="195" t="s">
        <v>112</v>
      </c>
      <c r="P31" s="3">
        <f>VLOOKUP(L31,[4]Stores!$A$2:$G$1026,6,FALSE)/1000</f>
        <v>517.77800000000002</v>
      </c>
      <c r="Q31" s="3">
        <f>VLOOKUP(L31,[4]Stores!$A$2:$G$1026,7,FALSE)/1000</f>
        <v>6884.4170000000004</v>
      </c>
      <c r="R31" s="3">
        <f t="shared" si="11"/>
        <v>63.158996453395346</v>
      </c>
      <c r="S31" s="182">
        <v>8</v>
      </c>
      <c r="T31" s="184" t="str">
        <f t="shared" si="13"/>
        <v>8 517.778 6884.417</v>
      </c>
      <c r="U31" s="184" t="str">
        <f t="shared" si="14"/>
        <v>8 10</v>
      </c>
    </row>
    <row r="32" spans="1:21" x14ac:dyDescent="0.3">
      <c r="A32" s="189"/>
      <c r="B32" s="190"/>
      <c r="C32" s="182"/>
      <c r="D32" s="191"/>
      <c r="E32" s="191"/>
      <c r="F32" s="192"/>
      <c r="I32" s="191"/>
      <c r="J32" s="191"/>
      <c r="L32" s="194"/>
      <c r="M32" s="192"/>
      <c r="N32" s="195"/>
      <c r="O32" s="195"/>
      <c r="P32" s="3"/>
      <c r="Q32" s="3"/>
      <c r="R32" s="3"/>
    </row>
    <row r="33" spans="1:21" x14ac:dyDescent="0.3">
      <c r="A33" s="189">
        <v>5</v>
      </c>
      <c r="B33" s="198">
        <v>6</v>
      </c>
      <c r="C33" s="182">
        <f t="shared" ref="C33:C39" si="15">COUNTIF($D$4:$D$150,D33)</f>
        <v>1</v>
      </c>
      <c r="D33" s="191" t="s">
        <v>325</v>
      </c>
      <c r="E33" s="182">
        <v>2</v>
      </c>
      <c r="F33" s="192" t="s">
        <v>295</v>
      </c>
      <c r="H33" s="182">
        <v>0</v>
      </c>
      <c r="I33" s="191">
        <v>21</v>
      </c>
      <c r="J33" s="191" t="str">
        <f t="shared" si="12"/>
        <v>0 0 2 21</v>
      </c>
      <c r="K33" s="193">
        <v>4</v>
      </c>
      <c r="L33" s="194">
        <v>1493</v>
      </c>
      <c r="M33" s="192" t="s">
        <v>295</v>
      </c>
      <c r="N33" s="195">
        <v>8</v>
      </c>
      <c r="O33" s="195" t="s">
        <v>117</v>
      </c>
      <c r="P33" s="3">
        <f>VLOOKUP(L33,[4]Stores!$A$2:$G$1026,6,FALSE)/1000</f>
        <v>555.01800000000003</v>
      </c>
      <c r="Q33" s="3">
        <f>VLOOKUP(L33,[4]Stores!$A$2:$G$1026,7,FALSE)/1000</f>
        <v>6857.4409999999998</v>
      </c>
      <c r="R33" s="3">
        <f t="shared" ref="R33:R39" si="16">SQRT((P33-$P$2)^2+(Q33-$Q$2)^2)</f>
        <v>20.286364706373515</v>
      </c>
      <c r="S33" s="182">
        <v>2</v>
      </c>
      <c r="T33" s="184" t="str">
        <f>S33&amp;" "&amp;P33&amp;" "&amp;Q33</f>
        <v>2 555.018 6857.441</v>
      </c>
      <c r="U33" s="184" t="str">
        <f>S33&amp;" "&amp;N33</f>
        <v>2 8</v>
      </c>
    </row>
    <row r="34" spans="1:21" x14ac:dyDescent="0.3">
      <c r="A34" s="189">
        <v>5</v>
      </c>
      <c r="B34" s="196">
        <v>6</v>
      </c>
      <c r="C34" s="182">
        <f t="shared" si="15"/>
        <v>1</v>
      </c>
      <c r="D34" s="191" t="s">
        <v>326</v>
      </c>
      <c r="E34" s="182">
        <v>3</v>
      </c>
      <c r="F34" s="192" t="s">
        <v>297</v>
      </c>
      <c r="H34" s="182">
        <v>1</v>
      </c>
      <c r="I34" s="191">
        <v>2</v>
      </c>
      <c r="J34" s="191" t="str">
        <f t="shared" si="12"/>
        <v>1 1 3 2</v>
      </c>
      <c r="L34" s="194">
        <v>1275</v>
      </c>
      <c r="M34" s="192" t="s">
        <v>297</v>
      </c>
      <c r="N34" s="195">
        <v>4</v>
      </c>
      <c r="O34" s="195" t="s">
        <v>112</v>
      </c>
      <c r="P34" s="3">
        <f>VLOOKUP(L34,[4]Stores!$A$2:$G$1026,6,FALSE)/1000</f>
        <v>587.21</v>
      </c>
      <c r="Q34" s="3">
        <f>VLOOKUP(L34,[4]Stores!$A$2:$G$1026,7,FALSE)/1000</f>
        <v>6864.25</v>
      </c>
      <c r="R34" s="3">
        <f t="shared" si="16"/>
        <v>13.324289549540762</v>
      </c>
      <c r="S34" s="182">
        <v>3</v>
      </c>
      <c r="T34" s="184" t="str">
        <f t="shared" ref="T34:T39" si="17">S34&amp;" "&amp;P34&amp;" "&amp;Q34</f>
        <v>3 587.21 6864.25</v>
      </c>
      <c r="U34" s="184" t="str">
        <f t="shared" ref="U34:U39" si="18">S34&amp;" "&amp;N34</f>
        <v>3 4</v>
      </c>
    </row>
    <row r="35" spans="1:21" x14ac:dyDescent="0.3">
      <c r="A35" s="189">
        <v>5</v>
      </c>
      <c r="B35" s="198">
        <v>6</v>
      </c>
      <c r="C35" s="182">
        <f t="shared" si="15"/>
        <v>1</v>
      </c>
      <c r="D35" s="191" t="s">
        <v>327</v>
      </c>
      <c r="E35" s="182">
        <v>4</v>
      </c>
      <c r="F35" s="192" t="s">
        <v>299</v>
      </c>
      <c r="H35" s="182">
        <v>2</v>
      </c>
      <c r="I35" s="191">
        <v>5</v>
      </c>
      <c r="J35" s="191" t="str">
        <f t="shared" si="12"/>
        <v>2 2 4 5</v>
      </c>
      <c r="L35" s="197">
        <v>1855</v>
      </c>
      <c r="M35" s="192" t="s">
        <v>299</v>
      </c>
      <c r="N35" s="195">
        <v>5</v>
      </c>
      <c r="O35" s="195" t="s">
        <v>117</v>
      </c>
      <c r="P35" s="3">
        <f>VLOOKUP(L35,[4]Stores!$A$2:$G$1026,6,FALSE)/1000</f>
        <v>558.572</v>
      </c>
      <c r="Q35" s="3">
        <f>VLOOKUP(L35,[4]Stores!$A$2:$G$1026,7,FALSE)/1000</f>
        <v>6853.2460000000001</v>
      </c>
      <c r="R35" s="3">
        <f t="shared" si="16"/>
        <v>17.46256453101886</v>
      </c>
      <c r="S35" s="182">
        <v>4</v>
      </c>
      <c r="T35" s="184" t="str">
        <f t="shared" si="17"/>
        <v>4 558.572 6853.246</v>
      </c>
      <c r="U35" s="184" t="str">
        <f t="shared" si="18"/>
        <v>4 5</v>
      </c>
    </row>
    <row r="36" spans="1:21" x14ac:dyDescent="0.3">
      <c r="A36" s="189">
        <v>5</v>
      </c>
      <c r="B36" s="190">
        <v>6</v>
      </c>
      <c r="C36" s="182">
        <f t="shared" si="15"/>
        <v>1</v>
      </c>
      <c r="D36" s="191" t="s">
        <v>328</v>
      </c>
      <c r="E36" s="182">
        <v>5</v>
      </c>
      <c r="F36" s="192" t="s">
        <v>301</v>
      </c>
      <c r="H36" s="182">
        <v>3</v>
      </c>
      <c r="I36" s="191">
        <v>5</v>
      </c>
      <c r="J36" s="191" t="str">
        <f t="shared" si="12"/>
        <v>3 3 5 5</v>
      </c>
      <c r="L36" s="194">
        <v>1516</v>
      </c>
      <c r="M36" s="192" t="s">
        <v>301</v>
      </c>
      <c r="N36" s="195">
        <f>9+5</f>
        <v>14</v>
      </c>
      <c r="O36" s="195" t="s">
        <v>112</v>
      </c>
      <c r="P36" s="3">
        <f>VLOOKUP(L36,[4]Stores!$A$2:$G$1026,6,FALSE)/1000</f>
        <v>551.43299999999999</v>
      </c>
      <c r="Q36" s="3">
        <f>VLOOKUP(L36,[4]Stores!$A$2:$G$1026,7,FALSE)/1000</f>
        <v>6885.0559999999996</v>
      </c>
      <c r="R36" s="3">
        <f t="shared" si="16"/>
        <v>35.841806776444329</v>
      </c>
      <c r="S36" s="182">
        <v>5</v>
      </c>
      <c r="T36" s="184" t="str">
        <f t="shared" si="17"/>
        <v>5 551.433 6885.056</v>
      </c>
      <c r="U36" s="184" t="str">
        <f t="shared" si="18"/>
        <v>5 14</v>
      </c>
    </row>
    <row r="37" spans="1:21" x14ac:dyDescent="0.3">
      <c r="A37" s="189">
        <v>5</v>
      </c>
      <c r="B37" s="190">
        <v>6</v>
      </c>
      <c r="C37" s="182">
        <f t="shared" si="15"/>
        <v>1</v>
      </c>
      <c r="D37" s="191" t="s">
        <v>329</v>
      </c>
      <c r="E37" s="182">
        <v>6</v>
      </c>
      <c r="F37" s="192" t="s">
        <v>303</v>
      </c>
      <c r="H37" s="182">
        <v>4</v>
      </c>
      <c r="I37" s="191">
        <v>14</v>
      </c>
      <c r="J37" s="191" t="str">
        <f t="shared" si="12"/>
        <v>4 4 6 14</v>
      </c>
      <c r="L37" s="194">
        <v>1385</v>
      </c>
      <c r="M37" s="192" t="s">
        <v>303</v>
      </c>
      <c r="N37" s="195">
        <v>13</v>
      </c>
      <c r="O37" s="195" t="s">
        <v>117</v>
      </c>
      <c r="P37" s="3">
        <f>VLOOKUP(L37,[4]Stores!$A$2:$G$1026,6,FALSE)/1000</f>
        <v>526.59100000000001</v>
      </c>
      <c r="Q37" s="3">
        <f>VLOOKUP(L37,[4]Stores!$A$2:$G$1026,7,FALSE)/1000</f>
        <v>6905.1279999999997</v>
      </c>
      <c r="R37" s="3">
        <f t="shared" si="16"/>
        <v>67.555088638828366</v>
      </c>
      <c r="S37" s="182">
        <v>6</v>
      </c>
      <c r="T37" s="184" t="str">
        <f t="shared" si="17"/>
        <v>6 526.591 6905.128</v>
      </c>
      <c r="U37" s="184" t="str">
        <f t="shared" si="18"/>
        <v>6 13</v>
      </c>
    </row>
    <row r="38" spans="1:21" x14ac:dyDescent="0.3">
      <c r="A38" s="189">
        <v>5</v>
      </c>
      <c r="B38" s="190">
        <v>6</v>
      </c>
      <c r="C38" s="182">
        <f t="shared" si="15"/>
        <v>1</v>
      </c>
      <c r="D38" s="191" t="s">
        <v>330</v>
      </c>
      <c r="E38" s="182">
        <v>7</v>
      </c>
      <c r="F38" s="192" t="s">
        <v>305</v>
      </c>
      <c r="H38" s="182">
        <v>5</v>
      </c>
      <c r="I38" s="191">
        <v>15</v>
      </c>
      <c r="J38" s="191" t="str">
        <f t="shared" si="12"/>
        <v>5 5 7 15</v>
      </c>
      <c r="L38" s="194">
        <v>1403</v>
      </c>
      <c r="M38" s="192" t="s">
        <v>305</v>
      </c>
      <c r="N38" s="195">
        <v>3</v>
      </c>
      <c r="O38" s="195" t="s">
        <v>117</v>
      </c>
      <c r="P38" s="3">
        <f>VLOOKUP(L38,[4]Stores!$A$2:$G$1026,6,FALSE)/1000</f>
        <v>529.14200000000005</v>
      </c>
      <c r="Q38" s="3">
        <f>VLOOKUP(L38,[4]Stores!$A$2:$G$1026,7,FALSE)/1000</f>
        <v>6911.6909999999998</v>
      </c>
      <c r="R38" s="3">
        <f t="shared" si="16"/>
        <v>70.565150782804679</v>
      </c>
      <c r="S38" s="182">
        <v>7</v>
      </c>
      <c r="T38" s="184" t="str">
        <f t="shared" si="17"/>
        <v>7 529.142 6911.691</v>
      </c>
      <c r="U38" s="184" t="str">
        <f t="shared" si="18"/>
        <v>7 3</v>
      </c>
    </row>
    <row r="39" spans="1:21" x14ac:dyDescent="0.3">
      <c r="A39" s="189">
        <v>5</v>
      </c>
      <c r="B39" s="198">
        <v>6</v>
      </c>
      <c r="C39" s="182">
        <f t="shared" si="15"/>
        <v>1</v>
      </c>
      <c r="D39" s="191" t="s">
        <v>331</v>
      </c>
      <c r="E39" s="182">
        <v>8</v>
      </c>
      <c r="F39" s="192" t="s">
        <v>307</v>
      </c>
      <c r="H39" s="182">
        <v>6</v>
      </c>
      <c r="I39" s="191">
        <v>0</v>
      </c>
      <c r="J39" s="191" t="str">
        <f t="shared" si="12"/>
        <v>6 6 8 0</v>
      </c>
      <c r="L39" s="194">
        <v>1625</v>
      </c>
      <c r="M39" s="192" t="s">
        <v>307</v>
      </c>
      <c r="N39" s="195">
        <v>5</v>
      </c>
      <c r="O39" s="195" t="s">
        <v>112</v>
      </c>
      <c r="P39" s="3">
        <f>VLOOKUP(L39,[4]Stores!$A$2:$G$1026,6,FALSE)/1000</f>
        <v>517.77800000000002</v>
      </c>
      <c r="Q39" s="3">
        <f>VLOOKUP(L39,[4]Stores!$A$2:$G$1026,7,FALSE)/1000</f>
        <v>6884.4170000000004</v>
      </c>
      <c r="R39" s="3">
        <f t="shared" si="16"/>
        <v>63.158996453395346</v>
      </c>
      <c r="S39" s="182">
        <v>8</v>
      </c>
      <c r="T39" s="184" t="str">
        <f t="shared" si="17"/>
        <v>8 517.778 6884.417</v>
      </c>
      <c r="U39" s="184" t="str">
        <f t="shared" si="18"/>
        <v>8 5</v>
      </c>
    </row>
    <row r="40" spans="1:21" x14ac:dyDescent="0.3">
      <c r="A40" s="189"/>
      <c r="B40" s="196"/>
      <c r="C40" s="182"/>
      <c r="D40" s="191"/>
      <c r="E40" s="191"/>
      <c r="F40" s="192"/>
      <c r="I40" s="191"/>
      <c r="J40" s="191" t="str">
        <f t="shared" si="12"/>
        <v xml:space="preserve">   </v>
      </c>
      <c r="L40" s="194"/>
      <c r="M40" s="192"/>
      <c r="N40" s="195"/>
      <c r="O40" s="195"/>
      <c r="P40" s="3"/>
      <c r="Q40" s="3"/>
      <c r="R40" s="3"/>
    </row>
    <row r="41" spans="1:21" x14ac:dyDescent="0.3">
      <c r="A41" s="189">
        <v>6</v>
      </c>
      <c r="B41" s="190">
        <v>1</v>
      </c>
      <c r="C41" s="182">
        <f t="shared" ref="C41:C47" si="19">COUNTIF($D$4:$D$150,D41)</f>
        <v>1</v>
      </c>
      <c r="D41" s="191" t="s">
        <v>332</v>
      </c>
      <c r="E41" s="182">
        <v>2</v>
      </c>
      <c r="F41" s="192" t="s">
        <v>295</v>
      </c>
      <c r="H41" s="182">
        <v>0</v>
      </c>
      <c r="I41" s="191">
        <v>20</v>
      </c>
      <c r="J41" s="191" t="str">
        <f t="shared" si="12"/>
        <v>0 0 2 20</v>
      </c>
      <c r="K41" s="193">
        <v>5</v>
      </c>
      <c r="L41" s="194">
        <v>1493</v>
      </c>
      <c r="M41" s="192" t="s">
        <v>295</v>
      </c>
      <c r="N41" s="195">
        <v>7</v>
      </c>
      <c r="O41" s="195" t="s">
        <v>117</v>
      </c>
      <c r="P41" s="3">
        <f>VLOOKUP(L41,[4]Stores!$A$2:$G$1026,6,FALSE)/1000</f>
        <v>555.01800000000003</v>
      </c>
      <c r="Q41" s="3">
        <f>VLOOKUP(L41,[4]Stores!$A$2:$G$1026,7,FALSE)/1000</f>
        <v>6857.4409999999998</v>
      </c>
      <c r="R41" s="3">
        <f t="shared" ref="R41:R47" si="20">SQRT((P41-$P$2)^2+(Q41-$Q$2)^2)</f>
        <v>20.286364706373515</v>
      </c>
      <c r="S41" s="182">
        <v>2</v>
      </c>
      <c r="T41" s="184" t="str">
        <f>S41&amp;" "&amp;P41&amp;" "&amp;Q41</f>
        <v>2 555.018 6857.441</v>
      </c>
      <c r="U41" s="184" t="str">
        <f>S41&amp;" "&amp;N41</f>
        <v>2 7</v>
      </c>
    </row>
    <row r="42" spans="1:21" x14ac:dyDescent="0.3">
      <c r="A42" s="189">
        <v>6</v>
      </c>
      <c r="B42" s="196">
        <v>1</v>
      </c>
      <c r="C42" s="182">
        <f t="shared" si="19"/>
        <v>1</v>
      </c>
      <c r="D42" s="191" t="s">
        <v>333</v>
      </c>
      <c r="E42" s="182">
        <v>3</v>
      </c>
      <c r="F42" s="192" t="s">
        <v>297</v>
      </c>
      <c r="H42" s="182">
        <v>1</v>
      </c>
      <c r="I42" s="191">
        <v>10</v>
      </c>
      <c r="J42" s="191" t="str">
        <f t="shared" si="12"/>
        <v>1 1 3 10</v>
      </c>
      <c r="L42" s="194">
        <v>1275</v>
      </c>
      <c r="M42" s="192" t="s">
        <v>297</v>
      </c>
      <c r="N42" s="195">
        <v>9</v>
      </c>
      <c r="O42" s="195" t="s">
        <v>117</v>
      </c>
      <c r="P42" s="3">
        <f>VLOOKUP(L42,[4]Stores!$A$2:$G$1026,6,FALSE)/1000</f>
        <v>587.21</v>
      </c>
      <c r="Q42" s="3">
        <f>VLOOKUP(L42,[4]Stores!$A$2:$G$1026,7,FALSE)/1000</f>
        <v>6864.25</v>
      </c>
      <c r="R42" s="3">
        <f t="shared" si="20"/>
        <v>13.324289549540762</v>
      </c>
      <c r="S42" s="182">
        <v>3</v>
      </c>
      <c r="T42" s="184" t="str">
        <f t="shared" ref="T42:T47" si="21">S42&amp;" "&amp;P42&amp;" "&amp;Q42</f>
        <v>3 587.21 6864.25</v>
      </c>
      <c r="U42" s="184" t="str">
        <f t="shared" ref="U42:U47" si="22">S42&amp;" "&amp;N42</f>
        <v>3 9</v>
      </c>
    </row>
    <row r="43" spans="1:21" x14ac:dyDescent="0.3">
      <c r="A43" s="189">
        <v>6</v>
      </c>
      <c r="B43" s="190">
        <v>1</v>
      </c>
      <c r="C43" s="182">
        <f t="shared" si="19"/>
        <v>1</v>
      </c>
      <c r="D43" s="191" t="s">
        <v>334</v>
      </c>
      <c r="E43" s="182">
        <v>4</v>
      </c>
      <c r="F43" s="192" t="s">
        <v>299</v>
      </c>
      <c r="H43" s="182">
        <v>2</v>
      </c>
      <c r="I43" s="191">
        <v>2</v>
      </c>
      <c r="J43" s="191" t="str">
        <f t="shared" si="12"/>
        <v>2 2 4 2</v>
      </c>
      <c r="L43" s="197">
        <v>1855</v>
      </c>
      <c r="M43" s="192" t="s">
        <v>299</v>
      </c>
      <c r="N43" s="195">
        <v>10</v>
      </c>
      <c r="O43" s="195" t="s">
        <v>112</v>
      </c>
      <c r="P43" s="3">
        <f>VLOOKUP(L43,[4]Stores!$A$2:$G$1026,6,FALSE)/1000</f>
        <v>558.572</v>
      </c>
      <c r="Q43" s="3">
        <f>VLOOKUP(L43,[4]Stores!$A$2:$G$1026,7,FALSE)/1000</f>
        <v>6853.2460000000001</v>
      </c>
      <c r="R43" s="3">
        <f t="shared" si="20"/>
        <v>17.46256453101886</v>
      </c>
      <c r="S43" s="182">
        <v>4</v>
      </c>
      <c r="T43" s="184" t="str">
        <f t="shared" si="21"/>
        <v>4 558.572 6853.246</v>
      </c>
      <c r="U43" s="184" t="str">
        <f t="shared" si="22"/>
        <v>4 10</v>
      </c>
    </row>
    <row r="44" spans="1:21" x14ac:dyDescent="0.3">
      <c r="A44" s="189">
        <v>6</v>
      </c>
      <c r="B44" s="190">
        <v>1</v>
      </c>
      <c r="C44" s="182">
        <f t="shared" si="19"/>
        <v>1</v>
      </c>
      <c r="D44" s="191" t="s">
        <v>335</v>
      </c>
      <c r="E44" s="182">
        <v>5</v>
      </c>
      <c r="F44" s="192" t="s">
        <v>301</v>
      </c>
      <c r="H44" s="182">
        <v>3</v>
      </c>
      <c r="I44" s="191">
        <v>11</v>
      </c>
      <c r="J44" s="191" t="str">
        <f t="shared" si="12"/>
        <v>3 3 5 11</v>
      </c>
      <c r="L44" s="194">
        <v>1516</v>
      </c>
      <c r="M44" s="192" t="s">
        <v>301</v>
      </c>
      <c r="N44" s="195">
        <v>14</v>
      </c>
      <c r="O44" s="195" t="s">
        <v>112</v>
      </c>
      <c r="P44" s="3">
        <f>VLOOKUP(L44,[4]Stores!$A$2:$G$1026,6,FALSE)/1000</f>
        <v>551.43299999999999</v>
      </c>
      <c r="Q44" s="3">
        <f>VLOOKUP(L44,[4]Stores!$A$2:$G$1026,7,FALSE)/1000</f>
        <v>6885.0559999999996</v>
      </c>
      <c r="R44" s="3">
        <f t="shared" si="20"/>
        <v>35.841806776444329</v>
      </c>
      <c r="S44" s="182">
        <v>5</v>
      </c>
      <c r="T44" s="184" t="str">
        <f t="shared" si="21"/>
        <v>5 551.433 6885.056</v>
      </c>
      <c r="U44" s="184" t="str">
        <f t="shared" si="22"/>
        <v>5 14</v>
      </c>
    </row>
    <row r="45" spans="1:21" x14ac:dyDescent="0.3">
      <c r="A45" s="189">
        <v>6</v>
      </c>
      <c r="B45" s="190">
        <v>1</v>
      </c>
      <c r="C45" s="182">
        <f t="shared" si="19"/>
        <v>1</v>
      </c>
      <c r="D45" s="191" t="s">
        <v>336</v>
      </c>
      <c r="E45" s="182">
        <v>6</v>
      </c>
      <c r="F45" s="192" t="s">
        <v>303</v>
      </c>
      <c r="H45" s="182">
        <v>4</v>
      </c>
      <c r="I45" s="191">
        <v>18</v>
      </c>
      <c r="J45" s="191" t="str">
        <f t="shared" si="12"/>
        <v>4 4 6 18</v>
      </c>
      <c r="L45" s="194">
        <v>1385</v>
      </c>
      <c r="M45" s="192" t="s">
        <v>303</v>
      </c>
      <c r="N45" s="195">
        <v>13</v>
      </c>
      <c r="O45" s="195" t="s">
        <v>117</v>
      </c>
      <c r="P45" s="3">
        <f>VLOOKUP(L45,[4]Stores!$A$2:$G$1026,6,FALSE)/1000</f>
        <v>526.59100000000001</v>
      </c>
      <c r="Q45" s="3">
        <f>VLOOKUP(L45,[4]Stores!$A$2:$G$1026,7,FALSE)/1000</f>
        <v>6905.1279999999997</v>
      </c>
      <c r="R45" s="3">
        <f t="shared" si="20"/>
        <v>67.555088638828366</v>
      </c>
      <c r="S45" s="182">
        <v>6</v>
      </c>
      <c r="T45" s="184" t="str">
        <f t="shared" si="21"/>
        <v>6 526.591 6905.128</v>
      </c>
      <c r="U45" s="184" t="str">
        <f t="shared" si="22"/>
        <v>6 13</v>
      </c>
    </row>
    <row r="46" spans="1:21" x14ac:dyDescent="0.3">
      <c r="A46" s="189">
        <v>6</v>
      </c>
      <c r="B46" s="190">
        <v>1</v>
      </c>
      <c r="C46" s="182">
        <f t="shared" si="19"/>
        <v>1</v>
      </c>
      <c r="D46" s="191" t="s">
        <v>337</v>
      </c>
      <c r="E46" s="182">
        <v>7</v>
      </c>
      <c r="F46" s="192" t="s">
        <v>305</v>
      </c>
      <c r="H46" s="182">
        <v>5</v>
      </c>
      <c r="I46" s="191">
        <v>4</v>
      </c>
      <c r="J46" s="191" t="str">
        <f t="shared" si="12"/>
        <v>5 5 7 4</v>
      </c>
      <c r="L46" s="194">
        <v>1403</v>
      </c>
      <c r="M46" s="192" t="s">
        <v>305</v>
      </c>
      <c r="N46" s="195">
        <v>12</v>
      </c>
      <c r="O46" s="195" t="s">
        <v>112</v>
      </c>
      <c r="P46" s="3">
        <f>VLOOKUP(L46,[4]Stores!$A$2:$G$1026,6,FALSE)/1000</f>
        <v>529.14200000000005</v>
      </c>
      <c r="Q46" s="3">
        <f>VLOOKUP(L46,[4]Stores!$A$2:$G$1026,7,FALSE)/1000</f>
        <v>6911.6909999999998</v>
      </c>
      <c r="R46" s="3">
        <f t="shared" si="20"/>
        <v>70.565150782804679</v>
      </c>
      <c r="S46" s="182">
        <v>7</v>
      </c>
      <c r="T46" s="184" t="str">
        <f t="shared" si="21"/>
        <v>7 529.142 6911.691</v>
      </c>
      <c r="U46" s="184" t="str">
        <f t="shared" si="22"/>
        <v>7 12</v>
      </c>
    </row>
    <row r="47" spans="1:21" x14ac:dyDescent="0.3">
      <c r="A47" s="189">
        <v>6</v>
      </c>
      <c r="B47" s="190">
        <v>1</v>
      </c>
      <c r="C47" s="182">
        <f t="shared" si="19"/>
        <v>1</v>
      </c>
      <c r="D47" s="191" t="s">
        <v>338</v>
      </c>
      <c r="E47" s="182">
        <v>8</v>
      </c>
      <c r="F47" s="192" t="s">
        <v>307</v>
      </c>
      <c r="H47" s="182">
        <v>6</v>
      </c>
      <c r="I47" s="191">
        <v>10</v>
      </c>
      <c r="J47" s="191" t="str">
        <f t="shared" si="12"/>
        <v>6 6 8 10</v>
      </c>
      <c r="L47" s="194">
        <v>1625</v>
      </c>
      <c r="M47" s="192" t="s">
        <v>307</v>
      </c>
      <c r="N47" s="195">
        <v>6</v>
      </c>
      <c r="O47" s="195" t="s">
        <v>117</v>
      </c>
      <c r="P47" s="3">
        <f>VLOOKUP(L47,[4]Stores!$A$2:$G$1026,6,FALSE)/1000</f>
        <v>517.77800000000002</v>
      </c>
      <c r="Q47" s="3">
        <f>VLOOKUP(L47,[4]Stores!$A$2:$G$1026,7,FALSE)/1000</f>
        <v>6884.4170000000004</v>
      </c>
      <c r="R47" s="3">
        <f t="shared" si="20"/>
        <v>63.158996453395346</v>
      </c>
      <c r="S47" s="182">
        <v>8</v>
      </c>
      <c r="T47" s="184" t="str">
        <f t="shared" si="21"/>
        <v>8 517.778 6884.417</v>
      </c>
      <c r="U47" s="184" t="str">
        <f t="shared" si="22"/>
        <v>8 6</v>
      </c>
    </row>
    <row r="48" spans="1:21" x14ac:dyDescent="0.3">
      <c r="A48" s="189"/>
      <c r="B48" s="190"/>
      <c r="C48" s="182"/>
      <c r="D48" s="191"/>
      <c r="E48" s="191"/>
      <c r="F48" s="192"/>
      <c r="I48" s="191"/>
      <c r="J48" s="191" t="str">
        <f t="shared" si="12"/>
        <v xml:space="preserve">   </v>
      </c>
      <c r="L48" s="197"/>
      <c r="M48" s="192"/>
      <c r="N48" s="195"/>
      <c r="O48" s="195"/>
      <c r="P48" s="3"/>
      <c r="Q48" s="3"/>
      <c r="R48" s="3"/>
    </row>
    <row r="49" spans="1:21" hidden="1" x14ac:dyDescent="0.3">
      <c r="A49" s="189">
        <v>6</v>
      </c>
      <c r="B49" s="190">
        <v>2</v>
      </c>
      <c r="C49" s="182">
        <f>COUNTIF($D$4:$D$150,D49)</f>
        <v>1</v>
      </c>
      <c r="D49" s="191" t="s">
        <v>339</v>
      </c>
      <c r="E49" s="191"/>
      <c r="F49" s="192" t="s">
        <v>301</v>
      </c>
      <c r="I49" s="191">
        <v>17</v>
      </c>
      <c r="J49" s="191" t="str">
        <f t="shared" si="12"/>
        <v xml:space="preserve">   17</v>
      </c>
      <c r="L49" s="194">
        <v>1516</v>
      </c>
      <c r="M49" s="192" t="s">
        <v>301</v>
      </c>
      <c r="N49" s="195">
        <v>8</v>
      </c>
      <c r="O49" s="195" t="s">
        <v>117</v>
      </c>
      <c r="P49" s="3">
        <f>VLOOKUP(L49,[4]Stores!$A$2:$G$1026,6,FALSE)/1000</f>
        <v>551.43299999999999</v>
      </c>
      <c r="Q49" s="3">
        <f>VLOOKUP(L49,[4]Stores!$A$2:$G$1026,7,FALSE)/1000</f>
        <v>6885.0559999999996</v>
      </c>
      <c r="R49" s="3">
        <f t="shared" ref="R49:R60" si="23">SQRT((P49-$P$2)^2+(Q49-$Q$2)^2)</f>
        <v>35.841806776444329</v>
      </c>
    </row>
    <row r="50" spans="1:21" hidden="1" x14ac:dyDescent="0.3">
      <c r="A50" s="189">
        <v>6</v>
      </c>
      <c r="B50" s="190">
        <v>2</v>
      </c>
      <c r="C50" s="182">
        <f>COUNTIF($D$4:$D$150,D50)</f>
        <v>1</v>
      </c>
      <c r="D50" s="191" t="s">
        <v>340</v>
      </c>
      <c r="E50" s="191"/>
      <c r="F50" s="192" t="s">
        <v>303</v>
      </c>
      <c r="I50" s="191">
        <v>0</v>
      </c>
      <c r="J50" s="191" t="str">
        <f t="shared" si="12"/>
        <v xml:space="preserve">   0</v>
      </c>
      <c r="L50" s="194">
        <v>1385</v>
      </c>
      <c r="M50" s="192" t="s">
        <v>303</v>
      </c>
      <c r="N50" s="195">
        <v>9</v>
      </c>
      <c r="O50" s="195" t="s">
        <v>112</v>
      </c>
      <c r="P50" s="3">
        <f>VLOOKUP(L50,[4]Stores!$A$2:$G$1026,6,FALSE)/1000</f>
        <v>526.59100000000001</v>
      </c>
      <c r="Q50" s="3">
        <f>VLOOKUP(L50,[4]Stores!$A$2:$G$1026,7,FALSE)/1000</f>
        <v>6905.1279999999997</v>
      </c>
      <c r="R50" s="3">
        <f t="shared" si="23"/>
        <v>67.555088638828366</v>
      </c>
    </row>
    <row r="51" spans="1:21" hidden="1" x14ac:dyDescent="0.3">
      <c r="A51" s="189">
        <v>6</v>
      </c>
      <c r="B51" s="190">
        <v>3</v>
      </c>
      <c r="C51" s="182">
        <f>COUNTIF($D$4:$D$150,D51)</f>
        <v>1</v>
      </c>
      <c r="D51" s="191" t="s">
        <v>341</v>
      </c>
      <c r="E51" s="191"/>
      <c r="F51" s="192" t="s">
        <v>301</v>
      </c>
      <c r="I51" s="191">
        <v>13</v>
      </c>
      <c r="J51" s="191" t="str">
        <f t="shared" si="12"/>
        <v xml:space="preserve">   13</v>
      </c>
      <c r="L51" s="194">
        <v>1516</v>
      </c>
      <c r="M51" s="192" t="s">
        <v>301</v>
      </c>
      <c r="N51" s="195">
        <v>8</v>
      </c>
      <c r="O51" s="195" t="s">
        <v>117</v>
      </c>
      <c r="P51" s="3">
        <f>VLOOKUP(L51,[4]Stores!$A$2:$G$1026,6,FALSE)/1000</f>
        <v>551.43299999999999</v>
      </c>
      <c r="Q51" s="3">
        <f>VLOOKUP(L51,[4]Stores!$A$2:$G$1026,7,FALSE)/1000</f>
        <v>6885.0559999999996</v>
      </c>
      <c r="R51" s="3">
        <f t="shared" si="23"/>
        <v>35.841806776444329</v>
      </c>
    </row>
    <row r="52" spans="1:21" hidden="1" x14ac:dyDescent="0.3">
      <c r="A52" s="189">
        <v>6</v>
      </c>
      <c r="B52" s="190">
        <v>3</v>
      </c>
      <c r="C52" s="182">
        <f>COUNTIF($D$4:$D$150,D52)</f>
        <v>1</v>
      </c>
      <c r="D52" s="191" t="s">
        <v>342</v>
      </c>
      <c r="E52" s="191"/>
      <c r="F52" s="192" t="s">
        <v>303</v>
      </c>
      <c r="I52" s="191">
        <v>15</v>
      </c>
      <c r="J52" s="191" t="str">
        <f t="shared" si="12"/>
        <v xml:space="preserve">   15</v>
      </c>
      <c r="L52" s="194">
        <v>1385</v>
      </c>
      <c r="M52" s="192" t="s">
        <v>303</v>
      </c>
      <c r="N52" s="195">
        <v>6</v>
      </c>
      <c r="O52" s="195" t="s">
        <v>117</v>
      </c>
      <c r="P52" s="3">
        <f>VLOOKUP(L52,[4]Stores!$A$2:$G$1026,6,FALSE)/1000</f>
        <v>526.59100000000001</v>
      </c>
      <c r="Q52" s="3">
        <f>VLOOKUP(L52,[4]Stores!$A$2:$G$1026,7,FALSE)/1000</f>
        <v>6905.1279999999997</v>
      </c>
      <c r="R52" s="3">
        <f t="shared" si="23"/>
        <v>67.555088638828366</v>
      </c>
    </row>
    <row r="53" spans="1:21" hidden="1" x14ac:dyDescent="0.3">
      <c r="A53" s="189"/>
      <c r="B53" s="190"/>
      <c r="C53" s="182"/>
      <c r="D53" s="191"/>
      <c r="E53" s="191"/>
      <c r="F53" s="192"/>
      <c r="I53" s="191"/>
      <c r="J53" s="191" t="str">
        <f t="shared" si="12"/>
        <v xml:space="preserve">   </v>
      </c>
      <c r="L53" s="194"/>
      <c r="M53" s="192"/>
      <c r="N53" s="195"/>
      <c r="O53" s="195"/>
      <c r="P53" s="3" t="e">
        <f>VLOOKUP(L53,[4]Stores!$A$2:$G$1026,6,FALSE)/1000</f>
        <v>#N/A</v>
      </c>
      <c r="Q53" s="3" t="e">
        <f>VLOOKUP(L53,[4]Stores!$A$2:$G$1026,7,FALSE)/1000</f>
        <v>#N/A</v>
      </c>
      <c r="R53" s="3" t="e">
        <f t="shared" si="23"/>
        <v>#N/A</v>
      </c>
    </row>
    <row r="54" spans="1:21" x14ac:dyDescent="0.3">
      <c r="A54" s="189">
        <v>6</v>
      </c>
      <c r="B54" s="198">
        <v>4</v>
      </c>
      <c r="C54" s="182">
        <f t="shared" ref="C54:C60" si="24">COUNTIF($D$4:$D$150,D54)</f>
        <v>1</v>
      </c>
      <c r="D54" s="191" t="s">
        <v>343</v>
      </c>
      <c r="E54" s="182">
        <v>2</v>
      </c>
      <c r="F54" s="192" t="s">
        <v>295</v>
      </c>
      <c r="H54" s="182">
        <v>0</v>
      </c>
      <c r="I54" s="191">
        <v>11</v>
      </c>
      <c r="J54" s="191" t="str">
        <f t="shared" si="12"/>
        <v>0 0 2 11</v>
      </c>
      <c r="K54" s="193">
        <v>6</v>
      </c>
      <c r="L54" s="194">
        <v>1493</v>
      </c>
      <c r="M54" s="192" t="s">
        <v>295</v>
      </c>
      <c r="N54" s="195">
        <v>7</v>
      </c>
      <c r="O54" s="195" t="s">
        <v>117</v>
      </c>
      <c r="P54" s="3">
        <f>VLOOKUP(L54,[4]Stores!$A$2:$G$1026,6,FALSE)/1000</f>
        <v>555.01800000000003</v>
      </c>
      <c r="Q54" s="3">
        <f>VLOOKUP(L54,[4]Stores!$A$2:$G$1026,7,FALSE)/1000</f>
        <v>6857.4409999999998</v>
      </c>
      <c r="R54" s="3">
        <f t="shared" si="23"/>
        <v>20.286364706373515</v>
      </c>
      <c r="S54" s="182">
        <v>2</v>
      </c>
      <c r="T54" s="184" t="str">
        <f>S54&amp;" "&amp;P54&amp;" "&amp;Q54</f>
        <v>2 555.018 6857.441</v>
      </c>
      <c r="U54" s="184" t="str">
        <f>S54&amp;" "&amp;N54</f>
        <v>2 7</v>
      </c>
    </row>
    <row r="55" spans="1:21" x14ac:dyDescent="0.3">
      <c r="A55" s="189">
        <v>6</v>
      </c>
      <c r="B55" s="196">
        <v>4</v>
      </c>
      <c r="C55" s="182">
        <f t="shared" si="24"/>
        <v>1</v>
      </c>
      <c r="D55" s="191" t="s">
        <v>344</v>
      </c>
      <c r="E55" s="182">
        <v>3</v>
      </c>
      <c r="F55" s="192" t="s">
        <v>297</v>
      </c>
      <c r="H55" s="182">
        <v>1</v>
      </c>
      <c r="I55" s="191">
        <v>17</v>
      </c>
      <c r="J55" s="191" t="str">
        <f t="shared" si="12"/>
        <v>1 1 3 17</v>
      </c>
      <c r="L55" s="194">
        <v>1275</v>
      </c>
      <c r="M55" s="192" t="s">
        <v>297</v>
      </c>
      <c r="N55" s="195">
        <v>5</v>
      </c>
      <c r="O55" s="195" t="s">
        <v>117</v>
      </c>
      <c r="P55" s="3">
        <f>VLOOKUP(L55,[4]Stores!$A$2:$G$1026,6,FALSE)/1000</f>
        <v>587.21</v>
      </c>
      <c r="Q55" s="3">
        <f>VLOOKUP(L55,[4]Stores!$A$2:$G$1026,7,FALSE)/1000</f>
        <v>6864.25</v>
      </c>
      <c r="R55" s="3">
        <f t="shared" si="23"/>
        <v>13.324289549540762</v>
      </c>
      <c r="S55" s="182">
        <v>3</v>
      </c>
      <c r="T55" s="184" t="str">
        <f t="shared" ref="T55:T60" si="25">S55&amp;" "&amp;P55&amp;" "&amp;Q55</f>
        <v>3 587.21 6864.25</v>
      </c>
      <c r="U55" s="184" t="str">
        <f t="shared" ref="U55:U60" si="26">S55&amp;" "&amp;N55</f>
        <v>3 5</v>
      </c>
    </row>
    <row r="56" spans="1:21" x14ac:dyDescent="0.3">
      <c r="A56" s="189">
        <v>6</v>
      </c>
      <c r="B56" s="190">
        <v>4</v>
      </c>
      <c r="C56" s="182">
        <f t="shared" si="24"/>
        <v>1</v>
      </c>
      <c r="D56" s="191" t="s">
        <v>345</v>
      </c>
      <c r="E56" s="182">
        <v>4</v>
      </c>
      <c r="F56" s="192" t="s">
        <v>299</v>
      </c>
      <c r="H56" s="182">
        <v>2</v>
      </c>
      <c r="I56" s="191">
        <v>15</v>
      </c>
      <c r="J56" s="191" t="str">
        <f t="shared" si="12"/>
        <v>2 2 4 15</v>
      </c>
      <c r="L56" s="197">
        <v>1855</v>
      </c>
      <c r="M56" s="192" t="s">
        <v>299</v>
      </c>
      <c r="N56" s="195">
        <v>7</v>
      </c>
      <c r="O56" s="195" t="s">
        <v>117</v>
      </c>
      <c r="P56" s="3">
        <f>VLOOKUP(L56,[4]Stores!$A$2:$G$1026,6,FALSE)/1000</f>
        <v>558.572</v>
      </c>
      <c r="Q56" s="3">
        <f>VLOOKUP(L56,[4]Stores!$A$2:$G$1026,7,FALSE)/1000</f>
        <v>6853.2460000000001</v>
      </c>
      <c r="R56" s="3">
        <f t="shared" si="23"/>
        <v>17.46256453101886</v>
      </c>
      <c r="S56" s="182">
        <v>4</v>
      </c>
      <c r="T56" s="184" t="str">
        <f t="shared" si="25"/>
        <v>4 558.572 6853.246</v>
      </c>
      <c r="U56" s="184" t="str">
        <f t="shared" si="26"/>
        <v>4 7</v>
      </c>
    </row>
    <row r="57" spans="1:21" x14ac:dyDescent="0.3">
      <c r="A57" s="189">
        <v>6</v>
      </c>
      <c r="B57" s="198">
        <v>4</v>
      </c>
      <c r="C57" s="182">
        <f t="shared" si="24"/>
        <v>1</v>
      </c>
      <c r="D57" s="191" t="s">
        <v>346</v>
      </c>
      <c r="E57" s="182">
        <v>5</v>
      </c>
      <c r="F57" s="192" t="s">
        <v>301</v>
      </c>
      <c r="H57" s="182">
        <v>3</v>
      </c>
      <c r="I57" s="191">
        <v>9</v>
      </c>
      <c r="J57" s="191" t="str">
        <f t="shared" si="12"/>
        <v>3 3 5 9</v>
      </c>
      <c r="L57" s="194">
        <v>1516</v>
      </c>
      <c r="M57" s="192" t="s">
        <v>301</v>
      </c>
      <c r="N57" s="195">
        <v>11</v>
      </c>
      <c r="O57" s="195" t="s">
        <v>112</v>
      </c>
      <c r="P57" s="3">
        <f>VLOOKUP(L57,[4]Stores!$A$2:$G$1026,6,FALSE)/1000</f>
        <v>551.43299999999999</v>
      </c>
      <c r="Q57" s="3">
        <f>VLOOKUP(L57,[4]Stores!$A$2:$G$1026,7,FALSE)/1000</f>
        <v>6885.0559999999996</v>
      </c>
      <c r="R57" s="3">
        <f t="shared" si="23"/>
        <v>35.841806776444329</v>
      </c>
      <c r="S57" s="182">
        <v>5</v>
      </c>
      <c r="T57" s="184" t="str">
        <f t="shared" si="25"/>
        <v>5 551.433 6885.056</v>
      </c>
      <c r="U57" s="184" t="str">
        <f t="shared" si="26"/>
        <v>5 11</v>
      </c>
    </row>
    <row r="58" spans="1:21" x14ac:dyDescent="0.3">
      <c r="A58" s="189">
        <v>6</v>
      </c>
      <c r="B58" s="190">
        <v>4</v>
      </c>
      <c r="C58" s="182">
        <f t="shared" si="24"/>
        <v>1</v>
      </c>
      <c r="D58" s="191" t="s">
        <v>347</v>
      </c>
      <c r="E58" s="182">
        <v>6</v>
      </c>
      <c r="F58" s="192" t="s">
        <v>303</v>
      </c>
      <c r="H58" s="182">
        <v>4</v>
      </c>
      <c r="I58" s="191">
        <v>8</v>
      </c>
      <c r="J58" s="191" t="str">
        <f t="shared" si="12"/>
        <v>4 4 6 8</v>
      </c>
      <c r="L58" s="194">
        <v>1385</v>
      </c>
      <c r="M58" s="192" t="s">
        <v>303</v>
      </c>
      <c r="N58" s="195">
        <v>9</v>
      </c>
      <c r="O58" s="195" t="s">
        <v>112</v>
      </c>
      <c r="P58" s="3">
        <f>VLOOKUP(L58,[4]Stores!$A$2:$G$1026,6,FALSE)/1000</f>
        <v>526.59100000000001</v>
      </c>
      <c r="Q58" s="3">
        <f>VLOOKUP(L58,[4]Stores!$A$2:$G$1026,7,FALSE)/1000</f>
        <v>6905.1279999999997</v>
      </c>
      <c r="R58" s="3">
        <f t="shared" si="23"/>
        <v>67.555088638828366</v>
      </c>
      <c r="S58" s="182">
        <v>6</v>
      </c>
      <c r="T58" s="184" t="str">
        <f t="shared" si="25"/>
        <v>6 526.591 6905.128</v>
      </c>
      <c r="U58" s="184" t="str">
        <f t="shared" si="26"/>
        <v>6 9</v>
      </c>
    </row>
    <row r="59" spans="1:21" x14ac:dyDescent="0.3">
      <c r="A59" s="189">
        <v>6</v>
      </c>
      <c r="B59" s="190">
        <v>4</v>
      </c>
      <c r="C59" s="182">
        <f t="shared" si="24"/>
        <v>1</v>
      </c>
      <c r="D59" s="191" t="s">
        <v>348</v>
      </c>
      <c r="E59" s="182">
        <v>7</v>
      </c>
      <c r="F59" s="192" t="s">
        <v>305</v>
      </c>
      <c r="H59" s="182">
        <v>5</v>
      </c>
      <c r="I59" s="191">
        <v>3</v>
      </c>
      <c r="J59" s="191" t="str">
        <f t="shared" si="12"/>
        <v>5 5 7 3</v>
      </c>
      <c r="L59" s="194">
        <v>1403</v>
      </c>
      <c r="M59" s="192" t="s">
        <v>305</v>
      </c>
      <c r="N59" s="195">
        <v>16</v>
      </c>
      <c r="O59" s="195" t="s">
        <v>112</v>
      </c>
      <c r="P59" s="3">
        <f>VLOOKUP(L59,[4]Stores!$A$2:$G$1026,6,FALSE)/1000</f>
        <v>529.14200000000005</v>
      </c>
      <c r="Q59" s="3">
        <f>VLOOKUP(L59,[4]Stores!$A$2:$G$1026,7,FALSE)/1000</f>
        <v>6911.6909999999998</v>
      </c>
      <c r="R59" s="3">
        <f t="shared" si="23"/>
        <v>70.565150782804679</v>
      </c>
      <c r="S59" s="182">
        <v>7</v>
      </c>
      <c r="T59" s="184" t="str">
        <f t="shared" si="25"/>
        <v>7 529.142 6911.691</v>
      </c>
      <c r="U59" s="184" t="str">
        <f t="shared" si="26"/>
        <v>7 16</v>
      </c>
    </row>
    <row r="60" spans="1:21" x14ac:dyDescent="0.3">
      <c r="A60" s="189">
        <v>6</v>
      </c>
      <c r="B60" s="198">
        <v>4</v>
      </c>
      <c r="C60" s="182">
        <f t="shared" si="24"/>
        <v>1</v>
      </c>
      <c r="D60" s="191" t="s">
        <v>349</v>
      </c>
      <c r="E60" s="182">
        <v>8</v>
      </c>
      <c r="F60" s="192" t="s">
        <v>307</v>
      </c>
      <c r="H60" s="182">
        <v>6</v>
      </c>
      <c r="I60" s="191">
        <v>12</v>
      </c>
      <c r="J60" s="191" t="str">
        <f t="shared" si="12"/>
        <v>6 6 8 12</v>
      </c>
      <c r="L60" s="194">
        <v>1625</v>
      </c>
      <c r="M60" s="192" t="s">
        <v>307</v>
      </c>
      <c r="N60" s="195">
        <v>5</v>
      </c>
      <c r="O60" s="195" t="s">
        <v>117</v>
      </c>
      <c r="P60" s="3">
        <f>VLOOKUP(L60,[4]Stores!$A$2:$G$1026,6,FALSE)/1000</f>
        <v>517.77800000000002</v>
      </c>
      <c r="Q60" s="3">
        <f>VLOOKUP(L60,[4]Stores!$A$2:$G$1026,7,FALSE)/1000</f>
        <v>6884.4170000000004</v>
      </c>
      <c r="R60" s="3">
        <f t="shared" si="23"/>
        <v>63.158996453395346</v>
      </c>
      <c r="S60" s="182">
        <v>8</v>
      </c>
      <c r="T60" s="184" t="str">
        <f t="shared" si="25"/>
        <v>8 517.778 6884.417</v>
      </c>
      <c r="U60" s="184" t="str">
        <f t="shared" si="26"/>
        <v>8 5</v>
      </c>
    </row>
    <row r="61" spans="1:21" x14ac:dyDescent="0.3">
      <c r="A61" s="189"/>
      <c r="B61" s="190"/>
      <c r="C61" s="182"/>
      <c r="D61" s="191"/>
      <c r="E61" s="191"/>
      <c r="F61" s="192"/>
      <c r="I61" s="191"/>
      <c r="J61" s="191" t="str">
        <f t="shared" si="12"/>
        <v xml:space="preserve">   </v>
      </c>
      <c r="L61" s="197"/>
      <c r="M61" s="192"/>
      <c r="N61" s="195"/>
      <c r="O61" s="195"/>
      <c r="P61" s="3"/>
      <c r="Q61" s="3"/>
      <c r="R61" s="3"/>
    </row>
    <row r="62" spans="1:21" x14ac:dyDescent="0.3">
      <c r="A62" s="189">
        <v>6</v>
      </c>
      <c r="B62" s="190">
        <v>5</v>
      </c>
      <c r="C62" s="182">
        <f t="shared" ref="C62:C68" si="27">COUNTIF($D$4:$D$150,D62)</f>
        <v>1</v>
      </c>
      <c r="D62" s="191" t="s">
        <v>350</v>
      </c>
      <c r="E62" s="182">
        <v>2</v>
      </c>
      <c r="F62" s="192" t="s">
        <v>295</v>
      </c>
      <c r="H62" s="182">
        <v>0</v>
      </c>
      <c r="I62" s="191">
        <v>14</v>
      </c>
      <c r="J62" s="191" t="str">
        <f t="shared" si="12"/>
        <v>0 0 2 14</v>
      </c>
      <c r="K62" s="193">
        <v>7</v>
      </c>
      <c r="L62" s="194">
        <v>1493</v>
      </c>
      <c r="M62" s="192" t="s">
        <v>295</v>
      </c>
      <c r="N62" s="195">
        <v>10</v>
      </c>
      <c r="O62" s="195" t="s">
        <v>117</v>
      </c>
      <c r="P62" s="3">
        <f>VLOOKUP(L62,[4]Stores!$A$2:$G$1026,6,FALSE)/1000</f>
        <v>555.01800000000003</v>
      </c>
      <c r="Q62" s="3">
        <f>VLOOKUP(L62,[4]Stores!$A$2:$G$1026,7,FALSE)/1000</f>
        <v>6857.4409999999998</v>
      </c>
      <c r="R62" s="3">
        <f t="shared" ref="R62:R68" si="28">SQRT((P62-$P$2)^2+(Q62-$Q$2)^2)</f>
        <v>20.286364706373515</v>
      </c>
      <c r="S62" s="182">
        <v>2</v>
      </c>
      <c r="T62" s="184" t="str">
        <f>S62&amp;" "&amp;P62&amp;" "&amp;Q62</f>
        <v>2 555.018 6857.441</v>
      </c>
      <c r="U62" s="184" t="str">
        <f>S62&amp;" "&amp;N62</f>
        <v>2 10</v>
      </c>
    </row>
    <row r="63" spans="1:21" x14ac:dyDescent="0.3">
      <c r="A63" s="189">
        <v>6</v>
      </c>
      <c r="B63" s="196">
        <v>5</v>
      </c>
      <c r="C63" s="182">
        <f t="shared" si="27"/>
        <v>1</v>
      </c>
      <c r="D63" s="191" t="s">
        <v>351</v>
      </c>
      <c r="E63" s="182">
        <v>3</v>
      </c>
      <c r="F63" s="192" t="s">
        <v>297</v>
      </c>
      <c r="H63" s="182">
        <v>1</v>
      </c>
      <c r="I63" s="191">
        <v>10</v>
      </c>
      <c r="J63" s="191" t="str">
        <f t="shared" si="12"/>
        <v>1 1 3 10</v>
      </c>
      <c r="L63" s="194">
        <v>1275</v>
      </c>
      <c r="M63" s="192" t="s">
        <v>297</v>
      </c>
      <c r="N63" s="195">
        <v>8</v>
      </c>
      <c r="O63" s="195" t="s">
        <v>117</v>
      </c>
      <c r="P63" s="3">
        <f>VLOOKUP(L63,[4]Stores!$A$2:$G$1026,6,FALSE)/1000</f>
        <v>587.21</v>
      </c>
      <c r="Q63" s="3">
        <f>VLOOKUP(L63,[4]Stores!$A$2:$G$1026,7,FALSE)/1000</f>
        <v>6864.25</v>
      </c>
      <c r="R63" s="3">
        <f t="shared" si="28"/>
        <v>13.324289549540762</v>
      </c>
      <c r="S63" s="182">
        <v>3</v>
      </c>
      <c r="T63" s="184" t="str">
        <f t="shared" ref="T63:T68" si="29">S63&amp;" "&amp;P63&amp;" "&amp;Q63</f>
        <v>3 587.21 6864.25</v>
      </c>
      <c r="U63" s="184" t="str">
        <f t="shared" ref="U63:U68" si="30">S63&amp;" "&amp;N63</f>
        <v>3 8</v>
      </c>
    </row>
    <row r="64" spans="1:21" x14ac:dyDescent="0.3">
      <c r="A64" s="189">
        <v>6</v>
      </c>
      <c r="B64" s="190">
        <v>5</v>
      </c>
      <c r="C64" s="182">
        <f t="shared" si="27"/>
        <v>1</v>
      </c>
      <c r="D64" s="191" t="s">
        <v>352</v>
      </c>
      <c r="E64" s="182">
        <v>4</v>
      </c>
      <c r="F64" s="192" t="s">
        <v>299</v>
      </c>
      <c r="H64" s="182">
        <v>2</v>
      </c>
      <c r="I64" s="191">
        <v>10</v>
      </c>
      <c r="J64" s="191" t="str">
        <f t="shared" si="12"/>
        <v>2 2 4 10</v>
      </c>
      <c r="L64" s="197">
        <v>1855</v>
      </c>
      <c r="M64" s="192" t="s">
        <v>299</v>
      </c>
      <c r="N64" s="195">
        <v>9</v>
      </c>
      <c r="O64" s="195" t="s">
        <v>117</v>
      </c>
      <c r="P64" s="3">
        <f>VLOOKUP(L64,[4]Stores!$A$2:$G$1026,6,FALSE)/1000</f>
        <v>558.572</v>
      </c>
      <c r="Q64" s="3">
        <f>VLOOKUP(L64,[4]Stores!$A$2:$G$1026,7,FALSE)/1000</f>
        <v>6853.2460000000001</v>
      </c>
      <c r="R64" s="3">
        <f t="shared" si="28"/>
        <v>17.46256453101886</v>
      </c>
      <c r="S64" s="182">
        <v>4</v>
      </c>
      <c r="T64" s="184" t="str">
        <f t="shared" si="29"/>
        <v>4 558.572 6853.246</v>
      </c>
      <c r="U64" s="184" t="str">
        <f t="shared" si="30"/>
        <v>4 9</v>
      </c>
    </row>
    <row r="65" spans="1:21" x14ac:dyDescent="0.3">
      <c r="A65" s="189">
        <v>6</v>
      </c>
      <c r="B65" s="190">
        <v>5</v>
      </c>
      <c r="C65" s="182">
        <f t="shared" si="27"/>
        <v>1</v>
      </c>
      <c r="D65" s="191" t="s">
        <v>353</v>
      </c>
      <c r="E65" s="182">
        <v>5</v>
      </c>
      <c r="F65" s="192" t="s">
        <v>301</v>
      </c>
      <c r="H65" s="182">
        <v>3</v>
      </c>
      <c r="I65" s="191">
        <v>15</v>
      </c>
      <c r="J65" s="191" t="str">
        <f t="shared" si="12"/>
        <v>3 3 5 15</v>
      </c>
      <c r="L65" s="194">
        <v>1516</v>
      </c>
      <c r="M65" s="192" t="s">
        <v>301</v>
      </c>
      <c r="N65" s="195">
        <f>12+19</f>
        <v>31</v>
      </c>
      <c r="O65" s="195" t="s">
        <v>112</v>
      </c>
      <c r="P65" s="3">
        <f>VLOOKUP(L65,[4]Stores!$A$2:$G$1026,6,FALSE)/1000</f>
        <v>551.43299999999999</v>
      </c>
      <c r="Q65" s="3">
        <f>VLOOKUP(L65,[4]Stores!$A$2:$G$1026,7,FALSE)/1000</f>
        <v>6885.0559999999996</v>
      </c>
      <c r="R65" s="3">
        <f t="shared" si="28"/>
        <v>35.841806776444329</v>
      </c>
      <c r="S65" s="182">
        <v>5</v>
      </c>
      <c r="T65" s="184" t="str">
        <f t="shared" si="29"/>
        <v>5 551.433 6885.056</v>
      </c>
      <c r="U65" s="184" t="str">
        <f t="shared" si="30"/>
        <v>5 31</v>
      </c>
    </row>
    <row r="66" spans="1:21" x14ac:dyDescent="0.3">
      <c r="A66" s="189">
        <v>6</v>
      </c>
      <c r="B66" s="190">
        <v>5</v>
      </c>
      <c r="C66" s="182">
        <f t="shared" si="27"/>
        <v>1</v>
      </c>
      <c r="D66" s="191" t="s">
        <v>354</v>
      </c>
      <c r="E66" s="182">
        <v>6</v>
      </c>
      <c r="F66" s="192" t="s">
        <v>303</v>
      </c>
      <c r="H66" s="182">
        <v>4</v>
      </c>
      <c r="I66" s="191">
        <v>8</v>
      </c>
      <c r="J66" s="191" t="str">
        <f t="shared" si="12"/>
        <v>4 4 6 8</v>
      </c>
      <c r="L66" s="194">
        <v>1385</v>
      </c>
      <c r="M66" s="192" t="s">
        <v>303</v>
      </c>
      <c r="N66" s="195">
        <f>8+19</f>
        <v>27</v>
      </c>
      <c r="O66" s="195" t="s">
        <v>112</v>
      </c>
      <c r="P66" s="3">
        <f>VLOOKUP(L66,[4]Stores!$A$2:$G$1026,6,FALSE)/1000</f>
        <v>526.59100000000001</v>
      </c>
      <c r="Q66" s="3">
        <f>VLOOKUP(L66,[4]Stores!$A$2:$G$1026,7,FALSE)/1000</f>
        <v>6905.1279999999997</v>
      </c>
      <c r="R66" s="3">
        <f t="shared" si="28"/>
        <v>67.555088638828366</v>
      </c>
      <c r="S66" s="182">
        <v>6</v>
      </c>
      <c r="T66" s="184" t="str">
        <f t="shared" si="29"/>
        <v>6 526.591 6905.128</v>
      </c>
      <c r="U66" s="184" t="str">
        <f t="shared" si="30"/>
        <v>6 27</v>
      </c>
    </row>
    <row r="67" spans="1:21" x14ac:dyDescent="0.3">
      <c r="A67" s="189">
        <v>6</v>
      </c>
      <c r="B67" s="198">
        <v>5</v>
      </c>
      <c r="C67" s="182">
        <f t="shared" si="27"/>
        <v>1</v>
      </c>
      <c r="D67" s="191" t="s">
        <v>355</v>
      </c>
      <c r="E67" s="182">
        <v>7</v>
      </c>
      <c r="F67" s="192" t="s">
        <v>305</v>
      </c>
      <c r="H67" s="182">
        <v>5</v>
      </c>
      <c r="I67" s="191">
        <v>5</v>
      </c>
      <c r="J67" s="191" t="str">
        <f t="shared" si="12"/>
        <v>5 5 7 5</v>
      </c>
      <c r="L67" s="194">
        <v>1403</v>
      </c>
      <c r="M67" s="192" t="s">
        <v>305</v>
      </c>
      <c r="N67" s="195">
        <v>19</v>
      </c>
      <c r="O67" s="195" t="s">
        <v>112</v>
      </c>
      <c r="P67" s="3">
        <f>VLOOKUP(L67,[4]Stores!$A$2:$G$1026,6,FALSE)/1000</f>
        <v>529.14200000000005</v>
      </c>
      <c r="Q67" s="3">
        <f>VLOOKUP(L67,[4]Stores!$A$2:$G$1026,7,FALSE)/1000</f>
        <v>6911.6909999999998</v>
      </c>
      <c r="R67" s="3">
        <f t="shared" si="28"/>
        <v>70.565150782804679</v>
      </c>
      <c r="S67" s="182">
        <v>7</v>
      </c>
      <c r="T67" s="184" t="str">
        <f t="shared" si="29"/>
        <v>7 529.142 6911.691</v>
      </c>
      <c r="U67" s="184" t="str">
        <f t="shared" si="30"/>
        <v>7 19</v>
      </c>
    </row>
    <row r="68" spans="1:21" x14ac:dyDescent="0.3">
      <c r="A68" s="189">
        <v>6</v>
      </c>
      <c r="B68" s="198">
        <v>5</v>
      </c>
      <c r="C68" s="182">
        <f t="shared" si="27"/>
        <v>1</v>
      </c>
      <c r="D68" s="191" t="s">
        <v>356</v>
      </c>
      <c r="E68" s="182">
        <v>8</v>
      </c>
      <c r="F68" s="192" t="s">
        <v>307</v>
      </c>
      <c r="H68" s="182">
        <v>6</v>
      </c>
      <c r="I68" s="191">
        <v>1</v>
      </c>
      <c r="J68" s="191" t="str">
        <f t="shared" si="12"/>
        <v>6 6 8 1</v>
      </c>
      <c r="L68" s="194">
        <v>1625</v>
      </c>
      <c r="M68" s="192" t="s">
        <v>307</v>
      </c>
      <c r="N68" s="195">
        <f>4+7</f>
        <v>11</v>
      </c>
      <c r="O68" s="195" t="s">
        <v>112</v>
      </c>
      <c r="P68" s="3">
        <f>VLOOKUP(L68,[4]Stores!$A$2:$G$1026,6,FALSE)/1000</f>
        <v>517.77800000000002</v>
      </c>
      <c r="Q68" s="3">
        <f>VLOOKUP(L68,[4]Stores!$A$2:$G$1026,7,FALSE)/1000</f>
        <v>6884.4170000000004</v>
      </c>
      <c r="R68" s="3">
        <f t="shared" si="28"/>
        <v>63.158996453395346</v>
      </c>
      <c r="S68" s="182">
        <v>8</v>
      </c>
      <c r="T68" s="184" t="str">
        <f t="shared" si="29"/>
        <v>8 517.778 6884.417</v>
      </c>
      <c r="U68" s="184" t="str">
        <f t="shared" si="30"/>
        <v>8 11</v>
      </c>
    </row>
    <row r="69" spans="1:21" x14ac:dyDescent="0.3">
      <c r="A69" s="189"/>
      <c r="B69" s="190"/>
      <c r="C69" s="182"/>
      <c r="D69" s="191"/>
      <c r="E69" s="191"/>
      <c r="F69" s="192"/>
      <c r="I69" s="191"/>
      <c r="J69" s="191" t="str">
        <f t="shared" si="12"/>
        <v xml:space="preserve">   </v>
      </c>
      <c r="L69" s="194"/>
      <c r="M69" s="192"/>
      <c r="N69" s="195"/>
      <c r="O69" s="195"/>
      <c r="P69" s="3"/>
      <c r="Q69" s="3"/>
      <c r="R69" s="3"/>
    </row>
    <row r="70" spans="1:21" x14ac:dyDescent="0.3">
      <c r="A70" s="189">
        <v>6</v>
      </c>
      <c r="B70" s="198">
        <v>6</v>
      </c>
      <c r="C70" s="182">
        <f t="shared" ref="C70:C76" si="31">COUNTIF($D$4:$D$150,D70)</f>
        <v>1</v>
      </c>
      <c r="D70" s="191" t="s">
        <v>357</v>
      </c>
      <c r="E70" s="182">
        <v>2</v>
      </c>
      <c r="F70" s="192" t="s">
        <v>295</v>
      </c>
      <c r="H70" s="182">
        <v>0</v>
      </c>
      <c r="I70" s="191">
        <v>19</v>
      </c>
      <c r="J70" s="191" t="str">
        <f t="shared" si="12"/>
        <v>0 0 2 19</v>
      </c>
      <c r="K70" s="193">
        <v>8</v>
      </c>
      <c r="L70" s="194">
        <v>1493</v>
      </c>
      <c r="M70" s="192" t="s">
        <v>295</v>
      </c>
      <c r="N70" s="195">
        <v>5</v>
      </c>
      <c r="O70" s="195" t="s">
        <v>117</v>
      </c>
      <c r="P70" s="3">
        <f>VLOOKUP(L70,[4]Stores!$A$2:$G$1026,6,FALSE)/1000</f>
        <v>555.01800000000003</v>
      </c>
      <c r="Q70" s="3">
        <f>VLOOKUP(L70,[4]Stores!$A$2:$G$1026,7,FALSE)/1000</f>
        <v>6857.4409999999998</v>
      </c>
      <c r="R70" s="3">
        <f t="shared" ref="R70:R76" si="32">SQRT((P70-$P$2)^2+(Q70-$Q$2)^2)</f>
        <v>20.286364706373515</v>
      </c>
      <c r="S70" s="182">
        <v>2</v>
      </c>
      <c r="T70" s="184" t="str">
        <f>S70&amp;" "&amp;P70&amp;" "&amp;Q70</f>
        <v>2 555.018 6857.441</v>
      </c>
      <c r="U70" s="184" t="str">
        <f>S70&amp;" "&amp;N70</f>
        <v>2 5</v>
      </c>
    </row>
    <row r="71" spans="1:21" x14ac:dyDescent="0.3">
      <c r="A71" s="189">
        <v>6</v>
      </c>
      <c r="B71" s="196">
        <v>6</v>
      </c>
      <c r="C71" s="182">
        <f t="shared" si="31"/>
        <v>1</v>
      </c>
      <c r="D71" s="191" t="s">
        <v>358</v>
      </c>
      <c r="E71" s="182">
        <v>3</v>
      </c>
      <c r="F71" s="192" t="s">
        <v>297</v>
      </c>
      <c r="H71" s="182">
        <v>1</v>
      </c>
      <c r="I71" s="191">
        <v>0</v>
      </c>
      <c r="J71" s="191" t="str">
        <f t="shared" si="12"/>
        <v>1 1 3 0</v>
      </c>
      <c r="L71" s="194">
        <v>1275</v>
      </c>
      <c r="M71" s="192" t="s">
        <v>297</v>
      </c>
      <c r="N71" s="195">
        <v>4</v>
      </c>
      <c r="O71" s="195" t="s">
        <v>112</v>
      </c>
      <c r="P71" s="3">
        <f>VLOOKUP(L71,[4]Stores!$A$2:$G$1026,6,FALSE)/1000</f>
        <v>587.21</v>
      </c>
      <c r="Q71" s="3">
        <f>VLOOKUP(L71,[4]Stores!$A$2:$G$1026,7,FALSE)/1000</f>
        <v>6864.25</v>
      </c>
      <c r="R71" s="3">
        <f t="shared" si="32"/>
        <v>13.324289549540762</v>
      </c>
      <c r="S71" s="182">
        <v>3</v>
      </c>
      <c r="T71" s="184" t="str">
        <f t="shared" ref="T71:T76" si="33">S71&amp;" "&amp;P71&amp;" "&amp;Q71</f>
        <v>3 587.21 6864.25</v>
      </c>
      <c r="U71" s="184" t="str">
        <f t="shared" ref="U71:U76" si="34">S71&amp;" "&amp;N71</f>
        <v>3 4</v>
      </c>
    </row>
    <row r="72" spans="1:21" x14ac:dyDescent="0.3">
      <c r="A72" s="189">
        <v>6</v>
      </c>
      <c r="B72" s="198">
        <v>6</v>
      </c>
      <c r="C72" s="182">
        <f t="shared" si="31"/>
        <v>1</v>
      </c>
      <c r="D72" s="191" t="s">
        <v>359</v>
      </c>
      <c r="E72" s="182">
        <v>4</v>
      </c>
      <c r="F72" s="192" t="s">
        <v>299</v>
      </c>
      <c r="H72" s="182">
        <v>2</v>
      </c>
      <c r="I72" s="191">
        <v>3</v>
      </c>
      <c r="J72" s="191" t="str">
        <f t="shared" si="12"/>
        <v>2 2 4 3</v>
      </c>
      <c r="L72" s="197">
        <v>1855</v>
      </c>
      <c r="M72" s="192" t="s">
        <v>299</v>
      </c>
      <c r="N72" s="195">
        <v>5</v>
      </c>
      <c r="O72" s="195" t="s">
        <v>112</v>
      </c>
      <c r="P72" s="3">
        <f>VLOOKUP(L72,[4]Stores!$A$2:$G$1026,6,FALSE)/1000</f>
        <v>558.572</v>
      </c>
      <c r="Q72" s="3">
        <f>VLOOKUP(L72,[4]Stores!$A$2:$G$1026,7,FALSE)/1000</f>
        <v>6853.2460000000001</v>
      </c>
      <c r="R72" s="3">
        <f t="shared" si="32"/>
        <v>17.46256453101886</v>
      </c>
      <c r="S72" s="182">
        <v>4</v>
      </c>
      <c r="T72" s="184" t="str">
        <f t="shared" si="33"/>
        <v>4 558.572 6853.246</v>
      </c>
      <c r="U72" s="184" t="str">
        <f t="shared" si="34"/>
        <v>4 5</v>
      </c>
    </row>
    <row r="73" spans="1:21" x14ac:dyDescent="0.3">
      <c r="A73" s="189">
        <v>6</v>
      </c>
      <c r="B73" s="190">
        <v>6</v>
      </c>
      <c r="C73" s="182">
        <f t="shared" si="31"/>
        <v>1</v>
      </c>
      <c r="D73" s="191" t="s">
        <v>360</v>
      </c>
      <c r="E73" s="182">
        <v>5</v>
      </c>
      <c r="F73" s="192" t="s">
        <v>301</v>
      </c>
      <c r="H73" s="182">
        <v>3</v>
      </c>
      <c r="I73" s="191">
        <v>2</v>
      </c>
      <c r="J73" s="191" t="str">
        <f t="shared" si="12"/>
        <v>3 3 5 2</v>
      </c>
      <c r="L73" s="194">
        <v>1516</v>
      </c>
      <c r="M73" s="192" t="s">
        <v>301</v>
      </c>
      <c r="N73" s="195">
        <f>9+5</f>
        <v>14</v>
      </c>
      <c r="O73" s="195" t="s">
        <v>112</v>
      </c>
      <c r="P73" s="3">
        <f>VLOOKUP(L73,[4]Stores!$A$2:$G$1026,6,FALSE)/1000</f>
        <v>551.43299999999999</v>
      </c>
      <c r="Q73" s="3">
        <f>VLOOKUP(L73,[4]Stores!$A$2:$G$1026,7,FALSE)/1000</f>
        <v>6885.0559999999996</v>
      </c>
      <c r="R73" s="3">
        <f t="shared" si="32"/>
        <v>35.841806776444329</v>
      </c>
      <c r="S73" s="182">
        <v>5</v>
      </c>
      <c r="T73" s="184" t="str">
        <f t="shared" si="33"/>
        <v>5 551.433 6885.056</v>
      </c>
      <c r="U73" s="184" t="str">
        <f t="shared" si="34"/>
        <v>5 14</v>
      </c>
    </row>
    <row r="74" spans="1:21" x14ac:dyDescent="0.3">
      <c r="A74" s="189">
        <v>6</v>
      </c>
      <c r="B74" s="190">
        <v>6</v>
      </c>
      <c r="C74" s="182">
        <f t="shared" si="31"/>
        <v>1</v>
      </c>
      <c r="D74" s="191" t="s">
        <v>361</v>
      </c>
      <c r="E74" s="182">
        <v>6</v>
      </c>
      <c r="F74" s="192" t="s">
        <v>303</v>
      </c>
      <c r="H74" s="182">
        <v>4</v>
      </c>
      <c r="I74" s="191">
        <v>14</v>
      </c>
      <c r="J74" s="191" t="str">
        <f t="shared" si="12"/>
        <v>4 4 6 14</v>
      </c>
      <c r="L74" s="194">
        <v>1385</v>
      </c>
      <c r="M74" s="192" t="s">
        <v>303</v>
      </c>
      <c r="N74" s="195">
        <f>7+4</f>
        <v>11</v>
      </c>
      <c r="O74" s="195" t="s">
        <v>117</v>
      </c>
      <c r="P74" s="3">
        <f>VLOOKUP(L74,[4]Stores!$A$2:$G$1026,6,FALSE)/1000</f>
        <v>526.59100000000001</v>
      </c>
      <c r="Q74" s="3">
        <f>VLOOKUP(L74,[4]Stores!$A$2:$G$1026,7,FALSE)/1000</f>
        <v>6905.1279999999997</v>
      </c>
      <c r="R74" s="3">
        <f t="shared" si="32"/>
        <v>67.555088638828366</v>
      </c>
      <c r="S74" s="182">
        <v>6</v>
      </c>
      <c r="T74" s="184" t="str">
        <f t="shared" si="33"/>
        <v>6 526.591 6905.128</v>
      </c>
      <c r="U74" s="184" t="str">
        <f t="shared" si="34"/>
        <v>6 11</v>
      </c>
    </row>
    <row r="75" spans="1:21" x14ac:dyDescent="0.3">
      <c r="A75" s="189">
        <v>6</v>
      </c>
      <c r="B75" s="190">
        <v>6</v>
      </c>
      <c r="C75" s="182">
        <f t="shared" si="31"/>
        <v>1</v>
      </c>
      <c r="D75" s="191" t="s">
        <v>362</v>
      </c>
      <c r="E75" s="182">
        <v>7</v>
      </c>
      <c r="F75" s="192" t="s">
        <v>305</v>
      </c>
      <c r="H75" s="182">
        <v>5</v>
      </c>
      <c r="I75" s="191">
        <v>6</v>
      </c>
      <c r="J75" s="191" t="str">
        <f t="shared" si="12"/>
        <v>5 5 7 6</v>
      </c>
      <c r="L75" s="194">
        <v>1403</v>
      </c>
      <c r="M75" s="192" t="s">
        <v>305</v>
      </c>
      <c r="N75" s="195">
        <v>4</v>
      </c>
      <c r="O75" s="195" t="s">
        <v>117</v>
      </c>
      <c r="P75" s="3">
        <f>VLOOKUP(L75,[4]Stores!$A$2:$G$1026,6,FALSE)/1000</f>
        <v>529.14200000000005</v>
      </c>
      <c r="Q75" s="3">
        <f>VLOOKUP(L75,[4]Stores!$A$2:$G$1026,7,FALSE)/1000</f>
        <v>6911.6909999999998</v>
      </c>
      <c r="R75" s="3">
        <f t="shared" si="32"/>
        <v>70.565150782804679</v>
      </c>
      <c r="S75" s="182">
        <v>7</v>
      </c>
      <c r="T75" s="184" t="str">
        <f t="shared" si="33"/>
        <v>7 529.142 6911.691</v>
      </c>
      <c r="U75" s="184" t="str">
        <f t="shared" si="34"/>
        <v>7 4</v>
      </c>
    </row>
    <row r="76" spans="1:21" x14ac:dyDescent="0.3">
      <c r="A76" s="189">
        <v>6</v>
      </c>
      <c r="B76" s="198">
        <v>6</v>
      </c>
      <c r="C76" s="182">
        <f t="shared" si="31"/>
        <v>1</v>
      </c>
      <c r="D76" s="191" t="s">
        <v>363</v>
      </c>
      <c r="E76" s="182">
        <v>8</v>
      </c>
      <c r="F76" s="192" t="s">
        <v>307</v>
      </c>
      <c r="H76" s="182">
        <v>6</v>
      </c>
      <c r="I76" s="191">
        <v>0</v>
      </c>
      <c r="J76" s="191" t="str">
        <f t="shared" si="12"/>
        <v>6 6 8 0</v>
      </c>
      <c r="L76" s="194">
        <v>1625</v>
      </c>
      <c r="M76" s="192" t="s">
        <v>307</v>
      </c>
      <c r="N76" s="195">
        <v>4</v>
      </c>
      <c r="O76" s="195" t="s">
        <v>112</v>
      </c>
      <c r="P76" s="3">
        <f>VLOOKUP(L76,[4]Stores!$A$2:$G$1026,6,FALSE)/1000</f>
        <v>517.77800000000002</v>
      </c>
      <c r="Q76" s="3">
        <f>VLOOKUP(L76,[4]Stores!$A$2:$G$1026,7,FALSE)/1000</f>
        <v>6884.4170000000004</v>
      </c>
      <c r="R76" s="3">
        <f t="shared" si="32"/>
        <v>63.158996453395346</v>
      </c>
      <c r="S76" s="182">
        <v>8</v>
      </c>
      <c r="T76" s="184" t="str">
        <f t="shared" si="33"/>
        <v>8 517.778 6884.417</v>
      </c>
      <c r="U76" s="184" t="str">
        <f t="shared" si="34"/>
        <v>8 4</v>
      </c>
    </row>
    <row r="77" spans="1:21" x14ac:dyDescent="0.3">
      <c r="A77" s="189"/>
      <c r="B77" s="196"/>
      <c r="C77" s="182"/>
      <c r="D77" s="191"/>
      <c r="E77" s="191"/>
      <c r="F77" s="192"/>
      <c r="I77" s="191"/>
      <c r="J77" s="191" t="str">
        <f t="shared" si="12"/>
        <v xml:space="preserve">   </v>
      </c>
      <c r="L77" s="194"/>
      <c r="M77" s="192"/>
      <c r="N77" s="195"/>
      <c r="O77" s="195"/>
      <c r="P77" s="3"/>
      <c r="Q77" s="3"/>
      <c r="R77" s="3"/>
    </row>
    <row r="78" spans="1:21" x14ac:dyDescent="0.3">
      <c r="A78" s="189">
        <v>7</v>
      </c>
      <c r="B78" s="190">
        <v>1</v>
      </c>
      <c r="C78" s="182">
        <f t="shared" ref="C78:C84" si="35">COUNTIF($D$4:$D$150,D78)</f>
        <v>1</v>
      </c>
      <c r="D78" s="191" t="s">
        <v>364</v>
      </c>
      <c r="E78" s="182">
        <v>2</v>
      </c>
      <c r="F78" s="192" t="s">
        <v>295</v>
      </c>
      <c r="H78" s="182">
        <v>0</v>
      </c>
      <c r="I78" s="191">
        <v>22</v>
      </c>
      <c r="J78" s="191" t="str">
        <f t="shared" si="12"/>
        <v>0 0 2 22</v>
      </c>
      <c r="K78" s="193">
        <v>9</v>
      </c>
      <c r="L78" s="194">
        <v>1493</v>
      </c>
      <c r="M78" s="192" t="s">
        <v>295</v>
      </c>
      <c r="N78" s="195">
        <v>7</v>
      </c>
      <c r="O78" s="195" t="s">
        <v>117</v>
      </c>
      <c r="P78" s="3">
        <f>VLOOKUP(L78,[4]Stores!$A$2:$G$1026,6,FALSE)/1000</f>
        <v>555.01800000000003</v>
      </c>
      <c r="Q78" s="3">
        <f>VLOOKUP(L78,[4]Stores!$A$2:$G$1026,7,FALSE)/1000</f>
        <v>6857.4409999999998</v>
      </c>
      <c r="R78" s="3">
        <f t="shared" ref="R78:R84" si="36">SQRT((P78-$P$2)^2+(Q78-$Q$2)^2)</f>
        <v>20.286364706373515</v>
      </c>
      <c r="S78" s="182">
        <v>2</v>
      </c>
      <c r="T78" s="184" t="str">
        <f>S78&amp;" "&amp;P78&amp;" "&amp;Q78</f>
        <v>2 555.018 6857.441</v>
      </c>
      <c r="U78" s="184" t="str">
        <f>S78&amp;" "&amp;N78</f>
        <v>2 7</v>
      </c>
    </row>
    <row r="79" spans="1:21" x14ac:dyDescent="0.3">
      <c r="A79" s="189">
        <v>7</v>
      </c>
      <c r="B79" s="196">
        <v>1</v>
      </c>
      <c r="C79" s="182">
        <f t="shared" si="35"/>
        <v>1</v>
      </c>
      <c r="D79" s="191" t="s">
        <v>365</v>
      </c>
      <c r="E79" s="182">
        <v>3</v>
      </c>
      <c r="F79" s="192" t="s">
        <v>297</v>
      </c>
      <c r="H79" s="182">
        <v>1</v>
      </c>
      <c r="I79" s="191">
        <v>11</v>
      </c>
      <c r="J79" s="191" t="str">
        <f t="shared" si="12"/>
        <v>1 1 3 11</v>
      </c>
      <c r="L79" s="194">
        <v>1275</v>
      </c>
      <c r="M79" s="192" t="s">
        <v>297</v>
      </c>
      <c r="N79" s="195">
        <v>10</v>
      </c>
      <c r="O79" s="195" t="s">
        <v>117</v>
      </c>
      <c r="P79" s="3">
        <f>VLOOKUP(L79,[4]Stores!$A$2:$G$1026,6,FALSE)/1000</f>
        <v>587.21</v>
      </c>
      <c r="Q79" s="3">
        <f>VLOOKUP(L79,[4]Stores!$A$2:$G$1026,7,FALSE)/1000</f>
        <v>6864.25</v>
      </c>
      <c r="R79" s="3">
        <f t="shared" si="36"/>
        <v>13.324289549540762</v>
      </c>
      <c r="S79" s="182">
        <v>3</v>
      </c>
      <c r="T79" s="184" t="str">
        <f t="shared" ref="T79:T84" si="37">S79&amp;" "&amp;P79&amp;" "&amp;Q79</f>
        <v>3 587.21 6864.25</v>
      </c>
      <c r="U79" s="184" t="str">
        <f t="shared" ref="U79:U84" si="38">S79&amp;" "&amp;N79</f>
        <v>3 10</v>
      </c>
    </row>
    <row r="80" spans="1:21" x14ac:dyDescent="0.3">
      <c r="A80" s="189">
        <v>7</v>
      </c>
      <c r="B80" s="190">
        <v>1</v>
      </c>
      <c r="C80" s="182">
        <f t="shared" si="35"/>
        <v>1</v>
      </c>
      <c r="D80" s="191" t="s">
        <v>366</v>
      </c>
      <c r="E80" s="182">
        <v>4</v>
      </c>
      <c r="F80" s="192" t="s">
        <v>299</v>
      </c>
      <c r="H80" s="182">
        <v>2</v>
      </c>
      <c r="I80" s="191">
        <v>2</v>
      </c>
      <c r="J80" s="191" t="str">
        <f t="shared" si="12"/>
        <v>2 2 4 2</v>
      </c>
      <c r="L80" s="197">
        <v>1855</v>
      </c>
      <c r="M80" s="192" t="s">
        <v>299</v>
      </c>
      <c r="N80" s="195">
        <v>9</v>
      </c>
      <c r="O80" s="195" t="s">
        <v>112</v>
      </c>
      <c r="P80" s="3">
        <f>VLOOKUP(L80,[4]Stores!$A$2:$G$1026,6,FALSE)/1000</f>
        <v>558.572</v>
      </c>
      <c r="Q80" s="3">
        <f>VLOOKUP(L80,[4]Stores!$A$2:$G$1026,7,FALSE)/1000</f>
        <v>6853.2460000000001</v>
      </c>
      <c r="R80" s="3">
        <f t="shared" si="36"/>
        <v>17.46256453101886</v>
      </c>
      <c r="S80" s="182">
        <v>4</v>
      </c>
      <c r="T80" s="184" t="str">
        <f t="shared" si="37"/>
        <v>4 558.572 6853.246</v>
      </c>
      <c r="U80" s="184" t="str">
        <f t="shared" si="38"/>
        <v>4 9</v>
      </c>
    </row>
    <row r="81" spans="1:21" x14ac:dyDescent="0.3">
      <c r="A81" s="189">
        <v>7</v>
      </c>
      <c r="B81" s="190">
        <v>1</v>
      </c>
      <c r="C81" s="182">
        <f t="shared" si="35"/>
        <v>1</v>
      </c>
      <c r="D81" s="191" t="s">
        <v>367</v>
      </c>
      <c r="E81" s="182">
        <v>5</v>
      </c>
      <c r="F81" s="192" t="s">
        <v>301</v>
      </c>
      <c r="H81" s="182">
        <v>3</v>
      </c>
      <c r="I81" s="191">
        <v>12</v>
      </c>
      <c r="J81" s="191" t="str">
        <f t="shared" si="12"/>
        <v>3 3 5 12</v>
      </c>
      <c r="L81" s="194">
        <v>1516</v>
      </c>
      <c r="M81" s="192" t="s">
        <v>301</v>
      </c>
      <c r="N81" s="195">
        <v>15</v>
      </c>
      <c r="O81" s="195" t="s">
        <v>112</v>
      </c>
      <c r="P81" s="3">
        <f>VLOOKUP(L81,[4]Stores!$A$2:$G$1026,6,FALSE)/1000</f>
        <v>551.43299999999999</v>
      </c>
      <c r="Q81" s="3">
        <f>VLOOKUP(L81,[4]Stores!$A$2:$G$1026,7,FALSE)/1000</f>
        <v>6885.0559999999996</v>
      </c>
      <c r="R81" s="3">
        <f t="shared" si="36"/>
        <v>35.841806776444329</v>
      </c>
      <c r="S81" s="182">
        <v>5</v>
      </c>
      <c r="T81" s="184" t="str">
        <f t="shared" si="37"/>
        <v>5 551.433 6885.056</v>
      </c>
      <c r="U81" s="184" t="str">
        <f t="shared" si="38"/>
        <v>5 15</v>
      </c>
    </row>
    <row r="82" spans="1:21" x14ac:dyDescent="0.3">
      <c r="A82" s="189">
        <v>7</v>
      </c>
      <c r="B82" s="190">
        <v>1</v>
      </c>
      <c r="C82" s="182">
        <f t="shared" si="35"/>
        <v>1</v>
      </c>
      <c r="D82" s="191" t="s">
        <v>368</v>
      </c>
      <c r="E82" s="182">
        <v>6</v>
      </c>
      <c r="F82" s="192" t="s">
        <v>303</v>
      </c>
      <c r="H82" s="182">
        <v>4</v>
      </c>
      <c r="I82" s="191">
        <v>18</v>
      </c>
      <c r="J82" s="191" t="str">
        <f t="shared" si="12"/>
        <v>4 4 6 18</v>
      </c>
      <c r="L82" s="194">
        <v>1385</v>
      </c>
      <c r="M82" s="192" t="s">
        <v>303</v>
      </c>
      <c r="N82" s="195">
        <v>14</v>
      </c>
      <c r="O82" s="195" t="s">
        <v>117</v>
      </c>
      <c r="P82" s="3">
        <f>VLOOKUP(L82,[4]Stores!$A$2:$G$1026,6,FALSE)/1000</f>
        <v>526.59100000000001</v>
      </c>
      <c r="Q82" s="3">
        <f>VLOOKUP(L82,[4]Stores!$A$2:$G$1026,7,FALSE)/1000</f>
        <v>6905.1279999999997</v>
      </c>
      <c r="R82" s="3">
        <f t="shared" si="36"/>
        <v>67.555088638828366</v>
      </c>
      <c r="S82" s="182">
        <v>6</v>
      </c>
      <c r="T82" s="184" t="str">
        <f t="shared" si="37"/>
        <v>6 526.591 6905.128</v>
      </c>
      <c r="U82" s="184" t="str">
        <f t="shared" si="38"/>
        <v>6 14</v>
      </c>
    </row>
    <row r="83" spans="1:21" x14ac:dyDescent="0.3">
      <c r="A83" s="189">
        <v>7</v>
      </c>
      <c r="B83" s="190">
        <v>1</v>
      </c>
      <c r="C83" s="182">
        <f t="shared" si="35"/>
        <v>1</v>
      </c>
      <c r="D83" s="191" t="s">
        <v>369</v>
      </c>
      <c r="E83" s="182">
        <v>7</v>
      </c>
      <c r="F83" s="192" t="s">
        <v>305</v>
      </c>
      <c r="H83" s="182">
        <v>5</v>
      </c>
      <c r="I83" s="191">
        <v>6</v>
      </c>
      <c r="J83" s="191" t="str">
        <f t="shared" si="12"/>
        <v>5 5 7 6</v>
      </c>
      <c r="L83" s="194">
        <v>1403</v>
      </c>
      <c r="M83" s="192" t="s">
        <v>305</v>
      </c>
      <c r="N83" s="195">
        <v>14</v>
      </c>
      <c r="O83" s="195" t="s">
        <v>112</v>
      </c>
      <c r="P83" s="3">
        <f>VLOOKUP(L83,[4]Stores!$A$2:$G$1026,6,FALSE)/1000</f>
        <v>529.14200000000005</v>
      </c>
      <c r="Q83" s="3">
        <f>VLOOKUP(L83,[4]Stores!$A$2:$G$1026,7,FALSE)/1000</f>
        <v>6911.6909999999998</v>
      </c>
      <c r="R83" s="3">
        <f t="shared" si="36"/>
        <v>70.565150782804679</v>
      </c>
      <c r="S83" s="182">
        <v>7</v>
      </c>
      <c r="T83" s="184" t="str">
        <f t="shared" si="37"/>
        <v>7 529.142 6911.691</v>
      </c>
      <c r="U83" s="184" t="str">
        <f t="shared" si="38"/>
        <v>7 14</v>
      </c>
    </row>
    <row r="84" spans="1:21" x14ac:dyDescent="0.3">
      <c r="A84" s="189">
        <v>7</v>
      </c>
      <c r="B84" s="190">
        <v>1</v>
      </c>
      <c r="C84" s="182">
        <f t="shared" si="35"/>
        <v>1</v>
      </c>
      <c r="D84" s="191" t="s">
        <v>370</v>
      </c>
      <c r="E84" s="182">
        <v>8</v>
      </c>
      <c r="F84" s="192" t="s">
        <v>307</v>
      </c>
      <c r="H84" s="182">
        <v>6</v>
      </c>
      <c r="I84" s="191">
        <v>11</v>
      </c>
      <c r="J84" s="191" t="str">
        <f t="shared" si="12"/>
        <v>6 6 8 11</v>
      </c>
      <c r="L84" s="194">
        <v>1625</v>
      </c>
      <c r="M84" s="192" t="s">
        <v>307</v>
      </c>
      <c r="N84" s="195">
        <v>7</v>
      </c>
      <c r="O84" s="195" t="s">
        <v>117</v>
      </c>
      <c r="P84" s="3">
        <f>VLOOKUP(L84,[4]Stores!$A$2:$G$1026,6,FALSE)/1000</f>
        <v>517.77800000000002</v>
      </c>
      <c r="Q84" s="3">
        <f>VLOOKUP(L84,[4]Stores!$A$2:$G$1026,7,FALSE)/1000</f>
        <v>6884.4170000000004</v>
      </c>
      <c r="R84" s="3">
        <f t="shared" si="36"/>
        <v>63.158996453395346</v>
      </c>
      <c r="S84" s="182">
        <v>8</v>
      </c>
      <c r="T84" s="184" t="str">
        <f t="shared" si="37"/>
        <v>8 517.778 6884.417</v>
      </c>
      <c r="U84" s="184" t="str">
        <f t="shared" si="38"/>
        <v>8 7</v>
      </c>
    </row>
    <row r="85" spans="1:21" x14ac:dyDescent="0.3">
      <c r="A85" s="189"/>
      <c r="B85" s="190"/>
      <c r="C85" s="182"/>
      <c r="D85" s="191"/>
      <c r="E85" s="191"/>
      <c r="F85" s="192"/>
      <c r="I85" s="191"/>
      <c r="J85" s="191" t="str">
        <f t="shared" si="12"/>
        <v xml:space="preserve">   </v>
      </c>
      <c r="L85" s="197"/>
      <c r="M85" s="192"/>
      <c r="N85" s="195"/>
      <c r="O85" s="195"/>
      <c r="P85" s="3"/>
      <c r="Q85" s="3"/>
      <c r="R85" s="3"/>
    </row>
    <row r="86" spans="1:21" hidden="1" x14ac:dyDescent="0.3">
      <c r="A86" s="189">
        <v>7</v>
      </c>
      <c r="B86" s="190">
        <v>2</v>
      </c>
      <c r="C86" s="182">
        <f>COUNTIF($D$4:$D$150,D86)</f>
        <v>1</v>
      </c>
      <c r="D86" s="191" t="s">
        <v>371</v>
      </c>
      <c r="E86" s="191"/>
      <c r="F86" s="192" t="s">
        <v>301</v>
      </c>
      <c r="I86" s="191">
        <v>18</v>
      </c>
      <c r="J86" s="191" t="str">
        <f t="shared" si="12"/>
        <v xml:space="preserve">   18</v>
      </c>
      <c r="L86" s="194">
        <v>1516</v>
      </c>
      <c r="M86" s="192" t="s">
        <v>301</v>
      </c>
      <c r="N86" s="195">
        <v>9</v>
      </c>
      <c r="O86" s="195" t="s">
        <v>117</v>
      </c>
      <c r="P86" s="3">
        <f>VLOOKUP(L86,[4]Stores!$A$2:$G$1026,6,FALSE)/1000</f>
        <v>551.43299999999999</v>
      </c>
      <c r="Q86" s="3">
        <f>VLOOKUP(L86,[4]Stores!$A$2:$G$1026,7,FALSE)/1000</f>
        <v>6885.0559999999996</v>
      </c>
      <c r="R86" s="3">
        <f t="shared" ref="R86:R97" si="39">SQRT((P86-$P$2)^2+(Q86-$Q$2)^2)</f>
        <v>35.841806776444329</v>
      </c>
    </row>
    <row r="87" spans="1:21" hidden="1" x14ac:dyDescent="0.3">
      <c r="A87" s="189">
        <v>7</v>
      </c>
      <c r="B87" s="190">
        <v>2</v>
      </c>
      <c r="C87" s="182">
        <f>COUNTIF($D$4:$D$150,D87)</f>
        <v>1</v>
      </c>
      <c r="D87" s="191" t="s">
        <v>372</v>
      </c>
      <c r="E87" s="191"/>
      <c r="F87" s="192" t="s">
        <v>303</v>
      </c>
      <c r="I87" s="191">
        <v>1</v>
      </c>
      <c r="J87" s="191" t="str">
        <f t="shared" si="12"/>
        <v xml:space="preserve">   1</v>
      </c>
      <c r="L87" s="194">
        <v>1385</v>
      </c>
      <c r="M87" s="192" t="s">
        <v>303</v>
      </c>
      <c r="N87" s="195">
        <v>10</v>
      </c>
      <c r="O87" s="195" t="s">
        <v>112</v>
      </c>
      <c r="P87" s="3">
        <f>VLOOKUP(L87,[4]Stores!$A$2:$G$1026,6,FALSE)/1000</f>
        <v>526.59100000000001</v>
      </c>
      <c r="Q87" s="3">
        <f>VLOOKUP(L87,[4]Stores!$A$2:$G$1026,7,FALSE)/1000</f>
        <v>6905.1279999999997</v>
      </c>
      <c r="R87" s="3">
        <f t="shared" si="39"/>
        <v>67.555088638828366</v>
      </c>
    </row>
    <row r="88" spans="1:21" hidden="1" x14ac:dyDescent="0.3">
      <c r="A88" s="189">
        <v>7</v>
      </c>
      <c r="B88" s="190">
        <v>3</v>
      </c>
      <c r="C88" s="182">
        <f>COUNTIF($D$4:$D$150,D88)</f>
        <v>1</v>
      </c>
      <c r="D88" s="191" t="s">
        <v>373</v>
      </c>
      <c r="E88" s="191"/>
      <c r="F88" s="192" t="s">
        <v>301</v>
      </c>
      <c r="I88" s="191">
        <v>12</v>
      </c>
      <c r="J88" s="191" t="str">
        <f t="shared" si="12"/>
        <v xml:space="preserve">   12</v>
      </c>
      <c r="L88" s="194">
        <v>1516</v>
      </c>
      <c r="M88" s="192" t="s">
        <v>301</v>
      </c>
      <c r="N88" s="195">
        <v>9</v>
      </c>
      <c r="O88" s="195" t="s">
        <v>117</v>
      </c>
      <c r="P88" s="3">
        <f>VLOOKUP(L88,[4]Stores!$A$2:$G$1026,6,FALSE)/1000</f>
        <v>551.43299999999999</v>
      </c>
      <c r="Q88" s="3">
        <f>VLOOKUP(L88,[4]Stores!$A$2:$G$1026,7,FALSE)/1000</f>
        <v>6885.0559999999996</v>
      </c>
      <c r="R88" s="3">
        <f t="shared" si="39"/>
        <v>35.841806776444329</v>
      </c>
    </row>
    <row r="89" spans="1:21" hidden="1" x14ac:dyDescent="0.3">
      <c r="A89" s="189">
        <v>7</v>
      </c>
      <c r="B89" s="190">
        <v>3</v>
      </c>
      <c r="C89" s="182">
        <f>COUNTIF($D$4:$D$150,D89)</f>
        <v>1</v>
      </c>
      <c r="D89" s="191" t="s">
        <v>374</v>
      </c>
      <c r="E89" s="191"/>
      <c r="F89" s="192" t="s">
        <v>303</v>
      </c>
      <c r="I89" s="191">
        <v>3</v>
      </c>
      <c r="J89" s="191" t="str">
        <f t="shared" si="12"/>
        <v xml:space="preserve">   3</v>
      </c>
      <c r="L89" s="194">
        <v>1385</v>
      </c>
      <c r="M89" s="192" t="s">
        <v>303</v>
      </c>
      <c r="N89" s="195">
        <v>6</v>
      </c>
      <c r="O89" s="195" t="s">
        <v>112</v>
      </c>
      <c r="P89" s="3">
        <f>VLOOKUP(L89,[4]Stores!$A$2:$G$1026,6,FALSE)/1000</f>
        <v>526.59100000000001</v>
      </c>
      <c r="Q89" s="3">
        <f>VLOOKUP(L89,[4]Stores!$A$2:$G$1026,7,FALSE)/1000</f>
        <v>6905.1279999999997</v>
      </c>
      <c r="R89" s="3">
        <f t="shared" si="39"/>
        <v>67.555088638828366</v>
      </c>
    </row>
    <row r="90" spans="1:21" hidden="1" x14ac:dyDescent="0.3">
      <c r="A90" s="189"/>
      <c r="B90" s="190"/>
      <c r="C90" s="182"/>
      <c r="D90" s="191"/>
      <c r="E90" s="191"/>
      <c r="F90" s="192"/>
      <c r="I90" s="191"/>
      <c r="J90" s="191" t="str">
        <f t="shared" ref="J90:J150" si="40">H90&amp;" "&amp;H90&amp;" "&amp;E90&amp;" "&amp;I90</f>
        <v xml:space="preserve">   </v>
      </c>
      <c r="L90" s="194"/>
      <c r="M90" s="192"/>
      <c r="N90" s="195"/>
      <c r="O90" s="195"/>
      <c r="P90" s="3" t="e">
        <f>VLOOKUP(L90,[4]Stores!$A$2:$G$1026,6,FALSE)/1000</f>
        <v>#N/A</v>
      </c>
      <c r="Q90" s="3" t="e">
        <f>VLOOKUP(L90,[4]Stores!$A$2:$G$1026,7,FALSE)/1000</f>
        <v>#N/A</v>
      </c>
      <c r="R90" s="3" t="e">
        <f t="shared" si="39"/>
        <v>#N/A</v>
      </c>
    </row>
    <row r="91" spans="1:21" x14ac:dyDescent="0.3">
      <c r="A91" s="189">
        <v>7</v>
      </c>
      <c r="B91" s="198">
        <v>4</v>
      </c>
      <c r="C91" s="182">
        <f t="shared" ref="C91:C97" si="41">COUNTIF($D$4:$D$150,D91)</f>
        <v>1</v>
      </c>
      <c r="D91" s="191" t="s">
        <v>375</v>
      </c>
      <c r="E91" s="182">
        <v>2</v>
      </c>
      <c r="F91" s="192" t="s">
        <v>295</v>
      </c>
      <c r="H91" s="182">
        <v>0</v>
      </c>
      <c r="I91" s="191">
        <v>12</v>
      </c>
      <c r="J91" s="191" t="str">
        <f t="shared" si="40"/>
        <v>0 0 2 12</v>
      </c>
      <c r="K91" s="193">
        <v>10</v>
      </c>
      <c r="L91" s="194">
        <v>1493</v>
      </c>
      <c r="M91" s="192" t="s">
        <v>295</v>
      </c>
      <c r="N91" s="195">
        <v>8</v>
      </c>
      <c r="O91" s="195" t="s">
        <v>117</v>
      </c>
      <c r="P91" s="3">
        <f>VLOOKUP(L91,[4]Stores!$A$2:$G$1026,6,FALSE)/1000</f>
        <v>555.01800000000003</v>
      </c>
      <c r="Q91" s="3">
        <f>VLOOKUP(L91,[4]Stores!$A$2:$G$1026,7,FALSE)/1000</f>
        <v>6857.4409999999998</v>
      </c>
      <c r="R91" s="3">
        <f t="shared" si="39"/>
        <v>20.286364706373515</v>
      </c>
      <c r="S91" s="182">
        <v>2</v>
      </c>
      <c r="T91" s="184" t="str">
        <f>S91&amp;" "&amp;P91&amp;" "&amp;Q91</f>
        <v>2 555.018 6857.441</v>
      </c>
      <c r="U91" s="184" t="str">
        <f>S91&amp;" "&amp;N91</f>
        <v>2 8</v>
      </c>
    </row>
    <row r="92" spans="1:21" x14ac:dyDescent="0.3">
      <c r="A92" s="189">
        <v>7</v>
      </c>
      <c r="B92" s="196">
        <v>4</v>
      </c>
      <c r="C92" s="182">
        <f t="shared" si="41"/>
        <v>1</v>
      </c>
      <c r="D92" s="191" t="s">
        <v>376</v>
      </c>
      <c r="E92" s="182">
        <v>3</v>
      </c>
      <c r="F92" s="192" t="s">
        <v>297</v>
      </c>
      <c r="H92" s="182">
        <v>1</v>
      </c>
      <c r="I92" s="191">
        <v>6</v>
      </c>
      <c r="J92" s="191" t="str">
        <f t="shared" si="40"/>
        <v>1 1 3 6</v>
      </c>
      <c r="L92" s="194">
        <v>1275</v>
      </c>
      <c r="M92" s="192" t="s">
        <v>297</v>
      </c>
      <c r="N92" s="195">
        <v>6</v>
      </c>
      <c r="O92" s="195" t="s">
        <v>117</v>
      </c>
      <c r="P92" s="3">
        <f>VLOOKUP(L92,[4]Stores!$A$2:$G$1026,6,FALSE)/1000</f>
        <v>587.21</v>
      </c>
      <c r="Q92" s="3">
        <f>VLOOKUP(L92,[4]Stores!$A$2:$G$1026,7,FALSE)/1000</f>
        <v>6864.25</v>
      </c>
      <c r="R92" s="3">
        <f t="shared" si="39"/>
        <v>13.324289549540762</v>
      </c>
      <c r="S92" s="182">
        <v>3</v>
      </c>
      <c r="T92" s="184" t="str">
        <f t="shared" ref="T92:T97" si="42">S92&amp;" "&amp;P92&amp;" "&amp;Q92</f>
        <v>3 587.21 6864.25</v>
      </c>
      <c r="U92" s="184" t="str">
        <f t="shared" ref="U92:U97" si="43">S92&amp;" "&amp;N92</f>
        <v>3 6</v>
      </c>
    </row>
    <row r="93" spans="1:21" x14ac:dyDescent="0.3">
      <c r="A93" s="189">
        <v>7</v>
      </c>
      <c r="B93" s="190">
        <v>4</v>
      </c>
      <c r="C93" s="182">
        <f t="shared" si="41"/>
        <v>1</v>
      </c>
      <c r="D93" s="191" t="s">
        <v>377</v>
      </c>
      <c r="E93" s="182">
        <v>4</v>
      </c>
      <c r="F93" s="192" t="s">
        <v>299</v>
      </c>
      <c r="H93" s="182">
        <v>2</v>
      </c>
      <c r="I93" s="191">
        <v>17</v>
      </c>
      <c r="J93" s="191" t="str">
        <f t="shared" si="40"/>
        <v>2 2 4 17</v>
      </c>
      <c r="L93" s="197">
        <v>1855</v>
      </c>
      <c r="M93" s="192" t="s">
        <v>299</v>
      </c>
      <c r="N93" s="195">
        <v>6</v>
      </c>
      <c r="O93" s="195" t="s">
        <v>117</v>
      </c>
      <c r="P93" s="3">
        <f>VLOOKUP(L93,[4]Stores!$A$2:$G$1026,6,FALSE)/1000</f>
        <v>558.572</v>
      </c>
      <c r="Q93" s="3">
        <f>VLOOKUP(L93,[4]Stores!$A$2:$G$1026,7,FALSE)/1000</f>
        <v>6853.2460000000001</v>
      </c>
      <c r="R93" s="3">
        <f t="shared" si="39"/>
        <v>17.46256453101886</v>
      </c>
      <c r="S93" s="182">
        <v>4</v>
      </c>
      <c r="T93" s="184" t="str">
        <f t="shared" si="42"/>
        <v>4 558.572 6853.246</v>
      </c>
      <c r="U93" s="184" t="str">
        <f t="shared" si="43"/>
        <v>4 6</v>
      </c>
    </row>
    <row r="94" spans="1:21" x14ac:dyDescent="0.3">
      <c r="A94" s="189">
        <v>7</v>
      </c>
      <c r="B94" s="198">
        <v>4</v>
      </c>
      <c r="C94" s="182">
        <f t="shared" si="41"/>
        <v>1</v>
      </c>
      <c r="D94" s="191" t="s">
        <v>378</v>
      </c>
      <c r="E94" s="182">
        <v>5</v>
      </c>
      <c r="F94" s="192" t="s">
        <v>301</v>
      </c>
      <c r="H94" s="182">
        <v>3</v>
      </c>
      <c r="I94" s="191">
        <v>13</v>
      </c>
      <c r="J94" s="191" t="str">
        <f t="shared" si="40"/>
        <v>3 3 5 13</v>
      </c>
      <c r="L94" s="194">
        <v>1516</v>
      </c>
      <c r="M94" s="192" t="s">
        <v>301</v>
      </c>
      <c r="N94" s="195">
        <v>11</v>
      </c>
      <c r="O94" s="195" t="s">
        <v>117</v>
      </c>
      <c r="P94" s="3">
        <f>VLOOKUP(L94,[4]Stores!$A$2:$G$1026,6,FALSE)/1000</f>
        <v>551.43299999999999</v>
      </c>
      <c r="Q94" s="3">
        <f>VLOOKUP(L94,[4]Stores!$A$2:$G$1026,7,FALSE)/1000</f>
        <v>6885.0559999999996</v>
      </c>
      <c r="R94" s="3">
        <f t="shared" si="39"/>
        <v>35.841806776444329</v>
      </c>
      <c r="S94" s="182">
        <v>5</v>
      </c>
      <c r="T94" s="184" t="str">
        <f t="shared" si="42"/>
        <v>5 551.433 6885.056</v>
      </c>
      <c r="U94" s="184" t="str">
        <f t="shared" si="43"/>
        <v>5 11</v>
      </c>
    </row>
    <row r="95" spans="1:21" x14ac:dyDescent="0.3">
      <c r="A95" s="189">
        <v>7</v>
      </c>
      <c r="B95" s="190">
        <v>4</v>
      </c>
      <c r="C95" s="182">
        <f t="shared" si="41"/>
        <v>1</v>
      </c>
      <c r="D95" s="191" t="s">
        <v>379</v>
      </c>
      <c r="E95" s="182">
        <v>6</v>
      </c>
      <c r="F95" s="192" t="s">
        <v>303</v>
      </c>
      <c r="H95" s="182">
        <v>4</v>
      </c>
      <c r="I95" s="191">
        <v>0</v>
      </c>
      <c r="J95" s="191" t="str">
        <f t="shared" si="40"/>
        <v>4 4 6 0</v>
      </c>
      <c r="L95" s="194">
        <v>1385</v>
      </c>
      <c r="M95" s="192" t="s">
        <v>303</v>
      </c>
      <c r="N95" s="195">
        <v>9</v>
      </c>
      <c r="O95" s="195" t="s">
        <v>112</v>
      </c>
      <c r="P95" s="3">
        <f>VLOOKUP(L95,[4]Stores!$A$2:$G$1026,6,FALSE)/1000</f>
        <v>526.59100000000001</v>
      </c>
      <c r="Q95" s="3">
        <f>VLOOKUP(L95,[4]Stores!$A$2:$G$1026,7,FALSE)/1000</f>
        <v>6905.1279999999997</v>
      </c>
      <c r="R95" s="3">
        <f t="shared" si="39"/>
        <v>67.555088638828366</v>
      </c>
      <c r="S95" s="182">
        <v>6</v>
      </c>
      <c r="T95" s="184" t="str">
        <f t="shared" si="42"/>
        <v>6 526.591 6905.128</v>
      </c>
      <c r="U95" s="184" t="str">
        <f t="shared" si="43"/>
        <v>6 9</v>
      </c>
    </row>
    <row r="96" spans="1:21" x14ac:dyDescent="0.3">
      <c r="A96" s="189">
        <v>7</v>
      </c>
      <c r="B96" s="190">
        <v>4</v>
      </c>
      <c r="C96" s="182">
        <f t="shared" si="41"/>
        <v>1</v>
      </c>
      <c r="D96" s="191" t="s">
        <v>380</v>
      </c>
      <c r="E96" s="182">
        <v>7</v>
      </c>
      <c r="F96" s="192" t="s">
        <v>305</v>
      </c>
      <c r="H96" s="182">
        <v>5</v>
      </c>
      <c r="I96" s="191">
        <v>5</v>
      </c>
      <c r="J96" s="191" t="str">
        <f t="shared" si="40"/>
        <v>5 5 7 5</v>
      </c>
      <c r="L96" s="194">
        <v>1403</v>
      </c>
      <c r="M96" s="192" t="s">
        <v>305</v>
      </c>
      <c r="N96" s="195">
        <v>16</v>
      </c>
      <c r="O96" s="195" t="s">
        <v>112</v>
      </c>
      <c r="P96" s="3">
        <f>VLOOKUP(L96,[4]Stores!$A$2:$G$1026,6,FALSE)/1000</f>
        <v>529.14200000000005</v>
      </c>
      <c r="Q96" s="3">
        <f>VLOOKUP(L96,[4]Stores!$A$2:$G$1026,7,FALSE)/1000</f>
        <v>6911.6909999999998</v>
      </c>
      <c r="R96" s="3">
        <f t="shared" si="39"/>
        <v>70.565150782804679</v>
      </c>
      <c r="S96" s="182">
        <v>7</v>
      </c>
      <c r="T96" s="184" t="str">
        <f t="shared" si="42"/>
        <v>7 529.142 6911.691</v>
      </c>
      <c r="U96" s="184" t="str">
        <f t="shared" si="43"/>
        <v>7 16</v>
      </c>
    </row>
    <row r="97" spans="1:21" x14ac:dyDescent="0.3">
      <c r="A97" s="189">
        <v>7</v>
      </c>
      <c r="B97" s="198">
        <v>4</v>
      </c>
      <c r="C97" s="182">
        <f t="shared" si="41"/>
        <v>1</v>
      </c>
      <c r="D97" s="191" t="s">
        <v>381</v>
      </c>
      <c r="E97" s="182">
        <v>8</v>
      </c>
      <c r="F97" s="192" t="s">
        <v>307</v>
      </c>
      <c r="H97" s="182">
        <v>6</v>
      </c>
      <c r="I97" s="191">
        <v>14</v>
      </c>
      <c r="J97" s="191" t="str">
        <f t="shared" si="40"/>
        <v>6 6 8 14</v>
      </c>
      <c r="L97" s="194">
        <v>1625</v>
      </c>
      <c r="M97" s="192" t="s">
        <v>307</v>
      </c>
      <c r="N97" s="195">
        <v>5</v>
      </c>
      <c r="O97" s="195" t="s">
        <v>117</v>
      </c>
      <c r="P97" s="3">
        <f>VLOOKUP(L97,[4]Stores!$A$2:$G$1026,6,FALSE)/1000</f>
        <v>517.77800000000002</v>
      </c>
      <c r="Q97" s="3">
        <f>VLOOKUP(L97,[4]Stores!$A$2:$G$1026,7,FALSE)/1000</f>
        <v>6884.4170000000004</v>
      </c>
      <c r="R97" s="3">
        <f t="shared" si="39"/>
        <v>63.158996453395346</v>
      </c>
      <c r="S97" s="182">
        <v>8</v>
      </c>
      <c r="T97" s="184" t="str">
        <f t="shared" si="42"/>
        <v>8 517.778 6884.417</v>
      </c>
      <c r="U97" s="184" t="str">
        <f t="shared" si="43"/>
        <v>8 5</v>
      </c>
    </row>
    <row r="98" spans="1:21" x14ac:dyDescent="0.3">
      <c r="A98" s="189"/>
      <c r="B98" s="190"/>
      <c r="C98" s="182"/>
      <c r="D98" s="191"/>
      <c r="E98" s="191"/>
      <c r="F98" s="192"/>
      <c r="I98" s="191"/>
      <c r="J98" s="191" t="str">
        <f t="shared" si="40"/>
        <v xml:space="preserve">   </v>
      </c>
      <c r="L98" s="197"/>
      <c r="M98" s="192"/>
      <c r="N98" s="195"/>
      <c r="O98" s="195"/>
      <c r="P98" s="3"/>
      <c r="Q98" s="3"/>
      <c r="R98" s="3"/>
    </row>
    <row r="99" spans="1:21" x14ac:dyDescent="0.3">
      <c r="A99" s="189">
        <v>7</v>
      </c>
      <c r="B99" s="190">
        <v>5</v>
      </c>
      <c r="C99" s="182">
        <f t="shared" ref="C99:C105" si="44">COUNTIF($D$4:$D$150,D99)</f>
        <v>1</v>
      </c>
      <c r="D99" s="191" t="s">
        <v>382</v>
      </c>
      <c r="E99" s="182">
        <v>2</v>
      </c>
      <c r="F99" s="192" t="s">
        <v>295</v>
      </c>
      <c r="H99" s="182">
        <v>0</v>
      </c>
      <c r="I99" s="191">
        <v>16</v>
      </c>
      <c r="J99" s="191" t="str">
        <f t="shared" si="40"/>
        <v>0 0 2 16</v>
      </c>
      <c r="K99" s="193">
        <v>11</v>
      </c>
      <c r="L99" s="194">
        <v>1493</v>
      </c>
      <c r="M99" s="192" t="s">
        <v>295</v>
      </c>
      <c r="N99" s="195">
        <v>10</v>
      </c>
      <c r="O99" s="195" t="s">
        <v>117</v>
      </c>
      <c r="P99" s="3">
        <f>VLOOKUP(L99,[4]Stores!$A$2:$G$1026,6,FALSE)/1000</f>
        <v>555.01800000000003</v>
      </c>
      <c r="Q99" s="3">
        <f>VLOOKUP(L99,[4]Stores!$A$2:$G$1026,7,FALSE)/1000</f>
        <v>6857.4409999999998</v>
      </c>
      <c r="R99" s="3">
        <f t="shared" ref="R99:R105" si="45">SQRT((P99-$P$2)^2+(Q99-$Q$2)^2)</f>
        <v>20.286364706373515</v>
      </c>
      <c r="S99" s="182">
        <v>2</v>
      </c>
      <c r="T99" s="184" t="str">
        <f>S99&amp;" "&amp;P99&amp;" "&amp;Q99</f>
        <v>2 555.018 6857.441</v>
      </c>
      <c r="U99" s="184" t="str">
        <f>S99&amp;" "&amp;N99</f>
        <v>2 10</v>
      </c>
    </row>
    <row r="100" spans="1:21" x14ac:dyDescent="0.3">
      <c r="A100" s="189">
        <v>7</v>
      </c>
      <c r="B100" s="196">
        <v>5</v>
      </c>
      <c r="C100" s="182">
        <f t="shared" si="44"/>
        <v>1</v>
      </c>
      <c r="D100" s="191" t="s">
        <v>383</v>
      </c>
      <c r="E100" s="182">
        <v>3</v>
      </c>
      <c r="F100" s="192" t="s">
        <v>297</v>
      </c>
      <c r="H100" s="182">
        <v>1</v>
      </c>
      <c r="I100" s="191">
        <v>6</v>
      </c>
      <c r="J100" s="191" t="str">
        <f t="shared" si="40"/>
        <v>1 1 3 6</v>
      </c>
      <c r="L100" s="194">
        <v>1275</v>
      </c>
      <c r="M100" s="192" t="s">
        <v>297</v>
      </c>
      <c r="N100" s="195">
        <v>9</v>
      </c>
      <c r="O100" s="195" t="s">
        <v>112</v>
      </c>
      <c r="P100" s="3">
        <f>VLOOKUP(L100,[4]Stores!$A$2:$G$1026,6,FALSE)/1000</f>
        <v>587.21</v>
      </c>
      <c r="Q100" s="3">
        <f>VLOOKUP(L100,[4]Stores!$A$2:$G$1026,7,FALSE)/1000</f>
        <v>6864.25</v>
      </c>
      <c r="R100" s="3">
        <f t="shared" si="45"/>
        <v>13.324289549540762</v>
      </c>
      <c r="S100" s="182">
        <v>3</v>
      </c>
      <c r="T100" s="184" t="str">
        <f t="shared" ref="T100:T105" si="46">S100&amp;" "&amp;P100&amp;" "&amp;Q100</f>
        <v>3 587.21 6864.25</v>
      </c>
      <c r="U100" s="184" t="str">
        <f t="shared" ref="U100:U105" si="47">S100&amp;" "&amp;N100</f>
        <v>3 9</v>
      </c>
    </row>
    <row r="101" spans="1:21" x14ac:dyDescent="0.3">
      <c r="A101" s="189">
        <v>7</v>
      </c>
      <c r="B101" s="190">
        <v>5</v>
      </c>
      <c r="C101" s="182">
        <f t="shared" si="44"/>
        <v>1</v>
      </c>
      <c r="D101" s="191" t="s">
        <v>384</v>
      </c>
      <c r="E101" s="182">
        <v>4</v>
      </c>
      <c r="F101" s="192" t="s">
        <v>299</v>
      </c>
      <c r="H101" s="182">
        <v>2</v>
      </c>
      <c r="I101" s="191">
        <v>12</v>
      </c>
      <c r="J101" s="191" t="str">
        <f t="shared" si="40"/>
        <v>2 2 4 12</v>
      </c>
      <c r="L101" s="197">
        <v>1855</v>
      </c>
      <c r="M101" s="192" t="s">
        <v>299</v>
      </c>
      <c r="N101" s="195">
        <v>8</v>
      </c>
      <c r="O101" s="195" t="s">
        <v>117</v>
      </c>
      <c r="P101" s="3">
        <f>VLOOKUP(L101,[4]Stores!$A$2:$G$1026,6,FALSE)/1000</f>
        <v>558.572</v>
      </c>
      <c r="Q101" s="3">
        <f>VLOOKUP(L101,[4]Stores!$A$2:$G$1026,7,FALSE)/1000</f>
        <v>6853.2460000000001</v>
      </c>
      <c r="R101" s="3">
        <f t="shared" si="45"/>
        <v>17.46256453101886</v>
      </c>
      <c r="S101" s="182">
        <v>4</v>
      </c>
      <c r="T101" s="184" t="str">
        <f t="shared" si="46"/>
        <v>4 558.572 6853.246</v>
      </c>
      <c r="U101" s="184" t="str">
        <f t="shared" si="47"/>
        <v>4 8</v>
      </c>
    </row>
    <row r="102" spans="1:21" x14ac:dyDescent="0.3">
      <c r="A102" s="189">
        <v>7</v>
      </c>
      <c r="B102" s="190">
        <v>5</v>
      </c>
      <c r="C102" s="182">
        <f t="shared" si="44"/>
        <v>1</v>
      </c>
      <c r="D102" s="191" t="s">
        <v>385</v>
      </c>
      <c r="E102" s="182">
        <v>5</v>
      </c>
      <c r="F102" s="192" t="s">
        <v>301</v>
      </c>
      <c r="H102" s="182">
        <v>3</v>
      </c>
      <c r="I102" s="191">
        <v>17</v>
      </c>
      <c r="J102" s="191" t="str">
        <f t="shared" si="40"/>
        <v>3 3 5 17</v>
      </c>
      <c r="L102" s="194">
        <v>1516</v>
      </c>
      <c r="M102" s="192" t="s">
        <v>301</v>
      </c>
      <c r="N102" s="195">
        <v>34</v>
      </c>
      <c r="O102" s="195" t="s">
        <v>112</v>
      </c>
      <c r="P102" s="3">
        <f>VLOOKUP(L102,[4]Stores!$A$2:$G$1026,6,FALSE)/1000</f>
        <v>551.43299999999999</v>
      </c>
      <c r="Q102" s="3">
        <f>VLOOKUP(L102,[4]Stores!$A$2:$G$1026,7,FALSE)/1000</f>
        <v>6885.0559999999996</v>
      </c>
      <c r="R102" s="3">
        <f t="shared" si="45"/>
        <v>35.841806776444329</v>
      </c>
      <c r="S102" s="182">
        <v>5</v>
      </c>
      <c r="T102" s="184" t="str">
        <f t="shared" si="46"/>
        <v>5 551.433 6885.056</v>
      </c>
      <c r="U102" s="184" t="str">
        <f t="shared" si="47"/>
        <v>5 34</v>
      </c>
    </row>
    <row r="103" spans="1:21" x14ac:dyDescent="0.3">
      <c r="A103" s="189">
        <v>7</v>
      </c>
      <c r="B103" s="190">
        <v>5</v>
      </c>
      <c r="C103" s="182">
        <f t="shared" si="44"/>
        <v>1</v>
      </c>
      <c r="D103" s="191" t="s">
        <v>230</v>
      </c>
      <c r="E103" s="182">
        <v>6</v>
      </c>
      <c r="F103" s="192" t="s">
        <v>303</v>
      </c>
      <c r="H103" s="182">
        <v>4</v>
      </c>
      <c r="I103" s="191">
        <v>7</v>
      </c>
      <c r="J103" s="191" t="str">
        <f t="shared" si="40"/>
        <v>4 4 6 7</v>
      </c>
      <c r="L103" s="194">
        <v>1385</v>
      </c>
      <c r="M103" s="192" t="s">
        <v>303</v>
      </c>
      <c r="N103" s="195">
        <f>8+19</f>
        <v>27</v>
      </c>
      <c r="O103" s="195" t="s">
        <v>112</v>
      </c>
      <c r="P103" s="3">
        <f>VLOOKUP(L103,[4]Stores!$A$2:$G$1026,6,FALSE)/1000</f>
        <v>526.59100000000001</v>
      </c>
      <c r="Q103" s="3">
        <f>VLOOKUP(L103,[4]Stores!$A$2:$G$1026,7,FALSE)/1000</f>
        <v>6905.1279999999997</v>
      </c>
      <c r="R103" s="3">
        <f t="shared" si="45"/>
        <v>67.555088638828366</v>
      </c>
      <c r="S103" s="182">
        <v>6</v>
      </c>
      <c r="T103" s="184" t="str">
        <f t="shared" si="46"/>
        <v>6 526.591 6905.128</v>
      </c>
      <c r="U103" s="184" t="str">
        <f t="shared" si="47"/>
        <v>6 27</v>
      </c>
    </row>
    <row r="104" spans="1:21" x14ac:dyDescent="0.3">
      <c r="A104" s="189">
        <v>7</v>
      </c>
      <c r="B104" s="198">
        <v>5</v>
      </c>
      <c r="C104" s="182">
        <f t="shared" si="44"/>
        <v>1</v>
      </c>
      <c r="D104" s="191" t="s">
        <v>386</v>
      </c>
      <c r="E104" s="182">
        <v>7</v>
      </c>
      <c r="F104" s="192" t="s">
        <v>305</v>
      </c>
      <c r="H104" s="182">
        <v>5</v>
      </c>
      <c r="I104" s="191">
        <v>1</v>
      </c>
      <c r="J104" s="191" t="str">
        <f t="shared" si="40"/>
        <v>5 5 7 1</v>
      </c>
      <c r="L104" s="194">
        <v>1403</v>
      </c>
      <c r="M104" s="192" t="s">
        <v>305</v>
      </c>
      <c r="N104" s="195">
        <v>20</v>
      </c>
      <c r="O104" s="195" t="s">
        <v>112</v>
      </c>
      <c r="P104" s="3">
        <f>VLOOKUP(L104,[4]Stores!$A$2:$G$1026,6,FALSE)/1000</f>
        <v>529.14200000000005</v>
      </c>
      <c r="Q104" s="3">
        <f>VLOOKUP(L104,[4]Stores!$A$2:$G$1026,7,FALSE)/1000</f>
        <v>6911.6909999999998</v>
      </c>
      <c r="R104" s="3">
        <f t="shared" si="45"/>
        <v>70.565150782804679</v>
      </c>
      <c r="S104" s="182">
        <v>7</v>
      </c>
      <c r="T104" s="184" t="str">
        <f t="shared" si="46"/>
        <v>7 529.142 6911.691</v>
      </c>
      <c r="U104" s="184" t="str">
        <f t="shared" si="47"/>
        <v>7 20</v>
      </c>
    </row>
    <row r="105" spans="1:21" x14ac:dyDescent="0.3">
      <c r="A105" s="189">
        <v>7</v>
      </c>
      <c r="B105" s="198">
        <v>5</v>
      </c>
      <c r="C105" s="182">
        <f t="shared" si="44"/>
        <v>1</v>
      </c>
      <c r="D105" s="191" t="s">
        <v>387</v>
      </c>
      <c r="E105" s="182">
        <v>8</v>
      </c>
      <c r="F105" s="192" t="s">
        <v>307</v>
      </c>
      <c r="H105" s="182">
        <v>6</v>
      </c>
      <c r="I105" s="191">
        <v>3</v>
      </c>
      <c r="J105" s="191" t="str">
        <f t="shared" si="40"/>
        <v>6 6 8 3</v>
      </c>
      <c r="L105" s="194">
        <v>1625</v>
      </c>
      <c r="M105" s="192" t="s">
        <v>307</v>
      </c>
      <c r="N105" s="195">
        <f>4+7</f>
        <v>11</v>
      </c>
      <c r="O105" s="195" t="s">
        <v>112</v>
      </c>
      <c r="P105" s="3">
        <f>VLOOKUP(L105,[4]Stores!$A$2:$G$1026,6,FALSE)/1000</f>
        <v>517.77800000000002</v>
      </c>
      <c r="Q105" s="3">
        <f>VLOOKUP(L105,[4]Stores!$A$2:$G$1026,7,FALSE)/1000</f>
        <v>6884.4170000000004</v>
      </c>
      <c r="R105" s="3">
        <f t="shared" si="45"/>
        <v>63.158996453395346</v>
      </c>
      <c r="S105" s="182">
        <v>8</v>
      </c>
      <c r="T105" s="184" t="str">
        <f t="shared" si="46"/>
        <v>8 517.778 6884.417</v>
      </c>
      <c r="U105" s="184" t="str">
        <f t="shared" si="47"/>
        <v>8 11</v>
      </c>
    </row>
    <row r="106" spans="1:21" x14ac:dyDescent="0.3">
      <c r="A106" s="189"/>
      <c r="B106" s="190"/>
      <c r="C106" s="182"/>
      <c r="D106" s="191"/>
      <c r="E106" s="191"/>
      <c r="F106" s="192"/>
      <c r="I106" s="191"/>
      <c r="J106" s="191" t="str">
        <f t="shared" si="40"/>
        <v xml:space="preserve">   </v>
      </c>
      <c r="L106" s="194"/>
      <c r="M106" s="192"/>
      <c r="N106" s="195"/>
      <c r="O106" s="195"/>
      <c r="P106" s="3"/>
      <c r="Q106" s="3"/>
      <c r="R106" s="3"/>
    </row>
    <row r="107" spans="1:21" x14ac:dyDescent="0.3">
      <c r="A107" s="189">
        <v>7</v>
      </c>
      <c r="B107" s="198">
        <v>6</v>
      </c>
      <c r="C107" s="182">
        <f t="shared" ref="C107:C113" si="48">COUNTIF($D$4:$D$150,D107)</f>
        <v>1</v>
      </c>
      <c r="D107" s="191" t="s">
        <v>388</v>
      </c>
      <c r="E107" s="182">
        <v>2</v>
      </c>
      <c r="F107" s="192" t="s">
        <v>295</v>
      </c>
      <c r="H107" s="182">
        <v>0</v>
      </c>
      <c r="I107" s="191">
        <v>22</v>
      </c>
      <c r="J107" s="191" t="str">
        <f t="shared" si="40"/>
        <v>0 0 2 22</v>
      </c>
      <c r="K107" s="193">
        <v>12</v>
      </c>
      <c r="L107" s="194">
        <v>1493</v>
      </c>
      <c r="M107" s="192" t="s">
        <v>295</v>
      </c>
      <c r="N107" s="195">
        <v>5</v>
      </c>
      <c r="O107" s="195" t="s">
        <v>117</v>
      </c>
      <c r="P107" s="3">
        <f>VLOOKUP(L107,[4]Stores!$A$2:$G$1026,6,FALSE)/1000</f>
        <v>555.01800000000003</v>
      </c>
      <c r="Q107" s="3">
        <f>VLOOKUP(L107,[4]Stores!$A$2:$G$1026,7,FALSE)/1000</f>
        <v>6857.4409999999998</v>
      </c>
      <c r="R107" s="3">
        <f t="shared" ref="R107:R121" si="49">SQRT((P107-$P$2)^2+(Q107-$Q$2)^2)</f>
        <v>20.286364706373515</v>
      </c>
      <c r="S107" s="182">
        <v>2</v>
      </c>
      <c r="T107" s="184" t="str">
        <f>S107&amp;" "&amp;P107&amp;" "&amp;Q107</f>
        <v>2 555.018 6857.441</v>
      </c>
      <c r="U107" s="184" t="str">
        <f>S107&amp;" "&amp;N107</f>
        <v>2 5</v>
      </c>
    </row>
    <row r="108" spans="1:21" x14ac:dyDescent="0.3">
      <c r="A108" s="189">
        <v>7</v>
      </c>
      <c r="B108" s="196">
        <v>6</v>
      </c>
      <c r="C108" s="182">
        <f t="shared" si="48"/>
        <v>1</v>
      </c>
      <c r="D108" s="191" t="s">
        <v>389</v>
      </c>
      <c r="E108" s="182">
        <v>3</v>
      </c>
      <c r="F108" s="192" t="s">
        <v>297</v>
      </c>
      <c r="H108" s="182">
        <v>1</v>
      </c>
      <c r="I108" s="191">
        <v>1</v>
      </c>
      <c r="J108" s="191" t="str">
        <f t="shared" si="40"/>
        <v>1 1 3 1</v>
      </c>
      <c r="L108" s="194">
        <v>1275</v>
      </c>
      <c r="M108" s="192" t="s">
        <v>297</v>
      </c>
      <c r="N108" s="195">
        <v>3</v>
      </c>
      <c r="O108" s="195" t="s">
        <v>112</v>
      </c>
      <c r="P108" s="3">
        <f>VLOOKUP(L108,[4]Stores!$A$2:$G$1026,6,FALSE)/1000</f>
        <v>587.21</v>
      </c>
      <c r="Q108" s="3">
        <f>VLOOKUP(L108,[4]Stores!$A$2:$G$1026,7,FALSE)/1000</f>
        <v>6864.25</v>
      </c>
      <c r="R108" s="3">
        <f t="shared" si="49"/>
        <v>13.324289549540762</v>
      </c>
      <c r="S108" s="182">
        <v>3</v>
      </c>
      <c r="T108" s="184" t="str">
        <f t="shared" ref="T108:T113" si="50">S108&amp;" "&amp;P108&amp;" "&amp;Q108</f>
        <v>3 587.21 6864.25</v>
      </c>
      <c r="U108" s="184" t="str">
        <f t="shared" ref="U108:U113" si="51">S108&amp;" "&amp;N108</f>
        <v>3 3</v>
      </c>
    </row>
    <row r="109" spans="1:21" x14ac:dyDescent="0.3">
      <c r="A109" s="189">
        <v>7</v>
      </c>
      <c r="B109" s="198">
        <v>6</v>
      </c>
      <c r="C109" s="182">
        <f t="shared" si="48"/>
        <v>1</v>
      </c>
      <c r="D109" s="191" t="s">
        <v>390</v>
      </c>
      <c r="E109" s="182">
        <v>4</v>
      </c>
      <c r="F109" s="192" t="s">
        <v>299</v>
      </c>
      <c r="H109" s="182">
        <v>2</v>
      </c>
      <c r="I109" s="191">
        <v>7</v>
      </c>
      <c r="J109" s="191" t="str">
        <f t="shared" si="40"/>
        <v>2 2 4 7</v>
      </c>
      <c r="L109" s="197">
        <v>1855</v>
      </c>
      <c r="M109" s="192" t="s">
        <v>299</v>
      </c>
      <c r="N109" s="195">
        <v>4</v>
      </c>
      <c r="O109" s="195" t="s">
        <v>117</v>
      </c>
      <c r="P109" s="3">
        <f>VLOOKUP(L109,[4]Stores!$A$2:$G$1026,6,FALSE)/1000</f>
        <v>558.572</v>
      </c>
      <c r="Q109" s="3">
        <f>VLOOKUP(L109,[4]Stores!$A$2:$G$1026,7,FALSE)/1000</f>
        <v>6853.2460000000001</v>
      </c>
      <c r="R109" s="3">
        <f t="shared" si="49"/>
        <v>17.46256453101886</v>
      </c>
      <c r="S109" s="182">
        <v>4</v>
      </c>
      <c r="T109" s="184" t="str">
        <f t="shared" si="50"/>
        <v>4 558.572 6853.246</v>
      </c>
      <c r="U109" s="184" t="str">
        <f t="shared" si="51"/>
        <v>4 4</v>
      </c>
    </row>
    <row r="110" spans="1:21" x14ac:dyDescent="0.3">
      <c r="A110" s="189">
        <v>7</v>
      </c>
      <c r="B110" s="190">
        <v>6</v>
      </c>
      <c r="C110" s="182">
        <f t="shared" si="48"/>
        <v>1</v>
      </c>
      <c r="D110" s="191" t="s">
        <v>391</v>
      </c>
      <c r="E110" s="182">
        <v>5</v>
      </c>
      <c r="F110" s="192" t="s">
        <v>301</v>
      </c>
      <c r="H110" s="182">
        <v>3</v>
      </c>
      <c r="I110" s="191">
        <v>2</v>
      </c>
      <c r="J110" s="191" t="str">
        <f t="shared" si="40"/>
        <v>3 3 5 2</v>
      </c>
      <c r="L110" s="194">
        <v>1516</v>
      </c>
      <c r="M110" s="192" t="s">
        <v>301</v>
      </c>
      <c r="N110" s="195">
        <f>9+5</f>
        <v>14</v>
      </c>
      <c r="O110" s="195" t="s">
        <v>112</v>
      </c>
      <c r="P110" s="3">
        <f>VLOOKUP(L110,[4]Stores!$A$2:$G$1026,6,FALSE)/1000</f>
        <v>551.43299999999999</v>
      </c>
      <c r="Q110" s="3">
        <f>VLOOKUP(L110,[4]Stores!$A$2:$G$1026,7,FALSE)/1000</f>
        <v>6885.0559999999996</v>
      </c>
      <c r="R110" s="3">
        <f t="shared" si="49"/>
        <v>35.841806776444329</v>
      </c>
      <c r="S110" s="182">
        <v>5</v>
      </c>
      <c r="T110" s="184" t="str">
        <f t="shared" si="50"/>
        <v>5 551.433 6885.056</v>
      </c>
      <c r="U110" s="184" t="str">
        <f t="shared" si="51"/>
        <v>5 14</v>
      </c>
    </row>
    <row r="111" spans="1:21" x14ac:dyDescent="0.3">
      <c r="A111" s="189">
        <v>7</v>
      </c>
      <c r="B111" s="190">
        <v>6</v>
      </c>
      <c r="C111" s="182">
        <f t="shared" si="48"/>
        <v>1</v>
      </c>
      <c r="D111" s="191" t="s">
        <v>392</v>
      </c>
      <c r="E111" s="182">
        <v>6</v>
      </c>
      <c r="F111" s="192" t="s">
        <v>303</v>
      </c>
      <c r="H111" s="182">
        <v>4</v>
      </c>
      <c r="I111" s="191">
        <v>10</v>
      </c>
      <c r="J111" s="191" t="str">
        <f t="shared" si="40"/>
        <v>4 4 6 10</v>
      </c>
      <c r="L111" s="194">
        <v>1385</v>
      </c>
      <c r="M111" s="192" t="s">
        <v>303</v>
      </c>
      <c r="N111" s="195">
        <f>8+4</f>
        <v>12</v>
      </c>
      <c r="O111" s="195" t="s">
        <v>112</v>
      </c>
      <c r="P111" s="3">
        <f>VLOOKUP(L111,[4]Stores!$A$2:$G$1026,6,FALSE)/1000</f>
        <v>526.59100000000001</v>
      </c>
      <c r="Q111" s="3">
        <f>VLOOKUP(L111,[4]Stores!$A$2:$G$1026,7,FALSE)/1000</f>
        <v>6905.1279999999997</v>
      </c>
      <c r="R111" s="3">
        <f t="shared" si="49"/>
        <v>67.555088638828366</v>
      </c>
      <c r="S111" s="182">
        <v>6</v>
      </c>
      <c r="T111" s="184" t="str">
        <f t="shared" si="50"/>
        <v>6 526.591 6905.128</v>
      </c>
      <c r="U111" s="184" t="str">
        <f t="shared" si="51"/>
        <v>6 12</v>
      </c>
    </row>
    <row r="112" spans="1:21" x14ac:dyDescent="0.3">
      <c r="A112" s="189">
        <v>7</v>
      </c>
      <c r="B112" s="190">
        <v>6</v>
      </c>
      <c r="C112" s="182">
        <f t="shared" si="48"/>
        <v>1</v>
      </c>
      <c r="D112" s="191" t="s">
        <v>393</v>
      </c>
      <c r="E112" s="182">
        <v>7</v>
      </c>
      <c r="F112" s="192" t="s">
        <v>305</v>
      </c>
      <c r="H112" s="182">
        <v>5</v>
      </c>
      <c r="I112" s="191">
        <v>3</v>
      </c>
      <c r="J112" s="191" t="str">
        <f t="shared" si="40"/>
        <v>5 5 7 3</v>
      </c>
      <c r="L112" s="194">
        <v>1403</v>
      </c>
      <c r="M112" s="192" t="s">
        <v>305</v>
      </c>
      <c r="N112" s="195">
        <v>5</v>
      </c>
      <c r="O112" s="195" t="s">
        <v>112</v>
      </c>
      <c r="P112" s="3">
        <f>VLOOKUP(L112,[4]Stores!$A$2:$G$1026,6,FALSE)/1000</f>
        <v>529.14200000000005</v>
      </c>
      <c r="Q112" s="3">
        <f>VLOOKUP(L112,[4]Stores!$A$2:$G$1026,7,FALSE)/1000</f>
        <v>6911.6909999999998</v>
      </c>
      <c r="R112" s="3">
        <f t="shared" si="49"/>
        <v>70.565150782804679</v>
      </c>
      <c r="S112" s="182">
        <v>7</v>
      </c>
      <c r="T112" s="184" t="str">
        <f t="shared" si="50"/>
        <v>7 529.142 6911.691</v>
      </c>
      <c r="U112" s="184" t="str">
        <f t="shared" si="51"/>
        <v>7 5</v>
      </c>
    </row>
    <row r="113" spans="1:21" x14ac:dyDescent="0.3">
      <c r="A113" s="189">
        <v>7</v>
      </c>
      <c r="B113" s="198">
        <v>6</v>
      </c>
      <c r="C113" s="182">
        <f t="shared" si="48"/>
        <v>1</v>
      </c>
      <c r="D113" s="191" t="s">
        <v>394</v>
      </c>
      <c r="E113" s="182">
        <v>8</v>
      </c>
      <c r="F113" s="192" t="s">
        <v>307</v>
      </c>
      <c r="H113" s="182">
        <v>6</v>
      </c>
      <c r="I113" s="191">
        <v>0</v>
      </c>
      <c r="J113" s="191" t="str">
        <f t="shared" si="40"/>
        <v>6 6 8 0</v>
      </c>
      <c r="L113" s="194">
        <v>1625</v>
      </c>
      <c r="M113" s="192" t="s">
        <v>307</v>
      </c>
      <c r="N113" s="195">
        <v>4</v>
      </c>
      <c r="O113" s="195" t="s">
        <v>112</v>
      </c>
      <c r="P113" s="3">
        <f>VLOOKUP(L113,[4]Stores!$A$2:$G$1026,6,FALSE)/1000</f>
        <v>517.77800000000002</v>
      </c>
      <c r="Q113" s="3">
        <f>VLOOKUP(L113,[4]Stores!$A$2:$G$1026,7,FALSE)/1000</f>
        <v>6884.4170000000004</v>
      </c>
      <c r="R113" s="3">
        <f t="shared" si="49"/>
        <v>63.158996453395346</v>
      </c>
      <c r="S113" s="182">
        <v>8</v>
      </c>
      <c r="T113" s="184" t="str">
        <f t="shared" si="50"/>
        <v>8 517.778 6884.417</v>
      </c>
      <c r="U113" s="184" t="str">
        <f t="shared" si="51"/>
        <v>8 4</v>
      </c>
    </row>
    <row r="114" spans="1:21" x14ac:dyDescent="0.3">
      <c r="A114" s="189"/>
      <c r="B114" s="196"/>
      <c r="C114" s="182"/>
      <c r="D114" s="191"/>
      <c r="E114" s="191"/>
      <c r="F114" s="192"/>
      <c r="I114" s="191"/>
      <c r="J114" s="191" t="str">
        <f t="shared" si="40"/>
        <v xml:space="preserve">   </v>
      </c>
      <c r="L114" s="194"/>
      <c r="M114" s="192"/>
      <c r="N114" s="195"/>
      <c r="O114" s="195"/>
      <c r="P114" s="3" t="e">
        <f>VLOOKUP(L114,[4]Stores!$A$2:$G$1026,6,FALSE)/1000</f>
        <v>#N/A</v>
      </c>
      <c r="Q114" s="3" t="e">
        <f>VLOOKUP(L114,[4]Stores!$A$2:$G$1026,7,FALSE)/1000</f>
        <v>#N/A</v>
      </c>
      <c r="R114" s="3" t="e">
        <f t="shared" si="49"/>
        <v>#N/A</v>
      </c>
    </row>
    <row r="115" spans="1:21" x14ac:dyDescent="0.3">
      <c r="A115" s="189">
        <v>8</v>
      </c>
      <c r="B115" s="190">
        <v>1</v>
      </c>
      <c r="C115" s="182">
        <f t="shared" ref="C115:C121" si="52">COUNTIF($D$4:$D$150,D115)</f>
        <v>1</v>
      </c>
      <c r="D115" s="191" t="s">
        <v>395</v>
      </c>
      <c r="E115" s="182">
        <v>2</v>
      </c>
      <c r="F115" s="192" t="s">
        <v>295</v>
      </c>
      <c r="H115" s="182">
        <v>0</v>
      </c>
      <c r="I115" s="191">
        <v>20</v>
      </c>
      <c r="J115" s="191" t="str">
        <f t="shared" si="40"/>
        <v>0 0 2 20</v>
      </c>
      <c r="K115" s="193">
        <v>13</v>
      </c>
      <c r="L115" s="194">
        <v>1493</v>
      </c>
      <c r="M115" s="192" t="s">
        <v>295</v>
      </c>
      <c r="N115" s="195">
        <v>7</v>
      </c>
      <c r="O115" s="195" t="s">
        <v>117</v>
      </c>
      <c r="P115" s="3">
        <f>VLOOKUP(L115,[4]Stores!$A$2:$G$1026,6,FALSE)/1000</f>
        <v>555.01800000000003</v>
      </c>
      <c r="Q115" s="3">
        <f>VLOOKUP(L115,[4]Stores!$A$2:$G$1026,7,FALSE)/1000</f>
        <v>6857.4409999999998</v>
      </c>
      <c r="R115" s="3">
        <f t="shared" si="49"/>
        <v>20.286364706373515</v>
      </c>
      <c r="S115" s="182">
        <v>2</v>
      </c>
      <c r="T115" s="184" t="str">
        <f>S115&amp;" "&amp;P115&amp;" "&amp;Q115</f>
        <v>2 555.018 6857.441</v>
      </c>
      <c r="U115" s="184" t="str">
        <f>S115&amp;" "&amp;N115</f>
        <v>2 7</v>
      </c>
    </row>
    <row r="116" spans="1:21" x14ac:dyDescent="0.3">
      <c r="A116" s="189">
        <v>8</v>
      </c>
      <c r="B116" s="196">
        <v>1</v>
      </c>
      <c r="C116" s="182">
        <f t="shared" si="52"/>
        <v>1</v>
      </c>
      <c r="D116" s="191" t="s">
        <v>396</v>
      </c>
      <c r="E116" s="182">
        <v>3</v>
      </c>
      <c r="F116" s="192" t="s">
        <v>297</v>
      </c>
      <c r="H116" s="182">
        <v>1</v>
      </c>
      <c r="I116" s="191">
        <v>10</v>
      </c>
      <c r="J116" s="191" t="str">
        <f t="shared" si="40"/>
        <v>1 1 3 10</v>
      </c>
      <c r="L116" s="194">
        <v>1275</v>
      </c>
      <c r="M116" s="192" t="s">
        <v>297</v>
      </c>
      <c r="N116" s="195">
        <v>9</v>
      </c>
      <c r="O116" s="195" t="s">
        <v>117</v>
      </c>
      <c r="P116" s="3">
        <f>VLOOKUP(L116,[4]Stores!$A$2:$G$1026,6,FALSE)/1000</f>
        <v>587.21</v>
      </c>
      <c r="Q116" s="3">
        <f>VLOOKUP(L116,[4]Stores!$A$2:$G$1026,7,FALSE)/1000</f>
        <v>6864.25</v>
      </c>
      <c r="R116" s="3">
        <f t="shared" si="49"/>
        <v>13.324289549540762</v>
      </c>
      <c r="S116" s="182">
        <v>3</v>
      </c>
      <c r="T116" s="184" t="str">
        <f t="shared" ref="T116:T121" si="53">S116&amp;" "&amp;P116&amp;" "&amp;Q116</f>
        <v>3 587.21 6864.25</v>
      </c>
      <c r="U116" s="184" t="str">
        <f t="shared" ref="U116:U121" si="54">S116&amp;" "&amp;N116</f>
        <v>3 9</v>
      </c>
    </row>
    <row r="117" spans="1:21" x14ac:dyDescent="0.3">
      <c r="A117" s="189">
        <v>8</v>
      </c>
      <c r="B117" s="190">
        <v>1</v>
      </c>
      <c r="C117" s="182">
        <f t="shared" si="52"/>
        <v>1</v>
      </c>
      <c r="D117" s="191" t="s">
        <v>397</v>
      </c>
      <c r="E117" s="182">
        <v>4</v>
      </c>
      <c r="F117" s="192" t="s">
        <v>299</v>
      </c>
      <c r="H117" s="182">
        <v>2</v>
      </c>
      <c r="I117" s="191">
        <v>2</v>
      </c>
      <c r="J117" s="191" t="str">
        <f t="shared" si="40"/>
        <v>2 2 4 2</v>
      </c>
      <c r="L117" s="197">
        <v>1855</v>
      </c>
      <c r="M117" s="192" t="s">
        <v>299</v>
      </c>
      <c r="N117" s="195">
        <v>8</v>
      </c>
      <c r="O117" s="195" t="s">
        <v>112</v>
      </c>
      <c r="P117" s="3">
        <f>VLOOKUP(L117,[4]Stores!$A$2:$G$1026,6,FALSE)/1000</f>
        <v>558.572</v>
      </c>
      <c r="Q117" s="3">
        <f>VLOOKUP(L117,[4]Stores!$A$2:$G$1026,7,FALSE)/1000</f>
        <v>6853.2460000000001</v>
      </c>
      <c r="R117" s="3">
        <f t="shared" si="49"/>
        <v>17.46256453101886</v>
      </c>
      <c r="S117" s="182">
        <v>4</v>
      </c>
      <c r="T117" s="184" t="str">
        <f t="shared" si="53"/>
        <v>4 558.572 6853.246</v>
      </c>
      <c r="U117" s="184" t="str">
        <f t="shared" si="54"/>
        <v>4 8</v>
      </c>
    </row>
    <row r="118" spans="1:21" x14ac:dyDescent="0.3">
      <c r="A118" s="189">
        <v>8</v>
      </c>
      <c r="B118" s="190">
        <v>1</v>
      </c>
      <c r="C118" s="182">
        <f t="shared" si="52"/>
        <v>1</v>
      </c>
      <c r="D118" s="191" t="s">
        <v>398</v>
      </c>
      <c r="E118" s="182">
        <v>5</v>
      </c>
      <c r="F118" s="192" t="s">
        <v>301</v>
      </c>
      <c r="H118" s="182">
        <v>3</v>
      </c>
      <c r="I118" s="191">
        <v>12</v>
      </c>
      <c r="J118" s="191" t="str">
        <f t="shared" si="40"/>
        <v>3 3 5 12</v>
      </c>
      <c r="L118" s="194">
        <v>1516</v>
      </c>
      <c r="M118" s="192" t="s">
        <v>301</v>
      </c>
      <c r="N118" s="195">
        <v>14</v>
      </c>
      <c r="O118" s="195" t="s">
        <v>112</v>
      </c>
      <c r="P118" s="3">
        <f>VLOOKUP(L118,[4]Stores!$A$2:$G$1026,6,FALSE)/1000</f>
        <v>551.43299999999999</v>
      </c>
      <c r="Q118" s="3">
        <f>VLOOKUP(L118,[4]Stores!$A$2:$G$1026,7,FALSE)/1000</f>
        <v>6885.0559999999996</v>
      </c>
      <c r="R118" s="3">
        <f t="shared" si="49"/>
        <v>35.841806776444329</v>
      </c>
      <c r="S118" s="182">
        <v>5</v>
      </c>
      <c r="T118" s="184" t="str">
        <f t="shared" si="53"/>
        <v>5 551.433 6885.056</v>
      </c>
      <c r="U118" s="184" t="str">
        <f t="shared" si="54"/>
        <v>5 14</v>
      </c>
    </row>
    <row r="119" spans="1:21" x14ac:dyDescent="0.3">
      <c r="A119" s="189">
        <v>8</v>
      </c>
      <c r="B119" s="190">
        <v>1</v>
      </c>
      <c r="C119" s="182">
        <f t="shared" si="52"/>
        <v>1</v>
      </c>
      <c r="D119" s="191" t="s">
        <v>399</v>
      </c>
      <c r="E119" s="182">
        <v>6</v>
      </c>
      <c r="F119" s="192" t="s">
        <v>303</v>
      </c>
      <c r="H119" s="182">
        <v>4</v>
      </c>
      <c r="I119" s="191">
        <v>10</v>
      </c>
      <c r="J119" s="191" t="str">
        <f t="shared" si="40"/>
        <v>4 4 6 10</v>
      </c>
      <c r="L119" s="194">
        <v>1385</v>
      </c>
      <c r="M119" s="192" t="s">
        <v>303</v>
      </c>
      <c r="N119" s="195">
        <v>13</v>
      </c>
      <c r="O119" s="195" t="s">
        <v>112</v>
      </c>
      <c r="P119" s="3">
        <f>VLOOKUP(L119,[4]Stores!$A$2:$G$1026,6,FALSE)/1000</f>
        <v>526.59100000000001</v>
      </c>
      <c r="Q119" s="3">
        <f>VLOOKUP(L119,[4]Stores!$A$2:$G$1026,7,FALSE)/1000</f>
        <v>6905.1279999999997</v>
      </c>
      <c r="R119" s="3">
        <f t="shared" si="49"/>
        <v>67.555088638828366</v>
      </c>
      <c r="S119" s="182">
        <v>6</v>
      </c>
      <c r="T119" s="184" t="str">
        <f t="shared" si="53"/>
        <v>6 526.591 6905.128</v>
      </c>
      <c r="U119" s="184" t="str">
        <f t="shared" si="54"/>
        <v>6 13</v>
      </c>
    </row>
    <row r="120" spans="1:21" x14ac:dyDescent="0.3">
      <c r="A120" s="189">
        <v>8</v>
      </c>
      <c r="B120" s="190">
        <v>1</v>
      </c>
      <c r="C120" s="182">
        <f t="shared" si="52"/>
        <v>1</v>
      </c>
      <c r="D120" s="191" t="s">
        <v>400</v>
      </c>
      <c r="E120" s="182">
        <v>7</v>
      </c>
      <c r="F120" s="192" t="s">
        <v>305</v>
      </c>
      <c r="H120" s="182">
        <v>5</v>
      </c>
      <c r="I120" s="191">
        <v>6</v>
      </c>
      <c r="J120" s="191" t="str">
        <f t="shared" si="40"/>
        <v>5 5 7 6</v>
      </c>
      <c r="L120" s="194">
        <v>1403</v>
      </c>
      <c r="M120" s="192" t="s">
        <v>305</v>
      </c>
      <c r="N120" s="195">
        <v>13</v>
      </c>
      <c r="O120" s="195" t="s">
        <v>112</v>
      </c>
      <c r="P120" s="3">
        <f>VLOOKUP(L120,[4]Stores!$A$2:$G$1026,6,FALSE)/1000</f>
        <v>529.14200000000005</v>
      </c>
      <c r="Q120" s="3">
        <f>VLOOKUP(L120,[4]Stores!$A$2:$G$1026,7,FALSE)/1000</f>
        <v>6911.6909999999998</v>
      </c>
      <c r="R120" s="3">
        <f t="shared" si="49"/>
        <v>70.565150782804679</v>
      </c>
      <c r="S120" s="182">
        <v>7</v>
      </c>
      <c r="T120" s="184" t="str">
        <f t="shared" si="53"/>
        <v>7 529.142 6911.691</v>
      </c>
      <c r="U120" s="184" t="str">
        <f t="shared" si="54"/>
        <v>7 13</v>
      </c>
    </row>
    <row r="121" spans="1:21" x14ac:dyDescent="0.3">
      <c r="A121" s="189">
        <v>8</v>
      </c>
      <c r="B121" s="190">
        <v>1</v>
      </c>
      <c r="C121" s="182">
        <f t="shared" si="52"/>
        <v>1</v>
      </c>
      <c r="D121" s="191" t="s">
        <v>401</v>
      </c>
      <c r="E121" s="182">
        <v>8</v>
      </c>
      <c r="F121" s="192" t="s">
        <v>307</v>
      </c>
      <c r="H121" s="182">
        <v>6</v>
      </c>
      <c r="I121" s="191">
        <v>11</v>
      </c>
      <c r="J121" s="191" t="str">
        <f t="shared" si="40"/>
        <v>6 6 8 11</v>
      </c>
      <c r="L121" s="194">
        <v>1625</v>
      </c>
      <c r="M121" s="192" t="s">
        <v>307</v>
      </c>
      <c r="N121" s="195">
        <v>6</v>
      </c>
      <c r="O121" s="195" t="s">
        <v>117</v>
      </c>
      <c r="P121" s="3">
        <f>VLOOKUP(L121,[4]Stores!$A$2:$G$1026,6,FALSE)/1000</f>
        <v>517.77800000000002</v>
      </c>
      <c r="Q121" s="3">
        <f>VLOOKUP(L121,[4]Stores!$A$2:$G$1026,7,FALSE)/1000</f>
        <v>6884.4170000000004</v>
      </c>
      <c r="R121" s="3">
        <f t="shared" si="49"/>
        <v>63.158996453395346</v>
      </c>
      <c r="S121" s="182">
        <v>8</v>
      </c>
      <c r="T121" s="184" t="str">
        <f t="shared" si="53"/>
        <v>8 517.778 6884.417</v>
      </c>
      <c r="U121" s="184" t="str">
        <f t="shared" si="54"/>
        <v>8 6</v>
      </c>
    </row>
    <row r="122" spans="1:21" x14ac:dyDescent="0.3">
      <c r="A122" s="189"/>
      <c r="B122" s="190"/>
      <c r="C122" s="182"/>
      <c r="D122" s="191"/>
      <c r="E122" s="191"/>
      <c r="F122" s="192"/>
      <c r="I122" s="191"/>
      <c r="J122" s="191" t="str">
        <f t="shared" si="40"/>
        <v xml:space="preserve">   </v>
      </c>
      <c r="L122" s="197"/>
      <c r="M122" s="192"/>
      <c r="N122" s="195"/>
      <c r="O122" s="195"/>
      <c r="P122" s="3"/>
      <c r="Q122" s="3"/>
      <c r="R122" s="3"/>
    </row>
    <row r="123" spans="1:21" hidden="1" x14ac:dyDescent="0.3">
      <c r="A123" s="189">
        <v>8</v>
      </c>
      <c r="B123" s="190">
        <v>2</v>
      </c>
      <c r="C123" s="182">
        <f>COUNTIF($D$4:$D$150,D123)</f>
        <v>1</v>
      </c>
      <c r="D123" s="191" t="s">
        <v>402</v>
      </c>
      <c r="E123" s="191"/>
      <c r="F123" s="192" t="s">
        <v>301</v>
      </c>
      <c r="I123" s="191">
        <v>21</v>
      </c>
      <c r="J123" s="191" t="str">
        <f t="shared" si="40"/>
        <v xml:space="preserve">   21</v>
      </c>
      <c r="L123" s="194">
        <v>1516</v>
      </c>
      <c r="M123" s="192" t="s">
        <v>301</v>
      </c>
      <c r="N123" s="195">
        <v>8</v>
      </c>
      <c r="O123" s="195" t="s">
        <v>117</v>
      </c>
      <c r="P123" s="3">
        <f>VLOOKUP(L123,[4]Stores!$A$2:$G$1026,6,FALSE)/1000</f>
        <v>551.43299999999999</v>
      </c>
      <c r="Q123" s="3">
        <f>VLOOKUP(L123,[4]Stores!$A$2:$G$1026,7,FALSE)/1000</f>
        <v>6885.0559999999996</v>
      </c>
      <c r="R123" s="3">
        <f>SQRT((P123-$P$2)^2+(Q123-$Q$2)^2)</f>
        <v>35.841806776444329</v>
      </c>
    </row>
    <row r="124" spans="1:21" hidden="1" x14ac:dyDescent="0.3">
      <c r="A124" s="189">
        <v>8</v>
      </c>
      <c r="B124" s="190">
        <v>2</v>
      </c>
      <c r="C124" s="182">
        <f>COUNTIF($D$4:$D$150,D124)</f>
        <v>1</v>
      </c>
      <c r="D124" s="191" t="s">
        <v>403</v>
      </c>
      <c r="E124" s="191"/>
      <c r="F124" s="192" t="s">
        <v>303</v>
      </c>
      <c r="I124" s="191">
        <v>2</v>
      </c>
      <c r="J124" s="191" t="str">
        <f t="shared" si="40"/>
        <v xml:space="preserve">   2</v>
      </c>
      <c r="L124" s="194">
        <v>1385</v>
      </c>
      <c r="M124" s="192" t="s">
        <v>303</v>
      </c>
      <c r="N124" s="195">
        <v>9</v>
      </c>
      <c r="O124" s="195" t="s">
        <v>112</v>
      </c>
      <c r="P124" s="3">
        <f>VLOOKUP(L124,[4]Stores!$A$2:$G$1026,6,FALSE)/1000</f>
        <v>526.59100000000001</v>
      </c>
      <c r="Q124" s="3">
        <f>VLOOKUP(L124,[4]Stores!$A$2:$G$1026,7,FALSE)/1000</f>
        <v>6905.1279999999997</v>
      </c>
      <c r="R124" s="3">
        <f>SQRT((P124-$P$2)^2+(Q124-$Q$2)^2)</f>
        <v>67.555088638828366</v>
      </c>
    </row>
    <row r="125" spans="1:21" hidden="1" x14ac:dyDescent="0.3">
      <c r="A125" s="189">
        <v>8</v>
      </c>
      <c r="B125" s="190">
        <v>3</v>
      </c>
      <c r="C125" s="182">
        <f>COUNTIF($D$4:$D$150,D125)</f>
        <v>1</v>
      </c>
      <c r="D125" s="191" t="s">
        <v>404</v>
      </c>
      <c r="E125" s="191"/>
      <c r="F125" s="192" t="s">
        <v>301</v>
      </c>
      <c r="I125" s="191">
        <v>12</v>
      </c>
      <c r="J125" s="191" t="str">
        <f t="shared" si="40"/>
        <v xml:space="preserve">   12</v>
      </c>
      <c r="L125" s="194">
        <v>1516</v>
      </c>
      <c r="M125" s="192" t="s">
        <v>301</v>
      </c>
      <c r="N125" s="195">
        <v>8</v>
      </c>
      <c r="O125" s="195" t="s">
        <v>117</v>
      </c>
      <c r="P125" s="3">
        <f>VLOOKUP(L125,[4]Stores!$A$2:$G$1026,6,FALSE)/1000</f>
        <v>551.43299999999999</v>
      </c>
      <c r="Q125" s="3">
        <f>VLOOKUP(L125,[4]Stores!$A$2:$G$1026,7,FALSE)/1000</f>
        <v>6885.0559999999996</v>
      </c>
      <c r="R125" s="3">
        <f>SQRT((P125-$P$2)^2+(Q125-$Q$2)^2)</f>
        <v>35.841806776444329</v>
      </c>
    </row>
    <row r="126" spans="1:21" hidden="1" x14ac:dyDescent="0.3">
      <c r="A126" s="189">
        <v>8</v>
      </c>
      <c r="B126" s="190">
        <v>3</v>
      </c>
      <c r="C126" s="182">
        <f>COUNTIF($D$4:$D$150,D126)</f>
        <v>1</v>
      </c>
      <c r="D126" s="191" t="s">
        <v>405</v>
      </c>
      <c r="E126" s="191"/>
      <c r="F126" s="192" t="s">
        <v>303</v>
      </c>
      <c r="I126" s="191">
        <v>1</v>
      </c>
      <c r="J126" s="191" t="str">
        <f t="shared" si="40"/>
        <v xml:space="preserve">   1</v>
      </c>
      <c r="L126" s="194">
        <v>1385</v>
      </c>
      <c r="M126" s="192" t="s">
        <v>303</v>
      </c>
      <c r="N126" s="195">
        <v>6</v>
      </c>
      <c r="O126" s="195" t="s">
        <v>112</v>
      </c>
      <c r="P126" s="3">
        <f>VLOOKUP(L126,[4]Stores!$A$2:$G$1026,6,FALSE)/1000</f>
        <v>526.59100000000001</v>
      </c>
      <c r="Q126" s="3">
        <f>VLOOKUP(L126,[4]Stores!$A$2:$G$1026,7,FALSE)/1000</f>
        <v>6905.1279999999997</v>
      </c>
      <c r="R126" s="3">
        <f>SQRT((P126-$P$2)^2+(Q126-$Q$2)^2)</f>
        <v>67.555088638828366</v>
      </c>
    </row>
    <row r="127" spans="1:21" x14ac:dyDescent="0.3">
      <c r="A127" s="189"/>
      <c r="B127" s="190"/>
      <c r="C127" s="182"/>
      <c r="D127" s="191"/>
      <c r="E127" s="191"/>
      <c r="F127" s="192"/>
      <c r="I127" s="191"/>
      <c r="J127" s="191" t="str">
        <f t="shared" si="40"/>
        <v xml:space="preserve">   </v>
      </c>
      <c r="L127" s="194"/>
      <c r="M127" s="192"/>
      <c r="N127" s="195"/>
      <c r="O127" s="195"/>
      <c r="P127" s="3"/>
      <c r="Q127" s="3"/>
      <c r="R127" s="3"/>
    </row>
    <row r="128" spans="1:21" x14ac:dyDescent="0.3">
      <c r="A128" s="189">
        <v>8</v>
      </c>
      <c r="B128" s="198">
        <v>4</v>
      </c>
      <c r="C128" s="182">
        <f t="shared" ref="C128:C134" si="55">COUNTIF($D$4:$D$150,D128)</f>
        <v>1</v>
      </c>
      <c r="D128" s="191" t="s">
        <v>406</v>
      </c>
      <c r="E128" s="182">
        <v>2</v>
      </c>
      <c r="F128" s="192" t="s">
        <v>295</v>
      </c>
      <c r="H128" s="182">
        <v>0</v>
      </c>
      <c r="I128" s="191">
        <v>14</v>
      </c>
      <c r="J128" s="191" t="str">
        <f t="shared" si="40"/>
        <v>0 0 2 14</v>
      </c>
      <c r="K128" s="193">
        <v>14</v>
      </c>
      <c r="L128" s="194">
        <v>1493</v>
      </c>
      <c r="M128" s="192" t="s">
        <v>295</v>
      </c>
      <c r="N128" s="195">
        <v>7</v>
      </c>
      <c r="O128" s="195" t="s">
        <v>117</v>
      </c>
      <c r="P128" s="3">
        <f>VLOOKUP(L128,[4]Stores!$A$2:$G$1026,6,FALSE)/1000</f>
        <v>555.01800000000003</v>
      </c>
      <c r="Q128" s="3">
        <f>VLOOKUP(L128,[4]Stores!$A$2:$G$1026,7,FALSE)/1000</f>
        <v>6857.4409999999998</v>
      </c>
      <c r="R128" s="3">
        <f t="shared" ref="R128:R134" si="56">SQRT((P128-$P$2)^2+(Q128-$Q$2)^2)</f>
        <v>20.286364706373515</v>
      </c>
      <c r="S128" s="182">
        <v>2</v>
      </c>
      <c r="T128" s="184" t="str">
        <f>S128&amp;" "&amp;P128&amp;" "&amp;Q128</f>
        <v>2 555.018 6857.441</v>
      </c>
      <c r="U128" s="184" t="str">
        <f>S128&amp;" "&amp;N128</f>
        <v>2 7</v>
      </c>
    </row>
    <row r="129" spans="1:21" x14ac:dyDescent="0.3">
      <c r="A129" s="189">
        <v>8</v>
      </c>
      <c r="B129" s="196">
        <v>4</v>
      </c>
      <c r="C129" s="182">
        <f t="shared" si="55"/>
        <v>1</v>
      </c>
      <c r="D129" s="191" t="s">
        <v>407</v>
      </c>
      <c r="E129" s="182">
        <v>3</v>
      </c>
      <c r="F129" s="192" t="s">
        <v>297</v>
      </c>
      <c r="H129" s="182">
        <v>1</v>
      </c>
      <c r="I129" s="191">
        <v>10</v>
      </c>
      <c r="J129" s="191" t="str">
        <f t="shared" si="40"/>
        <v>1 1 3 10</v>
      </c>
      <c r="L129" s="194">
        <v>1275</v>
      </c>
      <c r="M129" s="192" t="s">
        <v>297</v>
      </c>
      <c r="N129" s="195">
        <v>6</v>
      </c>
      <c r="O129" s="195" t="s">
        <v>117</v>
      </c>
      <c r="P129" s="3">
        <f>VLOOKUP(L129,[4]Stores!$A$2:$G$1026,6,FALSE)/1000</f>
        <v>587.21</v>
      </c>
      <c r="Q129" s="3">
        <f>VLOOKUP(L129,[4]Stores!$A$2:$G$1026,7,FALSE)/1000</f>
        <v>6864.25</v>
      </c>
      <c r="R129" s="3">
        <f t="shared" si="56"/>
        <v>13.324289549540762</v>
      </c>
      <c r="S129" s="182">
        <v>3</v>
      </c>
      <c r="T129" s="184" t="str">
        <f t="shared" ref="T129:T134" si="57">S129&amp;" "&amp;P129&amp;" "&amp;Q129</f>
        <v>3 587.21 6864.25</v>
      </c>
      <c r="U129" s="184" t="str">
        <f t="shared" ref="U129:U134" si="58">S129&amp;" "&amp;N129</f>
        <v>3 6</v>
      </c>
    </row>
    <row r="130" spans="1:21" x14ac:dyDescent="0.3">
      <c r="A130" s="189">
        <v>8</v>
      </c>
      <c r="B130" s="190">
        <v>4</v>
      </c>
      <c r="C130" s="182">
        <f t="shared" si="55"/>
        <v>1</v>
      </c>
      <c r="D130" s="191" t="s">
        <v>408</v>
      </c>
      <c r="E130" s="182">
        <v>4</v>
      </c>
      <c r="F130" s="192" t="s">
        <v>299</v>
      </c>
      <c r="H130" s="182">
        <v>2</v>
      </c>
      <c r="I130" s="191">
        <v>16</v>
      </c>
      <c r="J130" s="191" t="str">
        <f t="shared" si="40"/>
        <v>2 2 4 16</v>
      </c>
      <c r="L130" s="197">
        <v>1855</v>
      </c>
      <c r="M130" s="192" t="s">
        <v>299</v>
      </c>
      <c r="N130" s="195">
        <v>5</v>
      </c>
      <c r="O130" s="195" t="s">
        <v>117</v>
      </c>
      <c r="P130" s="3">
        <f>VLOOKUP(L130,[4]Stores!$A$2:$G$1026,6,FALSE)/1000</f>
        <v>558.572</v>
      </c>
      <c r="Q130" s="3">
        <f>VLOOKUP(L130,[4]Stores!$A$2:$G$1026,7,FALSE)/1000</f>
        <v>6853.2460000000001</v>
      </c>
      <c r="R130" s="3">
        <f t="shared" si="56"/>
        <v>17.46256453101886</v>
      </c>
      <c r="S130" s="182">
        <v>4</v>
      </c>
      <c r="T130" s="184" t="str">
        <f t="shared" si="57"/>
        <v>4 558.572 6853.246</v>
      </c>
      <c r="U130" s="184" t="str">
        <f t="shared" si="58"/>
        <v>4 5</v>
      </c>
    </row>
    <row r="131" spans="1:21" x14ac:dyDescent="0.3">
      <c r="A131" s="189">
        <v>8</v>
      </c>
      <c r="B131" s="198">
        <v>4</v>
      </c>
      <c r="C131" s="182">
        <f t="shared" si="55"/>
        <v>1</v>
      </c>
      <c r="D131" s="191" t="s">
        <v>409</v>
      </c>
      <c r="E131" s="182">
        <v>5</v>
      </c>
      <c r="F131" s="192" t="s">
        <v>301</v>
      </c>
      <c r="H131" s="182">
        <v>3</v>
      </c>
      <c r="I131" s="191">
        <v>14</v>
      </c>
      <c r="J131" s="191" t="str">
        <f t="shared" si="40"/>
        <v>3 3 5 14</v>
      </c>
      <c r="L131" s="194">
        <v>1516</v>
      </c>
      <c r="M131" s="192" t="s">
        <v>301</v>
      </c>
      <c r="N131" s="195">
        <v>11</v>
      </c>
      <c r="O131" s="195" t="s">
        <v>117</v>
      </c>
      <c r="P131" s="3">
        <f>VLOOKUP(L131,[4]Stores!$A$2:$G$1026,6,FALSE)/1000</f>
        <v>551.43299999999999</v>
      </c>
      <c r="Q131" s="3">
        <f>VLOOKUP(L131,[4]Stores!$A$2:$G$1026,7,FALSE)/1000</f>
        <v>6885.0559999999996</v>
      </c>
      <c r="R131" s="3">
        <f t="shared" si="56"/>
        <v>35.841806776444329</v>
      </c>
      <c r="S131" s="182">
        <v>5</v>
      </c>
      <c r="T131" s="184" t="str">
        <f t="shared" si="57"/>
        <v>5 551.433 6885.056</v>
      </c>
      <c r="U131" s="184" t="str">
        <f t="shared" si="58"/>
        <v>5 11</v>
      </c>
    </row>
    <row r="132" spans="1:21" x14ac:dyDescent="0.3">
      <c r="A132" s="189">
        <v>8</v>
      </c>
      <c r="B132" s="190">
        <v>4</v>
      </c>
      <c r="C132" s="182">
        <f t="shared" si="55"/>
        <v>1</v>
      </c>
      <c r="D132" s="191" t="s">
        <v>410</v>
      </c>
      <c r="E132" s="182">
        <v>6</v>
      </c>
      <c r="F132" s="192" t="s">
        <v>303</v>
      </c>
      <c r="H132" s="182">
        <v>4</v>
      </c>
      <c r="I132" s="191">
        <v>0</v>
      </c>
      <c r="J132" s="191" t="str">
        <f t="shared" si="40"/>
        <v>4 4 6 0</v>
      </c>
      <c r="L132" s="194">
        <v>1385</v>
      </c>
      <c r="M132" s="192" t="s">
        <v>303</v>
      </c>
      <c r="N132" s="195">
        <v>9</v>
      </c>
      <c r="O132" s="195" t="s">
        <v>112</v>
      </c>
      <c r="P132" s="3">
        <f>VLOOKUP(L132,[4]Stores!$A$2:$G$1026,6,FALSE)/1000</f>
        <v>526.59100000000001</v>
      </c>
      <c r="Q132" s="3">
        <f>VLOOKUP(L132,[4]Stores!$A$2:$G$1026,7,FALSE)/1000</f>
        <v>6905.1279999999997</v>
      </c>
      <c r="R132" s="3">
        <f t="shared" si="56"/>
        <v>67.555088638828366</v>
      </c>
      <c r="S132" s="182">
        <v>6</v>
      </c>
      <c r="T132" s="184" t="str">
        <f t="shared" si="57"/>
        <v>6 526.591 6905.128</v>
      </c>
      <c r="U132" s="184" t="str">
        <f t="shared" si="58"/>
        <v>6 9</v>
      </c>
    </row>
    <row r="133" spans="1:21" x14ac:dyDescent="0.3">
      <c r="A133" s="189">
        <v>8</v>
      </c>
      <c r="B133" s="190">
        <v>4</v>
      </c>
      <c r="C133" s="182">
        <f t="shared" si="55"/>
        <v>1</v>
      </c>
      <c r="D133" s="191" t="s">
        <v>411</v>
      </c>
      <c r="E133" s="182">
        <v>7</v>
      </c>
      <c r="F133" s="192" t="s">
        <v>305</v>
      </c>
      <c r="H133" s="182">
        <v>5</v>
      </c>
      <c r="I133" s="191">
        <v>4</v>
      </c>
      <c r="J133" s="191" t="str">
        <f t="shared" si="40"/>
        <v>5 5 7 4</v>
      </c>
      <c r="L133" s="194">
        <v>1403</v>
      </c>
      <c r="M133" s="192" t="s">
        <v>305</v>
      </c>
      <c r="N133" s="195">
        <v>16</v>
      </c>
      <c r="O133" s="195" t="s">
        <v>112</v>
      </c>
      <c r="P133" s="3">
        <f>VLOOKUP(L133,[4]Stores!$A$2:$G$1026,6,FALSE)/1000</f>
        <v>529.14200000000005</v>
      </c>
      <c r="Q133" s="3">
        <f>VLOOKUP(L133,[4]Stores!$A$2:$G$1026,7,FALSE)/1000</f>
        <v>6911.6909999999998</v>
      </c>
      <c r="R133" s="3">
        <f t="shared" si="56"/>
        <v>70.565150782804679</v>
      </c>
      <c r="S133" s="182">
        <v>7</v>
      </c>
      <c r="T133" s="184" t="str">
        <f t="shared" si="57"/>
        <v>7 529.142 6911.691</v>
      </c>
      <c r="U133" s="184" t="str">
        <f t="shared" si="58"/>
        <v>7 16</v>
      </c>
    </row>
    <row r="134" spans="1:21" x14ac:dyDescent="0.3">
      <c r="A134" s="189">
        <v>8</v>
      </c>
      <c r="B134" s="198">
        <v>4</v>
      </c>
      <c r="C134" s="182">
        <f t="shared" si="55"/>
        <v>1</v>
      </c>
      <c r="D134" s="191" t="s">
        <v>412</v>
      </c>
      <c r="E134" s="182">
        <v>8</v>
      </c>
      <c r="F134" s="192" t="s">
        <v>307</v>
      </c>
      <c r="H134" s="182">
        <v>6</v>
      </c>
      <c r="I134" s="191">
        <v>16</v>
      </c>
      <c r="J134" s="191" t="str">
        <f t="shared" si="40"/>
        <v>6 6 8 16</v>
      </c>
      <c r="L134" s="194">
        <v>1625</v>
      </c>
      <c r="M134" s="192" t="s">
        <v>307</v>
      </c>
      <c r="N134" s="195">
        <v>5</v>
      </c>
      <c r="O134" s="195" t="s">
        <v>117</v>
      </c>
      <c r="P134" s="3">
        <f>VLOOKUP(L134,[4]Stores!$A$2:$G$1026,6,FALSE)/1000</f>
        <v>517.77800000000002</v>
      </c>
      <c r="Q134" s="3">
        <f>VLOOKUP(L134,[4]Stores!$A$2:$G$1026,7,FALSE)/1000</f>
        <v>6884.4170000000004</v>
      </c>
      <c r="R134" s="3">
        <f t="shared" si="56"/>
        <v>63.158996453395346</v>
      </c>
      <c r="S134" s="182">
        <v>8</v>
      </c>
      <c r="T134" s="184" t="str">
        <f t="shared" si="57"/>
        <v>8 517.778 6884.417</v>
      </c>
      <c r="U134" s="184" t="str">
        <f t="shared" si="58"/>
        <v>8 5</v>
      </c>
    </row>
    <row r="135" spans="1:21" x14ac:dyDescent="0.3">
      <c r="A135" s="189"/>
      <c r="B135" s="190"/>
      <c r="C135" s="182"/>
      <c r="D135" s="191"/>
      <c r="E135" s="191"/>
      <c r="F135" s="192"/>
      <c r="I135" s="191"/>
      <c r="J135" s="191" t="str">
        <f t="shared" si="40"/>
        <v xml:space="preserve">   </v>
      </c>
      <c r="L135" s="197"/>
      <c r="M135" s="192"/>
      <c r="N135" s="195"/>
      <c r="O135" s="195"/>
      <c r="P135" s="3"/>
      <c r="Q135" s="3"/>
      <c r="R135" s="3"/>
    </row>
    <row r="136" spans="1:21" x14ac:dyDescent="0.3">
      <c r="A136" s="189">
        <v>8</v>
      </c>
      <c r="B136" s="190">
        <v>5</v>
      </c>
      <c r="C136" s="182">
        <f t="shared" ref="C136:C142" si="59">COUNTIF($D$4:$D$150,D136)</f>
        <v>1</v>
      </c>
      <c r="D136" s="191" t="s">
        <v>413</v>
      </c>
      <c r="E136" s="182">
        <v>2</v>
      </c>
      <c r="F136" s="192" t="s">
        <v>295</v>
      </c>
      <c r="H136" s="182">
        <v>0</v>
      </c>
      <c r="I136" s="191">
        <v>18</v>
      </c>
      <c r="J136" s="191" t="str">
        <f t="shared" si="40"/>
        <v>0 0 2 18</v>
      </c>
      <c r="K136" s="193">
        <v>15</v>
      </c>
      <c r="L136" s="194">
        <v>1493</v>
      </c>
      <c r="M136" s="192" t="s">
        <v>295</v>
      </c>
      <c r="N136" s="195">
        <v>9</v>
      </c>
      <c r="O136" s="195" t="s">
        <v>117</v>
      </c>
      <c r="P136" s="3">
        <f>VLOOKUP(L136,[4]Stores!$A$2:$G$1026,6,FALSE)/1000</f>
        <v>555.01800000000003</v>
      </c>
      <c r="Q136" s="3">
        <f>VLOOKUP(L136,[4]Stores!$A$2:$G$1026,7,FALSE)/1000</f>
        <v>6857.4409999999998</v>
      </c>
      <c r="R136" s="3">
        <f t="shared" ref="R136:R142" si="60">SQRT((P136-$P$2)^2+(Q136-$Q$2)^2)</f>
        <v>20.286364706373515</v>
      </c>
      <c r="S136" s="182">
        <v>2</v>
      </c>
      <c r="T136" s="184" t="str">
        <f>S136&amp;" "&amp;P136&amp;" "&amp;Q136</f>
        <v>2 555.018 6857.441</v>
      </c>
      <c r="U136" s="184" t="str">
        <f>S136&amp;" "&amp;N136</f>
        <v>2 9</v>
      </c>
    </row>
    <row r="137" spans="1:21" x14ac:dyDescent="0.3">
      <c r="A137" s="189">
        <v>8</v>
      </c>
      <c r="B137" s="196">
        <v>5</v>
      </c>
      <c r="C137" s="182">
        <f t="shared" si="59"/>
        <v>1</v>
      </c>
      <c r="D137" s="191" t="s">
        <v>414</v>
      </c>
      <c r="E137" s="182">
        <v>3</v>
      </c>
      <c r="F137" s="192" t="s">
        <v>297</v>
      </c>
      <c r="H137" s="182">
        <v>1</v>
      </c>
      <c r="I137" s="191">
        <v>6</v>
      </c>
      <c r="J137" s="191" t="str">
        <f t="shared" si="40"/>
        <v>1 1 3 6</v>
      </c>
      <c r="L137" s="194">
        <v>1275</v>
      </c>
      <c r="M137" s="192" t="s">
        <v>297</v>
      </c>
      <c r="N137" s="195">
        <v>9</v>
      </c>
      <c r="O137" s="195" t="s">
        <v>112</v>
      </c>
      <c r="P137" s="3">
        <f>VLOOKUP(L137,[4]Stores!$A$2:$G$1026,6,FALSE)/1000</f>
        <v>587.21</v>
      </c>
      <c r="Q137" s="3">
        <f>VLOOKUP(L137,[4]Stores!$A$2:$G$1026,7,FALSE)/1000</f>
        <v>6864.25</v>
      </c>
      <c r="R137" s="3">
        <f t="shared" si="60"/>
        <v>13.324289549540762</v>
      </c>
      <c r="S137" s="182">
        <v>3</v>
      </c>
      <c r="T137" s="184" t="str">
        <f t="shared" ref="T137:T142" si="61">S137&amp;" "&amp;P137&amp;" "&amp;Q137</f>
        <v>3 587.21 6864.25</v>
      </c>
      <c r="U137" s="184" t="str">
        <f t="shared" ref="U137:U142" si="62">S137&amp;" "&amp;N137</f>
        <v>3 9</v>
      </c>
    </row>
    <row r="138" spans="1:21" x14ac:dyDescent="0.3">
      <c r="A138" s="189">
        <v>8</v>
      </c>
      <c r="B138" s="190">
        <v>5</v>
      </c>
      <c r="C138" s="182">
        <f t="shared" si="59"/>
        <v>1</v>
      </c>
      <c r="D138" s="191" t="s">
        <v>415</v>
      </c>
      <c r="E138" s="182">
        <v>4</v>
      </c>
      <c r="F138" s="192" t="s">
        <v>299</v>
      </c>
      <c r="H138" s="182">
        <v>2</v>
      </c>
      <c r="I138" s="191">
        <v>12</v>
      </c>
      <c r="J138" s="191" t="str">
        <f t="shared" si="40"/>
        <v>2 2 4 12</v>
      </c>
      <c r="L138" s="197">
        <v>1855</v>
      </c>
      <c r="M138" s="192" t="s">
        <v>299</v>
      </c>
      <c r="N138" s="195">
        <v>8</v>
      </c>
      <c r="O138" s="195" t="s">
        <v>117</v>
      </c>
      <c r="P138" s="3">
        <f>VLOOKUP(L138,[4]Stores!$A$2:$G$1026,6,FALSE)/1000</f>
        <v>558.572</v>
      </c>
      <c r="Q138" s="3">
        <f>VLOOKUP(L138,[4]Stores!$A$2:$G$1026,7,FALSE)/1000</f>
        <v>6853.2460000000001</v>
      </c>
      <c r="R138" s="3">
        <f t="shared" si="60"/>
        <v>17.46256453101886</v>
      </c>
      <c r="S138" s="182">
        <v>4</v>
      </c>
      <c r="T138" s="184" t="str">
        <f t="shared" si="61"/>
        <v>4 558.572 6853.246</v>
      </c>
      <c r="U138" s="184" t="str">
        <f t="shared" si="62"/>
        <v>4 8</v>
      </c>
    </row>
    <row r="139" spans="1:21" x14ac:dyDescent="0.3">
      <c r="A139" s="189">
        <v>8</v>
      </c>
      <c r="B139" s="190">
        <v>5</v>
      </c>
      <c r="C139" s="182">
        <f t="shared" si="59"/>
        <v>1</v>
      </c>
      <c r="D139" s="191" t="s">
        <v>416</v>
      </c>
      <c r="E139" s="182">
        <v>5</v>
      </c>
      <c r="F139" s="192" t="s">
        <v>301</v>
      </c>
      <c r="H139" s="182">
        <v>3</v>
      </c>
      <c r="I139" s="191">
        <v>15</v>
      </c>
      <c r="J139" s="191" t="str">
        <f t="shared" si="40"/>
        <v>3 3 5 15</v>
      </c>
      <c r="L139" s="194">
        <v>1516</v>
      </c>
      <c r="M139" s="192" t="s">
        <v>301</v>
      </c>
      <c r="N139" s="195">
        <f>11+21</f>
        <v>32</v>
      </c>
      <c r="O139" s="195" t="s">
        <v>112</v>
      </c>
      <c r="P139" s="3">
        <f>VLOOKUP(L139,[4]Stores!$A$2:$G$1026,6,FALSE)/1000</f>
        <v>551.43299999999999</v>
      </c>
      <c r="Q139" s="3">
        <f>VLOOKUP(L139,[4]Stores!$A$2:$G$1026,7,FALSE)/1000</f>
        <v>6885.0559999999996</v>
      </c>
      <c r="R139" s="3">
        <f t="shared" si="60"/>
        <v>35.841806776444329</v>
      </c>
      <c r="S139" s="182">
        <v>5</v>
      </c>
      <c r="T139" s="184" t="str">
        <f t="shared" si="61"/>
        <v>5 551.433 6885.056</v>
      </c>
      <c r="U139" s="184" t="str">
        <f t="shared" si="62"/>
        <v>5 32</v>
      </c>
    </row>
    <row r="140" spans="1:21" x14ac:dyDescent="0.3">
      <c r="A140" s="189">
        <v>8</v>
      </c>
      <c r="B140" s="190">
        <v>5</v>
      </c>
      <c r="C140" s="182">
        <f t="shared" si="59"/>
        <v>1</v>
      </c>
      <c r="D140" s="191" t="s">
        <v>417</v>
      </c>
      <c r="E140" s="182">
        <v>6</v>
      </c>
      <c r="F140" s="192" t="s">
        <v>303</v>
      </c>
      <c r="H140" s="182">
        <v>4</v>
      </c>
      <c r="I140" s="191">
        <v>14</v>
      </c>
      <c r="J140" s="191" t="str">
        <f t="shared" si="40"/>
        <v>4 4 6 14</v>
      </c>
      <c r="L140" s="194">
        <v>1385</v>
      </c>
      <c r="M140" s="192" t="s">
        <v>303</v>
      </c>
      <c r="N140" s="195">
        <f>7+20</f>
        <v>27</v>
      </c>
      <c r="O140" s="195" t="s">
        <v>112</v>
      </c>
      <c r="P140" s="3">
        <f>VLOOKUP(L140,[4]Stores!$A$2:$G$1026,6,FALSE)/1000</f>
        <v>526.59100000000001</v>
      </c>
      <c r="Q140" s="3">
        <f>VLOOKUP(L140,[4]Stores!$A$2:$G$1026,7,FALSE)/1000</f>
        <v>6905.1279999999997</v>
      </c>
      <c r="R140" s="3">
        <f t="shared" si="60"/>
        <v>67.555088638828366</v>
      </c>
      <c r="S140" s="182">
        <v>6</v>
      </c>
      <c r="T140" s="184" t="str">
        <f t="shared" si="61"/>
        <v>6 526.591 6905.128</v>
      </c>
      <c r="U140" s="184" t="str">
        <f t="shared" si="62"/>
        <v>6 27</v>
      </c>
    </row>
    <row r="141" spans="1:21" x14ac:dyDescent="0.3">
      <c r="A141" s="189">
        <v>8</v>
      </c>
      <c r="B141" s="198">
        <v>5</v>
      </c>
      <c r="C141" s="182">
        <f t="shared" si="59"/>
        <v>1</v>
      </c>
      <c r="D141" s="191" t="s">
        <v>418</v>
      </c>
      <c r="E141" s="182">
        <v>7</v>
      </c>
      <c r="F141" s="192" t="s">
        <v>305</v>
      </c>
      <c r="H141" s="182">
        <v>5</v>
      </c>
      <c r="I141" s="191">
        <v>5</v>
      </c>
      <c r="J141" s="191" t="str">
        <f t="shared" si="40"/>
        <v>5 5 7 5</v>
      </c>
      <c r="L141" s="194">
        <v>1403</v>
      </c>
      <c r="M141" s="192" t="s">
        <v>305</v>
      </c>
      <c r="N141" s="195">
        <v>19</v>
      </c>
      <c r="O141" s="195" t="s">
        <v>112</v>
      </c>
      <c r="P141" s="3">
        <f>VLOOKUP(L141,[4]Stores!$A$2:$G$1026,6,FALSE)/1000</f>
        <v>529.14200000000005</v>
      </c>
      <c r="Q141" s="3">
        <f>VLOOKUP(L141,[4]Stores!$A$2:$G$1026,7,FALSE)/1000</f>
        <v>6911.6909999999998</v>
      </c>
      <c r="R141" s="3">
        <f t="shared" si="60"/>
        <v>70.565150782804679</v>
      </c>
      <c r="S141" s="182">
        <v>7</v>
      </c>
      <c r="T141" s="184" t="str">
        <f t="shared" si="61"/>
        <v>7 529.142 6911.691</v>
      </c>
      <c r="U141" s="184" t="str">
        <f t="shared" si="62"/>
        <v>7 19</v>
      </c>
    </row>
    <row r="142" spans="1:21" x14ac:dyDescent="0.3">
      <c r="A142" s="189">
        <v>8</v>
      </c>
      <c r="B142" s="198">
        <v>5</v>
      </c>
      <c r="C142" s="182">
        <f t="shared" si="59"/>
        <v>1</v>
      </c>
      <c r="D142" s="191" t="s">
        <v>419</v>
      </c>
      <c r="E142" s="182">
        <v>8</v>
      </c>
      <c r="F142" s="192" t="s">
        <v>307</v>
      </c>
      <c r="H142" s="182">
        <v>6</v>
      </c>
      <c r="I142" s="191">
        <v>3</v>
      </c>
      <c r="J142" s="191" t="str">
        <f t="shared" si="40"/>
        <v>6 6 8 3</v>
      </c>
      <c r="L142" s="194">
        <v>1625</v>
      </c>
      <c r="M142" s="192" t="s">
        <v>307</v>
      </c>
      <c r="N142" s="195">
        <f>4+7</f>
        <v>11</v>
      </c>
      <c r="O142" s="195" t="s">
        <v>112</v>
      </c>
      <c r="P142" s="3">
        <f>VLOOKUP(L142,[4]Stores!$A$2:$G$1026,6,FALSE)/1000</f>
        <v>517.77800000000002</v>
      </c>
      <c r="Q142" s="3">
        <f>VLOOKUP(L142,[4]Stores!$A$2:$G$1026,7,FALSE)/1000</f>
        <v>6884.4170000000004</v>
      </c>
      <c r="R142" s="3">
        <f t="shared" si="60"/>
        <v>63.158996453395346</v>
      </c>
      <c r="S142" s="182">
        <v>8</v>
      </c>
      <c r="T142" s="184" t="str">
        <f t="shared" si="61"/>
        <v>8 517.778 6884.417</v>
      </c>
      <c r="U142" s="184" t="str">
        <f t="shared" si="62"/>
        <v>8 11</v>
      </c>
    </row>
    <row r="143" spans="1:21" x14ac:dyDescent="0.3">
      <c r="A143" s="189"/>
      <c r="B143" s="190"/>
      <c r="C143" s="182"/>
      <c r="D143" s="191"/>
      <c r="E143" s="191"/>
      <c r="F143" s="192"/>
      <c r="I143" s="191"/>
      <c r="J143" s="191" t="str">
        <f t="shared" si="40"/>
        <v xml:space="preserve">   </v>
      </c>
      <c r="L143" s="194"/>
      <c r="M143" s="192"/>
      <c r="N143" s="195"/>
      <c r="O143" s="195"/>
      <c r="P143" s="3"/>
      <c r="Q143" s="3"/>
      <c r="R143" s="3"/>
    </row>
    <row r="144" spans="1:21" x14ac:dyDescent="0.3">
      <c r="A144" s="189">
        <v>8</v>
      </c>
      <c r="B144" s="198">
        <v>6</v>
      </c>
      <c r="C144" s="182">
        <f t="shared" ref="C144:C150" si="63">COUNTIF($D$4:$D$150,D144)</f>
        <v>1</v>
      </c>
      <c r="D144" s="191" t="s">
        <v>420</v>
      </c>
      <c r="E144" s="182">
        <v>2</v>
      </c>
      <c r="F144" s="192" t="s">
        <v>295</v>
      </c>
      <c r="H144" s="182">
        <v>0</v>
      </c>
      <c r="I144" s="191">
        <v>24</v>
      </c>
      <c r="J144" s="191" t="str">
        <f t="shared" si="40"/>
        <v>0 0 2 24</v>
      </c>
      <c r="K144" s="193">
        <v>16</v>
      </c>
      <c r="L144" s="194">
        <v>1493</v>
      </c>
      <c r="M144" s="192" t="s">
        <v>295</v>
      </c>
      <c r="N144" s="195">
        <v>5</v>
      </c>
      <c r="O144" s="195" t="s">
        <v>117</v>
      </c>
      <c r="P144" s="3">
        <f>VLOOKUP(L144,[4]Stores!$A$2:$G$1026,6,FALSE)/1000</f>
        <v>555.01800000000003</v>
      </c>
      <c r="Q144" s="3">
        <f>VLOOKUP(L144,[4]Stores!$A$2:$G$1026,7,FALSE)/1000</f>
        <v>6857.4409999999998</v>
      </c>
      <c r="R144" s="3">
        <f t="shared" ref="R144:R150" si="64">SQRT((P144-$P$2)^2+(Q144-$Q$2)^2)</f>
        <v>20.286364706373515</v>
      </c>
      <c r="S144" s="182">
        <v>2</v>
      </c>
      <c r="T144" s="184" t="str">
        <f>S144&amp;" "&amp;P144&amp;" "&amp;Q144</f>
        <v>2 555.018 6857.441</v>
      </c>
      <c r="U144" s="184" t="str">
        <f>S144&amp;" "&amp;N144</f>
        <v>2 5</v>
      </c>
    </row>
    <row r="145" spans="1:21" x14ac:dyDescent="0.3">
      <c r="A145" s="189">
        <v>8</v>
      </c>
      <c r="B145" s="196">
        <v>6</v>
      </c>
      <c r="C145" s="182">
        <f t="shared" si="63"/>
        <v>1</v>
      </c>
      <c r="D145" s="191" t="s">
        <v>421</v>
      </c>
      <c r="E145" s="182">
        <v>3</v>
      </c>
      <c r="F145" s="192" t="s">
        <v>297</v>
      </c>
      <c r="H145" s="182">
        <v>1</v>
      </c>
      <c r="I145" s="191">
        <v>3</v>
      </c>
      <c r="J145" s="191" t="str">
        <f t="shared" si="40"/>
        <v>1 1 3 3</v>
      </c>
      <c r="L145" s="194">
        <v>1275</v>
      </c>
      <c r="M145" s="192" t="s">
        <v>297</v>
      </c>
      <c r="N145" s="195">
        <v>3</v>
      </c>
      <c r="O145" s="195" t="s">
        <v>117</v>
      </c>
      <c r="P145" s="3">
        <f>VLOOKUP(L145,[4]Stores!$A$2:$G$1026,6,FALSE)/1000</f>
        <v>587.21</v>
      </c>
      <c r="Q145" s="3">
        <f>VLOOKUP(L145,[4]Stores!$A$2:$G$1026,7,FALSE)/1000</f>
        <v>6864.25</v>
      </c>
      <c r="R145" s="3">
        <f t="shared" si="64"/>
        <v>13.324289549540762</v>
      </c>
      <c r="S145" s="182">
        <v>3</v>
      </c>
      <c r="T145" s="184" t="str">
        <f t="shared" ref="T145:T150" si="65">S145&amp;" "&amp;P145&amp;" "&amp;Q145</f>
        <v>3 587.21 6864.25</v>
      </c>
      <c r="U145" s="184" t="str">
        <f t="shared" ref="U145:U150" si="66">S145&amp;" "&amp;N145</f>
        <v>3 3</v>
      </c>
    </row>
    <row r="146" spans="1:21" x14ac:dyDescent="0.3">
      <c r="A146" s="189">
        <v>8</v>
      </c>
      <c r="B146" s="198">
        <v>6</v>
      </c>
      <c r="C146" s="182">
        <f t="shared" si="63"/>
        <v>1</v>
      </c>
      <c r="D146" s="191" t="s">
        <v>422</v>
      </c>
      <c r="E146" s="182">
        <v>4</v>
      </c>
      <c r="F146" s="192" t="s">
        <v>299</v>
      </c>
      <c r="H146" s="182">
        <v>2</v>
      </c>
      <c r="I146" s="191">
        <v>6</v>
      </c>
      <c r="J146" s="191" t="str">
        <f t="shared" si="40"/>
        <v>2 2 4 6</v>
      </c>
      <c r="L146" s="197">
        <v>1855</v>
      </c>
      <c r="M146" s="192" t="s">
        <v>299</v>
      </c>
      <c r="N146" s="195">
        <v>4</v>
      </c>
      <c r="O146" s="195" t="s">
        <v>117</v>
      </c>
      <c r="P146" s="3">
        <f>VLOOKUP(L146,[4]Stores!$A$2:$G$1026,6,FALSE)/1000</f>
        <v>558.572</v>
      </c>
      <c r="Q146" s="3">
        <f>VLOOKUP(L146,[4]Stores!$A$2:$G$1026,7,FALSE)/1000</f>
        <v>6853.2460000000001</v>
      </c>
      <c r="R146" s="3">
        <f t="shared" si="64"/>
        <v>17.46256453101886</v>
      </c>
      <c r="S146" s="182">
        <v>4</v>
      </c>
      <c r="T146" s="184" t="str">
        <f t="shared" si="65"/>
        <v>4 558.572 6853.246</v>
      </c>
      <c r="U146" s="184" t="str">
        <f t="shared" si="66"/>
        <v>4 4</v>
      </c>
    </row>
    <row r="147" spans="1:21" x14ac:dyDescent="0.3">
      <c r="A147" s="189">
        <v>8</v>
      </c>
      <c r="B147" s="190">
        <v>6</v>
      </c>
      <c r="C147" s="182">
        <f t="shared" si="63"/>
        <v>1</v>
      </c>
      <c r="D147" s="191" t="s">
        <v>423</v>
      </c>
      <c r="E147" s="182">
        <v>5</v>
      </c>
      <c r="F147" s="192" t="s">
        <v>301</v>
      </c>
      <c r="H147" s="182">
        <v>3</v>
      </c>
      <c r="I147" s="191">
        <v>1</v>
      </c>
      <c r="J147" s="191" t="str">
        <f t="shared" si="40"/>
        <v>3 3 5 1</v>
      </c>
      <c r="L147" s="194">
        <v>1516</v>
      </c>
      <c r="M147" s="192" t="s">
        <v>301</v>
      </c>
      <c r="N147" s="195">
        <f>9+5</f>
        <v>14</v>
      </c>
      <c r="O147" s="195" t="s">
        <v>112</v>
      </c>
      <c r="P147" s="3">
        <f>VLOOKUP(L147,[4]Stores!$A$2:$G$1026,6,FALSE)/1000</f>
        <v>551.43299999999999</v>
      </c>
      <c r="Q147" s="3">
        <f>VLOOKUP(L147,[4]Stores!$A$2:$G$1026,7,FALSE)/1000</f>
        <v>6885.0559999999996</v>
      </c>
      <c r="R147" s="3">
        <f t="shared" si="64"/>
        <v>35.841806776444329</v>
      </c>
      <c r="S147" s="182">
        <v>5</v>
      </c>
      <c r="T147" s="184" t="str">
        <f t="shared" si="65"/>
        <v>5 551.433 6885.056</v>
      </c>
      <c r="U147" s="184" t="str">
        <f t="shared" si="66"/>
        <v>5 14</v>
      </c>
    </row>
    <row r="148" spans="1:21" x14ac:dyDescent="0.3">
      <c r="A148" s="189">
        <v>8</v>
      </c>
      <c r="B148" s="190">
        <v>6</v>
      </c>
      <c r="C148" s="182">
        <f t="shared" si="63"/>
        <v>1</v>
      </c>
      <c r="D148" s="191" t="s">
        <v>424</v>
      </c>
      <c r="E148" s="182">
        <v>6</v>
      </c>
      <c r="F148" s="192" t="s">
        <v>303</v>
      </c>
      <c r="H148" s="182">
        <v>4</v>
      </c>
      <c r="I148" s="191">
        <v>9</v>
      </c>
      <c r="J148" s="191" t="str">
        <f t="shared" si="40"/>
        <v>4 4 6 9</v>
      </c>
      <c r="L148" s="194">
        <v>1385</v>
      </c>
      <c r="M148" s="192" t="s">
        <v>303</v>
      </c>
      <c r="N148" s="195">
        <f>7+4</f>
        <v>11</v>
      </c>
      <c r="O148" s="195" t="s">
        <v>112</v>
      </c>
      <c r="P148" s="3">
        <f>VLOOKUP(L148,[4]Stores!$A$2:$G$1026,6,FALSE)/1000</f>
        <v>526.59100000000001</v>
      </c>
      <c r="Q148" s="3">
        <f>VLOOKUP(L148,[4]Stores!$A$2:$G$1026,7,FALSE)/1000</f>
        <v>6905.1279999999997</v>
      </c>
      <c r="R148" s="3">
        <f t="shared" si="64"/>
        <v>67.555088638828366</v>
      </c>
      <c r="S148" s="182">
        <v>6</v>
      </c>
      <c r="T148" s="184" t="str">
        <f t="shared" si="65"/>
        <v>6 526.591 6905.128</v>
      </c>
      <c r="U148" s="184" t="str">
        <f t="shared" si="66"/>
        <v>6 11</v>
      </c>
    </row>
    <row r="149" spans="1:21" x14ac:dyDescent="0.3">
      <c r="A149" s="189">
        <v>8</v>
      </c>
      <c r="B149" s="190">
        <v>6</v>
      </c>
      <c r="C149" s="182">
        <f t="shared" si="63"/>
        <v>1</v>
      </c>
      <c r="D149" s="191" t="s">
        <v>425</v>
      </c>
      <c r="E149" s="182">
        <v>7</v>
      </c>
      <c r="F149" s="192" t="s">
        <v>305</v>
      </c>
      <c r="H149" s="182">
        <v>5</v>
      </c>
      <c r="I149" s="191">
        <v>2</v>
      </c>
      <c r="J149" s="191" t="str">
        <f t="shared" si="40"/>
        <v>5 5 7 2</v>
      </c>
      <c r="L149" s="194">
        <v>1403</v>
      </c>
      <c r="M149" s="192" t="s">
        <v>305</v>
      </c>
      <c r="N149" s="195">
        <v>4</v>
      </c>
      <c r="O149" s="195" t="s">
        <v>112</v>
      </c>
      <c r="P149" s="3">
        <f>VLOOKUP(L149,[4]Stores!$A$2:$G$1026,6,FALSE)/1000</f>
        <v>529.14200000000005</v>
      </c>
      <c r="Q149" s="3">
        <f>VLOOKUP(L149,[4]Stores!$A$2:$G$1026,7,FALSE)/1000</f>
        <v>6911.6909999999998</v>
      </c>
      <c r="R149" s="3">
        <f t="shared" si="64"/>
        <v>70.565150782804679</v>
      </c>
      <c r="S149" s="182">
        <v>7</v>
      </c>
      <c r="T149" s="184" t="str">
        <f t="shared" si="65"/>
        <v>7 529.142 6911.691</v>
      </c>
      <c r="U149" s="184" t="str">
        <f t="shared" si="66"/>
        <v>7 4</v>
      </c>
    </row>
    <row r="150" spans="1:21" x14ac:dyDescent="0.3">
      <c r="A150" s="189">
        <v>8</v>
      </c>
      <c r="B150" s="198">
        <v>6</v>
      </c>
      <c r="C150" s="182">
        <f t="shared" si="63"/>
        <v>1</v>
      </c>
      <c r="D150" s="191" t="s">
        <v>426</v>
      </c>
      <c r="E150" s="182">
        <v>8</v>
      </c>
      <c r="F150" s="192" t="s">
        <v>307</v>
      </c>
      <c r="H150" s="182">
        <v>6</v>
      </c>
      <c r="I150" s="191">
        <v>0</v>
      </c>
      <c r="J150" s="191" t="str">
        <f t="shared" si="40"/>
        <v>6 6 8 0</v>
      </c>
      <c r="L150" s="194">
        <v>1625</v>
      </c>
      <c r="M150" s="192" t="s">
        <v>307</v>
      </c>
      <c r="N150" s="195">
        <v>4</v>
      </c>
      <c r="O150" s="195" t="s">
        <v>112</v>
      </c>
      <c r="P150" s="3">
        <f>VLOOKUP(L150,[4]Stores!$A$2:$G$1026,6,FALSE)/1000</f>
        <v>517.77800000000002</v>
      </c>
      <c r="Q150" s="3">
        <f>VLOOKUP(L150,[4]Stores!$A$2:$G$1026,7,FALSE)/1000</f>
        <v>6884.4170000000004</v>
      </c>
      <c r="R150" s="3">
        <f t="shared" si="64"/>
        <v>63.158996453395346</v>
      </c>
      <c r="S150" s="182">
        <v>8</v>
      </c>
      <c r="T150" s="184" t="str">
        <f t="shared" si="65"/>
        <v>8 517.778 6884.417</v>
      </c>
      <c r="U150" s="184" t="str">
        <f t="shared" si="66"/>
        <v>8 4</v>
      </c>
    </row>
  </sheetData>
  <mergeCells count="1">
    <mergeCell ref="F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9"/>
  <sheetViews>
    <sheetView workbookViewId="0">
      <selection activeCell="AD31" sqref="AD31:AD33"/>
    </sheetView>
  </sheetViews>
  <sheetFormatPr defaultRowHeight="14.4" x14ac:dyDescent="0.3"/>
  <cols>
    <col min="2" max="4" width="3" bestFit="1" customWidth="1"/>
    <col min="6" max="6" width="12" bestFit="1" customWidth="1"/>
    <col min="7" max="7" width="3" bestFit="1" customWidth="1"/>
    <col min="8" max="8" width="4" bestFit="1" customWidth="1"/>
    <col min="9" max="12" width="3" bestFit="1" customWidth="1"/>
    <col min="13" max="13" width="2" bestFit="1" customWidth="1"/>
    <col min="14" max="21" width="3" bestFit="1" customWidth="1"/>
    <col min="22" max="22" width="2" bestFit="1" customWidth="1"/>
  </cols>
  <sheetData>
    <row r="1" spans="2:36" x14ac:dyDescent="0.3">
      <c r="B1" s="182">
        <v>1</v>
      </c>
      <c r="C1" s="182">
        <v>82</v>
      </c>
      <c r="D1" s="182">
        <v>76</v>
      </c>
    </row>
    <row r="2" spans="2:36" x14ac:dyDescent="0.3">
      <c r="B2" s="182">
        <v>2</v>
      </c>
      <c r="C2" s="182">
        <v>96</v>
      </c>
      <c r="D2" s="182">
        <v>44</v>
      </c>
    </row>
    <row r="3" spans="2:36" x14ac:dyDescent="0.3">
      <c r="B3" s="182">
        <v>3</v>
      </c>
      <c r="C3" s="182">
        <v>50</v>
      </c>
      <c r="D3" s="182">
        <v>5</v>
      </c>
      <c r="G3">
        <v>3</v>
      </c>
      <c r="H3">
        <v>2</v>
      </c>
      <c r="I3">
        <v>8</v>
      </c>
      <c r="J3">
        <v>29</v>
      </c>
      <c r="K3">
        <v>31</v>
      </c>
      <c r="L3">
        <v>12</v>
      </c>
      <c r="M3">
        <v>5</v>
      </c>
      <c r="N3">
        <v>16</v>
      </c>
      <c r="O3">
        <v>10</v>
      </c>
      <c r="P3">
        <v>20</v>
      </c>
      <c r="Q3">
        <v>32</v>
      </c>
      <c r="R3">
        <v>25</v>
      </c>
      <c r="S3">
        <v>26</v>
      </c>
      <c r="T3">
        <v>17</v>
      </c>
      <c r="U3">
        <v>11</v>
      </c>
      <c r="V3">
        <v>6</v>
      </c>
    </row>
    <row r="4" spans="2:36" x14ac:dyDescent="0.3">
      <c r="B4" s="182">
        <v>4</v>
      </c>
      <c r="C4" s="182">
        <v>49</v>
      </c>
      <c r="D4" s="182">
        <v>8</v>
      </c>
      <c r="G4">
        <v>2</v>
      </c>
      <c r="H4">
        <v>19</v>
      </c>
    </row>
    <row r="5" spans="2:36" x14ac:dyDescent="0.3">
      <c r="B5" s="182">
        <v>5</v>
      </c>
      <c r="C5" s="182">
        <v>13</v>
      </c>
      <c r="D5" s="182">
        <v>7</v>
      </c>
      <c r="G5">
        <v>3</v>
      </c>
      <c r="H5">
        <v>21</v>
      </c>
    </row>
    <row r="6" spans="2:36" x14ac:dyDescent="0.3">
      <c r="B6" s="182">
        <v>6</v>
      </c>
      <c r="C6" s="182">
        <v>29</v>
      </c>
      <c r="D6" s="182">
        <v>89</v>
      </c>
      <c r="G6">
        <v>5</v>
      </c>
      <c r="H6">
        <v>19</v>
      </c>
    </row>
    <row r="7" spans="2:36" x14ac:dyDescent="0.3">
      <c r="B7" s="182">
        <v>7</v>
      </c>
      <c r="C7" s="182">
        <v>58</v>
      </c>
      <c r="D7" s="182">
        <v>30</v>
      </c>
      <c r="G7">
        <v>6</v>
      </c>
      <c r="H7">
        <v>7</v>
      </c>
    </row>
    <row r="8" spans="2:36" x14ac:dyDescent="0.3">
      <c r="B8" s="182">
        <v>8</v>
      </c>
      <c r="C8" s="182">
        <v>84</v>
      </c>
      <c r="D8" s="182">
        <v>39</v>
      </c>
      <c r="G8">
        <v>8</v>
      </c>
      <c r="H8">
        <v>16</v>
      </c>
      <c r="AI8">
        <f>64/784</f>
        <v>8.1632653061224483E-2</v>
      </c>
    </row>
    <row r="9" spans="2:36" x14ac:dyDescent="0.3">
      <c r="B9" s="182">
        <v>9</v>
      </c>
      <c r="C9" s="182">
        <v>14</v>
      </c>
      <c r="D9" s="182">
        <v>24</v>
      </c>
      <c r="G9">
        <v>10</v>
      </c>
      <c r="H9">
        <v>16</v>
      </c>
      <c r="AI9">
        <f>60/1073</f>
        <v>5.591798695246971E-2</v>
      </c>
      <c r="AJ9">
        <f>784*0.04</f>
        <v>31.36</v>
      </c>
    </row>
    <row r="10" spans="2:36" x14ac:dyDescent="0.3">
      <c r="B10" s="182">
        <v>10</v>
      </c>
      <c r="C10" s="182">
        <v>2</v>
      </c>
      <c r="D10" s="182">
        <v>39</v>
      </c>
      <c r="G10">
        <v>11</v>
      </c>
      <c r="H10">
        <v>8</v>
      </c>
      <c r="AI10">
        <f>59/1401</f>
        <v>4.2112776588151324E-2</v>
      </c>
    </row>
    <row r="11" spans="2:36" x14ac:dyDescent="0.3">
      <c r="B11" s="182">
        <v>11</v>
      </c>
      <c r="C11" s="182">
        <v>3</v>
      </c>
      <c r="D11" s="182">
        <v>82</v>
      </c>
      <c r="G11">
        <v>12</v>
      </c>
      <c r="H11">
        <v>14</v>
      </c>
      <c r="AI11">
        <f>69/1764</f>
        <v>3.9115646258503403E-2</v>
      </c>
    </row>
    <row r="12" spans="2:36" x14ac:dyDescent="0.3">
      <c r="B12" s="182">
        <v>12</v>
      </c>
      <c r="C12" s="182">
        <v>5</v>
      </c>
      <c r="D12" s="182">
        <v>10</v>
      </c>
      <c r="G12">
        <v>16</v>
      </c>
      <c r="H12">
        <v>22</v>
      </c>
      <c r="AI12">
        <f>AVERAGE(AI9:AI11)</f>
        <v>4.5715469933041486E-2</v>
      </c>
    </row>
    <row r="13" spans="2:36" x14ac:dyDescent="0.3">
      <c r="B13" s="182">
        <v>13</v>
      </c>
      <c r="C13" s="182">
        <v>98</v>
      </c>
      <c r="D13" s="182">
        <v>52</v>
      </c>
      <c r="G13">
        <v>17</v>
      </c>
      <c r="H13">
        <v>18</v>
      </c>
    </row>
    <row r="14" spans="2:36" x14ac:dyDescent="0.3">
      <c r="B14" s="182">
        <v>14</v>
      </c>
      <c r="C14" s="182">
        <v>84</v>
      </c>
      <c r="D14" s="182">
        <v>25</v>
      </c>
      <c r="G14">
        <v>20</v>
      </c>
      <c r="H14">
        <v>24</v>
      </c>
      <c r="AJ14">
        <f>730.07-64+AJ9</f>
        <v>697.43000000000006</v>
      </c>
    </row>
    <row r="15" spans="2:36" x14ac:dyDescent="0.3">
      <c r="B15" s="182">
        <v>15</v>
      </c>
      <c r="C15" s="182">
        <v>61</v>
      </c>
      <c r="D15" s="182">
        <v>59</v>
      </c>
      <c r="G15">
        <v>25</v>
      </c>
      <c r="H15">
        <v>24</v>
      </c>
      <c r="AJ15">
        <f>+(784-AJ14)/784</f>
        <v>0.11042091836734685</v>
      </c>
    </row>
    <row r="16" spans="2:36" x14ac:dyDescent="0.3">
      <c r="B16" s="182">
        <v>16</v>
      </c>
      <c r="C16" s="182">
        <v>1</v>
      </c>
      <c r="D16" s="182">
        <v>65</v>
      </c>
      <c r="G16">
        <v>26</v>
      </c>
      <c r="H16">
        <v>24</v>
      </c>
    </row>
    <row r="17" spans="2:33" x14ac:dyDescent="0.3">
      <c r="B17" s="182">
        <v>17</v>
      </c>
      <c r="C17" s="182">
        <v>88</v>
      </c>
      <c r="D17" s="182">
        <v>51</v>
      </c>
      <c r="G17">
        <v>29</v>
      </c>
      <c r="H17">
        <v>15</v>
      </c>
    </row>
    <row r="18" spans="2:33" x14ac:dyDescent="0.3">
      <c r="B18" s="182">
        <v>18</v>
      </c>
      <c r="C18" s="182">
        <v>91</v>
      </c>
      <c r="D18" s="182">
        <v>2</v>
      </c>
      <c r="G18">
        <v>31</v>
      </c>
      <c r="H18">
        <v>14</v>
      </c>
    </row>
    <row r="19" spans="2:33" x14ac:dyDescent="0.3">
      <c r="B19" s="182">
        <v>19</v>
      </c>
      <c r="C19" s="182">
        <v>19</v>
      </c>
      <c r="D19" s="182">
        <v>32</v>
      </c>
      <c r="G19">
        <v>32</v>
      </c>
      <c r="H19">
        <v>9</v>
      </c>
    </row>
    <row r="20" spans="2:33" x14ac:dyDescent="0.3">
      <c r="B20" s="182">
        <v>20</v>
      </c>
      <c r="C20" s="182">
        <v>93</v>
      </c>
      <c r="D20" s="182">
        <v>3</v>
      </c>
      <c r="H20">
        <f>SUM(H4:H19)</f>
        <v>270</v>
      </c>
    </row>
    <row r="21" spans="2:33" x14ac:dyDescent="0.3">
      <c r="B21" s="182">
        <v>21</v>
      </c>
      <c r="C21" s="182">
        <v>50</v>
      </c>
      <c r="D21" s="182">
        <v>93</v>
      </c>
    </row>
    <row r="22" spans="2:33" x14ac:dyDescent="0.3">
      <c r="B22" s="182">
        <v>22</v>
      </c>
      <c r="C22" s="182">
        <v>98</v>
      </c>
      <c r="D22" s="182">
        <v>14</v>
      </c>
    </row>
    <row r="23" spans="2:33" x14ac:dyDescent="0.3">
      <c r="B23" s="182">
        <v>23</v>
      </c>
      <c r="C23" s="182">
        <v>5</v>
      </c>
      <c r="D23" s="182">
        <v>42</v>
      </c>
    </row>
    <row r="24" spans="2:33" x14ac:dyDescent="0.3">
      <c r="B24" s="182">
        <v>24</v>
      </c>
      <c r="C24" s="182">
        <v>42</v>
      </c>
      <c r="D24" s="182">
        <v>9</v>
      </c>
    </row>
    <row r="25" spans="2:33" x14ac:dyDescent="0.3">
      <c r="B25" s="182">
        <v>25</v>
      </c>
      <c r="C25" s="182">
        <v>61</v>
      </c>
      <c r="D25" s="182">
        <v>62</v>
      </c>
    </row>
    <row r="26" spans="2:33" x14ac:dyDescent="0.3">
      <c r="B26" s="182">
        <v>26</v>
      </c>
      <c r="C26" s="182">
        <v>9</v>
      </c>
      <c r="D26" s="182">
        <v>97</v>
      </c>
    </row>
    <row r="27" spans="2:33" x14ac:dyDescent="0.3">
      <c r="B27" s="182">
        <v>27</v>
      </c>
      <c r="C27" s="182">
        <v>80</v>
      </c>
      <c r="D27" s="182">
        <v>55</v>
      </c>
    </row>
    <row r="28" spans="2:33" ht="15" thickBot="1" x14ac:dyDescent="0.35">
      <c r="B28" s="182">
        <v>28</v>
      </c>
      <c r="C28" s="182">
        <v>57</v>
      </c>
      <c r="D28" s="182">
        <v>69</v>
      </c>
      <c r="X28" s="12"/>
      <c r="Y28" s="286" t="s">
        <v>27</v>
      </c>
      <c r="Z28" s="286"/>
      <c r="AA28" s="286"/>
      <c r="AB28" s="286"/>
      <c r="AC28" s="286"/>
      <c r="AD28" s="286"/>
      <c r="AE28" s="286"/>
      <c r="AF28" s="286"/>
      <c r="AG28" s="286"/>
    </row>
    <row r="29" spans="2:33" ht="15" thickBot="1" x14ac:dyDescent="0.35">
      <c r="B29" s="182">
        <v>29</v>
      </c>
      <c r="C29" s="182">
        <v>23</v>
      </c>
      <c r="D29" s="182">
        <v>15</v>
      </c>
      <c r="X29" s="16" t="s">
        <v>5</v>
      </c>
      <c r="Y29" s="281" t="s">
        <v>6</v>
      </c>
      <c r="Z29" s="282"/>
      <c r="AA29" s="282"/>
      <c r="AB29" s="283"/>
      <c r="AC29" s="281" t="s">
        <v>7</v>
      </c>
      <c r="AD29" s="282"/>
      <c r="AE29" s="283"/>
      <c r="AF29" s="281" t="s">
        <v>8</v>
      </c>
      <c r="AG29" s="283"/>
    </row>
    <row r="30" spans="2:33" ht="58.2" thickBot="1" x14ac:dyDescent="0.35">
      <c r="B30" s="182">
        <v>30</v>
      </c>
      <c r="C30" s="182">
        <v>20</v>
      </c>
      <c r="D30" s="182">
        <v>70</v>
      </c>
      <c r="X30" s="17" t="s">
        <v>9</v>
      </c>
      <c r="Y30" s="260" t="s">
        <v>10</v>
      </c>
      <c r="Z30" s="261" t="s">
        <v>11</v>
      </c>
      <c r="AA30" s="261"/>
      <c r="AB30" s="262" t="s">
        <v>12</v>
      </c>
      <c r="AC30" s="260" t="s">
        <v>10</v>
      </c>
      <c r="AD30" s="261"/>
      <c r="AE30" s="262" t="s">
        <v>11</v>
      </c>
      <c r="AF30" s="260" t="s">
        <v>8</v>
      </c>
      <c r="AG30" s="18" t="s">
        <v>13</v>
      </c>
    </row>
    <row r="31" spans="2:33" ht="15" thickBot="1" x14ac:dyDescent="0.35">
      <c r="B31" s="182">
        <v>31</v>
      </c>
      <c r="C31" s="182">
        <v>85</v>
      </c>
      <c r="D31" s="182">
        <v>60</v>
      </c>
      <c r="X31" s="21" t="s">
        <v>15</v>
      </c>
      <c r="Y31" s="256">
        <v>21.2</v>
      </c>
      <c r="Z31" s="259">
        <v>4</v>
      </c>
      <c r="AA31" s="266">
        <f>AVERAGE(AA36,AA40,AA44,AA48,AA52)</f>
        <v>678.98823157999993</v>
      </c>
      <c r="AB31" s="257">
        <v>742.98823157999993</v>
      </c>
      <c r="AC31" s="256">
        <v>9.8000000000000007</v>
      </c>
      <c r="AD31" s="266">
        <f>AVERAGE(AD36,AD40,AD44,AD48,AD52)</f>
        <v>64</v>
      </c>
      <c r="AE31" s="257">
        <v>1</v>
      </c>
      <c r="AF31" s="25">
        <v>5.2310929107142842E-2</v>
      </c>
      <c r="AG31" s="26">
        <v>2.7161905825999999</v>
      </c>
    </row>
    <row r="32" spans="2:33" ht="15" thickBot="1" x14ac:dyDescent="0.35">
      <c r="B32" s="182">
        <v>32</v>
      </c>
      <c r="C32" s="182">
        <v>98</v>
      </c>
      <c r="D32" s="182">
        <v>5</v>
      </c>
      <c r="F32">
        <f>+(98-3)^2+(5-82)^2</f>
        <v>14954</v>
      </c>
      <c r="X32" s="29" t="s">
        <v>16</v>
      </c>
      <c r="Y32" s="30">
        <v>21.6</v>
      </c>
      <c r="Z32" s="258">
        <v>4</v>
      </c>
      <c r="AA32" s="266">
        <f t="shared" ref="AA32:AA33" si="0">AVERAGE(AA37,AA41,AA45,AA49,AA53)</f>
        <v>666.07042230147863</v>
      </c>
      <c r="AB32" s="264">
        <v>730.07042230147863</v>
      </c>
      <c r="AC32" s="30">
        <v>9.4</v>
      </c>
      <c r="AD32" s="266">
        <f t="shared" ref="AD32:AD33" si="1">AVERAGE(AD37,AD41,AD45,AD49,AD53)</f>
        <v>64</v>
      </c>
      <c r="AE32" s="264">
        <v>1</v>
      </c>
      <c r="AF32" s="33">
        <v>6.878772665627729E-2</v>
      </c>
      <c r="AG32" s="34">
        <v>89.553469604400007</v>
      </c>
    </row>
    <row r="33" spans="2:33" ht="15" thickBot="1" x14ac:dyDescent="0.35">
      <c r="F33">
        <f>SQRT(F32)</f>
        <v>122.28654872879518</v>
      </c>
      <c r="X33" s="35" t="s">
        <v>17</v>
      </c>
      <c r="Y33" s="36">
        <v>21.6</v>
      </c>
      <c r="Z33" s="263">
        <v>4</v>
      </c>
      <c r="AA33" s="266">
        <f t="shared" si="0"/>
        <v>665.7312729702802</v>
      </c>
      <c r="AB33" s="38">
        <v>729.7312729702802</v>
      </c>
      <c r="AC33" s="36">
        <v>9.4</v>
      </c>
      <c r="AD33" s="266">
        <f t="shared" si="1"/>
        <v>64</v>
      </c>
      <c r="AE33" s="38">
        <v>1</v>
      </c>
      <c r="AF33" s="39">
        <v>6.9220315088928341E-2</v>
      </c>
      <c r="AG33" s="40">
        <v>8200.7134577200013</v>
      </c>
    </row>
    <row r="34" spans="2:33" x14ac:dyDescent="0.3"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2:33" ht="15" thickBot="1" x14ac:dyDescent="0.35">
      <c r="X35" s="2"/>
      <c r="Y35" s="2"/>
      <c r="Z35" s="2"/>
      <c r="AA35" s="2"/>
      <c r="AB35" s="2"/>
      <c r="AC35" s="2"/>
      <c r="AD35" s="2">
        <v>64</v>
      </c>
      <c r="AE35" s="2"/>
      <c r="AF35" s="2"/>
      <c r="AG35" s="2"/>
    </row>
    <row r="36" spans="2:33" ht="15" thickBot="1" x14ac:dyDescent="0.35">
      <c r="B36">
        <v>1</v>
      </c>
      <c r="C36">
        <v>47</v>
      </c>
      <c r="D36">
        <v>5</v>
      </c>
      <c r="G36">
        <v>1</v>
      </c>
      <c r="H36">
        <v>97</v>
      </c>
      <c r="I36">
        <v>33</v>
      </c>
      <c r="X36" s="21" t="s">
        <v>15</v>
      </c>
      <c r="Y36" s="256">
        <v>20</v>
      </c>
      <c r="Z36" s="41">
        <v>4</v>
      </c>
      <c r="AA36" s="41">
        <f>AB36-64</f>
        <v>658.67397489999996</v>
      </c>
      <c r="AB36" s="42">
        <v>722.67397489999996</v>
      </c>
      <c r="AC36" s="43">
        <v>11</v>
      </c>
      <c r="AD36" s="41">
        <f>$AD$35*AE36</f>
        <v>64</v>
      </c>
      <c r="AE36" s="44">
        <v>1</v>
      </c>
      <c r="AF36" s="25">
        <v>7.8221970790816372E-2</v>
      </c>
      <c r="AG36" s="42">
        <v>2.5971449999999998</v>
      </c>
    </row>
    <row r="37" spans="2:33" ht="15" thickBot="1" x14ac:dyDescent="0.35">
      <c r="B37">
        <v>2</v>
      </c>
      <c r="C37">
        <v>1</v>
      </c>
      <c r="D37">
        <v>19</v>
      </c>
      <c r="G37">
        <v>2</v>
      </c>
      <c r="H37">
        <v>57</v>
      </c>
      <c r="I37">
        <v>81</v>
      </c>
      <c r="X37" s="29" t="s">
        <v>16</v>
      </c>
      <c r="Y37" s="30">
        <v>20</v>
      </c>
      <c r="Z37" s="45">
        <v>4</v>
      </c>
      <c r="AA37" s="41">
        <f t="shared" ref="AA37:AA38" si="2">AB37-64</f>
        <v>658.34991359759999</v>
      </c>
      <c r="AB37" s="47">
        <v>722.34991359759999</v>
      </c>
      <c r="AC37" s="48">
        <v>11</v>
      </c>
      <c r="AD37" s="41">
        <f t="shared" ref="AD37:AD38" si="3">$AD$35*AE37</f>
        <v>64</v>
      </c>
      <c r="AE37" s="49">
        <v>1</v>
      </c>
      <c r="AF37" s="33">
        <v>7.8635314288775515E-2</v>
      </c>
      <c r="AG37" s="47">
        <v>67.853300000000004</v>
      </c>
    </row>
    <row r="38" spans="2:33" ht="15" thickBot="1" x14ac:dyDescent="0.35">
      <c r="B38">
        <v>3</v>
      </c>
      <c r="C38">
        <v>97</v>
      </c>
      <c r="D38">
        <v>35</v>
      </c>
      <c r="G38">
        <v>3</v>
      </c>
      <c r="H38">
        <v>1</v>
      </c>
      <c r="I38">
        <v>33</v>
      </c>
      <c r="X38" s="35" t="s">
        <v>17</v>
      </c>
      <c r="Y38" s="36">
        <v>20</v>
      </c>
      <c r="Z38" s="51">
        <v>4</v>
      </c>
      <c r="AA38" s="41">
        <f t="shared" si="2"/>
        <v>658.34991359764695</v>
      </c>
      <c r="AB38" s="52">
        <v>722.34991359764695</v>
      </c>
      <c r="AC38" s="53">
        <v>11</v>
      </c>
      <c r="AD38" s="41">
        <f t="shared" si="3"/>
        <v>64</v>
      </c>
      <c r="AE38" s="54">
        <v>1</v>
      </c>
      <c r="AF38" s="39">
        <v>7.8635314288715633E-2</v>
      </c>
      <c r="AG38" s="52">
        <v>3662.9380999999998</v>
      </c>
    </row>
    <row r="39" spans="2:33" ht="15" thickBot="1" x14ac:dyDescent="0.35">
      <c r="B39">
        <v>4</v>
      </c>
      <c r="C39">
        <v>23</v>
      </c>
      <c r="D39">
        <v>79</v>
      </c>
      <c r="G39">
        <v>4</v>
      </c>
      <c r="H39">
        <v>55</v>
      </c>
      <c r="I39">
        <v>57</v>
      </c>
      <c r="X39" s="2"/>
      <c r="Y39" s="3"/>
      <c r="Z39" s="3"/>
      <c r="AA39" s="3"/>
      <c r="AB39" s="3"/>
      <c r="AC39" s="3"/>
      <c r="AD39" s="3"/>
      <c r="AE39" s="3"/>
      <c r="AF39" s="3"/>
      <c r="AG39" s="3"/>
    </row>
    <row r="40" spans="2:33" ht="15" thickBot="1" x14ac:dyDescent="0.35">
      <c r="B40">
        <v>5</v>
      </c>
      <c r="C40">
        <v>77</v>
      </c>
      <c r="D40">
        <v>87</v>
      </c>
      <c r="G40">
        <v>5</v>
      </c>
      <c r="H40">
        <v>29</v>
      </c>
      <c r="I40">
        <v>37</v>
      </c>
      <c r="X40" s="21" t="s">
        <v>15</v>
      </c>
      <c r="Y40" s="256">
        <v>24</v>
      </c>
      <c r="Z40" s="41">
        <v>4</v>
      </c>
      <c r="AA40" s="41">
        <f>AB40-64</f>
        <v>702.48305600000003</v>
      </c>
      <c r="AB40" s="42">
        <v>766.48305600000003</v>
      </c>
      <c r="AC40" s="43">
        <v>7</v>
      </c>
      <c r="AD40" s="41">
        <f>$AD$35*AE40</f>
        <v>64</v>
      </c>
      <c r="AE40" s="44">
        <v>1</v>
      </c>
      <c r="AF40" s="25">
        <v>2.2343040816326487E-2</v>
      </c>
      <c r="AG40" s="42">
        <v>2.6231599999999999</v>
      </c>
    </row>
    <row r="41" spans="2:33" ht="15" thickBot="1" x14ac:dyDescent="0.35">
      <c r="B41">
        <v>6</v>
      </c>
      <c r="C41">
        <v>3</v>
      </c>
      <c r="D41">
        <v>9</v>
      </c>
      <c r="G41">
        <v>6</v>
      </c>
      <c r="H41">
        <v>21</v>
      </c>
      <c r="I41">
        <v>39</v>
      </c>
      <c r="X41" s="29" t="s">
        <v>16</v>
      </c>
      <c r="Y41" s="30">
        <v>24</v>
      </c>
      <c r="Z41" s="45">
        <v>4</v>
      </c>
      <c r="AA41" s="41">
        <f t="shared" ref="AA41:AA42" si="4">AB41-64</f>
        <v>696.13881691479298</v>
      </c>
      <c r="AB41" s="47">
        <v>760.13881691479298</v>
      </c>
      <c r="AC41" s="48">
        <v>7</v>
      </c>
      <c r="AD41" s="41">
        <f t="shared" ref="AD41:AD42" si="5">$AD$35*AE41</f>
        <v>64</v>
      </c>
      <c r="AE41" s="49">
        <v>1</v>
      </c>
      <c r="AF41" s="33">
        <v>3.0435182506641602E-2</v>
      </c>
      <c r="AG41" s="47">
        <v>104.63079999999999</v>
      </c>
    </row>
    <row r="42" spans="2:33" ht="15" thickBot="1" x14ac:dyDescent="0.35">
      <c r="B42">
        <v>7</v>
      </c>
      <c r="C42">
        <v>5</v>
      </c>
      <c r="D42">
        <v>27</v>
      </c>
      <c r="G42">
        <v>7</v>
      </c>
      <c r="H42">
        <v>93</v>
      </c>
      <c r="I42">
        <v>37</v>
      </c>
      <c r="X42" s="35" t="s">
        <v>17</v>
      </c>
      <c r="Y42" s="36">
        <v>24</v>
      </c>
      <c r="Z42" s="51">
        <v>4</v>
      </c>
      <c r="AA42" s="41">
        <f t="shared" si="4"/>
        <v>694.44306210000002</v>
      </c>
      <c r="AB42" s="52">
        <v>758.44306210000002</v>
      </c>
      <c r="AC42" s="53">
        <v>7</v>
      </c>
      <c r="AD42" s="41">
        <f t="shared" si="5"/>
        <v>64</v>
      </c>
      <c r="AE42" s="54">
        <v>1</v>
      </c>
      <c r="AF42" s="39">
        <v>3.2598135076530588E-2</v>
      </c>
      <c r="AG42" s="52">
        <v>3243.9745625999999</v>
      </c>
    </row>
    <row r="43" spans="2:33" ht="15" thickBot="1" x14ac:dyDescent="0.35">
      <c r="B43">
        <v>8</v>
      </c>
      <c r="C43">
        <v>41</v>
      </c>
      <c r="D43">
        <v>53</v>
      </c>
      <c r="G43">
        <v>8</v>
      </c>
      <c r="H43">
        <v>5</v>
      </c>
      <c r="I43">
        <v>91</v>
      </c>
      <c r="X43" s="2"/>
      <c r="Y43" s="3"/>
      <c r="Z43" s="3"/>
      <c r="AA43" s="3"/>
      <c r="AB43" s="3"/>
      <c r="AC43" s="3"/>
      <c r="AD43" s="3"/>
      <c r="AE43" s="3"/>
      <c r="AF43" s="3"/>
      <c r="AG43" s="3"/>
    </row>
    <row r="44" spans="2:33" ht="15" thickBot="1" x14ac:dyDescent="0.35">
      <c r="B44">
        <v>9</v>
      </c>
      <c r="C44">
        <v>51</v>
      </c>
      <c r="D44">
        <v>87</v>
      </c>
      <c r="G44">
        <v>9</v>
      </c>
      <c r="H44">
        <v>25</v>
      </c>
      <c r="I44">
        <v>11</v>
      </c>
      <c r="X44" s="21" t="s">
        <v>15</v>
      </c>
      <c r="Y44" s="256">
        <v>20</v>
      </c>
      <c r="Z44" s="41">
        <v>4</v>
      </c>
      <c r="AA44" s="41">
        <f>AB44-64</f>
        <v>664.87335299999995</v>
      </c>
      <c r="AB44" s="42">
        <v>728.87335299999995</v>
      </c>
      <c r="AC44" s="43">
        <v>11</v>
      </c>
      <c r="AD44" s="41">
        <f>$AD$35*AE44</f>
        <v>64</v>
      </c>
      <c r="AE44" s="44">
        <v>1</v>
      </c>
      <c r="AF44" s="25">
        <v>7.0314600765306184E-2</v>
      </c>
      <c r="AG44" s="42">
        <v>3.0497679999999998</v>
      </c>
    </row>
    <row r="45" spans="2:33" ht="15" thickBot="1" x14ac:dyDescent="0.35">
      <c r="B45">
        <v>10</v>
      </c>
      <c r="C45">
        <v>67</v>
      </c>
      <c r="D45">
        <v>73</v>
      </c>
      <c r="G45">
        <v>10</v>
      </c>
      <c r="H45">
        <v>47</v>
      </c>
      <c r="I45">
        <v>37</v>
      </c>
      <c r="X45" s="29" t="s">
        <v>16</v>
      </c>
      <c r="Y45" s="30">
        <v>22</v>
      </c>
      <c r="Z45" s="45">
        <v>4</v>
      </c>
      <c r="AA45" s="41">
        <f t="shared" ref="AA45:AA46" si="6">AB45-64</f>
        <v>628.79374316999997</v>
      </c>
      <c r="AB45" s="47">
        <v>692.79374316999997</v>
      </c>
      <c r="AC45" s="48">
        <v>9</v>
      </c>
      <c r="AD45" s="41">
        <f t="shared" ref="AD45:AD46" si="7">$AD$35*AE45</f>
        <v>64</v>
      </c>
      <c r="AE45" s="49">
        <v>1</v>
      </c>
      <c r="AF45" s="33">
        <v>0.11633451126275514</v>
      </c>
      <c r="AG45" s="47">
        <v>86.97878</v>
      </c>
    </row>
    <row r="46" spans="2:33" ht="15" thickBot="1" x14ac:dyDescent="0.35">
      <c r="B46">
        <v>11</v>
      </c>
      <c r="C46">
        <v>89</v>
      </c>
      <c r="D46">
        <v>45</v>
      </c>
      <c r="G46">
        <v>11</v>
      </c>
      <c r="H46">
        <v>87</v>
      </c>
      <c r="I46">
        <v>25</v>
      </c>
      <c r="X46" s="35" t="s">
        <v>17</v>
      </c>
      <c r="Y46" s="36">
        <v>22</v>
      </c>
      <c r="Z46" s="51">
        <v>4</v>
      </c>
      <c r="AA46" s="41">
        <f t="shared" si="6"/>
        <v>628.79374317243798</v>
      </c>
      <c r="AB46" s="52">
        <v>692.79374317243798</v>
      </c>
      <c r="AC46" s="53">
        <v>9</v>
      </c>
      <c r="AD46" s="41">
        <f t="shared" si="7"/>
        <v>64</v>
      </c>
      <c r="AE46" s="54">
        <v>1</v>
      </c>
      <c r="AF46" s="39">
        <v>0.11633451125964543</v>
      </c>
      <c r="AG46" s="52">
        <v>1253.3445999999999</v>
      </c>
    </row>
    <row r="47" spans="2:33" ht="15" thickBot="1" x14ac:dyDescent="0.35">
      <c r="B47">
        <v>12</v>
      </c>
      <c r="C47">
        <v>71</v>
      </c>
      <c r="D47">
        <v>99</v>
      </c>
      <c r="G47">
        <v>12</v>
      </c>
      <c r="H47">
        <v>67</v>
      </c>
      <c r="I47">
        <v>65</v>
      </c>
      <c r="X47" s="2"/>
      <c r="Y47" s="3"/>
      <c r="Z47" s="3"/>
      <c r="AA47" s="3"/>
      <c r="AB47" s="3"/>
      <c r="AC47" s="3"/>
      <c r="AD47" s="3"/>
      <c r="AE47" s="3"/>
      <c r="AF47" s="3"/>
      <c r="AG47" s="3"/>
    </row>
    <row r="48" spans="2:33" ht="15" thickBot="1" x14ac:dyDescent="0.35">
      <c r="B48">
        <v>13</v>
      </c>
      <c r="C48">
        <v>11</v>
      </c>
      <c r="D48">
        <v>1</v>
      </c>
      <c r="G48">
        <v>13</v>
      </c>
      <c r="H48">
        <v>71</v>
      </c>
      <c r="I48">
        <v>89</v>
      </c>
      <c r="X48" s="21" t="s">
        <v>15</v>
      </c>
      <c r="Y48" s="256">
        <v>19</v>
      </c>
      <c r="Z48" s="41">
        <v>4</v>
      </c>
      <c r="AA48" s="41">
        <f>AB48-64</f>
        <v>650.66781000000003</v>
      </c>
      <c r="AB48" s="42">
        <v>714.66781000000003</v>
      </c>
      <c r="AC48" s="43">
        <v>12</v>
      </c>
      <c r="AD48" s="41">
        <f>$AD$35*AE48</f>
        <v>64</v>
      </c>
      <c r="AE48" s="44">
        <v>1</v>
      </c>
      <c r="AF48" s="25">
        <v>8.8433915816326494E-2</v>
      </c>
      <c r="AG48" s="42">
        <v>1.9409799130000001</v>
      </c>
    </row>
    <row r="49" spans="2:33" ht="15" thickBot="1" x14ac:dyDescent="0.35">
      <c r="B49">
        <v>14</v>
      </c>
      <c r="C49">
        <v>85</v>
      </c>
      <c r="D49">
        <v>85</v>
      </c>
      <c r="G49">
        <v>14</v>
      </c>
      <c r="H49">
        <v>67</v>
      </c>
      <c r="I49">
        <v>15</v>
      </c>
      <c r="X49" s="29" t="s">
        <v>16</v>
      </c>
      <c r="Y49" s="30">
        <v>19</v>
      </c>
      <c r="Z49" s="45">
        <v>4</v>
      </c>
      <c r="AA49" s="41">
        <f t="shared" ref="AA49:AA50" si="8">AB49-64</f>
        <v>637.38566000000003</v>
      </c>
      <c r="AB49" s="47">
        <v>701.38566000000003</v>
      </c>
      <c r="AC49" s="48">
        <v>12</v>
      </c>
      <c r="AD49" s="41">
        <f t="shared" ref="AD49:AD50" si="9">$AD$35*AE49</f>
        <v>64</v>
      </c>
      <c r="AE49" s="49">
        <v>1</v>
      </c>
      <c r="AF49" s="33">
        <v>0.10537543367346935</v>
      </c>
      <c r="AG49" s="47">
        <v>99.774698021999995</v>
      </c>
    </row>
    <row r="50" spans="2:33" ht="15" thickBot="1" x14ac:dyDescent="0.35">
      <c r="B50">
        <v>15</v>
      </c>
      <c r="C50">
        <v>57</v>
      </c>
      <c r="D50">
        <v>11</v>
      </c>
      <c r="G50">
        <v>15</v>
      </c>
      <c r="H50">
        <v>45</v>
      </c>
      <c r="I50">
        <v>79</v>
      </c>
      <c r="X50" s="35" t="s">
        <v>17</v>
      </c>
      <c r="Y50" s="36">
        <v>19</v>
      </c>
      <c r="Z50" s="51">
        <v>4</v>
      </c>
      <c r="AA50" s="41">
        <f t="shared" si="8"/>
        <v>637.38566815630099</v>
      </c>
      <c r="AB50" s="52">
        <v>701.38566815630099</v>
      </c>
      <c r="AC50" s="53">
        <v>12</v>
      </c>
      <c r="AD50" s="41">
        <f t="shared" si="9"/>
        <v>64</v>
      </c>
      <c r="AE50" s="54">
        <v>1</v>
      </c>
      <c r="AF50" s="39">
        <v>0.10537542327002425</v>
      </c>
      <c r="AG50" s="52">
        <v>1817.8157200000001</v>
      </c>
    </row>
    <row r="51" spans="2:33" ht="15" thickBot="1" x14ac:dyDescent="0.35">
      <c r="B51">
        <v>16</v>
      </c>
      <c r="C51">
        <v>57</v>
      </c>
      <c r="D51">
        <v>85</v>
      </c>
      <c r="G51">
        <v>16</v>
      </c>
      <c r="H51">
        <v>71</v>
      </c>
      <c r="I51">
        <v>57</v>
      </c>
      <c r="X51" s="2"/>
      <c r="Y51" s="3"/>
      <c r="Z51" s="3"/>
      <c r="AA51" s="3"/>
      <c r="AB51" s="3"/>
      <c r="AC51" s="3"/>
      <c r="AD51" s="3"/>
      <c r="AE51" s="3"/>
      <c r="AF51" s="3"/>
      <c r="AG51" s="3"/>
    </row>
    <row r="52" spans="2:33" ht="15" thickBot="1" x14ac:dyDescent="0.35">
      <c r="B52">
        <v>17</v>
      </c>
      <c r="C52">
        <v>71</v>
      </c>
      <c r="D52">
        <v>33</v>
      </c>
      <c r="G52">
        <v>17</v>
      </c>
      <c r="H52">
        <v>29</v>
      </c>
      <c r="I52">
        <v>1</v>
      </c>
      <c r="X52" s="21" t="s">
        <v>15</v>
      </c>
      <c r="Y52" s="256">
        <v>23</v>
      </c>
      <c r="Z52" s="41">
        <v>4</v>
      </c>
      <c r="AA52" s="41">
        <f>AB52-64</f>
        <v>718.24296400000003</v>
      </c>
      <c r="AB52" s="42">
        <v>782.24296400000003</v>
      </c>
      <c r="AC52" s="43">
        <v>8</v>
      </c>
      <c r="AD52" s="41">
        <f>$AD$35*AE52</f>
        <v>64</v>
      </c>
      <c r="AE52" s="44">
        <v>1</v>
      </c>
      <c r="AF52" s="25">
        <v>2.2411173469387385E-3</v>
      </c>
      <c r="AG52" s="42">
        <v>3.3698999999999999</v>
      </c>
    </row>
    <row r="53" spans="2:33" ht="15" thickBot="1" x14ac:dyDescent="0.35">
      <c r="B53">
        <v>18</v>
      </c>
      <c r="C53">
        <v>61</v>
      </c>
      <c r="D53">
        <v>13</v>
      </c>
      <c r="G53">
        <v>18</v>
      </c>
      <c r="H53">
        <v>59</v>
      </c>
      <c r="I53">
        <v>79</v>
      </c>
      <c r="X53" s="29" t="s">
        <v>16</v>
      </c>
      <c r="Y53" s="30">
        <v>23</v>
      </c>
      <c r="Z53" s="45">
        <v>4</v>
      </c>
      <c r="AA53" s="41">
        <f t="shared" ref="AA53:AA54" si="10">AB53-64</f>
        <v>709.68397782500006</v>
      </c>
      <c r="AB53" s="47">
        <v>773.68397782500006</v>
      </c>
      <c r="AC53" s="48">
        <v>8</v>
      </c>
      <c r="AD53" s="41">
        <f t="shared" ref="AD53:AD54" si="11">$AD$35*AE53</f>
        <v>64</v>
      </c>
      <c r="AE53" s="49">
        <v>1</v>
      </c>
      <c r="AF53" s="33">
        <v>1.3158191549744826E-2</v>
      </c>
      <c r="AG53" s="47">
        <v>88.529769999999999</v>
      </c>
    </row>
    <row r="54" spans="2:33" ht="15" thickBot="1" x14ac:dyDescent="0.35">
      <c r="B54">
        <v>19</v>
      </c>
      <c r="C54">
        <v>39</v>
      </c>
      <c r="D54">
        <v>15</v>
      </c>
      <c r="G54">
        <v>19</v>
      </c>
      <c r="H54">
        <v>93</v>
      </c>
      <c r="I54">
        <v>83</v>
      </c>
      <c r="X54" s="35" t="s">
        <v>17</v>
      </c>
      <c r="Y54" s="36">
        <v>23</v>
      </c>
      <c r="Z54" s="51">
        <v>4</v>
      </c>
      <c r="AA54" s="41">
        <f t="shared" si="10"/>
        <v>709.68397782501495</v>
      </c>
      <c r="AB54" s="52">
        <v>773.68397782501495</v>
      </c>
      <c r="AC54" s="53">
        <v>8</v>
      </c>
      <c r="AD54" s="41">
        <f t="shared" si="11"/>
        <v>64</v>
      </c>
      <c r="AE54" s="54">
        <v>1</v>
      </c>
      <c r="AF54" s="39">
        <v>1.315819154972583E-2</v>
      </c>
      <c r="AG54" s="52">
        <v>31025.494306000001</v>
      </c>
    </row>
    <row r="55" spans="2:33" x14ac:dyDescent="0.3">
      <c r="B55">
        <v>20</v>
      </c>
      <c r="C55">
        <v>13</v>
      </c>
      <c r="D55">
        <v>59</v>
      </c>
      <c r="G55">
        <v>20</v>
      </c>
      <c r="H55">
        <v>47</v>
      </c>
      <c r="I55">
        <v>41</v>
      </c>
    </row>
    <row r="56" spans="2:33" x14ac:dyDescent="0.3">
      <c r="B56">
        <v>21</v>
      </c>
      <c r="C56">
        <v>43</v>
      </c>
      <c r="D56">
        <v>99</v>
      </c>
      <c r="G56">
        <v>21</v>
      </c>
      <c r="H56">
        <v>51</v>
      </c>
      <c r="I56">
        <v>41</v>
      </c>
    </row>
    <row r="57" spans="2:33" x14ac:dyDescent="0.3">
      <c r="B57">
        <v>22</v>
      </c>
      <c r="C57">
        <v>87</v>
      </c>
      <c r="D57">
        <v>73</v>
      </c>
      <c r="G57">
        <v>22</v>
      </c>
      <c r="H57">
        <v>23</v>
      </c>
      <c r="I57">
        <v>93</v>
      </c>
    </row>
    <row r="58" spans="2:33" x14ac:dyDescent="0.3">
      <c r="B58">
        <v>23</v>
      </c>
      <c r="C58">
        <v>11</v>
      </c>
      <c r="D58">
        <v>37</v>
      </c>
      <c r="G58">
        <v>23</v>
      </c>
      <c r="H58">
        <v>87</v>
      </c>
      <c r="I58">
        <v>95</v>
      </c>
    </row>
    <row r="59" spans="2:33" x14ac:dyDescent="0.3">
      <c r="B59">
        <v>24</v>
      </c>
      <c r="C59">
        <v>21</v>
      </c>
      <c r="D59">
        <v>11</v>
      </c>
      <c r="G59">
        <v>24</v>
      </c>
      <c r="H59">
        <v>39</v>
      </c>
      <c r="I59">
        <v>45</v>
      </c>
    </row>
    <row r="60" spans="2:33" x14ac:dyDescent="0.3">
      <c r="B60">
        <v>25</v>
      </c>
      <c r="C60">
        <v>77</v>
      </c>
      <c r="D60">
        <v>81</v>
      </c>
      <c r="G60">
        <v>25</v>
      </c>
      <c r="H60">
        <v>45</v>
      </c>
      <c r="I60">
        <v>7</v>
      </c>
    </row>
    <row r="61" spans="2:33" x14ac:dyDescent="0.3">
      <c r="B61">
        <v>26</v>
      </c>
      <c r="C61">
        <v>3</v>
      </c>
      <c r="D61">
        <v>63</v>
      </c>
      <c r="G61">
        <v>26</v>
      </c>
      <c r="H61">
        <v>85</v>
      </c>
      <c r="I61">
        <v>51</v>
      </c>
    </row>
    <row r="62" spans="2:33" x14ac:dyDescent="0.3">
      <c r="B62">
        <v>27</v>
      </c>
      <c r="C62">
        <v>47</v>
      </c>
      <c r="D62">
        <v>95</v>
      </c>
      <c r="G62">
        <v>27</v>
      </c>
      <c r="H62">
        <v>35</v>
      </c>
      <c r="I62">
        <v>93</v>
      </c>
    </row>
    <row r="63" spans="2:33" x14ac:dyDescent="0.3">
      <c r="B63">
        <v>28</v>
      </c>
      <c r="C63">
        <v>53</v>
      </c>
      <c r="D63">
        <v>75</v>
      </c>
      <c r="G63">
        <v>28</v>
      </c>
      <c r="H63">
        <v>47</v>
      </c>
      <c r="I63">
        <v>79</v>
      </c>
    </row>
    <row r="64" spans="2:33" x14ac:dyDescent="0.3">
      <c r="B64">
        <v>29</v>
      </c>
      <c r="C64">
        <v>73</v>
      </c>
      <c r="D64">
        <v>55</v>
      </c>
      <c r="G64">
        <v>29</v>
      </c>
      <c r="H64">
        <v>59</v>
      </c>
      <c r="I64">
        <v>91</v>
      </c>
    </row>
    <row r="65" spans="2:9" x14ac:dyDescent="0.3">
      <c r="B65">
        <v>30</v>
      </c>
      <c r="C65">
        <v>81</v>
      </c>
      <c r="D65">
        <v>71</v>
      </c>
      <c r="G65">
        <v>30</v>
      </c>
      <c r="H65">
        <v>83</v>
      </c>
      <c r="I65">
        <v>51</v>
      </c>
    </row>
    <row r="66" spans="2:9" x14ac:dyDescent="0.3">
      <c r="B66">
        <v>31</v>
      </c>
      <c r="C66">
        <v>89</v>
      </c>
      <c r="D66">
        <v>75</v>
      </c>
      <c r="G66">
        <v>31</v>
      </c>
      <c r="H66">
        <v>49</v>
      </c>
      <c r="I66">
        <v>65</v>
      </c>
    </row>
    <row r="67" spans="2:9" x14ac:dyDescent="0.3">
      <c r="B67">
        <v>32</v>
      </c>
      <c r="C67">
        <v>11</v>
      </c>
      <c r="D67">
        <v>9</v>
      </c>
      <c r="G67">
        <v>32</v>
      </c>
      <c r="H67">
        <v>21</v>
      </c>
      <c r="I67">
        <v>55</v>
      </c>
    </row>
    <row r="68" spans="2:9" x14ac:dyDescent="0.3">
      <c r="B68">
        <v>33</v>
      </c>
      <c r="C68">
        <v>27</v>
      </c>
      <c r="D68">
        <v>37</v>
      </c>
      <c r="G68">
        <v>33</v>
      </c>
      <c r="H68">
        <v>51</v>
      </c>
      <c r="I68">
        <v>21</v>
      </c>
    </row>
    <row r="69" spans="2:9" x14ac:dyDescent="0.3">
      <c r="B69">
        <v>34</v>
      </c>
      <c r="C69">
        <v>95</v>
      </c>
      <c r="D69">
        <v>59</v>
      </c>
      <c r="G69">
        <v>34</v>
      </c>
      <c r="H69">
        <v>69</v>
      </c>
      <c r="I69">
        <v>43</v>
      </c>
    </row>
    <row r="70" spans="2:9" x14ac:dyDescent="0.3">
      <c r="B70">
        <v>35</v>
      </c>
      <c r="C70">
        <v>63</v>
      </c>
      <c r="D70">
        <v>63</v>
      </c>
      <c r="G70">
        <v>35</v>
      </c>
      <c r="H70">
        <v>37</v>
      </c>
      <c r="I70">
        <v>41</v>
      </c>
    </row>
    <row r="71" spans="2:9" x14ac:dyDescent="0.3">
      <c r="B71">
        <v>36</v>
      </c>
      <c r="C71">
        <v>37</v>
      </c>
      <c r="D71">
        <v>21</v>
      </c>
      <c r="G71">
        <v>36</v>
      </c>
      <c r="H71">
        <v>37</v>
      </c>
      <c r="I71">
        <v>95</v>
      </c>
    </row>
    <row r="72" spans="2:9" x14ac:dyDescent="0.3">
      <c r="B72">
        <v>37</v>
      </c>
      <c r="C72">
        <v>33</v>
      </c>
      <c r="D72">
        <v>47</v>
      </c>
      <c r="G72">
        <v>37</v>
      </c>
      <c r="H72">
        <v>5</v>
      </c>
      <c r="I72">
        <v>71</v>
      </c>
    </row>
    <row r="73" spans="2:9" x14ac:dyDescent="0.3">
      <c r="B73">
        <v>38</v>
      </c>
      <c r="C73">
        <v>23</v>
      </c>
      <c r="D73">
        <v>63</v>
      </c>
      <c r="G73">
        <v>38</v>
      </c>
      <c r="H73">
        <v>37</v>
      </c>
      <c r="I73">
        <v>47</v>
      </c>
    </row>
    <row r="74" spans="2:9" x14ac:dyDescent="0.3">
      <c r="B74">
        <v>39</v>
      </c>
      <c r="C74">
        <v>13</v>
      </c>
      <c r="D74">
        <v>55</v>
      </c>
      <c r="G74">
        <v>39</v>
      </c>
      <c r="H74">
        <v>83</v>
      </c>
      <c r="I74">
        <v>73</v>
      </c>
    </row>
    <row r="75" spans="2:9" x14ac:dyDescent="0.3">
      <c r="B75">
        <v>40</v>
      </c>
      <c r="C75">
        <v>47</v>
      </c>
      <c r="D75">
        <v>93</v>
      </c>
      <c r="G75">
        <v>40</v>
      </c>
      <c r="H75">
        <v>17</v>
      </c>
      <c r="I75">
        <v>71</v>
      </c>
    </row>
    <row r="76" spans="2:9" x14ac:dyDescent="0.3">
      <c r="B76">
        <v>41</v>
      </c>
      <c r="C76">
        <v>45</v>
      </c>
      <c r="D76">
        <v>43</v>
      </c>
      <c r="G76">
        <v>41</v>
      </c>
      <c r="H76">
        <v>5</v>
      </c>
      <c r="I76">
        <v>71</v>
      </c>
    </row>
    <row r="77" spans="2:9" x14ac:dyDescent="0.3">
      <c r="B77">
        <v>42</v>
      </c>
      <c r="C77">
        <v>83</v>
      </c>
      <c r="D77">
        <v>7</v>
      </c>
      <c r="G77">
        <v>42</v>
      </c>
      <c r="H77">
        <v>81</v>
      </c>
      <c r="I77">
        <v>17</v>
      </c>
    </row>
    <row r="78" spans="2:9" x14ac:dyDescent="0.3">
      <c r="B78">
        <v>43</v>
      </c>
      <c r="C78">
        <v>69</v>
      </c>
      <c r="D78">
        <v>91</v>
      </c>
      <c r="G78">
        <v>43</v>
      </c>
      <c r="H78">
        <v>59</v>
      </c>
      <c r="I78">
        <v>33</v>
      </c>
    </row>
    <row r="79" spans="2:9" x14ac:dyDescent="0.3">
      <c r="B79">
        <v>44</v>
      </c>
      <c r="C79">
        <v>13</v>
      </c>
      <c r="D79">
        <v>11</v>
      </c>
      <c r="G79">
        <v>44</v>
      </c>
      <c r="H79">
        <v>63</v>
      </c>
      <c r="I79">
        <v>87</v>
      </c>
    </row>
    <row r="80" spans="2:9" x14ac:dyDescent="0.3">
      <c r="B80">
        <v>45</v>
      </c>
      <c r="C80">
        <v>37</v>
      </c>
      <c r="D80">
        <v>15</v>
      </c>
      <c r="G80">
        <v>45</v>
      </c>
      <c r="H80">
        <v>21</v>
      </c>
      <c r="I80">
        <v>77</v>
      </c>
    </row>
    <row r="81" spans="2:9" x14ac:dyDescent="0.3">
      <c r="B81">
        <v>46</v>
      </c>
      <c r="C81">
        <v>53</v>
      </c>
      <c r="D81">
        <v>59</v>
      </c>
      <c r="G81">
        <v>46</v>
      </c>
      <c r="H81">
        <v>71</v>
      </c>
      <c r="I81">
        <v>51</v>
      </c>
    </row>
    <row r="82" spans="2:9" x14ac:dyDescent="0.3">
      <c r="B82">
        <v>47</v>
      </c>
      <c r="C82">
        <v>97</v>
      </c>
      <c r="D82">
        <v>83</v>
      </c>
      <c r="G82">
        <v>47</v>
      </c>
      <c r="H82">
        <v>21</v>
      </c>
      <c r="I82">
        <v>17</v>
      </c>
    </row>
    <row r="83" spans="2:9" x14ac:dyDescent="0.3">
      <c r="B83">
        <v>48</v>
      </c>
      <c r="C83">
        <v>75</v>
      </c>
      <c r="D83">
        <v>31</v>
      </c>
      <c r="G83">
        <v>48</v>
      </c>
      <c r="H83">
        <v>9</v>
      </c>
      <c r="I83">
        <v>7</v>
      </c>
    </row>
    <row r="84" spans="2:9" x14ac:dyDescent="0.3">
      <c r="G84">
        <v>49</v>
      </c>
      <c r="H84">
        <v>65</v>
      </c>
      <c r="I84">
        <v>43</v>
      </c>
    </row>
    <row r="85" spans="2:9" x14ac:dyDescent="0.3">
      <c r="G85">
        <v>50</v>
      </c>
      <c r="H85">
        <v>25</v>
      </c>
      <c r="I85">
        <v>63</v>
      </c>
    </row>
    <row r="86" spans="2:9" x14ac:dyDescent="0.3">
      <c r="G86">
        <v>51</v>
      </c>
      <c r="H86">
        <v>13</v>
      </c>
      <c r="I86">
        <v>57</v>
      </c>
    </row>
    <row r="87" spans="2:9" x14ac:dyDescent="0.3">
      <c r="G87">
        <v>52</v>
      </c>
      <c r="H87">
        <v>47</v>
      </c>
      <c r="I87">
        <v>43</v>
      </c>
    </row>
    <row r="88" spans="2:9" x14ac:dyDescent="0.3">
      <c r="G88">
        <v>53</v>
      </c>
      <c r="H88">
        <v>77</v>
      </c>
      <c r="I88">
        <v>9</v>
      </c>
    </row>
    <row r="89" spans="2:9" x14ac:dyDescent="0.3">
      <c r="G89">
        <v>54</v>
      </c>
      <c r="H89">
        <v>57</v>
      </c>
      <c r="I89">
        <v>55</v>
      </c>
    </row>
    <row r="90" spans="2:9" x14ac:dyDescent="0.3">
      <c r="G90">
        <v>55</v>
      </c>
      <c r="H90">
        <v>21</v>
      </c>
      <c r="I90">
        <v>33</v>
      </c>
    </row>
    <row r="91" spans="2:9" x14ac:dyDescent="0.3">
      <c r="G91">
        <v>56</v>
      </c>
      <c r="H91">
        <v>27</v>
      </c>
      <c r="I91">
        <v>59</v>
      </c>
    </row>
    <row r="92" spans="2:9" x14ac:dyDescent="0.3">
      <c r="G92">
        <v>57</v>
      </c>
      <c r="H92">
        <v>83</v>
      </c>
      <c r="I92">
        <v>9</v>
      </c>
    </row>
    <row r="93" spans="2:9" x14ac:dyDescent="0.3">
      <c r="G93">
        <v>58</v>
      </c>
      <c r="H93">
        <v>63</v>
      </c>
      <c r="I93">
        <v>69</v>
      </c>
    </row>
    <row r="94" spans="2:9" x14ac:dyDescent="0.3">
      <c r="G94">
        <v>59</v>
      </c>
      <c r="H94">
        <v>9</v>
      </c>
      <c r="I94">
        <v>35</v>
      </c>
    </row>
    <row r="95" spans="2:9" x14ac:dyDescent="0.3">
      <c r="G95">
        <v>60</v>
      </c>
      <c r="H95">
        <v>25</v>
      </c>
      <c r="I95">
        <v>55</v>
      </c>
    </row>
    <row r="96" spans="2:9" x14ac:dyDescent="0.3">
      <c r="G96">
        <v>61</v>
      </c>
      <c r="H96">
        <v>33</v>
      </c>
      <c r="I96">
        <v>3</v>
      </c>
    </row>
    <row r="97" spans="7:9" x14ac:dyDescent="0.3">
      <c r="G97">
        <v>62</v>
      </c>
      <c r="H97">
        <v>53</v>
      </c>
      <c r="I97">
        <v>11</v>
      </c>
    </row>
    <row r="98" spans="7:9" x14ac:dyDescent="0.3">
      <c r="G98">
        <v>63</v>
      </c>
      <c r="H98">
        <v>51</v>
      </c>
      <c r="I98">
        <v>49</v>
      </c>
    </row>
    <row r="99" spans="7:9" x14ac:dyDescent="0.3">
      <c r="G99">
        <v>64</v>
      </c>
      <c r="H99">
        <v>9</v>
      </c>
      <c r="I99">
        <v>23</v>
      </c>
    </row>
  </sheetData>
  <sortState ref="G4:G19">
    <sortCondition ref="G4:G19"/>
  </sortState>
  <mergeCells count="4">
    <mergeCell ref="Y28:AG28"/>
    <mergeCell ref="Y29:AB29"/>
    <mergeCell ref="AC29:AE29"/>
    <mergeCell ref="AF29:AG2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A2" zoomScale="90" zoomScaleNormal="90" workbookViewId="0">
      <selection activeCell="J13" sqref="J13"/>
    </sheetView>
  </sheetViews>
  <sheetFormatPr defaultRowHeight="14.4" x14ac:dyDescent="0.3"/>
  <cols>
    <col min="6" max="6" width="23.44140625" bestFit="1" customWidth="1"/>
    <col min="7" max="7" width="23.44140625" customWidth="1"/>
  </cols>
  <sheetData>
    <row r="1" spans="1:14" x14ac:dyDescent="0.3">
      <c r="A1" t="s">
        <v>453</v>
      </c>
    </row>
    <row r="2" spans="1:14" x14ac:dyDescent="0.3">
      <c r="A2" t="s">
        <v>454</v>
      </c>
      <c r="B2" t="s">
        <v>459</v>
      </c>
      <c r="C2" t="s">
        <v>455</v>
      </c>
      <c r="E2" t="s">
        <v>12</v>
      </c>
      <c r="H2" t="s">
        <v>454</v>
      </c>
      <c r="J2" t="s">
        <v>455</v>
      </c>
      <c r="M2" t="s">
        <v>12</v>
      </c>
    </row>
    <row r="3" spans="1:14" x14ac:dyDescent="0.3">
      <c r="A3" s="119">
        <v>15</v>
      </c>
      <c r="B3" s="119">
        <f>VLOOKUP(A3,[5]Sheet1!$A$4:$C$34,3,FALSE)</f>
        <v>3</v>
      </c>
      <c r="C3" s="123">
        <v>0.11538461538461539</v>
      </c>
      <c r="D3" s="141">
        <f>ROUND(MIN(C3,1.1),2)</f>
        <v>0.12</v>
      </c>
      <c r="E3" s="182">
        <f>ROUND(VLOOKUP(A3,[5]Sheet2!$Q$4:$T$34,4,FALSE),0)</f>
        <v>27</v>
      </c>
      <c r="F3" t="str">
        <f>A3&amp;" "&amp;D3&amp;" "&amp;"a"</f>
        <v>15 0.12 a</v>
      </c>
      <c r="G3" t="str">
        <f>E3&amp;" "&amp;D3&amp;" "&amp;"a"</f>
        <v>27 0.12 a</v>
      </c>
      <c r="H3" s="119">
        <v>2</v>
      </c>
      <c r="I3" s="119">
        <f>VLOOKUP(H3,[5]Sheet1!$A$4:$C$34,3,FALSE)</f>
        <v>19</v>
      </c>
      <c r="J3" s="123">
        <v>0.73076923076923073</v>
      </c>
      <c r="K3" s="141">
        <f>ROUND(MIN(J3,1.1),2)</f>
        <v>0.73</v>
      </c>
      <c r="L3" t="str">
        <f>H3&amp;" "&amp;K3&amp;" "&amp;"b"</f>
        <v>2 0.73 b</v>
      </c>
      <c r="M3" s="182">
        <f>ROUND(VLOOKUP(H3,[5]Sheet2!$Q$4:$T$34,4,FALSE),0)</f>
        <v>35</v>
      </c>
      <c r="N3" t="str">
        <f>M3&amp;" "&amp;K3&amp;" "&amp;"b"</f>
        <v>35 0.73 b</v>
      </c>
    </row>
    <row r="4" spans="1:14" x14ac:dyDescent="0.3">
      <c r="A4" s="119">
        <v>8</v>
      </c>
      <c r="B4" s="119">
        <f>VLOOKUP(A4,[5]Sheet1!$A$4:$C$34,3,FALSE)</f>
        <v>16</v>
      </c>
      <c r="C4" s="123">
        <v>0.61538461538461542</v>
      </c>
      <c r="D4" s="141">
        <f t="shared" ref="D4:D46" si="0">ROUND(MIN(C4,1.1),2)</f>
        <v>0.62</v>
      </c>
      <c r="E4" s="182">
        <f>ROUND(VLOOKUP(A4,[5]Sheet2!$Q$4:$T$34,4,FALSE),0)</f>
        <v>37</v>
      </c>
      <c r="F4" t="str">
        <f t="shared" ref="F4:F46" si="1">A4&amp;" "&amp;D4&amp;" "&amp;"a"</f>
        <v>8 0.62 a</v>
      </c>
      <c r="G4" t="str">
        <f t="shared" ref="G4:G67" si="2">E4&amp;" "&amp;D4&amp;" "&amp;"a"</f>
        <v>37 0.62 a</v>
      </c>
      <c r="H4" s="119">
        <v>13</v>
      </c>
      <c r="I4" s="119">
        <f>VLOOKUP(H4,[5]Sheet1!$A$4:$C$34,3,FALSE)</f>
        <v>21</v>
      </c>
      <c r="J4" s="123">
        <v>0.80769230769230771</v>
      </c>
      <c r="K4" s="141">
        <f t="shared" ref="K4:K67" si="3">ROUND(MIN(J4,1.1),2)</f>
        <v>0.81</v>
      </c>
      <c r="L4" t="str">
        <f t="shared" ref="L4:L67" si="4">H4&amp;" "&amp;K4&amp;" "&amp;"b"</f>
        <v>13 0.81 b</v>
      </c>
      <c r="M4" s="182">
        <f>ROUND(VLOOKUP(H4,[5]Sheet2!$Q$4:$T$34,4,FALSE),0)</f>
        <v>29</v>
      </c>
      <c r="N4" t="str">
        <f t="shared" ref="N4:N67" si="5">M4&amp;" "&amp;K4&amp;" "&amp;"b"</f>
        <v>29 0.81 b</v>
      </c>
    </row>
    <row r="5" spans="1:14" x14ac:dyDescent="0.3">
      <c r="A5" s="119">
        <v>19</v>
      </c>
      <c r="B5" s="119">
        <f>VLOOKUP(A5,[5]Sheet1!$A$4:$C$34,3,FALSE)</f>
        <v>1</v>
      </c>
      <c r="C5" s="123">
        <v>7.6923076923076927E-2</v>
      </c>
      <c r="D5" s="141">
        <f t="shared" si="0"/>
        <v>0.08</v>
      </c>
      <c r="E5" s="182">
        <f>ROUND(VLOOKUP(A5,[5]Sheet2!$Q$4:$T$34,4,FALSE),0)</f>
        <v>77</v>
      </c>
      <c r="F5" t="str">
        <f t="shared" si="1"/>
        <v>19 0.08 a</v>
      </c>
      <c r="G5" t="str">
        <f t="shared" si="2"/>
        <v>77 0.08 a</v>
      </c>
      <c r="H5" s="119">
        <v>17</v>
      </c>
      <c r="I5" s="119">
        <f>VLOOKUP(H5,[5]Sheet1!$A$4:$C$34,3,FALSE)</f>
        <v>18</v>
      </c>
      <c r="J5" s="123">
        <v>0.69230769230769229</v>
      </c>
      <c r="K5" s="141">
        <f t="shared" si="3"/>
        <v>0.69</v>
      </c>
      <c r="L5" t="str">
        <f t="shared" si="4"/>
        <v>17 0.69 b</v>
      </c>
      <c r="M5" s="182">
        <f>ROUND(VLOOKUP(H5,[5]Sheet2!$Q$4:$T$34,4,FALSE),0)</f>
        <v>26</v>
      </c>
      <c r="N5" t="str">
        <f t="shared" si="5"/>
        <v>26 0.69 b</v>
      </c>
    </row>
    <row r="6" spans="1:14" x14ac:dyDescent="0.3">
      <c r="A6" s="119">
        <v>9</v>
      </c>
      <c r="B6" s="119">
        <f>VLOOKUP(A6,[5]Sheet1!$A$4:$C$34,3,FALSE)</f>
        <v>6</v>
      </c>
      <c r="C6" s="123">
        <v>0.46153846153846156</v>
      </c>
      <c r="D6" s="141">
        <f t="shared" si="0"/>
        <v>0.46</v>
      </c>
      <c r="E6" s="182">
        <f>ROUND(VLOOKUP(A6,[5]Sheet2!$Q$4:$T$34,4,FALSE),0)</f>
        <v>86</v>
      </c>
      <c r="F6" t="str">
        <f t="shared" si="1"/>
        <v>9 0.46 a</v>
      </c>
      <c r="G6" t="str">
        <f t="shared" si="2"/>
        <v>86 0.46 a</v>
      </c>
      <c r="H6" s="119">
        <v>31</v>
      </c>
      <c r="I6" s="119">
        <f>VLOOKUP(H6,[5]Sheet1!$A$4:$C$34,3,FALSE)</f>
        <v>14</v>
      </c>
      <c r="J6" s="123">
        <v>0.53846153846153844</v>
      </c>
      <c r="K6" s="141">
        <f t="shared" si="3"/>
        <v>0.54</v>
      </c>
      <c r="L6" t="str">
        <f t="shared" si="4"/>
        <v>31 0.54 b</v>
      </c>
      <c r="M6" s="182">
        <f>ROUND(VLOOKUP(H6,[5]Sheet2!$Q$4:$T$34,4,FALSE),0)</f>
        <v>16</v>
      </c>
      <c r="N6" t="str">
        <f t="shared" si="5"/>
        <v>16 0.54 b</v>
      </c>
    </row>
    <row r="7" spans="1:14" x14ac:dyDescent="0.3">
      <c r="A7" s="119">
        <v>30</v>
      </c>
      <c r="B7" s="119">
        <f>VLOOKUP(A7,[5]Sheet1!$A$4:$C$34,3,FALSE)</f>
        <v>2</v>
      </c>
      <c r="C7" s="123">
        <v>0.5</v>
      </c>
      <c r="D7" s="141">
        <f t="shared" si="0"/>
        <v>0.5</v>
      </c>
      <c r="E7" s="182">
        <f>ROUND(VLOOKUP(A7,[5]Sheet2!$Q$4:$T$34,4,FALSE),0)</f>
        <v>62</v>
      </c>
      <c r="F7" t="str">
        <f t="shared" si="1"/>
        <v>30 0.5 a</v>
      </c>
      <c r="G7" t="str">
        <f t="shared" si="2"/>
        <v>62 0.5 a</v>
      </c>
      <c r="H7" s="119">
        <v>12</v>
      </c>
      <c r="I7" s="119">
        <f>VLOOKUP(H7,[5]Sheet1!$A$4:$C$34,3,FALSE)</f>
        <v>14</v>
      </c>
      <c r="J7" s="123">
        <v>1.0769230769230769</v>
      </c>
      <c r="K7" s="141">
        <f t="shared" si="3"/>
        <v>1.08</v>
      </c>
      <c r="L7" t="str">
        <f t="shared" si="4"/>
        <v>12 1.08 b</v>
      </c>
      <c r="M7" s="182">
        <f>ROUND(VLOOKUP(H7,[5]Sheet2!$Q$4:$T$34,4,FALSE),0)</f>
        <v>101</v>
      </c>
      <c r="N7" t="str">
        <f t="shared" si="5"/>
        <v>101 1.08 b</v>
      </c>
    </row>
    <row r="8" spans="1:14" x14ac:dyDescent="0.3">
      <c r="A8" s="119">
        <v>22</v>
      </c>
      <c r="B8" s="119">
        <f>VLOOKUP(A8,[5]Sheet1!$A$4:$C$34,3,FALSE)</f>
        <v>12</v>
      </c>
      <c r="C8" s="123">
        <v>1</v>
      </c>
      <c r="D8" s="141">
        <f t="shared" si="0"/>
        <v>1</v>
      </c>
      <c r="E8" s="182">
        <f>ROUND(VLOOKUP(A8,[5]Sheet2!$Q$4:$T$34,4,FALSE),0)</f>
        <v>64</v>
      </c>
      <c r="F8" t="str">
        <f t="shared" si="1"/>
        <v>22 1 a</v>
      </c>
      <c r="G8" t="str">
        <f t="shared" si="2"/>
        <v>64 1 a</v>
      </c>
      <c r="H8" s="119">
        <v>5</v>
      </c>
      <c r="I8" s="119">
        <f>VLOOKUP(H8,[5]Sheet1!$A$4:$C$34,3,FALSE)</f>
        <v>19</v>
      </c>
      <c r="J8" s="123">
        <v>1.4615384615384615</v>
      </c>
      <c r="K8" s="141">
        <f t="shared" si="3"/>
        <v>1.1000000000000001</v>
      </c>
      <c r="L8" t="str">
        <f t="shared" si="4"/>
        <v>5 1.1 b</v>
      </c>
      <c r="M8" s="182">
        <f>ROUND(VLOOKUP(H8,[5]Sheet2!$Q$4:$T$34,4,FALSE),0)</f>
        <v>98</v>
      </c>
      <c r="N8" t="str">
        <f t="shared" si="5"/>
        <v>98 1.1 b</v>
      </c>
    </row>
    <row r="9" spans="1:14" x14ac:dyDescent="0.3">
      <c r="A9" s="119">
        <v>23</v>
      </c>
      <c r="B9" s="119">
        <f>VLOOKUP(A9,[5]Sheet1!$A$4:$C$34,3,FALSE)</f>
        <v>4</v>
      </c>
      <c r="C9" s="123">
        <v>0.4</v>
      </c>
      <c r="D9" s="141">
        <f t="shared" si="0"/>
        <v>0.4</v>
      </c>
      <c r="E9" s="182">
        <f>ROUND(VLOOKUP(A9,[5]Sheet2!$Q$4:$T$34,4,FALSE),0)</f>
        <v>84</v>
      </c>
      <c r="F9" t="str">
        <f t="shared" si="1"/>
        <v>23 0.4 a</v>
      </c>
      <c r="G9" t="str">
        <f t="shared" si="2"/>
        <v>84 0.4 a</v>
      </c>
      <c r="H9" s="119">
        <v>29</v>
      </c>
      <c r="I9" s="119">
        <f>VLOOKUP(H9,[5]Sheet1!$A$4:$C$34,3,FALSE)</f>
        <v>15</v>
      </c>
      <c r="J9" s="123">
        <v>1.1538461538461537</v>
      </c>
      <c r="K9" s="141">
        <f t="shared" si="3"/>
        <v>1.1000000000000001</v>
      </c>
      <c r="L9" t="str">
        <f t="shared" si="4"/>
        <v>29 1.1 b</v>
      </c>
      <c r="M9" s="182">
        <f>ROUND(VLOOKUP(H9,[5]Sheet2!$Q$4:$T$34,4,FALSE),0)</f>
        <v>85</v>
      </c>
      <c r="N9" t="str">
        <f t="shared" si="5"/>
        <v>85 1.1 b</v>
      </c>
    </row>
    <row r="10" spans="1:14" x14ac:dyDescent="0.3">
      <c r="A10" s="119">
        <v>24</v>
      </c>
      <c r="B10" s="119">
        <f>VLOOKUP(A10,[5]Sheet1!$A$4:$C$34,3,FALSE)</f>
        <v>8</v>
      </c>
      <c r="C10" s="123">
        <v>0.61538461538461542</v>
      </c>
      <c r="D10" s="141">
        <f t="shared" si="0"/>
        <v>0.62</v>
      </c>
      <c r="E10" s="182">
        <f>ROUND(VLOOKUP(A10,[5]Sheet2!$Q$4:$T$34,4,FALSE),0)</f>
        <v>78</v>
      </c>
      <c r="F10" t="str">
        <f t="shared" si="1"/>
        <v>24 0.62 a</v>
      </c>
      <c r="G10" t="str">
        <f t="shared" si="2"/>
        <v>78 0.62 a</v>
      </c>
      <c r="H10" s="119">
        <v>21</v>
      </c>
      <c r="I10" s="119">
        <f>VLOOKUP(H10,[5]Sheet1!$A$4:$C$34,3,FALSE)</f>
        <v>8</v>
      </c>
      <c r="J10" s="123">
        <v>2</v>
      </c>
      <c r="K10" s="141">
        <f t="shared" si="3"/>
        <v>1.1000000000000001</v>
      </c>
      <c r="L10" t="str">
        <f t="shared" si="4"/>
        <v>21 1.1 b</v>
      </c>
      <c r="M10" s="182">
        <f>ROUND(VLOOKUP(H10,[5]Sheet2!$Q$4:$T$34,4,FALSE),0)</f>
        <v>36</v>
      </c>
      <c r="N10" t="str">
        <f t="shared" si="5"/>
        <v>36 1.1 b</v>
      </c>
    </row>
    <row r="11" spans="1:14" x14ac:dyDescent="0.3">
      <c r="A11" s="119">
        <v>27</v>
      </c>
      <c r="B11" s="119">
        <f>VLOOKUP(A11,[5]Sheet1!$A$4:$C$34,3,FALSE)</f>
        <v>2</v>
      </c>
      <c r="C11" s="123">
        <v>0.25</v>
      </c>
      <c r="D11" s="141">
        <f t="shared" si="0"/>
        <v>0.25</v>
      </c>
      <c r="E11" s="182">
        <f>ROUND(VLOOKUP(A11,[5]Sheet2!$Q$4:$T$34,4,FALSE),0)</f>
        <v>21</v>
      </c>
      <c r="F11" t="str">
        <f t="shared" si="1"/>
        <v>27 0.25 a</v>
      </c>
      <c r="G11" t="str">
        <f t="shared" si="2"/>
        <v>21 0.25 a</v>
      </c>
      <c r="H11" s="119">
        <v>6</v>
      </c>
      <c r="I11" s="119">
        <f>VLOOKUP(H11,[5]Sheet1!$A$4:$C$34,3,FALSE)</f>
        <v>7</v>
      </c>
      <c r="J11" s="123">
        <v>1.75</v>
      </c>
      <c r="K11" s="141">
        <f t="shared" si="3"/>
        <v>1.1000000000000001</v>
      </c>
      <c r="L11" t="str">
        <f t="shared" si="4"/>
        <v>6 1.1 b</v>
      </c>
      <c r="M11" s="182">
        <f>ROUND(VLOOKUP(H11,[5]Sheet2!$Q$4:$T$34,4,FALSE),0)</f>
        <v>55</v>
      </c>
      <c r="N11" t="str">
        <f t="shared" si="5"/>
        <v>55 1.1 b</v>
      </c>
    </row>
    <row r="12" spans="1:14" x14ac:dyDescent="0.3">
      <c r="A12" s="119">
        <v>6</v>
      </c>
      <c r="B12" s="119">
        <f>VLOOKUP(A12,[5]Sheet1!$A$4:$C$34,3,FALSE)</f>
        <v>7</v>
      </c>
      <c r="C12" s="123">
        <v>0.7</v>
      </c>
      <c r="D12" s="141">
        <f t="shared" si="0"/>
        <v>0.7</v>
      </c>
      <c r="E12" s="182">
        <f>ROUND(VLOOKUP(A12,[5]Sheet2!$Q$4:$T$34,4,FALSE),0)</f>
        <v>55</v>
      </c>
      <c r="F12" t="str">
        <f t="shared" si="1"/>
        <v>6 0.7 a</v>
      </c>
      <c r="G12" t="str">
        <f t="shared" si="2"/>
        <v>55 0.7 a</v>
      </c>
      <c r="H12" s="119">
        <v>32</v>
      </c>
      <c r="I12" s="119">
        <f>VLOOKUP(H12,[5]Sheet1!$A$4:$C$34,3,FALSE)</f>
        <v>9</v>
      </c>
      <c r="J12" s="123">
        <v>0.75</v>
      </c>
      <c r="K12" s="141">
        <f t="shared" si="3"/>
        <v>0.75</v>
      </c>
      <c r="L12" t="str">
        <f t="shared" si="4"/>
        <v>32 0.75 b</v>
      </c>
      <c r="M12" s="182">
        <f>ROUND(VLOOKUP(H12,[5]Sheet2!$Q$4:$T$34,4,FALSE),0)</f>
        <v>73</v>
      </c>
      <c r="N12" t="str">
        <f t="shared" si="5"/>
        <v>73 0.75 b</v>
      </c>
    </row>
    <row r="13" spans="1:14" x14ac:dyDescent="0.3">
      <c r="A13" s="119">
        <v>30</v>
      </c>
      <c r="B13" s="119">
        <f>VLOOKUP(A13,[5]Sheet1!$A$4:$C$34,3,FALSE)</f>
        <v>2</v>
      </c>
      <c r="C13" s="123">
        <v>0.2</v>
      </c>
      <c r="D13" s="141">
        <f t="shared" si="0"/>
        <v>0.2</v>
      </c>
      <c r="E13" s="182">
        <f>ROUND(VLOOKUP(A13,[5]Sheet2!$Q$4:$T$34,4,FALSE),0)</f>
        <v>62</v>
      </c>
      <c r="F13" t="str">
        <f t="shared" si="1"/>
        <v>30 0.2 a</v>
      </c>
      <c r="G13" t="str">
        <f t="shared" si="2"/>
        <v>62 0.2 a</v>
      </c>
      <c r="H13" s="119">
        <v>20</v>
      </c>
      <c r="I13" s="119">
        <f>VLOOKUP(H13,[5]Sheet1!$A$4:$C$34,3,FALSE)</f>
        <v>24</v>
      </c>
      <c r="J13" s="123">
        <v>2</v>
      </c>
      <c r="K13" s="141">
        <f t="shared" si="3"/>
        <v>1.1000000000000001</v>
      </c>
      <c r="L13" t="str">
        <f t="shared" si="4"/>
        <v>20 1.1 b</v>
      </c>
      <c r="M13" s="182">
        <f>ROUND(VLOOKUP(H13,[5]Sheet2!$Q$4:$T$34,4,FALSE),0)</f>
        <v>74</v>
      </c>
      <c r="N13" t="str">
        <f t="shared" si="5"/>
        <v>74 1.1 b</v>
      </c>
    </row>
    <row r="14" spans="1:14" x14ac:dyDescent="0.3">
      <c r="A14" s="119">
        <v>4</v>
      </c>
      <c r="B14" s="119">
        <f>VLOOKUP(A14,[5]Sheet1!$A$4:$C$34,3,FALSE)</f>
        <v>6</v>
      </c>
      <c r="C14" s="123">
        <v>0.6</v>
      </c>
      <c r="D14" s="141">
        <f t="shared" si="0"/>
        <v>0.6</v>
      </c>
      <c r="E14" s="182">
        <f>ROUND(VLOOKUP(A14,[5]Sheet2!$Q$4:$T$34,4,FALSE),0)</f>
        <v>76</v>
      </c>
      <c r="F14" t="str">
        <f t="shared" si="1"/>
        <v>4 0.6 a</v>
      </c>
      <c r="G14" t="str">
        <f t="shared" si="2"/>
        <v>76 0.6 a</v>
      </c>
      <c r="H14" s="119">
        <v>18</v>
      </c>
      <c r="I14" s="119">
        <f>VLOOKUP(H14,[5]Sheet1!$A$4:$C$34,3,FALSE)</f>
        <v>19</v>
      </c>
      <c r="J14" s="123">
        <v>1.5833333333333333</v>
      </c>
      <c r="K14" s="141">
        <f t="shared" si="3"/>
        <v>1.1000000000000001</v>
      </c>
      <c r="L14" t="str">
        <f t="shared" si="4"/>
        <v>18 1.1 b</v>
      </c>
      <c r="M14" s="182">
        <f>ROUND(VLOOKUP(H14,[5]Sheet2!$Q$4:$T$34,4,FALSE),0)</f>
        <v>75</v>
      </c>
      <c r="N14" t="str">
        <f t="shared" si="5"/>
        <v>75 1.1 b</v>
      </c>
    </row>
    <row r="15" spans="1:14" x14ac:dyDescent="0.3">
      <c r="A15" s="119">
        <v>32</v>
      </c>
      <c r="B15" s="119">
        <f>VLOOKUP(A15,[5]Sheet1!$A$4:$C$34,3,FALSE)</f>
        <v>9</v>
      </c>
      <c r="C15" s="123">
        <v>0.81818181818181823</v>
      </c>
      <c r="D15" s="141">
        <f t="shared" si="0"/>
        <v>0.82</v>
      </c>
      <c r="E15" s="182">
        <f>ROUND(VLOOKUP(A15,[5]Sheet2!$Q$4:$T$34,4,FALSE),0)</f>
        <v>73</v>
      </c>
      <c r="F15" t="str">
        <f t="shared" si="1"/>
        <v>32 0.82 a</v>
      </c>
      <c r="G15" t="str">
        <f t="shared" si="2"/>
        <v>73 0.82 a</v>
      </c>
      <c r="H15" s="119">
        <v>14</v>
      </c>
      <c r="I15" s="119">
        <f>VLOOKUP(H15,[5]Sheet1!$A$4:$C$34,3,FALSE)</f>
        <v>16</v>
      </c>
      <c r="J15" s="123">
        <v>1.3333333333333333</v>
      </c>
      <c r="K15" s="141">
        <f t="shared" si="3"/>
        <v>1.1000000000000001</v>
      </c>
      <c r="L15" t="str">
        <f t="shared" si="4"/>
        <v>14 1.1 b</v>
      </c>
      <c r="M15" s="182">
        <f>ROUND(VLOOKUP(H15,[5]Sheet2!$Q$4:$T$34,4,FALSE),0)</f>
        <v>51</v>
      </c>
      <c r="N15" t="str">
        <f t="shared" si="5"/>
        <v>51 1.1 b</v>
      </c>
    </row>
    <row r="16" spans="1:14" x14ac:dyDescent="0.3">
      <c r="A16" s="119">
        <v>23</v>
      </c>
      <c r="B16" s="119">
        <f>VLOOKUP(A16,[5]Sheet1!$A$4:$C$34,3,FALSE)</f>
        <v>4</v>
      </c>
      <c r="C16" s="123">
        <v>0.14814814814814814</v>
      </c>
      <c r="D16" s="141">
        <f t="shared" si="0"/>
        <v>0.15</v>
      </c>
      <c r="E16" s="182">
        <f>ROUND(VLOOKUP(A16,[5]Sheet2!$Q$4:$T$34,4,FALSE),0)</f>
        <v>84</v>
      </c>
      <c r="F16" t="str">
        <f t="shared" si="1"/>
        <v>23 0.15 a</v>
      </c>
      <c r="G16" t="str">
        <f t="shared" si="2"/>
        <v>84 0.15 a</v>
      </c>
      <c r="H16" s="119">
        <v>10</v>
      </c>
      <c r="I16" s="119">
        <f>VLOOKUP(H16,[5]Sheet1!$A$4:$C$34,3,FALSE)</f>
        <v>16</v>
      </c>
      <c r="J16" s="123">
        <v>1.6</v>
      </c>
      <c r="K16" s="141">
        <f t="shared" si="3"/>
        <v>1.1000000000000001</v>
      </c>
      <c r="L16" t="str">
        <f t="shared" si="4"/>
        <v>10 1.1 b</v>
      </c>
      <c r="M16" s="182">
        <f>ROUND(VLOOKUP(H16,[5]Sheet2!$Q$4:$T$34,4,FALSE),0)</f>
        <v>88</v>
      </c>
      <c r="N16" t="str">
        <f t="shared" si="5"/>
        <v>88 1.1 b</v>
      </c>
    </row>
    <row r="17" spans="1:14" x14ac:dyDescent="0.3">
      <c r="A17" s="119">
        <v>10</v>
      </c>
      <c r="B17" s="119">
        <f>VLOOKUP(A17,[5]Sheet1!$A$4:$C$34,3,FALSE)</f>
        <v>16</v>
      </c>
      <c r="C17" s="123">
        <v>0.59259259259259256</v>
      </c>
      <c r="D17" s="141">
        <f t="shared" si="0"/>
        <v>0.59</v>
      </c>
      <c r="E17" s="182">
        <f>ROUND(VLOOKUP(A17,[5]Sheet2!$Q$4:$T$34,4,FALSE),0)</f>
        <v>88</v>
      </c>
      <c r="F17" t="str">
        <f t="shared" si="1"/>
        <v>10 0.59 a</v>
      </c>
      <c r="G17" t="str">
        <f t="shared" si="2"/>
        <v>88 0.59 a</v>
      </c>
      <c r="H17" s="119">
        <v>16</v>
      </c>
      <c r="I17" s="119">
        <f>VLOOKUP(H17,[5]Sheet1!$A$4:$C$34,3,FALSE)</f>
        <v>22</v>
      </c>
      <c r="J17" s="123">
        <v>2.2000000000000002</v>
      </c>
      <c r="K17" s="141">
        <f t="shared" si="3"/>
        <v>1.1000000000000001</v>
      </c>
      <c r="L17" t="str">
        <f t="shared" si="4"/>
        <v>16 1.1 b</v>
      </c>
      <c r="M17" s="182">
        <f>ROUND(VLOOKUP(H17,[5]Sheet2!$Q$4:$T$34,4,FALSE),0)</f>
        <v>82</v>
      </c>
      <c r="N17" t="str">
        <f t="shared" si="5"/>
        <v>82 1.1 b</v>
      </c>
    </row>
    <row r="18" spans="1:14" x14ac:dyDescent="0.3">
      <c r="A18" s="119">
        <v>19</v>
      </c>
      <c r="B18" s="119">
        <f>VLOOKUP(A18,[5]Sheet1!$A$4:$C$34,3,FALSE)</f>
        <v>1</v>
      </c>
      <c r="C18" s="123">
        <v>1</v>
      </c>
      <c r="D18" s="141">
        <f t="shared" si="0"/>
        <v>1</v>
      </c>
      <c r="E18" s="182">
        <f>ROUND(VLOOKUP(A18,[5]Sheet2!$Q$4:$T$34,4,FALSE),0)</f>
        <v>77</v>
      </c>
      <c r="F18" t="str">
        <f t="shared" si="1"/>
        <v>19 1 a</v>
      </c>
      <c r="G18" t="str">
        <f t="shared" si="2"/>
        <v>77 1 a</v>
      </c>
      <c r="H18" s="119">
        <v>11</v>
      </c>
      <c r="I18" s="119">
        <f>VLOOKUP(H18,[5]Sheet1!$A$4:$C$34,3,FALSE)</f>
        <v>8</v>
      </c>
      <c r="J18" s="123">
        <v>0.8</v>
      </c>
      <c r="K18" s="141">
        <f t="shared" si="3"/>
        <v>0.8</v>
      </c>
      <c r="L18" t="str">
        <f t="shared" si="4"/>
        <v>11 0.8 b</v>
      </c>
      <c r="M18" s="182">
        <f>ROUND(VLOOKUP(H18,[5]Sheet2!$Q$4:$T$34,4,FALSE),0)</f>
        <v>79</v>
      </c>
      <c r="N18" t="str">
        <f t="shared" si="5"/>
        <v>79 0.8 b</v>
      </c>
    </row>
    <row r="19" spans="1:14" x14ac:dyDescent="0.3">
      <c r="A19" s="119">
        <v>8</v>
      </c>
      <c r="B19" s="119">
        <f>VLOOKUP(A19,[5]Sheet1!$A$4:$C$34,3,FALSE)</f>
        <v>16</v>
      </c>
      <c r="C19" s="123">
        <v>0.84210526315789469</v>
      </c>
      <c r="D19" s="141">
        <f t="shared" si="0"/>
        <v>0.84</v>
      </c>
      <c r="E19" s="182">
        <f>ROUND(VLOOKUP(A19,[5]Sheet2!$Q$4:$T$34,4,FALSE),0)</f>
        <v>37</v>
      </c>
      <c r="F19" t="str">
        <f t="shared" si="1"/>
        <v>8 0.84 a</v>
      </c>
      <c r="G19" t="str">
        <f t="shared" si="2"/>
        <v>37 0.84 a</v>
      </c>
      <c r="H19" s="119">
        <v>26</v>
      </c>
      <c r="I19" s="119">
        <f>VLOOKUP(H19,[5]Sheet1!$A$4:$C$34,3,FALSE)</f>
        <v>24</v>
      </c>
      <c r="J19" s="123">
        <v>2.4</v>
      </c>
      <c r="K19" s="141">
        <f t="shared" si="3"/>
        <v>1.1000000000000001</v>
      </c>
      <c r="L19" t="str">
        <f t="shared" si="4"/>
        <v>26 1.1 b</v>
      </c>
      <c r="M19" s="182">
        <f>ROUND(VLOOKUP(H19,[5]Sheet2!$Q$4:$T$34,4,FALSE),0)</f>
        <v>76</v>
      </c>
      <c r="N19" t="str">
        <f t="shared" si="5"/>
        <v>76 1.1 b</v>
      </c>
    </row>
    <row r="20" spans="1:14" x14ac:dyDescent="0.3">
      <c r="A20" s="119">
        <v>27</v>
      </c>
      <c r="B20" s="119">
        <f>VLOOKUP(A20,[5]Sheet1!$A$4:$C$34,3,FALSE)</f>
        <v>2</v>
      </c>
      <c r="C20" s="123">
        <v>0.10526315789473684</v>
      </c>
      <c r="D20" s="141">
        <f t="shared" si="0"/>
        <v>0.11</v>
      </c>
      <c r="E20" s="182">
        <f>ROUND(VLOOKUP(A20,[5]Sheet2!$Q$4:$T$34,4,FALSE),0)</f>
        <v>21</v>
      </c>
      <c r="F20" t="str">
        <f t="shared" si="1"/>
        <v>27 0.11 a</v>
      </c>
      <c r="G20" t="str">
        <f t="shared" si="2"/>
        <v>21 0.11 a</v>
      </c>
      <c r="H20" s="119">
        <v>3</v>
      </c>
      <c r="I20" s="119">
        <f>VLOOKUP(H20,[5]Sheet1!$A$4:$C$34,3,FALSE)</f>
        <v>21</v>
      </c>
      <c r="J20" s="123">
        <v>1.6153846153846154</v>
      </c>
      <c r="K20" s="141">
        <f t="shared" si="3"/>
        <v>1.1000000000000001</v>
      </c>
      <c r="L20" t="str">
        <f t="shared" si="4"/>
        <v>3 1.1 b</v>
      </c>
      <c r="M20" s="182">
        <f>ROUND(VLOOKUP(H20,[5]Sheet2!$Q$4:$T$34,4,FALSE),0)</f>
        <v>78</v>
      </c>
      <c r="N20" t="str">
        <f t="shared" si="5"/>
        <v>78 1.1 b</v>
      </c>
    </row>
    <row r="21" spans="1:14" x14ac:dyDescent="0.3">
      <c r="A21" s="119">
        <v>7</v>
      </c>
      <c r="B21" s="119">
        <f>VLOOKUP(A21,[5]Sheet1!$A$4:$C$34,3,FALSE)</f>
        <v>12</v>
      </c>
      <c r="C21" s="123">
        <v>0.5</v>
      </c>
      <c r="D21" s="141">
        <f t="shared" si="0"/>
        <v>0.5</v>
      </c>
      <c r="E21" s="182">
        <f>ROUND(VLOOKUP(A21,[5]Sheet2!$Q$4:$T$34,4,FALSE),0)</f>
        <v>52</v>
      </c>
      <c r="F21" t="str">
        <f t="shared" si="1"/>
        <v>7 0.5 a</v>
      </c>
      <c r="G21" t="str">
        <f t="shared" si="2"/>
        <v>52 0.5 a</v>
      </c>
      <c r="H21" s="119">
        <v>4</v>
      </c>
      <c r="I21" s="119">
        <f>VLOOKUP(H21,[5]Sheet1!$A$4:$C$34,3,FALSE)</f>
        <v>6</v>
      </c>
      <c r="J21" s="123">
        <v>0.46153846153846156</v>
      </c>
      <c r="K21" s="141">
        <f t="shared" si="3"/>
        <v>0.46</v>
      </c>
      <c r="L21" t="str">
        <f t="shared" si="4"/>
        <v>4 0.46 b</v>
      </c>
      <c r="M21" s="182">
        <f>ROUND(VLOOKUP(H21,[5]Sheet2!$Q$4:$T$34,4,FALSE),0)</f>
        <v>76</v>
      </c>
      <c r="N21" t="str">
        <f t="shared" si="5"/>
        <v>76 0.46 b</v>
      </c>
    </row>
    <row r="22" spans="1:14" x14ac:dyDescent="0.3">
      <c r="A22" s="119">
        <v>32</v>
      </c>
      <c r="B22" s="119">
        <f>VLOOKUP(A22,[5]Sheet1!$A$4:$C$34,3,FALSE)</f>
        <v>9</v>
      </c>
      <c r="C22" s="123">
        <v>0.375</v>
      </c>
      <c r="D22" s="141">
        <f t="shared" si="0"/>
        <v>0.38</v>
      </c>
      <c r="E22" s="182">
        <f>ROUND(VLOOKUP(A22,[5]Sheet2!$Q$4:$T$34,4,FALSE),0)</f>
        <v>73</v>
      </c>
      <c r="F22" t="str">
        <f t="shared" si="1"/>
        <v>32 0.38 a</v>
      </c>
      <c r="G22" t="str">
        <f t="shared" si="2"/>
        <v>73 0.38 a</v>
      </c>
      <c r="H22" s="119">
        <v>7</v>
      </c>
      <c r="I22" s="119">
        <f>VLOOKUP(H22,[5]Sheet1!$A$4:$C$34,3,FALSE)</f>
        <v>12</v>
      </c>
      <c r="J22" s="123">
        <v>0.92307692307692313</v>
      </c>
      <c r="K22" s="141">
        <f t="shared" si="3"/>
        <v>0.92</v>
      </c>
      <c r="L22" t="str">
        <f t="shared" si="4"/>
        <v>7 0.92 b</v>
      </c>
      <c r="M22" s="182">
        <f>ROUND(VLOOKUP(H22,[5]Sheet2!$Q$4:$T$34,4,FALSE),0)</f>
        <v>52</v>
      </c>
      <c r="N22" t="str">
        <f t="shared" si="5"/>
        <v>52 0.92 b</v>
      </c>
    </row>
    <row r="23" spans="1:14" x14ac:dyDescent="0.3">
      <c r="A23" s="119">
        <v>4</v>
      </c>
      <c r="B23" s="119">
        <f>VLOOKUP(A23,[5]Sheet1!$A$4:$C$34,3,FALSE)</f>
        <v>6</v>
      </c>
      <c r="C23" s="123">
        <v>1</v>
      </c>
      <c r="D23" s="141">
        <f t="shared" si="0"/>
        <v>1</v>
      </c>
      <c r="E23" s="182">
        <f>ROUND(VLOOKUP(A23,[5]Sheet2!$Q$4:$T$34,4,FALSE),0)</f>
        <v>76</v>
      </c>
      <c r="F23" t="str">
        <f t="shared" si="1"/>
        <v>4 1 a</v>
      </c>
      <c r="G23" t="str">
        <f t="shared" si="2"/>
        <v>76 1 a</v>
      </c>
      <c r="H23" s="119">
        <v>25</v>
      </c>
      <c r="I23" s="119">
        <f>VLOOKUP(H23,[5]Sheet1!$A$4:$C$34,3,FALSE)</f>
        <v>24</v>
      </c>
      <c r="J23" s="123">
        <v>3</v>
      </c>
      <c r="K23" s="141">
        <f t="shared" si="3"/>
        <v>1.1000000000000001</v>
      </c>
      <c r="L23" t="str">
        <f t="shared" si="4"/>
        <v>25 1.1 b</v>
      </c>
      <c r="M23" s="182">
        <f>ROUND(VLOOKUP(H23,[5]Sheet2!$Q$4:$T$34,4,FALSE),0)</f>
        <v>25</v>
      </c>
      <c r="N23" t="str">
        <f t="shared" si="5"/>
        <v>25 1.1 b</v>
      </c>
    </row>
    <row r="24" spans="1:14" x14ac:dyDescent="0.3">
      <c r="A24" s="119">
        <v>2</v>
      </c>
      <c r="B24" s="119">
        <f>VLOOKUP(A24,[5]Sheet1!$A$4:$C$34,3,FALSE)</f>
        <v>19</v>
      </c>
      <c r="C24" s="123">
        <v>0.86363636363636365</v>
      </c>
      <c r="D24" s="141">
        <f t="shared" si="0"/>
        <v>0.86</v>
      </c>
      <c r="E24" s="182">
        <f>ROUND(VLOOKUP(A24,[5]Sheet2!$Q$4:$T$34,4,FALSE),0)</f>
        <v>35</v>
      </c>
      <c r="F24" t="str">
        <f t="shared" si="1"/>
        <v>2 0.86 a</v>
      </c>
      <c r="G24" t="str">
        <f t="shared" si="2"/>
        <v>35 0.86 a</v>
      </c>
      <c r="H24" s="119">
        <v>28</v>
      </c>
      <c r="I24" s="119">
        <f>VLOOKUP(H24,[5]Sheet1!$A$4:$C$34,3,FALSE)</f>
        <v>20</v>
      </c>
      <c r="J24" s="123">
        <v>2.5</v>
      </c>
      <c r="K24" s="141">
        <f t="shared" si="3"/>
        <v>1.1000000000000001</v>
      </c>
      <c r="L24" t="str">
        <f t="shared" si="4"/>
        <v>28 1.1 b</v>
      </c>
      <c r="M24" s="182">
        <f>ROUND(VLOOKUP(H24,[5]Sheet2!$Q$4:$T$34,4,FALSE),0)</f>
        <v>26</v>
      </c>
      <c r="N24" t="str">
        <f t="shared" si="5"/>
        <v>26 1.1 b</v>
      </c>
    </row>
    <row r="25" spans="1:14" x14ac:dyDescent="0.3">
      <c r="A25" s="119">
        <v>21</v>
      </c>
      <c r="B25" s="119">
        <f>VLOOKUP(A25,[5]Sheet1!$A$4:$C$34,3,FALSE)</f>
        <v>8</v>
      </c>
      <c r="C25" s="123">
        <v>0.66666666666666663</v>
      </c>
      <c r="D25" s="141">
        <f t="shared" si="0"/>
        <v>0.67</v>
      </c>
      <c r="E25" s="182">
        <f>ROUND(VLOOKUP(A25,[5]Sheet2!$Q$4:$T$34,4,FALSE),0)</f>
        <v>36</v>
      </c>
      <c r="F25" t="str">
        <f t="shared" si="1"/>
        <v>21 0.67 a</v>
      </c>
      <c r="G25" t="str">
        <f t="shared" si="2"/>
        <v>36 0.67 a</v>
      </c>
      <c r="H25" s="119">
        <v>15</v>
      </c>
      <c r="I25" s="119">
        <f>VLOOKUP(H25,[5]Sheet1!$A$4:$C$34,3,FALSE)</f>
        <v>3</v>
      </c>
      <c r="J25" s="123">
        <v>0.3</v>
      </c>
      <c r="K25" s="141">
        <f t="shared" si="3"/>
        <v>0.3</v>
      </c>
      <c r="L25" t="str">
        <f t="shared" si="4"/>
        <v>15 0.3 b</v>
      </c>
      <c r="M25" s="182">
        <f>ROUND(VLOOKUP(H25,[5]Sheet2!$Q$4:$T$34,4,FALSE),0)</f>
        <v>27</v>
      </c>
      <c r="N25" t="str">
        <f t="shared" si="5"/>
        <v>27 0.3 b</v>
      </c>
    </row>
    <row r="26" spans="1:14" x14ac:dyDescent="0.3">
      <c r="A26" s="119">
        <v>28</v>
      </c>
      <c r="B26" s="119">
        <f>VLOOKUP(A26,[5]Sheet1!$A$4:$C$34,3,FALSE)</f>
        <v>20</v>
      </c>
      <c r="C26" s="123">
        <v>1</v>
      </c>
      <c r="D26" s="141">
        <f t="shared" si="0"/>
        <v>1</v>
      </c>
      <c r="E26" s="182">
        <f>ROUND(VLOOKUP(A26,[5]Sheet2!$Q$4:$T$34,4,FALSE),0)</f>
        <v>26</v>
      </c>
      <c r="F26" t="str">
        <f t="shared" si="1"/>
        <v>28 1 a</v>
      </c>
      <c r="G26" t="str">
        <f t="shared" si="2"/>
        <v>26 1 a</v>
      </c>
      <c r="H26" s="119">
        <v>25</v>
      </c>
      <c r="I26" s="119">
        <f>VLOOKUP(H26,[5]Sheet1!$A$4:$C$34,3,FALSE)</f>
        <v>24</v>
      </c>
      <c r="J26" s="123">
        <v>2.4</v>
      </c>
      <c r="K26" s="141">
        <f t="shared" si="3"/>
        <v>1.1000000000000001</v>
      </c>
      <c r="L26" t="str">
        <f t="shared" si="4"/>
        <v>25 1.1 b</v>
      </c>
      <c r="M26" s="182">
        <f>ROUND(VLOOKUP(H26,[5]Sheet2!$Q$4:$T$34,4,FALSE),0)</f>
        <v>25</v>
      </c>
      <c r="N26" t="str">
        <f t="shared" si="5"/>
        <v>25 1.1 b</v>
      </c>
    </row>
    <row r="27" spans="1:14" x14ac:dyDescent="0.3">
      <c r="A27" s="119">
        <v>9</v>
      </c>
      <c r="B27" s="119">
        <f>VLOOKUP(A27,[5]Sheet1!$A$4:$C$34,3,FALSE)</f>
        <v>6</v>
      </c>
      <c r="C27" s="123">
        <v>0.8571428571428571</v>
      </c>
      <c r="D27" s="141">
        <f t="shared" si="0"/>
        <v>0.86</v>
      </c>
      <c r="E27" s="182">
        <f>ROUND(VLOOKUP(A27,[5]Sheet2!$Q$4:$T$34,4,FALSE),0)</f>
        <v>86</v>
      </c>
      <c r="F27" t="str">
        <f t="shared" si="1"/>
        <v>9 0.86 a</v>
      </c>
      <c r="G27" t="str">
        <f t="shared" si="2"/>
        <v>86 0.86 a</v>
      </c>
      <c r="H27" s="119">
        <v>7</v>
      </c>
      <c r="I27" s="119">
        <f>VLOOKUP(H27,[5]Sheet1!$A$4:$C$34,3,FALSE)</f>
        <v>12</v>
      </c>
      <c r="J27" s="123">
        <v>1.2</v>
      </c>
      <c r="K27" s="141">
        <f t="shared" si="3"/>
        <v>1.1000000000000001</v>
      </c>
      <c r="L27" t="str">
        <f t="shared" si="4"/>
        <v>7 1.1 b</v>
      </c>
      <c r="M27" s="182">
        <f>ROUND(VLOOKUP(H27,[5]Sheet2!$Q$4:$T$34,4,FALSE),0)</f>
        <v>52</v>
      </c>
      <c r="N27" t="str">
        <f t="shared" si="5"/>
        <v>52 1.1 b</v>
      </c>
    </row>
    <row r="28" spans="1:14" x14ac:dyDescent="0.3">
      <c r="A28" s="119">
        <v>19</v>
      </c>
      <c r="B28" s="119">
        <f>VLOOKUP(A28,[5]Sheet1!$A$4:$C$34,3,FALSE)</f>
        <v>1</v>
      </c>
      <c r="C28" s="123">
        <v>0.14285714285714285</v>
      </c>
      <c r="D28" s="141">
        <f t="shared" si="0"/>
        <v>0.14000000000000001</v>
      </c>
      <c r="E28" s="182">
        <f>ROUND(VLOOKUP(A28,[5]Sheet2!$Q$4:$T$34,4,FALSE),0)</f>
        <v>77</v>
      </c>
      <c r="F28" t="str">
        <f t="shared" si="1"/>
        <v>19 0.14 a</v>
      </c>
      <c r="G28" t="str">
        <f t="shared" si="2"/>
        <v>77 0.14 a</v>
      </c>
      <c r="H28" s="119">
        <v>3</v>
      </c>
      <c r="I28" s="119">
        <f>VLOOKUP(H28,[5]Sheet1!$A$4:$C$34,3,FALSE)</f>
        <v>21</v>
      </c>
      <c r="J28" s="123">
        <v>2.1</v>
      </c>
      <c r="K28" s="141">
        <f t="shared" si="3"/>
        <v>1.1000000000000001</v>
      </c>
      <c r="L28" t="str">
        <f t="shared" si="4"/>
        <v>3 1.1 b</v>
      </c>
      <c r="M28" s="182">
        <f>ROUND(VLOOKUP(H28,[5]Sheet2!$Q$4:$T$34,4,FALSE),0)</f>
        <v>78</v>
      </c>
      <c r="N28" t="str">
        <f t="shared" si="5"/>
        <v>78 1.1 b</v>
      </c>
    </row>
    <row r="29" spans="1:14" x14ac:dyDescent="0.3">
      <c r="A29" s="119">
        <v>15</v>
      </c>
      <c r="B29" s="119">
        <f>VLOOKUP(A29,[5]Sheet1!$A$4:$C$34,3,FALSE)</f>
        <v>3</v>
      </c>
      <c r="C29" s="123">
        <v>0.75</v>
      </c>
      <c r="D29" s="141">
        <f t="shared" si="0"/>
        <v>0.75</v>
      </c>
      <c r="E29" s="182">
        <f>ROUND(VLOOKUP(A29,[5]Sheet2!$Q$4:$T$34,4,FALSE),0)</f>
        <v>27</v>
      </c>
      <c r="F29" t="str">
        <f t="shared" si="1"/>
        <v>15 0.75 a</v>
      </c>
      <c r="G29" t="str">
        <f t="shared" si="2"/>
        <v>27 0.75 a</v>
      </c>
      <c r="H29" s="119">
        <v>24</v>
      </c>
      <c r="I29" s="119">
        <f>VLOOKUP(H29,[5]Sheet1!$A$4:$C$34,3,FALSE)</f>
        <v>8</v>
      </c>
      <c r="J29" s="123">
        <v>0.8</v>
      </c>
      <c r="K29" s="141">
        <f t="shared" si="3"/>
        <v>0.8</v>
      </c>
      <c r="L29" t="str">
        <f t="shared" si="4"/>
        <v>24 0.8 b</v>
      </c>
      <c r="M29" s="182">
        <f>ROUND(VLOOKUP(H29,[5]Sheet2!$Q$4:$T$34,4,FALSE),0)</f>
        <v>78</v>
      </c>
      <c r="N29" t="str">
        <f t="shared" si="5"/>
        <v>78 0.8 b</v>
      </c>
    </row>
    <row r="30" spans="1:14" x14ac:dyDescent="0.3">
      <c r="A30" s="119">
        <v>22</v>
      </c>
      <c r="B30" s="119">
        <f>VLOOKUP(A30,[5]Sheet1!$A$4:$C$34,3,FALSE)</f>
        <v>12</v>
      </c>
      <c r="C30" s="123">
        <v>1</v>
      </c>
      <c r="D30" s="141">
        <f t="shared" si="0"/>
        <v>1</v>
      </c>
      <c r="E30" s="182">
        <f>ROUND(VLOOKUP(A30,[5]Sheet2!$Q$4:$T$34,4,FALSE),0)</f>
        <v>64</v>
      </c>
      <c r="F30" t="str">
        <f t="shared" si="1"/>
        <v>22 1 a</v>
      </c>
      <c r="G30" t="str">
        <f t="shared" si="2"/>
        <v>64 1 a</v>
      </c>
      <c r="H30" s="119">
        <v>22</v>
      </c>
      <c r="I30" s="119">
        <f>VLOOKUP(H30,[5]Sheet1!$A$4:$C$34,3,FALSE)</f>
        <v>12</v>
      </c>
      <c r="J30" s="123">
        <v>1.0909090909090908</v>
      </c>
      <c r="K30" s="141">
        <f t="shared" si="3"/>
        <v>1.0900000000000001</v>
      </c>
      <c r="L30" t="str">
        <f t="shared" si="4"/>
        <v>22 1.09 b</v>
      </c>
      <c r="M30" s="182">
        <f>ROUND(VLOOKUP(H30,[5]Sheet2!$Q$4:$T$34,4,FALSE),0)</f>
        <v>64</v>
      </c>
      <c r="N30" t="str">
        <f t="shared" si="5"/>
        <v>64 1.09 b</v>
      </c>
    </row>
    <row r="31" spans="1:14" x14ac:dyDescent="0.3">
      <c r="A31" s="119">
        <v>21</v>
      </c>
      <c r="B31" s="119">
        <f>VLOOKUP(A31,[5]Sheet1!$A$4:$C$34,3,FALSE)</f>
        <v>8</v>
      </c>
      <c r="C31" s="123">
        <v>0.5714285714285714</v>
      </c>
      <c r="D31" s="141">
        <f t="shared" si="0"/>
        <v>0.56999999999999995</v>
      </c>
      <c r="E31" s="182">
        <f>ROUND(VLOOKUP(A31,[5]Sheet2!$Q$4:$T$34,4,FALSE),0)</f>
        <v>36</v>
      </c>
      <c r="F31" t="str">
        <f t="shared" si="1"/>
        <v>21 0.57 a</v>
      </c>
      <c r="G31" t="str">
        <f t="shared" si="2"/>
        <v>36 0.57 a</v>
      </c>
      <c r="H31" s="119">
        <v>20</v>
      </c>
      <c r="I31" s="119">
        <f>VLOOKUP(H31,[5]Sheet1!$A$4:$C$34,3,FALSE)</f>
        <v>24</v>
      </c>
      <c r="J31" s="123">
        <v>2.1818181818181817</v>
      </c>
      <c r="K31" s="141">
        <f t="shared" si="3"/>
        <v>1.1000000000000001</v>
      </c>
      <c r="L31" t="str">
        <f t="shared" si="4"/>
        <v>20 1.1 b</v>
      </c>
      <c r="M31" s="182">
        <f>ROUND(VLOOKUP(H31,[5]Sheet2!$Q$4:$T$34,4,FALSE),0)</f>
        <v>74</v>
      </c>
      <c r="N31" t="str">
        <f t="shared" si="5"/>
        <v>74 1.1 b</v>
      </c>
    </row>
    <row r="32" spans="1:14" x14ac:dyDescent="0.3">
      <c r="A32" s="119">
        <v>24</v>
      </c>
      <c r="B32" s="119">
        <f>VLOOKUP(A32,[5]Sheet1!$A$4:$C$34,3,FALSE)</f>
        <v>8</v>
      </c>
      <c r="C32" s="123">
        <v>0.88888888888888884</v>
      </c>
      <c r="D32" s="141">
        <f t="shared" si="0"/>
        <v>0.89</v>
      </c>
      <c r="E32" s="182">
        <f>ROUND(VLOOKUP(A32,[5]Sheet2!$Q$4:$T$34,4,FALSE),0)</f>
        <v>78</v>
      </c>
      <c r="F32" t="str">
        <f t="shared" si="1"/>
        <v>24 0.89 a</v>
      </c>
      <c r="G32" t="str">
        <f t="shared" si="2"/>
        <v>78 0.89 a</v>
      </c>
      <c r="H32" s="119">
        <v>18</v>
      </c>
      <c r="I32" s="119">
        <f>VLOOKUP(H32,[5]Sheet1!$A$4:$C$34,3,FALSE)</f>
        <v>19</v>
      </c>
      <c r="J32" s="123">
        <v>1.7272727272727273</v>
      </c>
      <c r="K32" s="141">
        <f t="shared" si="3"/>
        <v>1.1000000000000001</v>
      </c>
      <c r="L32" t="str">
        <f t="shared" si="4"/>
        <v>18 1.1 b</v>
      </c>
      <c r="M32" s="182">
        <f>ROUND(VLOOKUP(H32,[5]Sheet2!$Q$4:$T$34,4,FALSE),0)</f>
        <v>75</v>
      </c>
      <c r="N32" t="str">
        <f t="shared" si="5"/>
        <v>75 1.1 b</v>
      </c>
    </row>
    <row r="33" spans="1:14" x14ac:dyDescent="0.3">
      <c r="A33" s="119">
        <v>12</v>
      </c>
      <c r="B33" s="119">
        <f>VLOOKUP(A33,[5]Sheet1!$A$4:$C$34,3,FALSE)</f>
        <v>14</v>
      </c>
      <c r="C33" s="123">
        <v>1</v>
      </c>
      <c r="D33" s="141">
        <f t="shared" si="0"/>
        <v>1</v>
      </c>
      <c r="E33" s="182">
        <f>ROUND(VLOOKUP(A33,[5]Sheet2!$Q$4:$T$34,4,FALSE),0)</f>
        <v>101</v>
      </c>
      <c r="F33" t="str">
        <f t="shared" si="1"/>
        <v>12 1 a</v>
      </c>
      <c r="G33" t="str">
        <f t="shared" si="2"/>
        <v>101 1 a</v>
      </c>
      <c r="H33" s="119">
        <v>28</v>
      </c>
      <c r="I33" s="119">
        <f>VLOOKUP(H33,[5]Sheet1!$A$4:$C$34,3,FALSE)</f>
        <v>20</v>
      </c>
      <c r="J33" s="123">
        <v>0.7407407407407407</v>
      </c>
      <c r="K33" s="141">
        <f t="shared" si="3"/>
        <v>0.74</v>
      </c>
      <c r="L33" t="str">
        <f t="shared" si="4"/>
        <v>28 0.74 b</v>
      </c>
      <c r="M33" s="182">
        <f>ROUND(VLOOKUP(H33,[5]Sheet2!$Q$4:$T$34,4,FALSE),0)</f>
        <v>26</v>
      </c>
      <c r="N33" t="str">
        <f t="shared" si="5"/>
        <v>26 0.74 b</v>
      </c>
    </row>
    <row r="34" spans="1:14" x14ac:dyDescent="0.3">
      <c r="A34" s="119">
        <v>30</v>
      </c>
      <c r="B34" s="119">
        <f>VLOOKUP(A34,[5]Sheet1!$A$4:$C$34,3,FALSE)</f>
        <v>2</v>
      </c>
      <c r="C34" s="123">
        <v>0.5</v>
      </c>
      <c r="D34" s="141">
        <f t="shared" si="0"/>
        <v>0.5</v>
      </c>
      <c r="E34" s="182">
        <f>ROUND(VLOOKUP(A34,[5]Sheet2!$Q$4:$T$34,4,FALSE),0)</f>
        <v>62</v>
      </c>
      <c r="F34" t="str">
        <f t="shared" si="1"/>
        <v>30 0.5 a</v>
      </c>
      <c r="G34" t="str">
        <f t="shared" si="2"/>
        <v>62 0.5 a</v>
      </c>
      <c r="H34" s="119">
        <v>16</v>
      </c>
      <c r="I34" s="119">
        <f>VLOOKUP(H34,[5]Sheet1!$A$4:$C$34,3,FALSE)</f>
        <v>22</v>
      </c>
      <c r="J34" s="123">
        <v>0.81481481481481477</v>
      </c>
      <c r="K34" s="141">
        <f t="shared" si="3"/>
        <v>0.81</v>
      </c>
      <c r="L34" t="str">
        <f t="shared" si="4"/>
        <v>16 0.81 b</v>
      </c>
      <c r="M34" s="182">
        <f>ROUND(VLOOKUP(H34,[5]Sheet2!$Q$4:$T$34,4,FALSE),0)</f>
        <v>82</v>
      </c>
      <c r="N34" t="str">
        <f t="shared" si="5"/>
        <v>82 0.81 b</v>
      </c>
    </row>
    <row r="35" spans="1:14" x14ac:dyDescent="0.3">
      <c r="A35" s="119">
        <v>19</v>
      </c>
      <c r="B35" s="119">
        <f>VLOOKUP(A35,[5]Sheet1!$A$4:$C$34,3,FALSE)</f>
        <v>1</v>
      </c>
      <c r="C35" s="123">
        <v>0.25</v>
      </c>
      <c r="D35" s="141">
        <f t="shared" si="0"/>
        <v>0.25</v>
      </c>
      <c r="E35" s="182">
        <f>ROUND(VLOOKUP(A35,[5]Sheet2!$Q$4:$T$34,4,FALSE),0)</f>
        <v>77</v>
      </c>
      <c r="F35" t="str">
        <f t="shared" si="1"/>
        <v>19 0.25 a</v>
      </c>
      <c r="G35" t="str">
        <f t="shared" si="2"/>
        <v>77 0.25 a</v>
      </c>
      <c r="H35" s="119">
        <v>11</v>
      </c>
      <c r="I35" s="119">
        <f>VLOOKUP(H35,[5]Sheet1!$A$4:$C$34,3,FALSE)</f>
        <v>8</v>
      </c>
      <c r="J35" s="123">
        <v>0.29629629629629628</v>
      </c>
      <c r="K35" s="141">
        <f t="shared" si="3"/>
        <v>0.3</v>
      </c>
      <c r="L35" t="str">
        <f t="shared" si="4"/>
        <v>11 0.3 b</v>
      </c>
      <c r="M35" s="182">
        <f>ROUND(VLOOKUP(H35,[5]Sheet2!$Q$4:$T$34,4,FALSE),0)</f>
        <v>79</v>
      </c>
      <c r="N35" t="str">
        <f t="shared" si="5"/>
        <v>79 0.3 b</v>
      </c>
    </row>
    <row r="36" spans="1:14" x14ac:dyDescent="0.3">
      <c r="A36" s="119">
        <v>27</v>
      </c>
      <c r="B36" s="119">
        <f>VLOOKUP(A36,[5]Sheet1!$A$4:$C$34,3,FALSE)</f>
        <v>2</v>
      </c>
      <c r="C36" s="123">
        <v>0.5</v>
      </c>
      <c r="D36" s="141">
        <f t="shared" si="0"/>
        <v>0.5</v>
      </c>
      <c r="E36" s="182">
        <f>ROUND(VLOOKUP(A36,[5]Sheet2!$Q$4:$T$34,4,FALSE),0)</f>
        <v>21</v>
      </c>
      <c r="F36" t="str">
        <f t="shared" si="1"/>
        <v>27 0.5 a</v>
      </c>
      <c r="G36" t="str">
        <f t="shared" si="2"/>
        <v>21 0.5 a</v>
      </c>
      <c r="H36" s="119">
        <v>26</v>
      </c>
      <c r="I36" s="119">
        <f>VLOOKUP(H36,[5]Sheet1!$A$4:$C$34,3,FALSE)</f>
        <v>24</v>
      </c>
      <c r="J36" s="123">
        <v>0.88888888888888884</v>
      </c>
      <c r="K36" s="141">
        <f t="shared" si="3"/>
        <v>0.89</v>
      </c>
      <c r="L36" t="str">
        <f t="shared" si="4"/>
        <v>26 0.89 b</v>
      </c>
      <c r="M36" s="182">
        <f>ROUND(VLOOKUP(H36,[5]Sheet2!$Q$4:$T$34,4,FALSE),0)</f>
        <v>76</v>
      </c>
      <c r="N36" t="str">
        <f t="shared" si="5"/>
        <v>76 0.89 b</v>
      </c>
    </row>
    <row r="37" spans="1:14" x14ac:dyDescent="0.3">
      <c r="A37" s="119">
        <v>19</v>
      </c>
      <c r="B37" s="119">
        <f>VLOOKUP(A37,[5]Sheet1!$A$4:$C$34,3,FALSE)</f>
        <v>1</v>
      </c>
      <c r="C37" s="123">
        <v>9.0909090909090912E-2</v>
      </c>
      <c r="D37" s="141">
        <f t="shared" si="0"/>
        <v>0.09</v>
      </c>
      <c r="E37" s="182">
        <f>ROUND(VLOOKUP(A37,[5]Sheet2!$Q$4:$T$34,4,FALSE),0)</f>
        <v>77</v>
      </c>
      <c r="F37" t="str">
        <f t="shared" si="1"/>
        <v>19 0.09 a</v>
      </c>
      <c r="G37" t="str">
        <f t="shared" si="2"/>
        <v>77 0.09 a</v>
      </c>
      <c r="H37" s="119">
        <v>21</v>
      </c>
      <c r="I37" s="119">
        <f>VLOOKUP(H37,[5]Sheet1!$A$4:$C$34,3,FALSE)</f>
        <v>8</v>
      </c>
      <c r="J37" s="123">
        <v>0.29629629629629628</v>
      </c>
      <c r="K37" s="141">
        <f t="shared" si="3"/>
        <v>0.3</v>
      </c>
      <c r="L37" t="str">
        <f t="shared" si="4"/>
        <v>21 0.3 b</v>
      </c>
      <c r="M37" s="182">
        <f>ROUND(VLOOKUP(H37,[5]Sheet2!$Q$4:$T$34,4,FALSE),0)</f>
        <v>36</v>
      </c>
      <c r="N37" t="str">
        <f t="shared" si="5"/>
        <v>36 0.3 b</v>
      </c>
    </row>
    <row r="38" spans="1:14" x14ac:dyDescent="0.3">
      <c r="A38" s="119">
        <v>9</v>
      </c>
      <c r="B38" s="119">
        <f>VLOOKUP(A38,[5]Sheet1!$A$4:$C$34,3,FALSE)</f>
        <v>6</v>
      </c>
      <c r="C38" s="123">
        <v>0.54545454545454541</v>
      </c>
      <c r="D38" s="141">
        <f t="shared" si="0"/>
        <v>0.55000000000000004</v>
      </c>
      <c r="E38" s="182">
        <f>ROUND(VLOOKUP(A38,[5]Sheet2!$Q$4:$T$34,4,FALSE),0)</f>
        <v>86</v>
      </c>
      <c r="F38" t="str">
        <f t="shared" si="1"/>
        <v>9 0.55 a</v>
      </c>
      <c r="G38" t="str">
        <f t="shared" si="2"/>
        <v>86 0.55 a</v>
      </c>
      <c r="H38" s="119">
        <v>29</v>
      </c>
      <c r="I38" s="119">
        <f>VLOOKUP(H38,[5]Sheet1!$A$4:$C$34,3,FALSE)</f>
        <v>15</v>
      </c>
      <c r="J38" s="123">
        <v>15</v>
      </c>
      <c r="K38" s="141">
        <f t="shared" si="3"/>
        <v>1.1000000000000001</v>
      </c>
      <c r="L38" t="str">
        <f t="shared" si="4"/>
        <v>29 1.1 b</v>
      </c>
      <c r="M38" s="182">
        <f>ROUND(VLOOKUP(H38,[5]Sheet2!$Q$4:$T$34,4,FALSE),0)</f>
        <v>85</v>
      </c>
      <c r="N38" t="str">
        <f t="shared" si="5"/>
        <v>85 1.1 b</v>
      </c>
    </row>
    <row r="39" spans="1:14" x14ac:dyDescent="0.3">
      <c r="A39" s="119">
        <v>30</v>
      </c>
      <c r="B39" s="119">
        <f>VLOOKUP(A39,[5]Sheet1!$A$4:$C$34,3,FALSE)</f>
        <v>2</v>
      </c>
      <c r="C39" s="123">
        <v>0.4</v>
      </c>
      <c r="D39" s="141">
        <f t="shared" si="0"/>
        <v>0.4</v>
      </c>
      <c r="E39" s="182">
        <f>ROUND(VLOOKUP(A39,[5]Sheet2!$Q$4:$T$34,4,FALSE),0)</f>
        <v>62</v>
      </c>
      <c r="F39" t="str">
        <f t="shared" si="1"/>
        <v>30 0.4 a</v>
      </c>
      <c r="G39" t="str">
        <f t="shared" si="2"/>
        <v>62 0.4 a</v>
      </c>
      <c r="H39" s="119">
        <v>5</v>
      </c>
      <c r="I39" s="119">
        <f>VLOOKUP(H39,[5]Sheet1!$A$4:$C$34,3,FALSE)</f>
        <v>19</v>
      </c>
      <c r="J39" s="123">
        <v>19</v>
      </c>
      <c r="K39" s="141">
        <f t="shared" si="3"/>
        <v>1.1000000000000001</v>
      </c>
      <c r="L39" t="str">
        <f t="shared" si="4"/>
        <v>5 1.1 b</v>
      </c>
      <c r="M39" s="182">
        <f>ROUND(VLOOKUP(H39,[5]Sheet2!$Q$4:$T$34,4,FALSE),0)</f>
        <v>98</v>
      </c>
      <c r="N39" t="str">
        <f t="shared" si="5"/>
        <v>98 1.1 b</v>
      </c>
    </row>
    <row r="40" spans="1:14" x14ac:dyDescent="0.3">
      <c r="A40" s="119">
        <v>23</v>
      </c>
      <c r="B40" s="119">
        <f>VLOOKUP(A40,[5]Sheet1!$A$4:$C$34,3,FALSE)</f>
        <v>4</v>
      </c>
      <c r="C40" s="123">
        <v>0.33333333333333331</v>
      </c>
      <c r="D40" s="141">
        <f t="shared" si="0"/>
        <v>0.33</v>
      </c>
      <c r="E40" s="182">
        <f>ROUND(VLOOKUP(A40,[5]Sheet2!$Q$4:$T$34,4,FALSE),0)</f>
        <v>84</v>
      </c>
      <c r="F40" t="str">
        <f t="shared" si="1"/>
        <v>23 0.33 a</v>
      </c>
      <c r="G40" t="str">
        <f t="shared" si="2"/>
        <v>84 0.33 a</v>
      </c>
      <c r="H40" s="119">
        <v>12</v>
      </c>
      <c r="I40" s="119">
        <f>VLOOKUP(H40,[5]Sheet1!$A$4:$C$34,3,FALSE)</f>
        <v>14</v>
      </c>
      <c r="J40" s="123">
        <v>14</v>
      </c>
      <c r="K40" s="141">
        <f t="shared" si="3"/>
        <v>1.1000000000000001</v>
      </c>
      <c r="L40" t="str">
        <f t="shared" si="4"/>
        <v>12 1.1 b</v>
      </c>
      <c r="M40" s="182">
        <f>ROUND(VLOOKUP(H40,[5]Sheet2!$Q$4:$T$34,4,FALSE),0)</f>
        <v>101</v>
      </c>
      <c r="N40" t="str">
        <f t="shared" si="5"/>
        <v>101 1.1 b</v>
      </c>
    </row>
    <row r="41" spans="1:14" x14ac:dyDescent="0.3">
      <c r="A41" s="119">
        <v>6</v>
      </c>
      <c r="B41" s="119">
        <f>VLOOKUP(A41,[5]Sheet1!$A$4:$C$34,3,FALSE)</f>
        <v>7</v>
      </c>
      <c r="C41" s="123">
        <v>0.58333333333333337</v>
      </c>
      <c r="D41" s="141">
        <f t="shared" si="0"/>
        <v>0.57999999999999996</v>
      </c>
      <c r="E41" s="182">
        <f>ROUND(VLOOKUP(A41,[5]Sheet2!$Q$4:$T$34,4,FALSE),0)</f>
        <v>55</v>
      </c>
      <c r="F41" t="str">
        <f t="shared" si="1"/>
        <v>6 0.58 a</v>
      </c>
      <c r="G41" t="str">
        <f t="shared" si="2"/>
        <v>55 0.58 a</v>
      </c>
      <c r="H41" s="119">
        <v>9</v>
      </c>
      <c r="I41" s="119">
        <f>VLOOKUP(H41,[5]Sheet1!$A$4:$C$34,3,FALSE)</f>
        <v>6</v>
      </c>
      <c r="J41" s="123">
        <v>6</v>
      </c>
      <c r="K41" s="141">
        <f t="shared" si="3"/>
        <v>1.1000000000000001</v>
      </c>
      <c r="L41" t="str">
        <f t="shared" si="4"/>
        <v>9 1.1 b</v>
      </c>
      <c r="M41" s="182">
        <f>ROUND(VLOOKUP(H41,[5]Sheet2!$Q$4:$T$34,4,FALSE),0)</f>
        <v>86</v>
      </c>
      <c r="N41" t="str">
        <f t="shared" si="5"/>
        <v>86 1.1 b</v>
      </c>
    </row>
    <row r="42" spans="1:14" x14ac:dyDescent="0.3">
      <c r="A42" s="119">
        <v>27</v>
      </c>
      <c r="B42" s="119">
        <f>VLOOKUP(A42,[5]Sheet1!$A$4:$C$34,3,FALSE)</f>
        <v>2</v>
      </c>
      <c r="C42" s="123">
        <v>0.15384615384615385</v>
      </c>
      <c r="D42" s="141">
        <f t="shared" si="0"/>
        <v>0.15</v>
      </c>
      <c r="E42" s="182">
        <f>ROUND(VLOOKUP(A42,[5]Sheet2!$Q$4:$T$34,4,FALSE),0)</f>
        <v>21</v>
      </c>
      <c r="F42" t="str">
        <f t="shared" si="1"/>
        <v>27 0.15 a</v>
      </c>
      <c r="G42" t="str">
        <f t="shared" si="2"/>
        <v>21 0.15 a</v>
      </c>
      <c r="H42" s="119">
        <v>31</v>
      </c>
      <c r="I42" s="119">
        <f>VLOOKUP(H42,[5]Sheet1!$A$4:$C$34,3,FALSE)</f>
        <v>14</v>
      </c>
      <c r="J42" s="123">
        <v>0.73684210526315785</v>
      </c>
      <c r="K42" s="141">
        <f t="shared" si="3"/>
        <v>0.74</v>
      </c>
      <c r="L42" t="str">
        <f t="shared" si="4"/>
        <v>31 0.74 b</v>
      </c>
      <c r="M42" s="182">
        <f>ROUND(VLOOKUP(H42,[5]Sheet2!$Q$4:$T$34,4,FALSE),0)</f>
        <v>16</v>
      </c>
      <c r="N42" t="str">
        <f t="shared" si="5"/>
        <v>16 0.74 b</v>
      </c>
    </row>
    <row r="43" spans="1:14" x14ac:dyDescent="0.3">
      <c r="A43" s="119">
        <v>32</v>
      </c>
      <c r="B43" s="119">
        <f>VLOOKUP(A43,[5]Sheet1!$A$4:$C$34,3,FALSE)</f>
        <v>9</v>
      </c>
      <c r="C43" s="123">
        <v>0.69230769230769229</v>
      </c>
      <c r="D43" s="141">
        <f t="shared" si="0"/>
        <v>0.69</v>
      </c>
      <c r="E43" s="182">
        <f>ROUND(VLOOKUP(A43,[5]Sheet2!$Q$4:$T$34,4,FALSE),0)</f>
        <v>73</v>
      </c>
      <c r="F43" t="str">
        <f t="shared" si="1"/>
        <v>32 0.69 a</v>
      </c>
      <c r="G43" t="str">
        <f t="shared" si="2"/>
        <v>73 0.69 a</v>
      </c>
      <c r="H43" s="119">
        <v>17</v>
      </c>
      <c r="I43" s="119">
        <f>VLOOKUP(H43,[5]Sheet1!$A$4:$C$34,3,FALSE)</f>
        <v>18</v>
      </c>
      <c r="J43" s="123">
        <v>0.94736842105263153</v>
      </c>
      <c r="K43" s="141">
        <f t="shared" si="3"/>
        <v>0.95</v>
      </c>
      <c r="L43" t="str">
        <f t="shared" si="4"/>
        <v>17 0.95 b</v>
      </c>
      <c r="M43" s="182">
        <f>ROUND(VLOOKUP(H43,[5]Sheet2!$Q$4:$T$34,4,FALSE),0)</f>
        <v>26</v>
      </c>
      <c r="N43" t="str">
        <f t="shared" si="5"/>
        <v>26 0.95 b</v>
      </c>
    </row>
    <row r="44" spans="1:14" x14ac:dyDescent="0.3">
      <c r="A44" s="119">
        <v>28</v>
      </c>
      <c r="B44" s="119">
        <f>VLOOKUP(A44,[5]Sheet1!$A$4:$C$34,3,FALSE)</f>
        <v>20</v>
      </c>
      <c r="C44" s="123">
        <v>1</v>
      </c>
      <c r="D44" s="141">
        <f t="shared" si="0"/>
        <v>1</v>
      </c>
      <c r="E44" s="182">
        <f>ROUND(VLOOKUP(A44,[5]Sheet2!$Q$4:$T$34,4,FALSE),0)</f>
        <v>26</v>
      </c>
      <c r="F44" t="str">
        <f t="shared" si="1"/>
        <v>28 1 a</v>
      </c>
      <c r="G44" t="str">
        <f t="shared" si="2"/>
        <v>26 1 a</v>
      </c>
      <c r="H44" s="119">
        <v>13</v>
      </c>
      <c r="I44" s="119">
        <f>VLOOKUP(H44,[5]Sheet1!$A$4:$C$34,3,FALSE)</f>
        <v>21</v>
      </c>
      <c r="J44" s="123">
        <v>1.1052631578947369</v>
      </c>
      <c r="K44" s="141">
        <f t="shared" si="3"/>
        <v>1.1000000000000001</v>
      </c>
      <c r="L44" t="str">
        <f t="shared" si="4"/>
        <v>13 1.1 b</v>
      </c>
      <c r="M44" s="182">
        <f>ROUND(VLOOKUP(H44,[5]Sheet2!$Q$4:$T$34,4,FALSE),0)</f>
        <v>29</v>
      </c>
      <c r="N44" t="str">
        <f t="shared" si="5"/>
        <v>29 1.1 b</v>
      </c>
    </row>
    <row r="45" spans="1:14" x14ac:dyDescent="0.3">
      <c r="A45" s="119">
        <v>7</v>
      </c>
      <c r="B45" s="119">
        <f>VLOOKUP(A45,[5]Sheet1!$A$4:$C$34,3,FALSE)</f>
        <v>12</v>
      </c>
      <c r="C45" s="123">
        <v>1</v>
      </c>
      <c r="D45" s="141">
        <f t="shared" si="0"/>
        <v>1</v>
      </c>
      <c r="E45" s="182">
        <f>ROUND(VLOOKUP(A45,[5]Sheet2!$Q$4:$T$34,4,FALSE),0)</f>
        <v>52</v>
      </c>
      <c r="F45" t="str">
        <f t="shared" si="1"/>
        <v>7 1 a</v>
      </c>
      <c r="G45" t="str">
        <f t="shared" si="2"/>
        <v>52 1 a</v>
      </c>
      <c r="H45" s="119">
        <v>2</v>
      </c>
      <c r="I45" s="119">
        <f>VLOOKUP(H45,[5]Sheet1!$A$4:$C$34,3,FALSE)</f>
        <v>19</v>
      </c>
      <c r="J45" s="123">
        <v>1</v>
      </c>
      <c r="K45" s="141">
        <f t="shared" si="3"/>
        <v>1</v>
      </c>
      <c r="L45" t="str">
        <f t="shared" si="4"/>
        <v>2 1 b</v>
      </c>
      <c r="M45" s="182">
        <f>ROUND(VLOOKUP(H45,[5]Sheet2!$Q$4:$T$34,4,FALSE),0)</f>
        <v>35</v>
      </c>
      <c r="N45" t="str">
        <f t="shared" si="5"/>
        <v>35 1 b</v>
      </c>
    </row>
    <row r="46" spans="1:14" x14ac:dyDescent="0.3">
      <c r="A46" s="119">
        <v>31</v>
      </c>
      <c r="B46" s="119">
        <f>VLOOKUP(A46,[5]Sheet1!$A$4:$C$34,3,FALSE)</f>
        <v>14</v>
      </c>
      <c r="C46" s="123">
        <v>0.93333333333333335</v>
      </c>
      <c r="D46" s="141">
        <f t="shared" si="0"/>
        <v>0.93</v>
      </c>
      <c r="E46" s="182">
        <f>ROUND(VLOOKUP(A46,[5]Sheet2!$Q$4:$T$34,4,FALSE),0)</f>
        <v>16</v>
      </c>
      <c r="F46" t="str">
        <f t="shared" si="1"/>
        <v>31 0.93 a</v>
      </c>
      <c r="G46" t="str">
        <f t="shared" si="2"/>
        <v>16 0.93 a</v>
      </c>
      <c r="H46" s="119">
        <v>14</v>
      </c>
      <c r="I46" s="119">
        <f>VLOOKUP(H46,[5]Sheet1!$A$4:$C$34,3,FALSE)</f>
        <v>16</v>
      </c>
      <c r="J46" s="123">
        <v>0.84210526315789469</v>
      </c>
      <c r="K46" s="141">
        <f t="shared" si="3"/>
        <v>0.84</v>
      </c>
      <c r="L46" t="str">
        <f t="shared" si="4"/>
        <v>14 0.84 b</v>
      </c>
      <c r="M46" s="182">
        <f>ROUND(VLOOKUP(H46,[5]Sheet2!$Q$4:$T$34,4,FALSE),0)</f>
        <v>51</v>
      </c>
      <c r="N46" t="str">
        <f t="shared" si="5"/>
        <v>51 0.84 b</v>
      </c>
    </row>
    <row r="47" spans="1:14" x14ac:dyDescent="0.3">
      <c r="G47" t="str">
        <f t="shared" si="2"/>
        <v xml:space="preserve">  a</v>
      </c>
      <c r="H47" s="119">
        <v>18</v>
      </c>
      <c r="I47" s="119">
        <f>VLOOKUP(H47,[5]Sheet1!$A$4:$C$34,3,FALSE)</f>
        <v>19</v>
      </c>
      <c r="J47" s="123">
        <v>0.79166666666666663</v>
      </c>
      <c r="K47" s="141">
        <f t="shared" si="3"/>
        <v>0.79</v>
      </c>
      <c r="L47" t="str">
        <f t="shared" si="4"/>
        <v>18 0.79 b</v>
      </c>
      <c r="M47" s="182">
        <f>ROUND(VLOOKUP(H47,[5]Sheet2!$Q$4:$T$34,4,FALSE),0)</f>
        <v>75</v>
      </c>
      <c r="N47" t="str">
        <f t="shared" si="5"/>
        <v>75 0.79 b</v>
      </c>
    </row>
    <row r="48" spans="1:14" x14ac:dyDescent="0.3">
      <c r="G48" t="str">
        <f t="shared" si="2"/>
        <v xml:space="preserve">  a</v>
      </c>
      <c r="H48" s="119">
        <v>20</v>
      </c>
      <c r="I48" s="119">
        <f>VLOOKUP(H48,[5]Sheet1!$A$4:$C$34,3,FALSE)</f>
        <v>24</v>
      </c>
      <c r="J48" s="123">
        <v>1</v>
      </c>
      <c r="K48" s="141">
        <f t="shared" si="3"/>
        <v>1</v>
      </c>
      <c r="L48" t="str">
        <f t="shared" si="4"/>
        <v>20 1 b</v>
      </c>
      <c r="M48" s="182">
        <f>ROUND(VLOOKUP(H48,[5]Sheet2!$Q$4:$T$34,4,FALSE),0)</f>
        <v>74</v>
      </c>
      <c r="N48" t="str">
        <f t="shared" si="5"/>
        <v>74 1 b</v>
      </c>
    </row>
    <row r="49" spans="7:14" x14ac:dyDescent="0.3">
      <c r="G49" t="str">
        <f t="shared" si="2"/>
        <v xml:space="preserve">  a</v>
      </c>
      <c r="H49" s="119">
        <v>22</v>
      </c>
      <c r="I49" s="119">
        <f>VLOOKUP(H49,[5]Sheet1!$A$4:$C$34,3,FALSE)</f>
        <v>12</v>
      </c>
      <c r="J49" s="123">
        <v>0.5</v>
      </c>
      <c r="K49" s="141">
        <f t="shared" si="3"/>
        <v>0.5</v>
      </c>
      <c r="L49" t="str">
        <f t="shared" si="4"/>
        <v>22 0.5 b</v>
      </c>
      <c r="M49" s="182">
        <f>ROUND(VLOOKUP(H49,[5]Sheet2!$Q$4:$T$34,4,FALSE),0)</f>
        <v>64</v>
      </c>
      <c r="N49" t="str">
        <f t="shared" si="5"/>
        <v>64 0.5 b</v>
      </c>
    </row>
    <row r="50" spans="7:14" x14ac:dyDescent="0.3">
      <c r="G50" t="str">
        <f t="shared" si="2"/>
        <v xml:space="preserve">  a</v>
      </c>
      <c r="H50" s="119">
        <v>14</v>
      </c>
      <c r="I50" s="119">
        <f>VLOOKUP(H50,[5]Sheet1!$A$4:$C$34,3,FALSE)</f>
        <v>16</v>
      </c>
      <c r="J50" s="123">
        <v>0.66666666666666663</v>
      </c>
      <c r="K50" s="141">
        <f t="shared" si="3"/>
        <v>0.67</v>
      </c>
      <c r="L50" t="str">
        <f t="shared" si="4"/>
        <v>14 0.67 b</v>
      </c>
      <c r="M50" s="182">
        <f>ROUND(VLOOKUP(H50,[5]Sheet2!$Q$4:$T$34,4,FALSE),0)</f>
        <v>51</v>
      </c>
      <c r="N50" t="str">
        <f t="shared" si="5"/>
        <v>51 0.67 b</v>
      </c>
    </row>
    <row r="51" spans="7:14" x14ac:dyDescent="0.3">
      <c r="G51" t="str">
        <f t="shared" si="2"/>
        <v xml:space="preserve">  a</v>
      </c>
      <c r="H51" s="119">
        <v>12</v>
      </c>
      <c r="I51" s="119">
        <f>VLOOKUP(H51,[5]Sheet1!$A$4:$C$34,3,FALSE)</f>
        <v>14</v>
      </c>
      <c r="J51" s="123">
        <v>2.3333333333333335</v>
      </c>
      <c r="K51" s="141">
        <f t="shared" si="3"/>
        <v>1.1000000000000001</v>
      </c>
      <c r="L51" t="str">
        <f t="shared" si="4"/>
        <v>12 1.1 b</v>
      </c>
      <c r="M51" s="182">
        <f>ROUND(VLOOKUP(H51,[5]Sheet2!$Q$4:$T$34,4,FALSE),0)</f>
        <v>101</v>
      </c>
      <c r="N51" t="str">
        <f t="shared" si="5"/>
        <v>101 1.1 b</v>
      </c>
    </row>
    <row r="52" spans="7:14" x14ac:dyDescent="0.3">
      <c r="G52" t="str">
        <f t="shared" si="2"/>
        <v xml:space="preserve">  a</v>
      </c>
      <c r="H52" s="119">
        <v>5</v>
      </c>
      <c r="I52" s="119">
        <f>VLOOKUP(H52,[5]Sheet1!$A$4:$C$34,3,FALSE)</f>
        <v>19</v>
      </c>
      <c r="J52" s="123">
        <v>3.1666666666666665</v>
      </c>
      <c r="K52" s="141">
        <f t="shared" si="3"/>
        <v>1.1000000000000001</v>
      </c>
      <c r="L52" t="str">
        <f t="shared" si="4"/>
        <v>5 1.1 b</v>
      </c>
      <c r="M52" s="182">
        <f>ROUND(VLOOKUP(H52,[5]Sheet2!$Q$4:$T$34,4,FALSE),0)</f>
        <v>98</v>
      </c>
      <c r="N52" t="str">
        <f t="shared" si="5"/>
        <v>98 1.1 b</v>
      </c>
    </row>
    <row r="53" spans="7:14" x14ac:dyDescent="0.3">
      <c r="G53" t="str">
        <f t="shared" si="2"/>
        <v xml:space="preserve">  a</v>
      </c>
      <c r="H53" s="119">
        <v>29</v>
      </c>
      <c r="I53" s="119">
        <f>VLOOKUP(H53,[5]Sheet1!$A$4:$C$34,3,FALSE)</f>
        <v>15</v>
      </c>
      <c r="J53" s="123">
        <v>2.5</v>
      </c>
      <c r="K53" s="141">
        <f t="shared" si="3"/>
        <v>1.1000000000000001</v>
      </c>
      <c r="L53" t="str">
        <f t="shared" si="4"/>
        <v>29 1.1 b</v>
      </c>
      <c r="M53" s="182">
        <f>ROUND(VLOOKUP(H53,[5]Sheet2!$Q$4:$T$34,4,FALSE),0)</f>
        <v>85</v>
      </c>
      <c r="N53" t="str">
        <f t="shared" si="5"/>
        <v>85 1.1 b</v>
      </c>
    </row>
    <row r="54" spans="7:14" x14ac:dyDescent="0.3">
      <c r="G54" t="str">
        <f t="shared" si="2"/>
        <v xml:space="preserve">  a</v>
      </c>
      <c r="H54" s="119">
        <v>24</v>
      </c>
      <c r="I54" s="119">
        <f>VLOOKUP(H54,[5]Sheet1!$A$4:$C$34,3,FALSE)</f>
        <v>8</v>
      </c>
      <c r="J54" s="123">
        <v>1.3333333333333333</v>
      </c>
      <c r="K54" s="141">
        <f t="shared" si="3"/>
        <v>1.1000000000000001</v>
      </c>
      <c r="L54" t="str">
        <f t="shared" si="4"/>
        <v>24 1.1 b</v>
      </c>
      <c r="M54" s="182">
        <f>ROUND(VLOOKUP(H54,[5]Sheet2!$Q$4:$T$34,4,FALSE),0)</f>
        <v>78</v>
      </c>
      <c r="N54" t="str">
        <f t="shared" si="5"/>
        <v>78 1.1 b</v>
      </c>
    </row>
    <row r="55" spans="7:14" x14ac:dyDescent="0.3">
      <c r="G55" t="str">
        <f t="shared" si="2"/>
        <v xml:space="preserve">  a</v>
      </c>
      <c r="H55" s="119">
        <v>3</v>
      </c>
      <c r="I55" s="119">
        <f>VLOOKUP(H55,[5]Sheet1!$A$4:$C$34,3,FALSE)</f>
        <v>21</v>
      </c>
      <c r="J55" s="123">
        <v>3.5</v>
      </c>
      <c r="K55" s="141">
        <f t="shared" si="3"/>
        <v>1.1000000000000001</v>
      </c>
      <c r="L55" t="str">
        <f t="shared" si="4"/>
        <v>3 1.1 b</v>
      </c>
      <c r="M55" s="182">
        <f>ROUND(VLOOKUP(H55,[5]Sheet2!$Q$4:$T$34,4,FALSE),0)</f>
        <v>78</v>
      </c>
      <c r="N55" t="str">
        <f t="shared" si="5"/>
        <v>78 1.1 b</v>
      </c>
    </row>
    <row r="56" spans="7:14" x14ac:dyDescent="0.3">
      <c r="G56" t="str">
        <f t="shared" si="2"/>
        <v xml:space="preserve">  a</v>
      </c>
      <c r="H56" s="119">
        <v>13</v>
      </c>
      <c r="I56" s="119">
        <f>VLOOKUP(H56,[5]Sheet1!$A$4:$C$34,3,FALSE)</f>
        <v>21</v>
      </c>
      <c r="J56" s="123">
        <v>0.95454545454545459</v>
      </c>
      <c r="K56" s="141">
        <f t="shared" si="3"/>
        <v>0.95</v>
      </c>
      <c r="L56" t="str">
        <f t="shared" si="4"/>
        <v>13 0.95 b</v>
      </c>
      <c r="M56" s="182">
        <f>ROUND(VLOOKUP(H56,[5]Sheet2!$Q$4:$T$34,4,FALSE),0)</f>
        <v>29</v>
      </c>
      <c r="N56" t="str">
        <f t="shared" si="5"/>
        <v>29 0.95 b</v>
      </c>
    </row>
    <row r="57" spans="7:14" x14ac:dyDescent="0.3">
      <c r="G57" t="str">
        <f t="shared" si="2"/>
        <v xml:space="preserve">  a</v>
      </c>
      <c r="H57" s="119">
        <v>8</v>
      </c>
      <c r="I57" s="119">
        <f>VLOOKUP(H57,[5]Sheet1!$A$4:$C$34,3,FALSE)</f>
        <v>16</v>
      </c>
      <c r="J57" s="123">
        <v>0.72727272727272729</v>
      </c>
      <c r="K57" s="141">
        <f t="shared" si="3"/>
        <v>0.73</v>
      </c>
      <c r="L57" t="str">
        <f t="shared" si="4"/>
        <v>8 0.73 b</v>
      </c>
      <c r="M57" s="182">
        <f>ROUND(VLOOKUP(H57,[5]Sheet2!$Q$4:$T$34,4,FALSE),0)</f>
        <v>37</v>
      </c>
      <c r="N57" t="str">
        <f t="shared" si="5"/>
        <v>37 0.73 b</v>
      </c>
    </row>
    <row r="58" spans="7:14" x14ac:dyDescent="0.3">
      <c r="G58" t="str">
        <f t="shared" si="2"/>
        <v xml:space="preserve">  a</v>
      </c>
      <c r="H58" s="119">
        <v>25</v>
      </c>
      <c r="I58" s="119">
        <f>VLOOKUP(H58,[5]Sheet1!$A$4:$C$34,3,FALSE)</f>
        <v>24</v>
      </c>
      <c r="J58" s="123">
        <v>1.0909090909090908</v>
      </c>
      <c r="K58" s="141">
        <f t="shared" si="3"/>
        <v>1.0900000000000001</v>
      </c>
      <c r="L58" t="str">
        <f t="shared" si="4"/>
        <v>25 1.09 b</v>
      </c>
      <c r="M58" s="182">
        <f>ROUND(VLOOKUP(H58,[5]Sheet2!$Q$4:$T$34,4,FALSE),0)</f>
        <v>25</v>
      </c>
      <c r="N58" t="str">
        <f t="shared" si="5"/>
        <v>25 1.09 b</v>
      </c>
    </row>
    <row r="59" spans="7:14" x14ac:dyDescent="0.3">
      <c r="G59" t="str">
        <f t="shared" si="2"/>
        <v xml:space="preserve">  a</v>
      </c>
      <c r="H59" s="119">
        <v>6</v>
      </c>
      <c r="I59" s="119">
        <f>VLOOKUP(H59,[5]Sheet1!$A$4:$C$34,3,FALSE)</f>
        <v>7</v>
      </c>
      <c r="J59" s="123">
        <v>0.58333333333333337</v>
      </c>
      <c r="K59" s="141">
        <f t="shared" si="3"/>
        <v>0.57999999999999996</v>
      </c>
      <c r="L59" t="str">
        <f t="shared" si="4"/>
        <v>6 0.58 b</v>
      </c>
      <c r="M59" s="182">
        <f>ROUND(VLOOKUP(H59,[5]Sheet2!$Q$4:$T$34,4,FALSE),0)</f>
        <v>55</v>
      </c>
      <c r="N59" t="str">
        <f t="shared" si="5"/>
        <v>55 0.58 b</v>
      </c>
    </row>
    <row r="60" spans="7:14" x14ac:dyDescent="0.3">
      <c r="G60" t="str">
        <f t="shared" si="2"/>
        <v xml:space="preserve">  a</v>
      </c>
      <c r="H60" s="119">
        <v>26</v>
      </c>
      <c r="I60" s="119">
        <f>VLOOKUP(H60,[5]Sheet1!$A$4:$C$34,3,FALSE)</f>
        <v>24</v>
      </c>
      <c r="J60" s="123">
        <v>2</v>
      </c>
      <c r="K60" s="141">
        <f t="shared" si="3"/>
        <v>1.1000000000000001</v>
      </c>
      <c r="L60" t="str">
        <f t="shared" si="4"/>
        <v>26 1.1 b</v>
      </c>
      <c r="M60" s="182">
        <f>ROUND(VLOOKUP(H60,[5]Sheet2!$Q$4:$T$34,4,FALSE),0)</f>
        <v>76</v>
      </c>
      <c r="N60" t="str">
        <f t="shared" si="5"/>
        <v>76 1.1 b</v>
      </c>
    </row>
    <row r="61" spans="7:14" x14ac:dyDescent="0.3">
      <c r="G61" t="str">
        <f t="shared" si="2"/>
        <v xml:space="preserve">  a</v>
      </c>
      <c r="H61" s="119">
        <v>11</v>
      </c>
      <c r="I61" s="119">
        <f>VLOOKUP(H61,[5]Sheet1!$A$4:$C$34,3,FALSE)</f>
        <v>8</v>
      </c>
      <c r="J61" s="123">
        <v>0.66666666666666663</v>
      </c>
      <c r="K61" s="141">
        <f t="shared" si="3"/>
        <v>0.67</v>
      </c>
      <c r="L61" t="str">
        <f t="shared" si="4"/>
        <v>11 0.67 b</v>
      </c>
      <c r="M61" s="182">
        <f>ROUND(VLOOKUP(H61,[5]Sheet2!$Q$4:$T$34,4,FALSE),0)</f>
        <v>79</v>
      </c>
      <c r="N61" t="str">
        <f t="shared" si="5"/>
        <v>79 0.67 b</v>
      </c>
    </row>
    <row r="62" spans="7:14" x14ac:dyDescent="0.3">
      <c r="G62" t="str">
        <f t="shared" si="2"/>
        <v xml:space="preserve">  a</v>
      </c>
      <c r="H62" s="119">
        <v>16</v>
      </c>
      <c r="I62" s="119">
        <f>VLOOKUP(H62,[5]Sheet1!$A$4:$C$34,3,FALSE)</f>
        <v>22</v>
      </c>
      <c r="J62" s="123">
        <v>1.8333333333333333</v>
      </c>
      <c r="K62" s="141">
        <f t="shared" si="3"/>
        <v>1.1000000000000001</v>
      </c>
      <c r="L62" t="str">
        <f t="shared" si="4"/>
        <v>16 1.1 b</v>
      </c>
      <c r="M62" s="182">
        <f>ROUND(VLOOKUP(H62,[5]Sheet2!$Q$4:$T$34,4,FALSE),0)</f>
        <v>82</v>
      </c>
      <c r="N62" t="str">
        <f t="shared" si="5"/>
        <v>82 1.1 b</v>
      </c>
    </row>
    <row r="63" spans="7:14" x14ac:dyDescent="0.3">
      <c r="G63" t="str">
        <f t="shared" si="2"/>
        <v xml:space="preserve">  a</v>
      </c>
      <c r="H63" s="119">
        <v>30</v>
      </c>
      <c r="I63" s="119">
        <f>VLOOKUP(H63,[5]Sheet1!$A$4:$C$34,3,FALSE)</f>
        <v>2</v>
      </c>
      <c r="J63" s="123">
        <v>0.2857142857142857</v>
      </c>
      <c r="K63" s="141">
        <f t="shared" si="3"/>
        <v>0.28999999999999998</v>
      </c>
      <c r="L63" t="str">
        <f t="shared" si="4"/>
        <v>30 0.29 b</v>
      </c>
      <c r="M63" s="182">
        <f>ROUND(VLOOKUP(H63,[5]Sheet2!$Q$4:$T$34,4,FALSE),0)</f>
        <v>62</v>
      </c>
      <c r="N63" t="str">
        <f t="shared" si="5"/>
        <v>62 0.29 b</v>
      </c>
    </row>
    <row r="64" spans="7:14" x14ac:dyDescent="0.3">
      <c r="G64" t="str">
        <f t="shared" si="2"/>
        <v xml:space="preserve">  a</v>
      </c>
      <c r="H64" s="119">
        <v>23</v>
      </c>
      <c r="I64" s="119">
        <f>VLOOKUP(H64,[5]Sheet1!$A$4:$C$34,3,FALSE)</f>
        <v>4</v>
      </c>
      <c r="J64" s="123">
        <v>0.5714285714285714</v>
      </c>
      <c r="K64" s="141">
        <f t="shared" si="3"/>
        <v>0.56999999999999995</v>
      </c>
      <c r="L64" t="str">
        <f t="shared" si="4"/>
        <v>23 0.57 b</v>
      </c>
      <c r="M64" s="182">
        <f>ROUND(VLOOKUP(H64,[5]Sheet2!$Q$4:$T$34,4,FALSE),0)</f>
        <v>84</v>
      </c>
      <c r="N64" t="str">
        <f t="shared" si="5"/>
        <v>84 0.57 b</v>
      </c>
    </row>
    <row r="65" spans="7:14" x14ac:dyDescent="0.3">
      <c r="G65" t="str">
        <f t="shared" si="2"/>
        <v xml:space="preserve">  a</v>
      </c>
      <c r="H65" s="119">
        <v>10</v>
      </c>
      <c r="I65" s="119">
        <f>VLOOKUP(H65,[5]Sheet1!$A$4:$C$34,3,FALSE)</f>
        <v>16</v>
      </c>
      <c r="J65" s="123">
        <v>2.2857142857142856</v>
      </c>
      <c r="K65" s="141">
        <f t="shared" si="3"/>
        <v>1.1000000000000001</v>
      </c>
      <c r="L65" t="str">
        <f t="shared" si="4"/>
        <v>10 1.1 b</v>
      </c>
      <c r="M65" s="182">
        <f>ROUND(VLOOKUP(H65,[5]Sheet2!$Q$4:$T$34,4,FALSE),0)</f>
        <v>88</v>
      </c>
      <c r="N65" t="str">
        <f t="shared" si="5"/>
        <v>88 1.1 b</v>
      </c>
    </row>
    <row r="66" spans="7:14" x14ac:dyDescent="0.3">
      <c r="G66" t="str">
        <f t="shared" si="2"/>
        <v xml:space="preserve">  a</v>
      </c>
      <c r="H66" s="119">
        <v>31</v>
      </c>
      <c r="I66" s="119">
        <f>VLOOKUP(H66,[5]Sheet1!$A$4:$C$34,3,FALSE)</f>
        <v>14</v>
      </c>
      <c r="J66" s="123">
        <v>3.5</v>
      </c>
      <c r="K66" s="141">
        <f t="shared" si="3"/>
        <v>1.1000000000000001</v>
      </c>
      <c r="L66" t="str">
        <f t="shared" si="4"/>
        <v>31 1.1 b</v>
      </c>
      <c r="M66" s="182">
        <f>ROUND(VLOOKUP(H66,[5]Sheet2!$Q$4:$T$34,4,FALSE),0)</f>
        <v>16</v>
      </c>
      <c r="N66" t="str">
        <f t="shared" si="5"/>
        <v>16 1.1 b</v>
      </c>
    </row>
    <row r="67" spans="7:14" x14ac:dyDescent="0.3">
      <c r="G67" t="str">
        <f t="shared" si="2"/>
        <v xml:space="preserve">  a</v>
      </c>
      <c r="H67" s="119">
        <v>17</v>
      </c>
      <c r="I67" s="119">
        <f>VLOOKUP(H67,[5]Sheet1!$A$4:$C$34,3,FALSE)</f>
        <v>18</v>
      </c>
      <c r="J67" s="123">
        <v>4.5</v>
      </c>
      <c r="K67" s="141">
        <f t="shared" si="3"/>
        <v>1.1000000000000001</v>
      </c>
      <c r="L67" t="str">
        <f t="shared" si="4"/>
        <v>17 1.1 b</v>
      </c>
      <c r="M67" s="182">
        <f>ROUND(VLOOKUP(H67,[5]Sheet2!$Q$4:$T$34,4,FALSE),0)</f>
        <v>26</v>
      </c>
      <c r="N67" t="str">
        <f t="shared" si="5"/>
        <v>26 1.1 b</v>
      </c>
    </row>
    <row r="68" spans="7:14" x14ac:dyDescent="0.3">
      <c r="G68" t="str">
        <f t="shared" ref="G68:G113" si="6">E68&amp;" "&amp;D68&amp;" "&amp;"a"</f>
        <v xml:space="preserve">  a</v>
      </c>
      <c r="H68" s="119">
        <v>27</v>
      </c>
      <c r="I68" s="119">
        <f>VLOOKUP(H68,[5]Sheet1!$A$4:$C$34,3,FALSE)</f>
        <v>2</v>
      </c>
      <c r="J68" s="123">
        <v>0.5</v>
      </c>
      <c r="K68" s="141">
        <f t="shared" ref="K68:K113" si="7">ROUND(MIN(J68,1.1),2)</f>
        <v>0.5</v>
      </c>
      <c r="L68" t="str">
        <f t="shared" ref="L68:L113" si="8">H68&amp;" "&amp;K68&amp;" "&amp;"b"</f>
        <v>27 0.5 b</v>
      </c>
      <c r="M68" s="182">
        <f>ROUND(VLOOKUP(H68,[5]Sheet2!$Q$4:$T$34,4,FALSE),0)</f>
        <v>21</v>
      </c>
      <c r="N68" t="str">
        <f t="shared" ref="N68:N113" si="9">M68&amp;" "&amp;K68&amp;" "&amp;"b"</f>
        <v>21 0.5 b</v>
      </c>
    </row>
    <row r="69" spans="7:14" x14ac:dyDescent="0.3">
      <c r="G69" t="str">
        <f t="shared" si="6"/>
        <v xml:space="preserve">  a</v>
      </c>
      <c r="H69" s="119">
        <v>14</v>
      </c>
      <c r="I69" s="119">
        <f>VLOOKUP(H69,[5]Sheet1!$A$4:$C$34,3,FALSE)</f>
        <v>16</v>
      </c>
      <c r="J69" s="123">
        <v>1.3333333333333333</v>
      </c>
      <c r="K69" s="141">
        <f t="shared" si="7"/>
        <v>1.1000000000000001</v>
      </c>
      <c r="L69" t="str">
        <f t="shared" si="8"/>
        <v>14 1.1 b</v>
      </c>
      <c r="M69" s="182">
        <f>ROUND(VLOOKUP(H69,[5]Sheet2!$Q$4:$T$34,4,FALSE),0)</f>
        <v>51</v>
      </c>
      <c r="N69" t="str">
        <f t="shared" si="9"/>
        <v>51 1.1 b</v>
      </c>
    </row>
    <row r="70" spans="7:14" x14ac:dyDescent="0.3">
      <c r="G70" t="str">
        <f t="shared" si="6"/>
        <v xml:space="preserve">  a</v>
      </c>
      <c r="H70" s="119">
        <v>18</v>
      </c>
      <c r="I70" s="119">
        <f>VLOOKUP(H70,[5]Sheet1!$A$4:$C$34,3,FALSE)</f>
        <v>19</v>
      </c>
      <c r="J70" s="123">
        <v>1.5833333333333333</v>
      </c>
      <c r="K70" s="141">
        <f t="shared" si="7"/>
        <v>1.1000000000000001</v>
      </c>
      <c r="L70" t="str">
        <f t="shared" si="8"/>
        <v>18 1.1 b</v>
      </c>
      <c r="M70" s="182">
        <f>ROUND(VLOOKUP(H70,[5]Sheet2!$Q$4:$T$34,4,FALSE),0)</f>
        <v>75</v>
      </c>
      <c r="N70" t="str">
        <f t="shared" si="9"/>
        <v>75 1.1 b</v>
      </c>
    </row>
    <row r="71" spans="7:14" x14ac:dyDescent="0.3">
      <c r="G71" t="str">
        <f t="shared" si="6"/>
        <v xml:space="preserve">  a</v>
      </c>
      <c r="H71" s="119">
        <v>20</v>
      </c>
      <c r="I71" s="119">
        <f>VLOOKUP(H71,[5]Sheet1!$A$4:$C$34,3,FALSE)</f>
        <v>24</v>
      </c>
      <c r="J71" s="123">
        <v>2</v>
      </c>
      <c r="K71" s="141">
        <f t="shared" si="7"/>
        <v>1.1000000000000001</v>
      </c>
      <c r="L71" t="str">
        <f t="shared" si="8"/>
        <v>20 1.1 b</v>
      </c>
      <c r="M71" s="182">
        <f>ROUND(VLOOKUP(H71,[5]Sheet2!$Q$4:$T$34,4,FALSE),0)</f>
        <v>74</v>
      </c>
      <c r="N71" t="str">
        <f t="shared" si="9"/>
        <v>74 1.1 b</v>
      </c>
    </row>
    <row r="72" spans="7:14" x14ac:dyDescent="0.3">
      <c r="G72" t="str">
        <f t="shared" si="6"/>
        <v xml:space="preserve">  a</v>
      </c>
      <c r="H72" s="119">
        <v>32</v>
      </c>
      <c r="I72" s="119">
        <f>VLOOKUP(H72,[5]Sheet1!$A$4:$C$34,3,FALSE)</f>
        <v>9</v>
      </c>
      <c r="J72" s="123">
        <v>0.75</v>
      </c>
      <c r="K72" s="141">
        <f t="shared" si="7"/>
        <v>0.75</v>
      </c>
      <c r="L72" t="str">
        <f t="shared" si="8"/>
        <v>32 0.75 b</v>
      </c>
      <c r="M72" s="182">
        <f>ROUND(VLOOKUP(H72,[5]Sheet2!$Q$4:$T$34,4,FALSE),0)</f>
        <v>73</v>
      </c>
      <c r="N72" t="str">
        <f t="shared" si="9"/>
        <v>73 0.75 b</v>
      </c>
    </row>
    <row r="73" spans="7:14" x14ac:dyDescent="0.3">
      <c r="G73" t="str">
        <f t="shared" si="6"/>
        <v xml:space="preserve">  a</v>
      </c>
      <c r="H73" s="119">
        <v>2</v>
      </c>
      <c r="I73" s="119">
        <f>VLOOKUP(H73,[5]Sheet1!$A$4:$C$34,3,FALSE)</f>
        <v>19</v>
      </c>
      <c r="J73" s="123">
        <v>1.5833333333333333</v>
      </c>
      <c r="K73" s="141">
        <f t="shared" si="7"/>
        <v>1.1000000000000001</v>
      </c>
      <c r="L73" t="str">
        <f t="shared" si="8"/>
        <v>2 1.1 b</v>
      </c>
      <c r="M73" s="182">
        <f>ROUND(VLOOKUP(H73,[5]Sheet2!$Q$4:$T$34,4,FALSE),0)</f>
        <v>35</v>
      </c>
      <c r="N73" t="str">
        <f t="shared" si="9"/>
        <v>35 1.1 b</v>
      </c>
    </row>
    <row r="74" spans="7:14" x14ac:dyDescent="0.3">
      <c r="G74" t="str">
        <f t="shared" si="6"/>
        <v xml:space="preserve">  a</v>
      </c>
      <c r="H74" s="119">
        <v>13</v>
      </c>
      <c r="I74" s="119">
        <f>VLOOKUP(H74,[5]Sheet1!$A$4:$C$34,3,FALSE)</f>
        <v>21</v>
      </c>
      <c r="J74" s="123">
        <v>1.75</v>
      </c>
      <c r="K74" s="141">
        <f t="shared" si="7"/>
        <v>1.1000000000000001</v>
      </c>
      <c r="L74" t="str">
        <f t="shared" si="8"/>
        <v>13 1.1 b</v>
      </c>
      <c r="M74" s="182">
        <f>ROUND(VLOOKUP(H74,[5]Sheet2!$Q$4:$T$34,4,FALSE),0)</f>
        <v>29</v>
      </c>
      <c r="N74" t="str">
        <f t="shared" si="9"/>
        <v>29 1.1 b</v>
      </c>
    </row>
    <row r="75" spans="7:14" x14ac:dyDescent="0.3">
      <c r="G75" t="str">
        <f t="shared" si="6"/>
        <v xml:space="preserve">  a</v>
      </c>
      <c r="H75" s="119">
        <v>6</v>
      </c>
      <c r="I75" s="119">
        <f>VLOOKUP(H75,[5]Sheet1!$A$4:$C$34,3,FALSE)</f>
        <v>7</v>
      </c>
      <c r="J75" s="123">
        <v>0.5</v>
      </c>
      <c r="K75" s="141">
        <f t="shared" si="7"/>
        <v>0.5</v>
      </c>
      <c r="L75" t="str">
        <f t="shared" si="8"/>
        <v>6 0.5 b</v>
      </c>
      <c r="M75" s="182">
        <f>ROUND(VLOOKUP(H75,[5]Sheet2!$Q$4:$T$34,4,FALSE),0)</f>
        <v>55</v>
      </c>
      <c r="N75" t="str">
        <f t="shared" si="9"/>
        <v>55 0.5 b</v>
      </c>
    </row>
    <row r="76" spans="7:14" x14ac:dyDescent="0.3">
      <c r="G76" t="str">
        <f t="shared" si="6"/>
        <v xml:space="preserve">  a</v>
      </c>
      <c r="H76" s="119">
        <v>26</v>
      </c>
      <c r="I76" s="119">
        <f>VLOOKUP(H76,[5]Sheet1!$A$4:$C$34,3,FALSE)</f>
        <v>24</v>
      </c>
      <c r="J76" s="123">
        <v>1.7142857142857142</v>
      </c>
      <c r="K76" s="141">
        <f t="shared" si="7"/>
        <v>1.1000000000000001</v>
      </c>
      <c r="L76" t="str">
        <f t="shared" si="8"/>
        <v>26 1.1 b</v>
      </c>
      <c r="M76" s="182">
        <f>ROUND(VLOOKUP(H76,[5]Sheet2!$Q$4:$T$34,4,FALSE),0)</f>
        <v>76</v>
      </c>
      <c r="N76" t="str">
        <f t="shared" si="9"/>
        <v>76 1.1 b</v>
      </c>
    </row>
    <row r="77" spans="7:14" x14ac:dyDescent="0.3">
      <c r="G77" t="str">
        <f t="shared" si="6"/>
        <v xml:space="preserve">  a</v>
      </c>
      <c r="H77" s="119">
        <v>11</v>
      </c>
      <c r="I77" s="119">
        <f>VLOOKUP(H77,[5]Sheet1!$A$4:$C$34,3,FALSE)</f>
        <v>8</v>
      </c>
      <c r="J77" s="123">
        <v>0.5714285714285714</v>
      </c>
      <c r="K77" s="141">
        <f t="shared" si="7"/>
        <v>0.56999999999999995</v>
      </c>
      <c r="L77" t="str">
        <f t="shared" si="8"/>
        <v>11 0.57 b</v>
      </c>
      <c r="M77" s="182">
        <f>ROUND(VLOOKUP(H77,[5]Sheet2!$Q$4:$T$34,4,FALSE),0)</f>
        <v>79</v>
      </c>
      <c r="N77" t="str">
        <f t="shared" si="9"/>
        <v>79 0.57 b</v>
      </c>
    </row>
    <row r="78" spans="7:14" x14ac:dyDescent="0.3">
      <c r="G78" t="str">
        <f t="shared" si="6"/>
        <v xml:space="preserve">  a</v>
      </c>
      <c r="H78" s="119">
        <v>28</v>
      </c>
      <c r="I78" s="119">
        <f>VLOOKUP(H78,[5]Sheet1!$A$4:$C$34,3,FALSE)</f>
        <v>20</v>
      </c>
      <c r="J78" s="123">
        <v>2.2222222222222223</v>
      </c>
      <c r="K78" s="141">
        <f t="shared" si="7"/>
        <v>1.1000000000000001</v>
      </c>
      <c r="L78" t="str">
        <f t="shared" si="8"/>
        <v>28 1.1 b</v>
      </c>
      <c r="M78" s="182">
        <f>ROUND(VLOOKUP(H78,[5]Sheet2!$Q$4:$T$34,4,FALSE),0)</f>
        <v>26</v>
      </c>
      <c r="N78" t="str">
        <f t="shared" si="9"/>
        <v>26 1.1 b</v>
      </c>
    </row>
    <row r="79" spans="7:14" x14ac:dyDescent="0.3">
      <c r="G79" t="str">
        <f t="shared" si="6"/>
        <v xml:space="preserve">  a</v>
      </c>
      <c r="H79" s="119">
        <v>25</v>
      </c>
      <c r="I79" s="119">
        <f>VLOOKUP(H79,[5]Sheet1!$A$4:$C$34,3,FALSE)</f>
        <v>24</v>
      </c>
      <c r="J79" s="123">
        <v>2.6666666666666665</v>
      </c>
      <c r="K79" s="141">
        <f t="shared" si="7"/>
        <v>1.1000000000000001</v>
      </c>
      <c r="L79" t="str">
        <f t="shared" si="8"/>
        <v>25 1.1 b</v>
      </c>
      <c r="M79" s="182">
        <f>ROUND(VLOOKUP(H79,[5]Sheet2!$Q$4:$T$34,4,FALSE),0)</f>
        <v>25</v>
      </c>
      <c r="N79" t="str">
        <f t="shared" si="9"/>
        <v>25 1.1 b</v>
      </c>
    </row>
    <row r="80" spans="7:14" x14ac:dyDescent="0.3">
      <c r="G80" t="str">
        <f t="shared" si="6"/>
        <v xml:space="preserve">  a</v>
      </c>
      <c r="H80" s="119">
        <v>15</v>
      </c>
      <c r="I80" s="119">
        <f>VLOOKUP(H80,[5]Sheet1!$A$4:$C$34,3,FALSE)</f>
        <v>3</v>
      </c>
      <c r="J80" s="123">
        <v>0.33333333333333331</v>
      </c>
      <c r="K80" s="141">
        <f t="shared" si="7"/>
        <v>0.33</v>
      </c>
      <c r="L80" t="str">
        <f t="shared" si="8"/>
        <v>15 0.33 b</v>
      </c>
      <c r="M80" s="182">
        <f>ROUND(VLOOKUP(H80,[5]Sheet2!$Q$4:$T$34,4,FALSE),0)</f>
        <v>27</v>
      </c>
      <c r="N80" t="str">
        <f t="shared" si="9"/>
        <v>27 0.33 b</v>
      </c>
    </row>
    <row r="81" spans="7:14" x14ac:dyDescent="0.3">
      <c r="G81" t="str">
        <f t="shared" si="6"/>
        <v xml:space="preserve">  a</v>
      </c>
      <c r="H81" s="119">
        <v>7</v>
      </c>
      <c r="I81" s="119">
        <f>VLOOKUP(H81,[5]Sheet1!$A$4:$C$34,3,FALSE)</f>
        <v>12</v>
      </c>
      <c r="J81" s="123">
        <v>1.3333333333333333</v>
      </c>
      <c r="K81" s="141">
        <f t="shared" si="7"/>
        <v>1.1000000000000001</v>
      </c>
      <c r="L81" t="str">
        <f t="shared" si="8"/>
        <v>7 1.1 b</v>
      </c>
      <c r="M81" s="182">
        <f>ROUND(VLOOKUP(H81,[5]Sheet2!$Q$4:$T$34,4,FALSE),0)</f>
        <v>52</v>
      </c>
      <c r="N81" t="str">
        <f t="shared" si="9"/>
        <v>52 1.1 b</v>
      </c>
    </row>
    <row r="82" spans="7:14" x14ac:dyDescent="0.3">
      <c r="G82" t="str">
        <f t="shared" si="6"/>
        <v xml:space="preserve">  a</v>
      </c>
      <c r="H82" s="119">
        <v>4</v>
      </c>
      <c r="I82" s="119">
        <f>VLOOKUP(H82,[5]Sheet1!$A$4:$C$34,3,FALSE)</f>
        <v>6</v>
      </c>
      <c r="J82" s="123">
        <v>0.66666666666666663</v>
      </c>
      <c r="K82" s="141">
        <f t="shared" si="7"/>
        <v>0.67</v>
      </c>
      <c r="L82" t="str">
        <f t="shared" si="8"/>
        <v>4 0.67 b</v>
      </c>
      <c r="M82" s="182">
        <f>ROUND(VLOOKUP(H82,[5]Sheet2!$Q$4:$T$34,4,FALSE),0)</f>
        <v>76</v>
      </c>
      <c r="N82" t="str">
        <f t="shared" si="9"/>
        <v>76 0.67 b</v>
      </c>
    </row>
    <row r="83" spans="7:14" x14ac:dyDescent="0.3">
      <c r="G83" t="str">
        <f t="shared" si="6"/>
        <v xml:space="preserve">  a</v>
      </c>
      <c r="H83" s="119">
        <v>3</v>
      </c>
      <c r="I83" s="119">
        <f>VLOOKUP(H83,[5]Sheet1!$A$4:$C$34,3,FALSE)</f>
        <v>21</v>
      </c>
      <c r="J83" s="123">
        <v>2.3333333333333335</v>
      </c>
      <c r="K83" s="141">
        <f t="shared" si="7"/>
        <v>1.1000000000000001</v>
      </c>
      <c r="L83" t="str">
        <f t="shared" si="8"/>
        <v>3 1.1 b</v>
      </c>
      <c r="M83" s="182">
        <f>ROUND(VLOOKUP(H83,[5]Sheet2!$Q$4:$T$34,4,FALSE),0)</f>
        <v>78</v>
      </c>
      <c r="N83" t="str">
        <f t="shared" si="9"/>
        <v>78 1.1 b</v>
      </c>
    </row>
    <row r="84" spans="7:14" x14ac:dyDescent="0.3">
      <c r="G84" t="str">
        <f t="shared" si="6"/>
        <v xml:space="preserve">  a</v>
      </c>
      <c r="H84" s="119">
        <v>29</v>
      </c>
      <c r="I84" s="119">
        <f>VLOOKUP(H84,[5]Sheet1!$A$4:$C$34,3,FALSE)</f>
        <v>15</v>
      </c>
      <c r="J84" s="123">
        <v>1.0714285714285714</v>
      </c>
      <c r="K84" s="141">
        <f t="shared" si="7"/>
        <v>1.07</v>
      </c>
      <c r="L84" t="str">
        <f t="shared" si="8"/>
        <v>29 1.07 b</v>
      </c>
      <c r="M84" s="182">
        <f>ROUND(VLOOKUP(H84,[5]Sheet2!$Q$4:$T$34,4,FALSE),0)</f>
        <v>85</v>
      </c>
      <c r="N84" t="str">
        <f t="shared" si="9"/>
        <v>85 1.07 b</v>
      </c>
    </row>
    <row r="85" spans="7:14" x14ac:dyDescent="0.3">
      <c r="G85" t="str">
        <f t="shared" si="6"/>
        <v xml:space="preserve">  a</v>
      </c>
      <c r="H85" s="119">
        <v>5</v>
      </c>
      <c r="I85" s="119">
        <f>VLOOKUP(H85,[5]Sheet1!$A$4:$C$34,3,FALSE)</f>
        <v>19</v>
      </c>
      <c r="J85" s="123">
        <v>1.3571428571428572</v>
      </c>
      <c r="K85" s="141">
        <f t="shared" si="7"/>
        <v>1.1000000000000001</v>
      </c>
      <c r="L85" t="str">
        <f t="shared" si="8"/>
        <v>5 1.1 b</v>
      </c>
      <c r="M85" s="182">
        <f>ROUND(VLOOKUP(H85,[5]Sheet2!$Q$4:$T$34,4,FALSE),0)</f>
        <v>98</v>
      </c>
      <c r="N85" t="str">
        <f t="shared" si="9"/>
        <v>98 1.1 b</v>
      </c>
    </row>
    <row r="86" spans="7:14" x14ac:dyDescent="0.3">
      <c r="G86" t="str">
        <f t="shared" si="6"/>
        <v xml:space="preserve">  a</v>
      </c>
      <c r="H86" s="119">
        <v>9</v>
      </c>
      <c r="I86" s="119">
        <f>VLOOKUP(H86,[5]Sheet1!$A$4:$C$34,3,FALSE)</f>
        <v>6</v>
      </c>
      <c r="J86" s="123">
        <v>0.42857142857142855</v>
      </c>
      <c r="K86" s="141">
        <f t="shared" si="7"/>
        <v>0.43</v>
      </c>
      <c r="L86" t="str">
        <f t="shared" si="8"/>
        <v>9 0.43 b</v>
      </c>
      <c r="M86" s="182">
        <f>ROUND(VLOOKUP(H86,[5]Sheet2!$Q$4:$T$34,4,FALSE),0)</f>
        <v>86</v>
      </c>
      <c r="N86" t="str">
        <f t="shared" si="9"/>
        <v>86 0.43 b</v>
      </c>
    </row>
    <row r="87" spans="7:14" x14ac:dyDescent="0.3">
      <c r="G87" t="str">
        <f t="shared" si="6"/>
        <v xml:space="preserve">  a</v>
      </c>
      <c r="H87" s="119">
        <v>16</v>
      </c>
      <c r="I87" s="119">
        <f>VLOOKUP(H87,[5]Sheet1!$A$4:$C$34,3,FALSE)</f>
        <v>22</v>
      </c>
      <c r="J87" s="123">
        <v>5.5</v>
      </c>
      <c r="K87" s="141">
        <f t="shared" si="7"/>
        <v>1.1000000000000001</v>
      </c>
      <c r="L87" t="str">
        <f t="shared" si="8"/>
        <v>16 1.1 b</v>
      </c>
      <c r="M87" s="182">
        <f>ROUND(VLOOKUP(H87,[5]Sheet2!$Q$4:$T$34,4,FALSE),0)</f>
        <v>82</v>
      </c>
      <c r="N87" t="str">
        <f t="shared" si="9"/>
        <v>82 1.1 b</v>
      </c>
    </row>
    <row r="88" spans="7:14" x14ac:dyDescent="0.3">
      <c r="G88" t="str">
        <f t="shared" si="6"/>
        <v xml:space="preserve">  a</v>
      </c>
      <c r="H88" s="119">
        <v>23</v>
      </c>
      <c r="I88" s="119">
        <f>VLOOKUP(H88,[5]Sheet1!$A$4:$C$34,3,FALSE)</f>
        <v>4</v>
      </c>
      <c r="J88" s="123">
        <v>1</v>
      </c>
      <c r="K88" s="141">
        <f t="shared" si="7"/>
        <v>1</v>
      </c>
      <c r="L88" t="str">
        <f t="shared" si="8"/>
        <v>23 1 b</v>
      </c>
      <c r="M88" s="182">
        <f>ROUND(VLOOKUP(H88,[5]Sheet2!$Q$4:$T$34,4,FALSE),0)</f>
        <v>84</v>
      </c>
      <c r="N88" t="str">
        <f t="shared" si="9"/>
        <v>84 1 b</v>
      </c>
    </row>
    <row r="89" spans="7:14" x14ac:dyDescent="0.3">
      <c r="G89" t="str">
        <f t="shared" si="6"/>
        <v xml:space="preserve">  a</v>
      </c>
      <c r="H89" s="119">
        <v>10</v>
      </c>
      <c r="I89" s="119">
        <f>VLOOKUP(H89,[5]Sheet1!$A$4:$C$34,3,FALSE)</f>
        <v>16</v>
      </c>
      <c r="J89" s="123">
        <v>4</v>
      </c>
      <c r="K89" s="141">
        <f t="shared" si="7"/>
        <v>1.1000000000000001</v>
      </c>
      <c r="L89" t="str">
        <f t="shared" si="8"/>
        <v>10 1.1 b</v>
      </c>
      <c r="M89" s="182">
        <f>ROUND(VLOOKUP(H89,[5]Sheet2!$Q$4:$T$34,4,FALSE),0)</f>
        <v>88</v>
      </c>
      <c r="N89" t="str">
        <f t="shared" si="9"/>
        <v>88 1.1 b</v>
      </c>
    </row>
    <row r="90" spans="7:14" x14ac:dyDescent="0.3">
      <c r="G90" t="str">
        <f t="shared" si="6"/>
        <v xml:space="preserve">  a</v>
      </c>
      <c r="H90" s="119">
        <v>31</v>
      </c>
      <c r="I90" s="119">
        <f>VLOOKUP(H90,[5]Sheet1!$A$4:$C$34,3,FALSE)</f>
        <v>14</v>
      </c>
      <c r="J90" s="123">
        <v>3.5</v>
      </c>
      <c r="K90" s="141">
        <f t="shared" si="7"/>
        <v>1.1000000000000001</v>
      </c>
      <c r="L90" t="str">
        <f t="shared" si="8"/>
        <v>31 1.1 b</v>
      </c>
      <c r="M90" s="182">
        <f>ROUND(VLOOKUP(H90,[5]Sheet2!$Q$4:$T$34,4,FALSE),0)</f>
        <v>16</v>
      </c>
      <c r="N90" t="str">
        <f t="shared" si="9"/>
        <v>16 1.1 b</v>
      </c>
    </row>
    <row r="91" spans="7:14" x14ac:dyDescent="0.3">
      <c r="G91" t="str">
        <f t="shared" si="6"/>
        <v xml:space="preserve">  a</v>
      </c>
      <c r="H91" s="119">
        <v>17</v>
      </c>
      <c r="I91" s="119">
        <f>VLOOKUP(H91,[5]Sheet1!$A$4:$C$34,3,FALSE)</f>
        <v>18</v>
      </c>
      <c r="J91" s="123">
        <v>4.5</v>
      </c>
      <c r="K91" s="141">
        <f t="shared" si="7"/>
        <v>1.1000000000000001</v>
      </c>
      <c r="L91" t="str">
        <f t="shared" si="8"/>
        <v>17 1.1 b</v>
      </c>
      <c r="M91" s="182">
        <f>ROUND(VLOOKUP(H91,[5]Sheet2!$Q$4:$T$34,4,FALSE),0)</f>
        <v>26</v>
      </c>
      <c r="N91" t="str">
        <f t="shared" si="9"/>
        <v>26 1.1 b</v>
      </c>
    </row>
    <row r="92" spans="7:14" x14ac:dyDescent="0.3">
      <c r="G92" t="str">
        <f t="shared" si="6"/>
        <v xml:space="preserve">  a</v>
      </c>
      <c r="H92" s="119">
        <v>8</v>
      </c>
      <c r="I92" s="119">
        <f>VLOOKUP(H92,[5]Sheet1!$A$4:$C$34,3,FALSE)</f>
        <v>16</v>
      </c>
      <c r="J92" s="123">
        <v>4</v>
      </c>
      <c r="K92" s="141">
        <f t="shared" si="7"/>
        <v>1.1000000000000001</v>
      </c>
      <c r="L92" t="str">
        <f t="shared" si="8"/>
        <v>8 1.1 b</v>
      </c>
      <c r="M92" s="182">
        <f>ROUND(VLOOKUP(H92,[5]Sheet2!$Q$4:$T$34,4,FALSE),0)</f>
        <v>37</v>
      </c>
      <c r="N92" t="str">
        <f t="shared" si="9"/>
        <v>37 1.1 b</v>
      </c>
    </row>
    <row r="93" spans="7:14" x14ac:dyDescent="0.3">
      <c r="G93" t="str">
        <f t="shared" si="6"/>
        <v xml:space="preserve">  a</v>
      </c>
      <c r="H93" s="119">
        <v>12</v>
      </c>
      <c r="I93" s="119">
        <f>VLOOKUP(H93,[5]Sheet1!$A$4:$C$34,3,FALSE)</f>
        <v>14</v>
      </c>
      <c r="J93" s="123">
        <v>1.2727272727272727</v>
      </c>
      <c r="K93" s="141">
        <f t="shared" si="7"/>
        <v>1.1000000000000001</v>
      </c>
      <c r="L93" t="str">
        <f t="shared" si="8"/>
        <v>12 1.1 b</v>
      </c>
      <c r="M93" s="182">
        <f>ROUND(VLOOKUP(H93,[5]Sheet2!$Q$4:$T$34,4,FALSE),0)</f>
        <v>101</v>
      </c>
      <c r="N93" t="str">
        <f t="shared" si="9"/>
        <v>101 1.1 b</v>
      </c>
    </row>
    <row r="94" spans="7:14" x14ac:dyDescent="0.3">
      <c r="G94" t="str">
        <f t="shared" si="6"/>
        <v xml:space="preserve">  a</v>
      </c>
      <c r="H94" s="119">
        <v>5</v>
      </c>
      <c r="I94" s="119">
        <f>VLOOKUP(H94,[5]Sheet1!$A$4:$C$34,3,FALSE)</f>
        <v>19</v>
      </c>
      <c r="J94" s="123">
        <v>1.7272727272727273</v>
      </c>
      <c r="K94" s="141">
        <f t="shared" si="7"/>
        <v>1.1000000000000001</v>
      </c>
      <c r="L94" t="str">
        <f t="shared" si="8"/>
        <v>5 1.1 b</v>
      </c>
      <c r="M94" s="182">
        <f>ROUND(VLOOKUP(H94,[5]Sheet2!$Q$4:$T$34,4,FALSE),0)</f>
        <v>98</v>
      </c>
      <c r="N94" t="str">
        <f t="shared" si="9"/>
        <v>98 1.1 b</v>
      </c>
    </row>
    <row r="95" spans="7:14" x14ac:dyDescent="0.3">
      <c r="G95" t="str">
        <f t="shared" si="6"/>
        <v xml:space="preserve">  a</v>
      </c>
      <c r="H95" s="119">
        <v>21</v>
      </c>
      <c r="I95" s="119">
        <f>VLOOKUP(H95,[5]Sheet1!$A$4:$C$34,3,FALSE)</f>
        <v>8</v>
      </c>
      <c r="J95" s="123">
        <v>1.6</v>
      </c>
      <c r="K95" s="141">
        <f t="shared" si="7"/>
        <v>1.1000000000000001</v>
      </c>
      <c r="L95" t="str">
        <f t="shared" si="8"/>
        <v>21 1.1 b</v>
      </c>
      <c r="M95" s="182">
        <f>ROUND(VLOOKUP(H95,[5]Sheet2!$Q$4:$T$34,4,FALSE),0)</f>
        <v>36</v>
      </c>
      <c r="N95" t="str">
        <f t="shared" si="9"/>
        <v>36 1.1 b</v>
      </c>
    </row>
    <row r="96" spans="7:14" x14ac:dyDescent="0.3">
      <c r="G96" t="str">
        <f t="shared" si="6"/>
        <v xml:space="preserve">  a</v>
      </c>
      <c r="H96" s="119">
        <v>26</v>
      </c>
      <c r="I96" s="119">
        <f>VLOOKUP(H96,[5]Sheet1!$A$4:$C$34,3,FALSE)</f>
        <v>24</v>
      </c>
      <c r="J96" s="123">
        <v>4.8</v>
      </c>
      <c r="K96" s="141">
        <f t="shared" si="7"/>
        <v>1.1000000000000001</v>
      </c>
      <c r="L96" t="str">
        <f t="shared" si="8"/>
        <v>26 1.1 b</v>
      </c>
      <c r="M96" s="182">
        <f>ROUND(VLOOKUP(H96,[5]Sheet2!$Q$4:$T$34,4,FALSE),0)</f>
        <v>76</v>
      </c>
      <c r="N96" t="str">
        <f t="shared" si="9"/>
        <v>76 1.1 b</v>
      </c>
    </row>
    <row r="97" spans="7:14" x14ac:dyDescent="0.3">
      <c r="G97" t="str">
        <f t="shared" si="6"/>
        <v xml:space="preserve">  a</v>
      </c>
      <c r="H97" s="119">
        <v>11</v>
      </c>
      <c r="I97" s="119">
        <f>VLOOKUP(H97,[5]Sheet1!$A$4:$C$34,3,FALSE)</f>
        <v>8</v>
      </c>
      <c r="J97" s="123">
        <v>1.6</v>
      </c>
      <c r="K97" s="141">
        <f t="shared" si="7"/>
        <v>1.1000000000000001</v>
      </c>
      <c r="L97" t="str">
        <f t="shared" si="8"/>
        <v>11 1.1 b</v>
      </c>
      <c r="M97" s="182">
        <f>ROUND(VLOOKUP(H97,[5]Sheet2!$Q$4:$T$34,4,FALSE),0)</f>
        <v>79</v>
      </c>
      <c r="N97" t="str">
        <f t="shared" si="9"/>
        <v>79 1.1 b</v>
      </c>
    </row>
    <row r="98" spans="7:14" x14ac:dyDescent="0.3">
      <c r="G98" t="str">
        <f t="shared" si="6"/>
        <v xml:space="preserve">  a</v>
      </c>
      <c r="H98" s="119">
        <v>10</v>
      </c>
      <c r="I98" s="119">
        <f>VLOOKUP(H98,[5]Sheet1!$A$4:$C$34,3,FALSE)</f>
        <v>16</v>
      </c>
      <c r="J98" s="123">
        <v>1.3333333333333333</v>
      </c>
      <c r="K98" s="141">
        <f t="shared" si="7"/>
        <v>1.1000000000000001</v>
      </c>
      <c r="L98" t="str">
        <f t="shared" si="8"/>
        <v>10 1.1 b</v>
      </c>
      <c r="M98" s="182">
        <f>ROUND(VLOOKUP(H98,[5]Sheet2!$Q$4:$T$34,4,FALSE),0)</f>
        <v>88</v>
      </c>
      <c r="N98" t="str">
        <f t="shared" si="9"/>
        <v>88 1.1 b</v>
      </c>
    </row>
    <row r="99" spans="7:14" x14ac:dyDescent="0.3">
      <c r="G99" t="str">
        <f t="shared" si="6"/>
        <v xml:space="preserve">  a</v>
      </c>
      <c r="H99" s="119">
        <v>16</v>
      </c>
      <c r="I99" s="119">
        <f>VLOOKUP(H99,[5]Sheet1!$A$4:$C$34,3,FALSE)</f>
        <v>22</v>
      </c>
      <c r="J99" s="123">
        <v>1.8333333333333333</v>
      </c>
      <c r="K99" s="141">
        <f t="shared" si="7"/>
        <v>1.1000000000000001</v>
      </c>
      <c r="L99" t="str">
        <f t="shared" si="8"/>
        <v>16 1.1 b</v>
      </c>
      <c r="M99" s="182">
        <f>ROUND(VLOOKUP(H99,[5]Sheet2!$Q$4:$T$34,4,FALSE),0)</f>
        <v>82</v>
      </c>
      <c r="N99" t="str">
        <f t="shared" si="9"/>
        <v>82 1.1 b</v>
      </c>
    </row>
    <row r="100" spans="7:14" x14ac:dyDescent="0.3">
      <c r="G100" t="str">
        <f t="shared" si="6"/>
        <v xml:space="preserve">  a</v>
      </c>
      <c r="H100" s="119">
        <v>22</v>
      </c>
      <c r="I100" s="119">
        <f>VLOOKUP(H100,[5]Sheet1!$A$4:$C$34,3,FALSE)</f>
        <v>12</v>
      </c>
      <c r="J100" s="123">
        <v>0.92307692307692313</v>
      </c>
      <c r="K100" s="141">
        <f t="shared" si="7"/>
        <v>0.92</v>
      </c>
      <c r="L100" t="str">
        <f t="shared" si="8"/>
        <v>22 0.92 b</v>
      </c>
      <c r="M100" s="182">
        <f>ROUND(VLOOKUP(H100,[5]Sheet2!$Q$4:$T$34,4,FALSE),0)</f>
        <v>64</v>
      </c>
      <c r="N100" t="str">
        <f t="shared" si="9"/>
        <v>64 0.92 b</v>
      </c>
    </row>
    <row r="101" spans="7:14" x14ac:dyDescent="0.3">
      <c r="G101" t="str">
        <f t="shared" si="6"/>
        <v xml:space="preserve">  a</v>
      </c>
      <c r="H101" s="119">
        <v>20</v>
      </c>
      <c r="I101" s="119">
        <f>VLOOKUP(H101,[5]Sheet1!$A$4:$C$34,3,FALSE)</f>
        <v>24</v>
      </c>
      <c r="J101" s="123">
        <v>1.8461538461538463</v>
      </c>
      <c r="K101" s="141">
        <f t="shared" si="7"/>
        <v>1.1000000000000001</v>
      </c>
      <c r="L101" t="str">
        <f t="shared" si="8"/>
        <v>20 1.1 b</v>
      </c>
      <c r="M101" s="182">
        <f>ROUND(VLOOKUP(H101,[5]Sheet2!$Q$4:$T$34,4,FALSE),0)</f>
        <v>74</v>
      </c>
      <c r="N101" t="str">
        <f t="shared" si="9"/>
        <v>74 1.1 b</v>
      </c>
    </row>
    <row r="102" spans="7:14" x14ac:dyDescent="0.3">
      <c r="G102" t="str">
        <f t="shared" si="6"/>
        <v xml:space="preserve">  a</v>
      </c>
      <c r="H102" s="119">
        <v>18</v>
      </c>
      <c r="I102" s="119">
        <f>VLOOKUP(H102,[5]Sheet1!$A$4:$C$34,3,FALSE)</f>
        <v>19</v>
      </c>
      <c r="J102" s="123">
        <v>1.4615384615384615</v>
      </c>
      <c r="K102" s="141">
        <f t="shared" si="7"/>
        <v>1.1000000000000001</v>
      </c>
      <c r="L102" t="str">
        <f t="shared" si="8"/>
        <v>18 1.1 b</v>
      </c>
      <c r="M102" s="182">
        <f>ROUND(VLOOKUP(H102,[5]Sheet2!$Q$4:$T$34,4,FALSE),0)</f>
        <v>75</v>
      </c>
      <c r="N102" t="str">
        <f t="shared" si="9"/>
        <v>75 1.1 b</v>
      </c>
    </row>
    <row r="103" spans="7:14" x14ac:dyDescent="0.3">
      <c r="G103" t="str">
        <f t="shared" si="6"/>
        <v xml:space="preserve">  a</v>
      </c>
      <c r="H103" s="119">
        <v>14</v>
      </c>
      <c r="I103" s="119">
        <f>VLOOKUP(H103,[5]Sheet1!$A$4:$C$34,3,FALSE)</f>
        <v>16</v>
      </c>
      <c r="J103" s="123">
        <v>1.2307692307692308</v>
      </c>
      <c r="K103" s="141">
        <f t="shared" si="7"/>
        <v>1.1000000000000001</v>
      </c>
      <c r="L103" t="str">
        <f t="shared" si="8"/>
        <v>14 1.1 b</v>
      </c>
      <c r="M103" s="182">
        <f>ROUND(VLOOKUP(H103,[5]Sheet2!$Q$4:$T$34,4,FALSE),0)</f>
        <v>51</v>
      </c>
      <c r="N103" t="str">
        <f t="shared" si="9"/>
        <v>51 1.1 b</v>
      </c>
    </row>
    <row r="104" spans="7:14" x14ac:dyDescent="0.3">
      <c r="G104" t="str">
        <f t="shared" si="6"/>
        <v xml:space="preserve">  a</v>
      </c>
      <c r="H104" s="119">
        <v>25</v>
      </c>
      <c r="I104" s="119">
        <f>VLOOKUP(H104,[5]Sheet1!$A$4:$C$34,3,FALSE)</f>
        <v>24</v>
      </c>
      <c r="J104" s="123">
        <v>1.8461538461538463</v>
      </c>
      <c r="K104" s="141">
        <f t="shared" si="7"/>
        <v>1.1000000000000001</v>
      </c>
      <c r="L104" t="str">
        <f t="shared" si="8"/>
        <v>25 1.1 b</v>
      </c>
      <c r="M104" s="182">
        <f>ROUND(VLOOKUP(H104,[5]Sheet2!$Q$4:$T$34,4,FALSE),0)</f>
        <v>25</v>
      </c>
      <c r="N104" t="str">
        <f t="shared" si="9"/>
        <v>25 1.1 b</v>
      </c>
    </row>
    <row r="105" spans="7:14" x14ac:dyDescent="0.3">
      <c r="G105" t="str">
        <f t="shared" si="6"/>
        <v xml:space="preserve">  a</v>
      </c>
      <c r="H105" s="119">
        <v>29</v>
      </c>
      <c r="I105" s="119">
        <f>VLOOKUP(H105,[5]Sheet1!$A$4:$C$34,3,FALSE)</f>
        <v>15</v>
      </c>
      <c r="J105" s="123">
        <v>1.25</v>
      </c>
      <c r="K105" s="141">
        <f t="shared" si="7"/>
        <v>1.1000000000000001</v>
      </c>
      <c r="L105" t="str">
        <f t="shared" si="8"/>
        <v>29 1.1 b</v>
      </c>
      <c r="M105" s="182">
        <f>ROUND(VLOOKUP(H105,[5]Sheet2!$Q$4:$T$34,4,FALSE),0)</f>
        <v>85</v>
      </c>
      <c r="N105" t="str">
        <f t="shared" si="9"/>
        <v>85 1.1 b</v>
      </c>
    </row>
    <row r="106" spans="7:14" x14ac:dyDescent="0.3">
      <c r="G106" t="str">
        <f t="shared" si="6"/>
        <v xml:space="preserve">  a</v>
      </c>
      <c r="H106" s="119">
        <v>24</v>
      </c>
      <c r="I106" s="119">
        <f>VLOOKUP(H106,[5]Sheet1!$A$4:$C$34,3,FALSE)</f>
        <v>8</v>
      </c>
      <c r="J106" s="123">
        <v>0.66666666666666663</v>
      </c>
      <c r="K106" s="141">
        <f t="shared" si="7"/>
        <v>0.67</v>
      </c>
      <c r="L106" t="str">
        <f t="shared" si="8"/>
        <v>24 0.67 b</v>
      </c>
      <c r="M106" s="182">
        <f>ROUND(VLOOKUP(H106,[5]Sheet2!$Q$4:$T$34,4,FALSE),0)</f>
        <v>78</v>
      </c>
      <c r="N106" t="str">
        <f t="shared" si="9"/>
        <v>78 0.67 b</v>
      </c>
    </row>
    <row r="107" spans="7:14" x14ac:dyDescent="0.3">
      <c r="G107" t="str">
        <f t="shared" si="6"/>
        <v xml:space="preserve">  a</v>
      </c>
      <c r="H107" s="119">
        <v>3</v>
      </c>
      <c r="I107" s="119">
        <f>VLOOKUP(H107,[5]Sheet1!$A$4:$C$34,3,FALSE)</f>
        <v>21</v>
      </c>
      <c r="J107" s="123">
        <v>1.75</v>
      </c>
      <c r="K107" s="141">
        <f t="shared" si="7"/>
        <v>1.1000000000000001</v>
      </c>
      <c r="L107" t="str">
        <f t="shared" si="8"/>
        <v>3 1.1 b</v>
      </c>
      <c r="M107" s="182">
        <f>ROUND(VLOOKUP(H107,[5]Sheet2!$Q$4:$T$34,4,FALSE),0)</f>
        <v>78</v>
      </c>
      <c r="N107" t="str">
        <f t="shared" si="9"/>
        <v>78 1.1 b</v>
      </c>
    </row>
    <row r="108" spans="7:14" x14ac:dyDescent="0.3">
      <c r="G108" t="str">
        <f t="shared" si="6"/>
        <v xml:space="preserve">  a</v>
      </c>
      <c r="H108" s="119">
        <v>4</v>
      </c>
      <c r="I108" s="119">
        <f>VLOOKUP(H108,[5]Sheet1!$A$4:$C$34,3,FALSE)</f>
        <v>6</v>
      </c>
      <c r="J108" s="123">
        <v>0.5</v>
      </c>
      <c r="K108" s="141">
        <f t="shared" si="7"/>
        <v>0.5</v>
      </c>
      <c r="L108" t="str">
        <f t="shared" si="8"/>
        <v>4 0.5 b</v>
      </c>
      <c r="M108" s="182">
        <f>ROUND(VLOOKUP(H108,[5]Sheet2!$Q$4:$T$34,4,FALSE),0)</f>
        <v>76</v>
      </c>
      <c r="N108" t="str">
        <f t="shared" si="9"/>
        <v>76 0.5 b</v>
      </c>
    </row>
    <row r="109" spans="7:14" x14ac:dyDescent="0.3">
      <c r="G109" t="str">
        <f t="shared" si="6"/>
        <v xml:space="preserve">  a</v>
      </c>
      <c r="H109" s="119">
        <v>15</v>
      </c>
      <c r="I109" s="119">
        <f>VLOOKUP(H109,[5]Sheet1!$A$4:$C$34,3,FALSE)</f>
        <v>3</v>
      </c>
      <c r="J109" s="123">
        <v>0.25</v>
      </c>
      <c r="K109" s="141">
        <f t="shared" si="7"/>
        <v>0.25</v>
      </c>
      <c r="L109" t="str">
        <f t="shared" si="8"/>
        <v>15 0.25 b</v>
      </c>
      <c r="M109" s="182">
        <f>ROUND(VLOOKUP(H109,[5]Sheet2!$Q$4:$T$34,4,FALSE),0)</f>
        <v>27</v>
      </c>
      <c r="N109" t="str">
        <f t="shared" si="9"/>
        <v>27 0.25 b</v>
      </c>
    </row>
    <row r="110" spans="7:14" x14ac:dyDescent="0.3">
      <c r="G110" t="str">
        <f t="shared" si="6"/>
        <v xml:space="preserve">  a</v>
      </c>
      <c r="H110" s="119">
        <v>17</v>
      </c>
      <c r="I110" s="119">
        <f>VLOOKUP(H110,[5]Sheet1!$A$4:$C$34,3,FALSE)</f>
        <v>18</v>
      </c>
      <c r="J110" s="123">
        <v>1.2</v>
      </c>
      <c r="K110" s="141">
        <f t="shared" si="7"/>
        <v>1.1000000000000001</v>
      </c>
      <c r="L110" t="str">
        <f t="shared" si="8"/>
        <v>17 1.1 b</v>
      </c>
      <c r="M110" s="182">
        <f>ROUND(VLOOKUP(H110,[5]Sheet2!$Q$4:$T$34,4,FALSE),0)</f>
        <v>26</v>
      </c>
      <c r="N110" t="str">
        <f t="shared" si="9"/>
        <v>26 1.1 b</v>
      </c>
    </row>
    <row r="111" spans="7:14" x14ac:dyDescent="0.3">
      <c r="G111" t="str">
        <f t="shared" si="6"/>
        <v xml:space="preserve">  a</v>
      </c>
      <c r="H111" s="119">
        <v>13</v>
      </c>
      <c r="I111" s="119">
        <f>VLOOKUP(H111,[5]Sheet1!$A$4:$C$34,3,FALSE)</f>
        <v>21</v>
      </c>
      <c r="J111" s="123">
        <v>1.4</v>
      </c>
      <c r="K111" s="141">
        <f t="shared" si="7"/>
        <v>1.1000000000000001</v>
      </c>
      <c r="L111" t="str">
        <f t="shared" si="8"/>
        <v>13 1.1 b</v>
      </c>
      <c r="M111" s="182">
        <f>ROUND(VLOOKUP(H111,[5]Sheet2!$Q$4:$T$34,4,FALSE),0)</f>
        <v>29</v>
      </c>
      <c r="N111" t="str">
        <f t="shared" si="9"/>
        <v>29 1.1 b</v>
      </c>
    </row>
    <row r="112" spans="7:14" x14ac:dyDescent="0.3">
      <c r="G112" t="str">
        <f t="shared" si="6"/>
        <v xml:space="preserve">  a</v>
      </c>
      <c r="H112" s="119">
        <v>2</v>
      </c>
      <c r="I112" s="119">
        <f>VLOOKUP(H112,[5]Sheet1!$A$4:$C$34,3,FALSE)</f>
        <v>19</v>
      </c>
      <c r="J112" s="123">
        <v>1.2666666666666666</v>
      </c>
      <c r="K112" s="141">
        <f t="shared" si="7"/>
        <v>1.1000000000000001</v>
      </c>
      <c r="L112" t="str">
        <f t="shared" si="8"/>
        <v>2 1.1 b</v>
      </c>
      <c r="M112" s="182">
        <f>ROUND(VLOOKUP(H112,[5]Sheet2!$Q$4:$T$34,4,FALSE),0)</f>
        <v>35</v>
      </c>
      <c r="N112" t="str">
        <f t="shared" si="9"/>
        <v>35 1.1 b</v>
      </c>
    </row>
    <row r="113" spans="7:14" x14ac:dyDescent="0.3">
      <c r="G113" t="str">
        <f t="shared" si="6"/>
        <v xml:space="preserve">  a</v>
      </c>
      <c r="H113" s="119">
        <v>8</v>
      </c>
      <c r="I113" s="119">
        <f>VLOOKUP(H113,[5]Sheet1!$A$4:$C$34,3,FALSE)</f>
        <v>16</v>
      </c>
      <c r="J113" s="123">
        <v>1.0666666666666667</v>
      </c>
      <c r="K113" s="141">
        <f t="shared" si="7"/>
        <v>1.07</v>
      </c>
      <c r="L113" t="str">
        <f t="shared" si="8"/>
        <v>8 1.07 b</v>
      </c>
      <c r="M113" s="182">
        <f>ROUND(VLOOKUP(H113,[5]Sheet2!$Q$4:$T$34,4,FALSE),0)</f>
        <v>37</v>
      </c>
      <c r="N113" t="str">
        <f t="shared" si="9"/>
        <v>37 1.07 b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8"/>
  <sheetViews>
    <sheetView zoomScale="70" zoomScaleNormal="70" workbookViewId="0">
      <selection activeCell="H8" sqref="H8"/>
    </sheetView>
  </sheetViews>
  <sheetFormatPr defaultRowHeight="14.4" x14ac:dyDescent="0.3"/>
  <cols>
    <col min="1" max="1" width="12.5546875" style="1" customWidth="1"/>
    <col min="2" max="2" width="18.21875" style="2" bestFit="1" customWidth="1"/>
    <col min="3" max="8" width="8.88671875" style="2"/>
    <col min="9" max="9" width="12" style="2" bestFit="1" customWidth="1"/>
    <col min="10" max="10" width="8.88671875" style="3"/>
    <col min="11" max="12" width="8.88671875" style="2"/>
    <col min="13" max="13" width="8" style="3" bestFit="1" customWidth="1"/>
    <col min="14" max="14" width="18.21875" style="2" bestFit="1" customWidth="1"/>
    <col min="15" max="20" width="8.88671875" style="2"/>
    <col min="21" max="21" width="10" style="2" bestFit="1" customWidth="1"/>
    <col min="22" max="22" width="6" style="4" bestFit="1" customWidth="1"/>
    <col min="23" max="23" width="7.44140625" style="4" bestFit="1" customWidth="1"/>
    <col min="24" max="24" width="8.88671875" style="2"/>
    <col min="25" max="25" width="18.21875" style="2" bestFit="1" customWidth="1"/>
    <col min="26" max="31" width="8.88671875" style="2"/>
    <col min="32" max="32" width="10" style="2" bestFit="1" customWidth="1"/>
    <col min="33" max="33" width="5.5546875" style="5" customWidth="1"/>
    <col min="34" max="34" width="7.44140625" style="5" bestFit="1" customWidth="1"/>
    <col min="35" max="35" width="7.44140625" style="5" customWidth="1"/>
    <col min="36" max="36" width="0.109375" style="5" customWidth="1"/>
    <col min="37" max="37" width="7.44140625" style="5" hidden="1" customWidth="1"/>
    <col min="38" max="38" width="18.21875" style="2" hidden="1" customWidth="1"/>
    <col min="39" max="44" width="0" style="2" hidden="1" customWidth="1"/>
    <col min="45" max="45" width="12" style="2" hidden="1" customWidth="1"/>
    <col min="46" max="46" width="0" style="3" hidden="1" customWidth="1"/>
    <col min="47" max="47" width="0" style="2" hidden="1" customWidth="1"/>
    <col min="48" max="16384" width="8.88671875" style="2"/>
  </cols>
  <sheetData>
    <row r="1" spans="1:47" ht="15" thickBot="1" x14ac:dyDescent="0.35"/>
    <row r="2" spans="1:47" ht="15" thickBot="1" x14ac:dyDescent="0.35">
      <c r="J2" s="6">
        <f>AVERAGE(I6,U6,AF6,I35,U35,AF35,I64,U64,AF64)</f>
        <v>4.4808678459111109</v>
      </c>
      <c r="N2" s="7" t="s">
        <v>0</v>
      </c>
      <c r="O2" s="8">
        <v>31</v>
      </c>
      <c r="P2" s="9">
        <v>5</v>
      </c>
      <c r="Q2" s="10">
        <v>784</v>
      </c>
      <c r="R2" s="11"/>
      <c r="S2" s="12"/>
      <c r="T2" s="12"/>
      <c r="U2" s="12"/>
      <c r="V2" s="13"/>
      <c r="W2" s="13"/>
    </row>
    <row r="3" spans="1:47" ht="15" thickBot="1" x14ac:dyDescent="0.35">
      <c r="B3" s="12"/>
      <c r="C3" s="278" t="s">
        <v>1</v>
      </c>
      <c r="D3" s="278"/>
      <c r="E3" s="278"/>
      <c r="F3" s="278"/>
      <c r="G3" s="278"/>
      <c r="H3" s="278"/>
      <c r="I3" s="278"/>
      <c r="J3" s="6">
        <f>AVERAGE(I7,U7,AF7,I36,U36,AF36,I65,U65,AF65)</f>
        <v>117.88255767262223</v>
      </c>
      <c r="N3" s="12"/>
      <c r="O3" s="278" t="s">
        <v>2</v>
      </c>
      <c r="P3" s="278"/>
      <c r="Q3" s="278"/>
      <c r="R3" s="278"/>
      <c r="S3" s="278"/>
      <c r="T3" s="278"/>
      <c r="U3" s="278"/>
      <c r="V3" s="14"/>
      <c r="W3" s="14"/>
      <c r="Y3" s="12"/>
      <c r="Z3" s="278" t="s">
        <v>3</v>
      </c>
      <c r="AA3" s="278"/>
      <c r="AB3" s="278"/>
      <c r="AC3" s="278"/>
      <c r="AD3" s="278"/>
      <c r="AE3" s="278"/>
      <c r="AF3" s="278"/>
      <c r="AG3" s="15"/>
      <c r="AH3" s="15"/>
      <c r="AI3" s="15"/>
      <c r="AJ3" s="15"/>
      <c r="AK3" s="15"/>
      <c r="AL3" s="12"/>
      <c r="AM3" s="278" t="s">
        <v>4</v>
      </c>
      <c r="AN3" s="278"/>
      <c r="AO3" s="278"/>
      <c r="AP3" s="278"/>
      <c r="AQ3" s="278"/>
      <c r="AR3" s="278"/>
      <c r="AS3" s="278"/>
    </row>
    <row r="4" spans="1:47" ht="15" thickBot="1" x14ac:dyDescent="0.35">
      <c r="B4" s="16" t="s">
        <v>5</v>
      </c>
      <c r="C4" s="276" t="s">
        <v>6</v>
      </c>
      <c r="D4" s="279"/>
      <c r="E4" s="277"/>
      <c r="F4" s="276" t="s">
        <v>7</v>
      </c>
      <c r="G4" s="277"/>
      <c r="H4" s="276" t="s">
        <v>8</v>
      </c>
      <c r="I4" s="277"/>
      <c r="N4" s="16" t="s">
        <v>5</v>
      </c>
      <c r="O4" s="276" t="s">
        <v>6</v>
      </c>
      <c r="P4" s="279"/>
      <c r="Q4" s="277"/>
      <c r="R4" s="276" t="s">
        <v>7</v>
      </c>
      <c r="S4" s="277"/>
      <c r="T4" s="276" t="s">
        <v>8</v>
      </c>
      <c r="U4" s="277"/>
      <c r="V4" s="14"/>
      <c r="W4" s="14"/>
      <c r="Y4" s="16" t="s">
        <v>5</v>
      </c>
      <c r="Z4" s="276" t="s">
        <v>6</v>
      </c>
      <c r="AA4" s="279"/>
      <c r="AB4" s="277"/>
      <c r="AC4" s="276" t="s">
        <v>7</v>
      </c>
      <c r="AD4" s="277"/>
      <c r="AE4" s="276" t="s">
        <v>8</v>
      </c>
      <c r="AF4" s="277"/>
      <c r="AG4" s="15"/>
      <c r="AH4" s="15"/>
      <c r="AI4" s="15"/>
      <c r="AJ4" s="15"/>
      <c r="AK4" s="15"/>
      <c r="AL4" s="16" t="s">
        <v>5</v>
      </c>
      <c r="AM4" s="276" t="s">
        <v>6</v>
      </c>
      <c r="AN4" s="279"/>
      <c r="AO4" s="277"/>
      <c r="AP4" s="276" t="s">
        <v>7</v>
      </c>
      <c r="AQ4" s="277"/>
      <c r="AR4" s="276" t="s">
        <v>8</v>
      </c>
      <c r="AS4" s="277"/>
    </row>
    <row r="5" spans="1:47" ht="29.4" thickBot="1" x14ac:dyDescent="0.35">
      <c r="B5" s="17" t="s">
        <v>9</v>
      </c>
      <c r="C5" s="8" t="s">
        <v>10</v>
      </c>
      <c r="D5" s="9" t="s">
        <v>11</v>
      </c>
      <c r="E5" s="10" t="s">
        <v>12</v>
      </c>
      <c r="F5" s="8" t="s">
        <v>10</v>
      </c>
      <c r="G5" s="10" t="s">
        <v>11</v>
      </c>
      <c r="H5" s="8" t="s">
        <v>8</v>
      </c>
      <c r="I5" s="18" t="s">
        <v>13</v>
      </c>
      <c r="N5" s="17" t="s">
        <v>9</v>
      </c>
      <c r="O5" s="8" t="s">
        <v>10</v>
      </c>
      <c r="P5" s="9" t="s">
        <v>11</v>
      </c>
      <c r="Q5" s="10" t="s">
        <v>12</v>
      </c>
      <c r="R5" s="8" t="s">
        <v>10</v>
      </c>
      <c r="S5" s="10" t="s">
        <v>11</v>
      </c>
      <c r="T5" s="8" t="s">
        <v>8</v>
      </c>
      <c r="U5" s="18" t="s">
        <v>13</v>
      </c>
      <c r="V5" s="19" t="s">
        <v>14</v>
      </c>
      <c r="W5" s="19"/>
      <c r="Y5" s="17" t="s">
        <v>9</v>
      </c>
      <c r="Z5" s="8" t="s">
        <v>10</v>
      </c>
      <c r="AA5" s="9" t="s">
        <v>11</v>
      </c>
      <c r="AB5" s="10" t="s">
        <v>12</v>
      </c>
      <c r="AC5" s="8" t="s">
        <v>10</v>
      </c>
      <c r="AD5" s="10" t="s">
        <v>11</v>
      </c>
      <c r="AE5" s="8" t="s">
        <v>8</v>
      </c>
      <c r="AF5" s="18" t="s">
        <v>13</v>
      </c>
      <c r="AG5" s="20"/>
      <c r="AH5" s="20"/>
      <c r="AI5" s="20"/>
      <c r="AJ5" s="20"/>
      <c r="AK5" s="20"/>
      <c r="AL5" s="17" t="s">
        <v>9</v>
      </c>
      <c r="AM5" s="8" t="s">
        <v>10</v>
      </c>
      <c r="AN5" s="9" t="s">
        <v>11</v>
      </c>
      <c r="AO5" s="10" t="s">
        <v>12</v>
      </c>
      <c r="AP5" s="8" t="s">
        <v>10</v>
      </c>
      <c r="AQ5" s="10" t="s">
        <v>11</v>
      </c>
      <c r="AR5" s="8" t="s">
        <v>8</v>
      </c>
      <c r="AS5" s="18" t="s">
        <v>13</v>
      </c>
    </row>
    <row r="6" spans="1:47" x14ac:dyDescent="0.3">
      <c r="B6" s="21" t="s">
        <v>15</v>
      </c>
      <c r="C6" s="22">
        <f t="shared" ref="C6:I8" si="0">AVERAGE(C11,C15,C19,C23,C27)</f>
        <v>18.2</v>
      </c>
      <c r="D6" s="23">
        <f t="shared" si="0"/>
        <v>4</v>
      </c>
      <c r="E6" s="24">
        <f t="shared" si="0"/>
        <v>678.70625156643109</v>
      </c>
      <c r="F6" s="22">
        <f t="shared" si="0"/>
        <v>12.8</v>
      </c>
      <c r="G6" s="24">
        <f t="shared" si="0"/>
        <v>1</v>
      </c>
      <c r="H6" s="25">
        <f t="shared" si="0"/>
        <v>0.13430325055302167</v>
      </c>
      <c r="I6" s="26">
        <f t="shared" si="0"/>
        <v>2.6046005889999999</v>
      </c>
      <c r="K6" s="27">
        <f>AVERAGE(K11,K15,K19,K23,K27)</f>
        <v>1.9112220198540204E-2</v>
      </c>
      <c r="N6" s="21" t="s">
        <v>15</v>
      </c>
      <c r="O6" s="22">
        <f t="shared" ref="O6:U8" si="1">AVERAGE(O11,O15,O19,O23,O27)</f>
        <v>21.8</v>
      </c>
      <c r="P6" s="23">
        <f t="shared" si="1"/>
        <v>4</v>
      </c>
      <c r="Q6" s="24">
        <f t="shared" si="1"/>
        <v>753.00629080613601</v>
      </c>
      <c r="R6" s="22">
        <f t="shared" si="1"/>
        <v>9.1999999999999993</v>
      </c>
      <c r="S6" s="24">
        <f t="shared" si="1"/>
        <v>1</v>
      </c>
      <c r="T6" s="25">
        <f t="shared" si="1"/>
        <v>3.9532792339112235E-2</v>
      </c>
      <c r="U6" s="26">
        <f t="shared" si="1"/>
        <v>3.0730728570000005</v>
      </c>
      <c r="V6" s="14"/>
      <c r="W6" s="27">
        <f>AVERAGE(W11,W15,W19,W23,W27)</f>
        <v>1.4892259726921032E-2</v>
      </c>
      <c r="Y6" s="21" t="s">
        <v>15</v>
      </c>
      <c r="Z6" s="22">
        <f t="shared" ref="Z6:AF8" si="2">AVERAGE(Z11,Z15,Z19,Z23,Z27)</f>
        <v>23.2</v>
      </c>
      <c r="AA6" s="23">
        <f t="shared" si="2"/>
        <v>4</v>
      </c>
      <c r="AB6" s="24">
        <f t="shared" si="2"/>
        <v>749.68581767043997</v>
      </c>
      <c r="AC6" s="22">
        <f t="shared" si="2"/>
        <v>7.8</v>
      </c>
      <c r="AD6" s="24">
        <f t="shared" si="2"/>
        <v>1</v>
      </c>
      <c r="AE6" s="25">
        <f t="shared" si="2"/>
        <v>4.3768089706071434E-2</v>
      </c>
      <c r="AF6" s="26">
        <f t="shared" si="2"/>
        <v>2.5976178060000001</v>
      </c>
      <c r="AG6" s="15"/>
      <c r="AH6" s="27">
        <f>AVERAGE(AH11,AH15,AH19,AH23,AH27)</f>
        <v>1.049907596790663E-2</v>
      </c>
      <c r="AI6" s="28"/>
      <c r="AJ6" s="27"/>
      <c r="AK6" s="27"/>
      <c r="AL6" s="21" t="s">
        <v>15</v>
      </c>
      <c r="AM6" s="22">
        <f t="shared" ref="AM6:AS8" si="3">AVERAGE(AM11,AM15,AM19,AM23,AM27)</f>
        <v>25.4</v>
      </c>
      <c r="AN6" s="23">
        <f t="shared" si="3"/>
        <v>4.25</v>
      </c>
      <c r="AO6" s="24">
        <f t="shared" si="3"/>
        <v>775.81691677221647</v>
      </c>
      <c r="AP6" s="22">
        <f t="shared" si="3"/>
        <v>7</v>
      </c>
      <c r="AQ6" s="24">
        <f t="shared" si="3"/>
        <v>1</v>
      </c>
      <c r="AR6" s="25">
        <f t="shared" si="3"/>
        <v>0.2192671111865388</v>
      </c>
      <c r="AS6" s="26">
        <f t="shared" si="3"/>
        <v>507.22152985924998</v>
      </c>
      <c r="AU6" s="27" t="e">
        <f>AVERAGE(AU11,AU15,AU19,AU23,AU27)</f>
        <v>#DIV/0!</v>
      </c>
    </row>
    <row r="7" spans="1:47" x14ac:dyDescent="0.3">
      <c r="B7" s="29" t="s">
        <v>16</v>
      </c>
      <c r="C7" s="30">
        <f>AVERAGE(C12,C16,C20,C24,C28)</f>
        <v>19</v>
      </c>
      <c r="D7" s="31">
        <f t="shared" si="0"/>
        <v>4</v>
      </c>
      <c r="E7" s="32">
        <f t="shared" si="0"/>
        <v>671.237399995082</v>
      </c>
      <c r="F7" s="30">
        <f t="shared" si="0"/>
        <v>12</v>
      </c>
      <c r="G7" s="32">
        <f t="shared" si="0"/>
        <v>1</v>
      </c>
      <c r="H7" s="33">
        <f t="shared" si="0"/>
        <v>0.14382984694504844</v>
      </c>
      <c r="I7" s="34">
        <f t="shared" si="0"/>
        <v>83.523851910999994</v>
      </c>
      <c r="K7" s="27">
        <f>AVERAGE(K12,K16,K20,K24,K28)</f>
        <v>8.1558137742491262E-3</v>
      </c>
      <c r="N7" s="29" t="s">
        <v>16</v>
      </c>
      <c r="O7" s="30">
        <f>AVERAGE(O12,O16,O20,O24,O28)</f>
        <v>22</v>
      </c>
      <c r="P7" s="31">
        <f t="shared" si="1"/>
        <v>4</v>
      </c>
      <c r="Q7" s="32">
        <f t="shared" si="1"/>
        <v>742.64135759630653</v>
      </c>
      <c r="R7" s="30">
        <f t="shared" si="1"/>
        <v>9</v>
      </c>
      <c r="S7" s="32">
        <f t="shared" si="1"/>
        <v>1</v>
      </c>
      <c r="T7" s="33">
        <f t="shared" si="1"/>
        <v>5.275337041287427E-2</v>
      </c>
      <c r="U7" s="34">
        <f t="shared" si="1"/>
        <v>85.646552542400002</v>
      </c>
      <c r="V7" s="14"/>
      <c r="W7" s="27">
        <f>AVERAGE(W12,W16,W20,W24,W28)</f>
        <v>6.3674134259212765E-4</v>
      </c>
      <c r="Y7" s="29" t="s">
        <v>16</v>
      </c>
      <c r="Z7" s="30">
        <f>AVERAGE(Z12,Z16,Z20,Z24,Z28)</f>
        <v>24.2</v>
      </c>
      <c r="AA7" s="31">
        <f t="shared" si="2"/>
        <v>4</v>
      </c>
      <c r="AB7" s="32">
        <f t="shared" si="2"/>
        <v>742.07426236588412</v>
      </c>
      <c r="AC7" s="30">
        <f t="shared" si="2"/>
        <v>6.8</v>
      </c>
      <c r="AD7" s="32">
        <f t="shared" si="2"/>
        <v>1</v>
      </c>
      <c r="AE7" s="33">
        <f t="shared" si="2"/>
        <v>5.3476706165964005E-2</v>
      </c>
      <c r="AF7" s="34">
        <f t="shared" si="2"/>
        <v>107.97213516779998</v>
      </c>
      <c r="AG7" s="15"/>
      <c r="AH7" s="27">
        <f>AVERAGE(AH12,AH16,AH20,AH24,AH28)</f>
        <v>1.276918078572116E-8</v>
      </c>
      <c r="AI7" s="28"/>
      <c r="AJ7" s="27"/>
      <c r="AK7" s="27"/>
      <c r="AL7" s="29" t="s">
        <v>16</v>
      </c>
      <c r="AM7" s="30">
        <f>AVERAGE(AM12,AM16,AM20,AM24,AM28)</f>
        <v>28.8</v>
      </c>
      <c r="AN7" s="31">
        <f t="shared" si="3"/>
        <v>4.333333333333333</v>
      </c>
      <c r="AO7" s="32">
        <f t="shared" si="3"/>
        <v>760.63360695667143</v>
      </c>
      <c r="AP7" s="30">
        <f t="shared" si="3"/>
        <v>3.6666666666666665</v>
      </c>
      <c r="AQ7" s="32">
        <f t="shared" si="3"/>
        <v>0.66666666666666663</v>
      </c>
      <c r="AR7" s="33">
        <f t="shared" si="3"/>
        <v>0.41866863979211627</v>
      </c>
      <c r="AS7" s="34">
        <f t="shared" si="3"/>
        <v>4967.8661151196666</v>
      </c>
      <c r="AU7" s="27" t="e">
        <f>AVERAGE(AU12,AU16,AU20,AU24,AU28)</f>
        <v>#DIV/0!</v>
      </c>
    </row>
    <row r="8" spans="1:47" ht="15" thickBot="1" x14ac:dyDescent="0.35">
      <c r="B8" s="35" t="s">
        <v>17</v>
      </c>
      <c r="C8" s="36">
        <f>AVERAGE(C13,C17,C21,C25,C29)</f>
        <v>20.399999999999999</v>
      </c>
      <c r="D8" s="37">
        <f t="shared" si="0"/>
        <v>4</v>
      </c>
      <c r="E8" s="38">
        <f t="shared" si="0"/>
        <v>665.84713028536464</v>
      </c>
      <c r="F8" s="36">
        <f t="shared" si="0"/>
        <v>10.6</v>
      </c>
      <c r="G8" s="38">
        <f t="shared" si="0"/>
        <v>1</v>
      </c>
      <c r="H8" s="39">
        <f t="shared" si="0"/>
        <v>0.15070519096254514</v>
      </c>
      <c r="I8" s="40">
        <f t="shared" si="0"/>
        <v>144145.1564979408</v>
      </c>
      <c r="K8" s="14"/>
      <c r="N8" s="35" t="s">
        <v>17</v>
      </c>
      <c r="O8" s="36">
        <f>AVERAGE(O13,O17,O21,O25,O29)</f>
        <v>22.4</v>
      </c>
      <c r="P8" s="37">
        <f t="shared" si="1"/>
        <v>4</v>
      </c>
      <c r="Q8" s="38">
        <f t="shared" si="1"/>
        <v>742.18194450835801</v>
      </c>
      <c r="R8" s="36">
        <f t="shared" si="1"/>
        <v>8.6</v>
      </c>
      <c r="S8" s="38">
        <f t="shared" si="1"/>
        <v>1</v>
      </c>
      <c r="T8" s="39">
        <f t="shared" si="1"/>
        <v>5.3339356494441305E-2</v>
      </c>
      <c r="U8" s="40">
        <f t="shared" si="1"/>
        <v>1201.8430400000002</v>
      </c>
      <c r="V8" s="14"/>
      <c r="W8" s="14"/>
      <c r="Y8" s="35" t="s">
        <v>17</v>
      </c>
      <c r="Z8" s="36">
        <f>AVERAGE(Z13,Z17,Z21,Z25,Z29)</f>
        <v>24.2</v>
      </c>
      <c r="AA8" s="37">
        <f t="shared" si="2"/>
        <v>4</v>
      </c>
      <c r="AB8" s="38">
        <f t="shared" si="2"/>
        <v>742.07425248101242</v>
      </c>
      <c r="AC8" s="36">
        <f t="shared" si="2"/>
        <v>6.8</v>
      </c>
      <c r="AD8" s="38">
        <f t="shared" si="2"/>
        <v>1</v>
      </c>
      <c r="AE8" s="39">
        <f t="shared" si="2"/>
        <v>5.3476718774218876E-2</v>
      </c>
      <c r="AF8" s="40">
        <f t="shared" si="2"/>
        <v>14940.5664921922</v>
      </c>
      <c r="AG8" s="15"/>
      <c r="AH8" s="14"/>
      <c r="AI8" s="14"/>
      <c r="AJ8" s="14"/>
      <c r="AK8" s="14"/>
      <c r="AL8" s="35" t="s">
        <v>17</v>
      </c>
      <c r="AM8" s="36">
        <f>AVERAGE(AM13,AM17,AM21,AM25,AM29)</f>
        <v>29.8</v>
      </c>
      <c r="AN8" s="37">
        <f t="shared" si="3"/>
        <v>4.5</v>
      </c>
      <c r="AO8" s="38">
        <f t="shared" si="3"/>
        <v>766.02572532476051</v>
      </c>
      <c r="AP8" s="36">
        <f t="shared" si="3"/>
        <v>3</v>
      </c>
      <c r="AQ8" s="38">
        <f t="shared" si="3"/>
        <v>0.5</v>
      </c>
      <c r="AR8" s="39">
        <f t="shared" si="3"/>
        <v>0.60917054830369355</v>
      </c>
      <c r="AS8" s="40">
        <f t="shared" si="3"/>
        <v>106792.571352447</v>
      </c>
      <c r="AU8" s="14"/>
    </row>
    <row r="9" spans="1:47" x14ac:dyDescent="0.3">
      <c r="K9" s="4"/>
      <c r="AH9" s="4"/>
      <c r="AI9" s="4"/>
      <c r="AJ9" s="4"/>
      <c r="AK9" s="4"/>
      <c r="AU9" s="4"/>
    </row>
    <row r="10" spans="1:47" ht="15" thickBot="1" x14ac:dyDescent="0.35">
      <c r="K10" s="4"/>
      <c r="M10" s="3" t="s">
        <v>18</v>
      </c>
      <c r="AH10" s="4"/>
      <c r="AI10" s="4"/>
      <c r="AJ10" s="4"/>
      <c r="AK10" s="4"/>
      <c r="AU10" s="4"/>
    </row>
    <row r="11" spans="1:47" x14ac:dyDescent="0.3">
      <c r="B11" s="21" t="s">
        <v>15</v>
      </c>
      <c r="C11" s="22">
        <f>$O$2-F11</f>
        <v>18</v>
      </c>
      <c r="D11" s="41">
        <v>4</v>
      </c>
      <c r="E11" s="42">
        <v>721.06702804201302</v>
      </c>
      <c r="F11" s="43">
        <v>13</v>
      </c>
      <c r="G11" s="44">
        <v>1</v>
      </c>
      <c r="H11" s="25">
        <f>MAX(($Q$2-E11)/$Q$2, 0)</f>
        <v>8.0271647905595642E-2</v>
      </c>
      <c r="I11" s="42">
        <v>3.651421011</v>
      </c>
      <c r="K11" s="27">
        <f>(E11-E13)/E13</f>
        <v>4.5026829397259521E-2</v>
      </c>
      <c r="M11" s="3">
        <v>1</v>
      </c>
      <c r="N11" s="21" t="s">
        <v>15</v>
      </c>
      <c r="O11" s="22">
        <f>$O$2-R11</f>
        <v>23</v>
      </c>
      <c r="P11" s="41">
        <v>4</v>
      </c>
      <c r="Q11" s="42">
        <v>769.45101199999999</v>
      </c>
      <c r="R11" s="43">
        <v>8</v>
      </c>
      <c r="S11" s="44">
        <v>1</v>
      </c>
      <c r="T11" s="25">
        <f>MAX(($Q$2-Q11)/$Q$2, 0)</f>
        <v>1.8557382653061234E-2</v>
      </c>
      <c r="U11" s="42">
        <v>2.1823000000000001</v>
      </c>
      <c r="V11" s="45"/>
      <c r="W11" s="27">
        <f>(Q11-Q13)/Q13</f>
        <v>9.2209873514195947E-3</v>
      </c>
      <c r="Y11" s="21" t="s">
        <v>15</v>
      </c>
      <c r="Z11" s="22">
        <f>$O$2-AC11</f>
        <v>26</v>
      </c>
      <c r="AA11" s="41">
        <v>4</v>
      </c>
      <c r="AB11" s="42">
        <v>770.709249</v>
      </c>
      <c r="AC11" s="43">
        <v>5</v>
      </c>
      <c r="AD11" s="44">
        <v>1</v>
      </c>
      <c r="AE11" s="25">
        <f>MAX(($Q$2-AB11)/$Q$2, 0)</f>
        <v>1.6952488520408163E-2</v>
      </c>
      <c r="AF11" s="42">
        <v>2.7402799999999998</v>
      </c>
      <c r="AG11" s="46"/>
      <c r="AH11" s="27">
        <f>(AB11-AB13)/AB13</f>
        <v>7.73387516920001E-4</v>
      </c>
      <c r="AI11" s="28"/>
      <c r="AJ11" s="27"/>
      <c r="AK11" s="27"/>
      <c r="AL11" s="21" t="s">
        <v>15</v>
      </c>
      <c r="AM11" s="22">
        <f>$O$2-AP11</f>
        <v>23</v>
      </c>
      <c r="AN11" s="41">
        <v>4</v>
      </c>
      <c r="AO11" s="42">
        <v>779.56876118873197</v>
      </c>
      <c r="AP11" s="43">
        <v>8</v>
      </c>
      <c r="AQ11" s="44">
        <v>1</v>
      </c>
      <c r="AR11" s="25">
        <f>MAX(($Q$2-AO11)/$Q$2, 0)</f>
        <v>5.6520903204949373E-3</v>
      </c>
      <c r="AS11" s="42">
        <v>7.1426601820000002</v>
      </c>
      <c r="AU11" s="27">
        <f>(AO11-AO13)/AO13</f>
        <v>4.2132543840193035E-2</v>
      </c>
    </row>
    <row r="12" spans="1:47" x14ac:dyDescent="0.3">
      <c r="B12" s="29" t="s">
        <v>16</v>
      </c>
      <c r="C12" s="30">
        <f>$O$2-F12</f>
        <v>19</v>
      </c>
      <c r="D12" s="45">
        <v>4</v>
      </c>
      <c r="E12" s="47">
        <v>698.06361411798105</v>
      </c>
      <c r="F12" s="48">
        <v>12</v>
      </c>
      <c r="G12" s="49">
        <v>1</v>
      </c>
      <c r="H12" s="33">
        <f>MAX(($Q$2-E12)/$Q$2, 0)</f>
        <v>0.10961273709441192</v>
      </c>
      <c r="I12" s="47">
        <v>100.809507369</v>
      </c>
      <c r="J12" s="3">
        <v>120</v>
      </c>
      <c r="K12" s="27">
        <f>(E12-E13)/E13</f>
        <v>1.1688479724525268E-2</v>
      </c>
      <c r="N12" s="29" t="s">
        <v>16</v>
      </c>
      <c r="O12" s="30">
        <f>$O$2-R12</f>
        <v>23</v>
      </c>
      <c r="P12" s="45">
        <v>4</v>
      </c>
      <c r="Q12" s="47">
        <v>762.42074400000001</v>
      </c>
      <c r="R12" s="48">
        <v>8</v>
      </c>
      <c r="S12" s="49">
        <v>1</v>
      </c>
      <c r="T12" s="33">
        <f>MAX(($Q$2-Q12)/$Q$2, 0)</f>
        <v>2.752456122448978E-2</v>
      </c>
      <c r="U12" s="47">
        <v>106.76765</v>
      </c>
      <c r="V12" s="45">
        <v>148</v>
      </c>
      <c r="W12" s="27">
        <f>(Q12-Q13)/Q13</f>
        <v>5.2464469813622474E-9</v>
      </c>
      <c r="Y12" s="29" t="s">
        <v>16</v>
      </c>
      <c r="Z12" s="30">
        <f>$O$2-AC12</f>
        <v>27</v>
      </c>
      <c r="AA12" s="45">
        <v>4</v>
      </c>
      <c r="AB12" s="47">
        <v>770.11365271438103</v>
      </c>
      <c r="AC12" s="48">
        <v>4</v>
      </c>
      <c r="AD12" s="49">
        <v>1</v>
      </c>
      <c r="AE12" s="33">
        <f>MAX(($Q$2-AB12)/$Q$2, 0)</f>
        <v>1.7712177660228274E-2</v>
      </c>
      <c r="AF12" s="47">
        <v>143.08448999999999</v>
      </c>
      <c r="AG12" s="46">
        <v>152</v>
      </c>
      <c r="AH12" s="27">
        <f>(AB12-AB13)/AB13</f>
        <v>0</v>
      </c>
      <c r="AI12" s="28"/>
      <c r="AJ12" s="27"/>
      <c r="AK12" s="27"/>
      <c r="AL12" s="29" t="s">
        <v>16</v>
      </c>
      <c r="AM12" s="30">
        <f>$O$2-AP12</f>
        <v>25</v>
      </c>
      <c r="AN12" s="45">
        <v>4</v>
      </c>
      <c r="AO12" s="47">
        <v>748.05145064952103</v>
      </c>
      <c r="AP12" s="48">
        <v>6</v>
      </c>
      <c r="AQ12" s="49">
        <v>1</v>
      </c>
      <c r="AR12" s="33">
        <f>MAX(($Q$2-AO12)/$Q$2, 0)</f>
        <v>4.5852741518468076E-2</v>
      </c>
      <c r="AS12" s="47">
        <v>3609.4288458229998</v>
      </c>
      <c r="AT12" s="3">
        <v>153</v>
      </c>
      <c r="AU12" s="27">
        <f>(AO12-AO13)/AO13</f>
        <v>0</v>
      </c>
    </row>
    <row r="13" spans="1:47" ht="15" thickBot="1" x14ac:dyDescent="0.35">
      <c r="A13" s="50" t="s">
        <v>19</v>
      </c>
      <c r="B13" s="35" t="s">
        <v>17</v>
      </c>
      <c r="C13" s="36">
        <f>$O$2-F13</f>
        <v>21</v>
      </c>
      <c r="D13" s="51">
        <v>4</v>
      </c>
      <c r="E13" s="52">
        <v>689.9985797091</v>
      </c>
      <c r="F13" s="53">
        <v>10</v>
      </c>
      <c r="G13" s="54">
        <v>1</v>
      </c>
      <c r="H13" s="39">
        <f>MAX(($Q$2-E13)/$Q$2,0)</f>
        <v>0.11989977077920919</v>
      </c>
      <c r="I13" s="52">
        <v>10440.694855993001</v>
      </c>
      <c r="K13" s="27"/>
      <c r="N13" s="35" t="s">
        <v>17</v>
      </c>
      <c r="O13" s="36">
        <f>$O$2-R13</f>
        <v>23</v>
      </c>
      <c r="P13" s="55">
        <v>4</v>
      </c>
      <c r="Q13" s="52">
        <v>762.42074000000002</v>
      </c>
      <c r="R13" s="53">
        <v>8</v>
      </c>
      <c r="S13" s="54">
        <v>1</v>
      </c>
      <c r="T13" s="39">
        <f>MAX(($Q$2-Q13)/$Q$2,0)</f>
        <v>2.7524566326530581E-2</v>
      </c>
      <c r="U13" s="52">
        <v>2297.8935000000001</v>
      </c>
      <c r="V13" s="45"/>
      <c r="W13" s="27"/>
      <c r="Y13" s="35" t="s">
        <v>17</v>
      </c>
      <c r="Z13" s="36">
        <f>$O$2-AC13</f>
        <v>27</v>
      </c>
      <c r="AA13" s="51">
        <v>4</v>
      </c>
      <c r="AB13" s="52">
        <v>770.11365271438103</v>
      </c>
      <c r="AC13" s="53">
        <v>4</v>
      </c>
      <c r="AD13" s="54">
        <v>1</v>
      </c>
      <c r="AE13" s="39">
        <f>MAX(($Q$2-AB13)/$Q$2,0)</f>
        <v>1.7712177660228274E-2</v>
      </c>
      <c r="AF13" s="52">
        <v>4191.0860000000002</v>
      </c>
      <c r="AG13" s="46"/>
      <c r="AH13" s="27"/>
      <c r="AI13" s="28"/>
      <c r="AJ13" s="27"/>
      <c r="AK13" s="27"/>
      <c r="AL13" s="35" t="s">
        <v>17</v>
      </c>
      <c r="AM13" s="36">
        <f>$O$2-AP13</f>
        <v>25</v>
      </c>
      <c r="AN13" s="51">
        <v>4</v>
      </c>
      <c r="AO13" s="52">
        <v>748.05145064952103</v>
      </c>
      <c r="AP13" s="53">
        <v>6</v>
      </c>
      <c r="AQ13" s="54">
        <v>1</v>
      </c>
      <c r="AR13" s="39">
        <f>MAX(($Q$2-AO13)/$Q$2,0)</f>
        <v>4.5852741518468076E-2</v>
      </c>
      <c r="AS13" s="52">
        <v>106792.571352447</v>
      </c>
      <c r="AU13" s="27"/>
    </row>
    <row r="14" spans="1:47" ht="15" thickBot="1" x14ac:dyDescent="0.35">
      <c r="C14" s="3"/>
      <c r="D14" s="3"/>
      <c r="E14" s="3"/>
      <c r="F14" s="3"/>
      <c r="G14" s="3"/>
      <c r="H14" s="3"/>
      <c r="I14" s="3"/>
      <c r="K14" s="56"/>
      <c r="O14" s="3"/>
      <c r="P14" s="3"/>
      <c r="Q14" s="3"/>
      <c r="R14" s="3"/>
      <c r="S14" s="3"/>
      <c r="T14" s="3"/>
      <c r="U14" s="3"/>
      <c r="V14" s="56"/>
      <c r="W14" s="56"/>
      <c r="Z14" s="3"/>
      <c r="AA14" s="3"/>
      <c r="AB14" s="3"/>
      <c r="AC14" s="3"/>
      <c r="AD14" s="3"/>
      <c r="AE14" s="3"/>
      <c r="AF14" s="3"/>
      <c r="AG14" s="57"/>
      <c r="AH14" s="56"/>
      <c r="AI14" s="56"/>
      <c r="AJ14" s="56"/>
      <c r="AK14" s="56"/>
      <c r="AM14" s="3"/>
      <c r="AN14" s="3"/>
      <c r="AO14" s="3"/>
      <c r="AP14" s="3"/>
      <c r="AQ14" s="3"/>
      <c r="AR14" s="3"/>
      <c r="AS14" s="3"/>
      <c r="AU14" s="56"/>
    </row>
    <row r="15" spans="1:47" x14ac:dyDescent="0.3">
      <c r="B15" s="21" t="s">
        <v>15</v>
      </c>
      <c r="C15" s="22">
        <f>$O$2-F15</f>
        <v>18</v>
      </c>
      <c r="D15" s="41">
        <v>4</v>
      </c>
      <c r="E15" s="42">
        <v>650.30153484355196</v>
      </c>
      <c r="F15" s="43">
        <v>13</v>
      </c>
      <c r="G15" s="44">
        <v>1</v>
      </c>
      <c r="H15" s="25">
        <f>MAX(($Q$2-E15)/$Q$2, 0)</f>
        <v>0.1705337565771021</v>
      </c>
      <c r="I15" s="42">
        <v>1.505072535</v>
      </c>
      <c r="K15" s="27">
        <f>(E15-E17)/E17</f>
        <v>2.1070173106151634E-2</v>
      </c>
      <c r="M15" s="3">
        <v>2</v>
      </c>
      <c r="N15" s="21" t="s">
        <v>15</v>
      </c>
      <c r="O15" s="22">
        <f>$O$2-R15</f>
        <v>22</v>
      </c>
      <c r="P15" s="41">
        <v>4</v>
      </c>
      <c r="Q15" s="42">
        <v>755.45087289654805</v>
      </c>
      <c r="R15" s="43">
        <v>9</v>
      </c>
      <c r="S15" s="44">
        <v>1</v>
      </c>
      <c r="T15" s="25">
        <f>MAX(($Q$2-Q15)/$Q$2, 0)</f>
        <v>3.6414702938076471E-2</v>
      </c>
      <c r="U15" s="42">
        <v>2.1905000000000001</v>
      </c>
      <c r="V15" s="45"/>
      <c r="W15" s="27">
        <f>(Q15-Q17)/Q17</f>
        <v>2.1305086889875542E-3</v>
      </c>
      <c r="Y15" s="21" t="s">
        <v>15</v>
      </c>
      <c r="Z15" s="22">
        <f>$O$2-AC15</f>
        <v>24</v>
      </c>
      <c r="AA15" s="41">
        <v>4</v>
      </c>
      <c r="AB15" s="42">
        <v>771.01734699999997</v>
      </c>
      <c r="AC15" s="43">
        <v>7</v>
      </c>
      <c r="AD15" s="44">
        <v>1</v>
      </c>
      <c r="AE15" s="25">
        <f>MAX(($Q$2-AB15)/$Q$2, 0)</f>
        <v>1.6559506377551055E-2</v>
      </c>
      <c r="AF15" s="42">
        <v>2.53658903</v>
      </c>
      <c r="AG15" s="46"/>
      <c r="AH15" s="27">
        <f>(AB15-AB17)/AB17</f>
        <v>-5.6294450048496473E-10</v>
      </c>
      <c r="AI15" s="28"/>
      <c r="AJ15" s="27"/>
      <c r="AK15" s="27"/>
      <c r="AL15" s="21" t="s">
        <v>15</v>
      </c>
      <c r="AM15" s="22">
        <f>$O$2-AP15</f>
        <v>29</v>
      </c>
      <c r="AN15" s="41">
        <v>5</v>
      </c>
      <c r="AO15" s="42">
        <v>826.79474294009799</v>
      </c>
      <c r="AP15" s="43">
        <v>2</v>
      </c>
      <c r="AQ15" s="44">
        <v>1</v>
      </c>
      <c r="AR15" s="25">
        <f>MAX(($Q$2-AO15)/$Q$2, 0)</f>
        <v>0</v>
      </c>
      <c r="AS15" s="42">
        <v>6.6735457670000002</v>
      </c>
      <c r="AU15" s="27">
        <f>(AO15-AO17)/AO17</f>
        <v>5.4585131301145395E-2</v>
      </c>
    </row>
    <row r="16" spans="1:47" x14ac:dyDescent="0.3">
      <c r="B16" s="29" t="s">
        <v>16</v>
      </c>
      <c r="C16" s="30">
        <f>$O$2-F16</f>
        <v>18</v>
      </c>
      <c r="D16" s="45">
        <v>4</v>
      </c>
      <c r="E16" s="47">
        <v>648.00081005244601</v>
      </c>
      <c r="F16" s="48">
        <v>13</v>
      </c>
      <c r="G16" s="49">
        <v>1</v>
      </c>
      <c r="H16" s="33">
        <f>MAX(($Q$2-E16)/$Q$2, 0)</f>
        <v>0.1734683545249413</v>
      </c>
      <c r="I16" s="47">
        <v>170.47232179900001</v>
      </c>
      <c r="J16" s="3">
        <v>135</v>
      </c>
      <c r="K16" s="27">
        <f>(E16-E17)/E17</f>
        <v>1.7457692841455149E-2</v>
      </c>
      <c r="N16" s="29" t="s">
        <v>16</v>
      </c>
      <c r="O16" s="30">
        <f>$O$2-R16</f>
        <v>22</v>
      </c>
      <c r="P16" s="45">
        <v>4</v>
      </c>
      <c r="Q16" s="47">
        <v>753.84482888930302</v>
      </c>
      <c r="R16" s="48">
        <v>9</v>
      </c>
      <c r="S16" s="49">
        <v>1</v>
      </c>
      <c r="T16" s="33">
        <f>MAX(($Q$2-Q16)/$Q$2, 0)</f>
        <v>3.8463228457521662E-2</v>
      </c>
      <c r="U16" s="47">
        <v>74.029968711999999</v>
      </c>
      <c r="V16" s="45">
        <v>104</v>
      </c>
      <c r="W16" s="27">
        <f>(Q16-Q17)/Q17</f>
        <v>3.8322613690367703E-8</v>
      </c>
      <c r="Y16" s="29" t="s">
        <v>16</v>
      </c>
      <c r="Z16" s="30">
        <f>$O$2-AC16</f>
        <v>24</v>
      </c>
      <c r="AA16" s="45">
        <v>4</v>
      </c>
      <c r="AB16" s="47">
        <v>771.01734743403995</v>
      </c>
      <c r="AC16" s="48">
        <v>7</v>
      </c>
      <c r="AD16" s="49">
        <v>1</v>
      </c>
      <c r="AE16" s="33">
        <f>MAX(($Q$2-AB16)/$Q$2, 0)</f>
        <v>1.6559505823928639E-2</v>
      </c>
      <c r="AF16" s="47">
        <v>86.719606939000002</v>
      </c>
      <c r="AG16" s="46">
        <v>110</v>
      </c>
      <c r="AH16" s="27">
        <f>(AB16-AB17)/AB17</f>
        <v>0</v>
      </c>
      <c r="AI16" s="28"/>
      <c r="AJ16" s="27"/>
      <c r="AK16" s="27"/>
      <c r="AL16" s="29" t="s">
        <v>16</v>
      </c>
      <c r="AM16" s="30">
        <f>$O$2-AP16</f>
        <v>31</v>
      </c>
      <c r="AN16" s="45">
        <v>5</v>
      </c>
      <c r="AO16" s="47">
        <v>787.08188885511004</v>
      </c>
      <c r="AP16" s="48">
        <v>0</v>
      </c>
      <c r="AQ16" s="49">
        <v>0</v>
      </c>
      <c r="AR16" s="33">
        <f>MAX(($Q$2-AO16)/$Q$2, 0)</f>
        <v>0</v>
      </c>
      <c r="AS16" s="47">
        <v>179.942886891</v>
      </c>
      <c r="AT16" s="3">
        <v>104</v>
      </c>
      <c r="AU16" s="27">
        <f>(AO16-AO17)/AO17</f>
        <v>3.9309806825383129E-3</v>
      </c>
    </row>
    <row r="17" spans="1:57" ht="15" thickBot="1" x14ac:dyDescent="0.35">
      <c r="A17" s="50" t="s">
        <v>20</v>
      </c>
      <c r="B17" s="35" t="s">
        <v>17</v>
      </c>
      <c r="C17" s="36">
        <f>$O$2-F17</f>
        <v>21</v>
      </c>
      <c r="D17" s="51">
        <v>4</v>
      </c>
      <c r="E17" s="52">
        <v>636.88231423438697</v>
      </c>
      <c r="F17" s="53">
        <v>10</v>
      </c>
      <c r="G17" s="54">
        <v>1</v>
      </c>
      <c r="H17" s="39">
        <f>MAX(($Q$2-E17)/$Q$2,0)</f>
        <v>0.18765010939491458</v>
      </c>
      <c r="I17" s="52">
        <v>281003.98569229897</v>
      </c>
      <c r="K17" s="45"/>
      <c r="N17" s="35" t="s">
        <v>17</v>
      </c>
      <c r="O17" s="36">
        <f>$O$2-R17</f>
        <v>22</v>
      </c>
      <c r="P17" s="51">
        <v>4</v>
      </c>
      <c r="Q17" s="52">
        <v>753.84479999999996</v>
      </c>
      <c r="R17" s="53">
        <v>9</v>
      </c>
      <c r="S17" s="54">
        <v>1</v>
      </c>
      <c r="T17" s="39">
        <f>MAX(($Q$2-Q17)/$Q$2,0)</f>
        <v>3.8463265306122492E-2</v>
      </c>
      <c r="U17" s="52">
        <v>1108.8</v>
      </c>
      <c r="V17" s="45"/>
      <c r="W17" s="45"/>
      <c r="Y17" s="35" t="s">
        <v>17</v>
      </c>
      <c r="Z17" s="36">
        <f>$O$2-AC17</f>
        <v>24</v>
      </c>
      <c r="AA17" s="51">
        <v>4</v>
      </c>
      <c r="AB17" s="52">
        <v>771.01734743403995</v>
      </c>
      <c r="AC17" s="53">
        <v>7</v>
      </c>
      <c r="AD17" s="54">
        <v>1</v>
      </c>
      <c r="AE17" s="39">
        <f>MAX(($Q$2-AB17)/$Q$2,0)</f>
        <v>1.6559505823928639E-2</v>
      </c>
      <c r="AF17" s="52">
        <v>4899.6914999999999</v>
      </c>
      <c r="AG17" s="46"/>
      <c r="AH17" s="45"/>
      <c r="AI17" s="14"/>
      <c r="AJ17" s="45"/>
      <c r="AK17" s="45"/>
      <c r="AL17" s="35" t="s">
        <v>17</v>
      </c>
      <c r="AM17" s="36">
        <f>$O$2-AP17</f>
        <v>31</v>
      </c>
      <c r="AN17" s="51">
        <v>5</v>
      </c>
      <c r="AO17" s="52">
        <v>784</v>
      </c>
      <c r="AP17" s="53">
        <v>0</v>
      </c>
      <c r="AQ17" s="54">
        <v>0</v>
      </c>
      <c r="AR17" s="39">
        <f>MAX(($Q$2-AO17)/$Q$2,0)</f>
        <v>0</v>
      </c>
      <c r="AS17" s="52"/>
      <c r="AU17" s="45"/>
      <c r="AV17" s="2">
        <v>15984882</v>
      </c>
      <c r="AW17" s="2">
        <v>12599625</v>
      </c>
      <c r="AX17" s="2">
        <v>529.15071</v>
      </c>
      <c r="AY17" s="2">
        <v>63</v>
      </c>
      <c r="AZ17" s="2">
        <v>33</v>
      </c>
      <c r="BA17" s="2">
        <v>648.07168000000001</v>
      </c>
      <c r="BB17" s="2">
        <v>457.40492</v>
      </c>
      <c r="BC17" s="58">
        <v>0.29399999999999998</v>
      </c>
      <c r="BD17" s="2">
        <v>18.7</v>
      </c>
      <c r="BE17" s="2" t="s">
        <v>21</v>
      </c>
    </row>
    <row r="18" spans="1:57" ht="15" thickBot="1" x14ac:dyDescent="0.35">
      <c r="C18" s="3"/>
      <c r="D18" s="3"/>
      <c r="E18" s="3"/>
      <c r="F18" s="3"/>
      <c r="G18" s="3"/>
      <c r="H18" s="3"/>
      <c r="I18" s="3"/>
      <c r="K18" s="56"/>
      <c r="O18" s="3"/>
      <c r="P18" s="3"/>
      <c r="Q18" s="3"/>
      <c r="R18" s="3"/>
      <c r="S18" s="3"/>
      <c r="T18" s="3"/>
      <c r="U18" s="3"/>
      <c r="V18" s="56"/>
      <c r="W18" s="56"/>
      <c r="Z18" s="3"/>
      <c r="AA18" s="3"/>
      <c r="AB18" s="3"/>
      <c r="AC18" s="3"/>
      <c r="AD18" s="3"/>
      <c r="AE18" s="3"/>
      <c r="AF18" s="3"/>
      <c r="AG18" s="57"/>
      <c r="AH18" s="56"/>
      <c r="AI18" s="56"/>
      <c r="AJ18" s="56"/>
      <c r="AK18" s="56"/>
      <c r="AM18" s="3"/>
      <c r="AN18" s="3"/>
      <c r="AO18" s="3"/>
      <c r="AP18" s="3"/>
      <c r="AQ18" s="3"/>
      <c r="AR18" s="3"/>
      <c r="AS18" s="3"/>
      <c r="AU18" s="56"/>
    </row>
    <row r="19" spans="1:57" x14ac:dyDescent="0.3">
      <c r="B19" s="21" t="s">
        <v>15</v>
      </c>
      <c r="C19" s="22">
        <f>$O$2-F19</f>
        <v>18</v>
      </c>
      <c r="D19" s="41">
        <v>4</v>
      </c>
      <c r="E19" s="42">
        <v>670.42343734078202</v>
      </c>
      <c r="F19" s="43">
        <v>13</v>
      </c>
      <c r="G19" s="44">
        <v>1</v>
      </c>
      <c r="H19" s="25">
        <f>MAX(($Q$2-E19)/$Q$2, 0)</f>
        <v>0.14486806461634946</v>
      </c>
      <c r="I19" s="42">
        <v>3.456374152</v>
      </c>
      <c r="K19" s="27">
        <f>(E19-E21)/E21</f>
        <v>3.1869044566904298E-3</v>
      </c>
      <c r="M19" s="3">
        <v>3</v>
      </c>
      <c r="N19" s="21" t="s">
        <v>15</v>
      </c>
      <c r="O19" s="22">
        <f>$O$2-R19</f>
        <v>23</v>
      </c>
      <c r="P19" s="41">
        <v>4</v>
      </c>
      <c r="Q19" s="42">
        <v>757.253222191183</v>
      </c>
      <c r="R19" s="43">
        <v>8</v>
      </c>
      <c r="S19" s="44">
        <v>1</v>
      </c>
      <c r="T19" s="25">
        <f>MAX(($Q$2-Q19)/$Q$2, 0)</f>
        <v>3.4115788021450259E-2</v>
      </c>
      <c r="U19" s="42">
        <v>2.384674285</v>
      </c>
      <c r="V19" s="45"/>
      <c r="W19" s="27">
        <f>(Q19-Q21)/Q21</f>
        <v>2.6286330865947631E-3</v>
      </c>
      <c r="Y19" s="21" t="s">
        <v>15</v>
      </c>
      <c r="Z19" s="22">
        <f>$O$2-AC19</f>
        <v>24</v>
      </c>
      <c r="AA19" s="41">
        <v>4</v>
      </c>
      <c r="AB19" s="42">
        <v>769.81605290000005</v>
      </c>
      <c r="AC19" s="43">
        <v>7</v>
      </c>
      <c r="AD19" s="44">
        <v>1</v>
      </c>
      <c r="AE19" s="25">
        <f>MAX(($Q$2-AB19)/$Q$2, 0)</f>
        <v>1.8091769260204026E-2</v>
      </c>
      <c r="AF19" s="42">
        <v>2.3922500000000002</v>
      </c>
      <c r="AG19" s="46"/>
      <c r="AH19" s="27">
        <f>(AB19-AB21)/AB21</f>
        <v>1.5501102879091541E-3</v>
      </c>
      <c r="AI19" s="28"/>
      <c r="AJ19" s="27"/>
      <c r="AK19" s="27"/>
      <c r="AL19" s="21" t="s">
        <v>15</v>
      </c>
      <c r="AM19" s="22">
        <f>$O$2-AP19</f>
        <v>23</v>
      </c>
      <c r="AN19" s="41">
        <v>4</v>
      </c>
      <c r="AO19" s="42">
        <v>764.41636535074497</v>
      </c>
      <c r="AP19" s="43">
        <v>8</v>
      </c>
      <c r="AQ19" s="44">
        <v>1</v>
      </c>
      <c r="AR19" s="25">
        <f>MAX(($Q$2-AO19)/$Q$2, 0)</f>
        <v>2.4979125828131419E-2</v>
      </c>
      <c r="AS19" s="42">
        <v>32.709333831999999</v>
      </c>
      <c r="AU19" s="27" t="e">
        <f>(AO19-AO21)/AO21</f>
        <v>#DIV/0!</v>
      </c>
    </row>
    <row r="20" spans="1:57" x14ac:dyDescent="0.3">
      <c r="B20" s="29" t="s">
        <v>16</v>
      </c>
      <c r="C20" s="30">
        <f>$O$2-F20</f>
        <v>20</v>
      </c>
      <c r="D20" s="45">
        <v>4</v>
      </c>
      <c r="E20" s="47">
        <v>669.58952446274202</v>
      </c>
      <c r="F20" s="48">
        <v>11</v>
      </c>
      <c r="G20" s="49">
        <v>1</v>
      </c>
      <c r="H20" s="33">
        <f>MAX(($Q$2-E20)/$Q$2, 0)</f>
        <v>0.14593172900160456</v>
      </c>
      <c r="I20" s="47">
        <v>56.025035719999998</v>
      </c>
      <c r="J20" s="3">
        <v>154</v>
      </c>
      <c r="K20" s="27">
        <f>(E20-E21)/E21</f>
        <v>1.9390804217405938E-3</v>
      </c>
      <c r="N20" s="29" t="s">
        <v>16</v>
      </c>
      <c r="O20" s="30">
        <f>$O$2-R20</f>
        <v>23</v>
      </c>
      <c r="P20" s="45">
        <v>4</v>
      </c>
      <c r="Q20" s="47">
        <v>755.26799509222997</v>
      </c>
      <c r="R20" s="48">
        <v>8</v>
      </c>
      <c r="S20" s="49">
        <v>1</v>
      </c>
      <c r="T20" s="33">
        <f>MAX(($Q$2-Q20)/$Q$2, 0)</f>
        <v>3.6647965443584229E-2</v>
      </c>
      <c r="U20" s="47">
        <v>103.486</v>
      </c>
      <c r="V20" s="45">
        <v>104</v>
      </c>
      <c r="W20" s="27">
        <f>(Q20-Q21)/Q21</f>
        <v>1.2590529785861716E-7</v>
      </c>
      <c r="Y20" s="29" t="s">
        <v>16</v>
      </c>
      <c r="Z20" s="30">
        <f>$O$2-AC20</f>
        <v>25</v>
      </c>
      <c r="AA20" s="45">
        <v>4</v>
      </c>
      <c r="AB20" s="47">
        <v>768.62465568100004</v>
      </c>
      <c r="AC20" s="48">
        <v>6</v>
      </c>
      <c r="AD20" s="49">
        <v>1</v>
      </c>
      <c r="AE20" s="33">
        <f>MAX(($Q$2-AB20)/$Q$2, 0)</f>
        <v>1.9611408570153015E-2</v>
      </c>
      <c r="AF20" s="47">
        <v>108.1905577</v>
      </c>
      <c r="AG20" s="46">
        <v>101</v>
      </c>
      <c r="AH20" s="27">
        <f>(AB20-AB21)/AB21</f>
        <v>7.2442386112719973E-8</v>
      </c>
      <c r="AI20" s="28"/>
      <c r="AJ20" s="27"/>
      <c r="AK20" s="27"/>
      <c r="AL20" s="29" t="s">
        <v>16</v>
      </c>
      <c r="AM20" s="30">
        <f>$O$2-AP20</f>
        <v>26</v>
      </c>
      <c r="AN20" s="45">
        <v>4</v>
      </c>
      <c r="AO20" s="47">
        <v>746.76748136538299</v>
      </c>
      <c r="AP20" s="48">
        <v>5</v>
      </c>
      <c r="AQ20" s="49">
        <v>1</v>
      </c>
      <c r="AR20" s="33">
        <f>MAX(($Q$2-AO20)/$Q$2, 0)</f>
        <v>4.7490457442113533E-2</v>
      </c>
      <c r="AS20" s="47">
        <v>11114.226612644999</v>
      </c>
      <c r="AT20" s="3">
        <v>211</v>
      </c>
      <c r="AU20" s="27" t="e">
        <f>(AO20-AO21)/AO21</f>
        <v>#DIV/0!</v>
      </c>
      <c r="AV20" s="59">
        <f>E20-[1]Graph!G12</f>
        <v>605.58757136754355</v>
      </c>
      <c r="AW20" s="59">
        <v>605.587571367544</v>
      </c>
    </row>
    <row r="21" spans="1:57" ht="15" thickBot="1" x14ac:dyDescent="0.35">
      <c r="A21" s="50" t="s">
        <v>22</v>
      </c>
      <c r="B21" s="35" t="s">
        <v>17</v>
      </c>
      <c r="C21" s="36">
        <f>$O$2-F21</f>
        <v>19</v>
      </c>
      <c r="D21" s="51">
        <v>4</v>
      </c>
      <c r="E21" s="52">
        <v>668.29364933135003</v>
      </c>
      <c r="F21" s="53">
        <v>12</v>
      </c>
      <c r="G21" s="54">
        <v>1</v>
      </c>
      <c r="H21" s="39">
        <f>MAX(($Q$2-E21)/$Q$2,0)</f>
        <v>0.14758463095491067</v>
      </c>
      <c r="I21" s="52">
        <v>178627.12544</v>
      </c>
      <c r="K21" s="45"/>
      <c r="N21" s="35" t="s">
        <v>17</v>
      </c>
      <c r="O21" s="36">
        <f>$O$2-R21</f>
        <v>23</v>
      </c>
      <c r="P21" s="51">
        <v>4</v>
      </c>
      <c r="Q21" s="52">
        <v>755.26790000000005</v>
      </c>
      <c r="R21" s="53">
        <v>8</v>
      </c>
      <c r="S21" s="54">
        <v>1</v>
      </c>
      <c r="T21" s="39">
        <f>MAX(($Q$2-Q21)/$Q$2,0)</f>
        <v>3.6648086734693809E-2</v>
      </c>
      <c r="U21" s="52">
        <v>1613.5107</v>
      </c>
      <c r="V21" s="45"/>
      <c r="W21" s="45"/>
      <c r="Y21" s="35" t="s">
        <v>17</v>
      </c>
      <c r="Z21" s="36">
        <f>$O$2-AC21</f>
        <v>25</v>
      </c>
      <c r="AA21" s="51">
        <v>4</v>
      </c>
      <c r="AB21" s="52">
        <v>768.62459999999999</v>
      </c>
      <c r="AC21" s="53">
        <v>6</v>
      </c>
      <c r="AD21" s="54">
        <v>1</v>
      </c>
      <c r="AE21" s="39">
        <f>MAX(($Q$2-AB21)/$Q$2,0)</f>
        <v>1.9611479591836751E-2</v>
      </c>
      <c r="AF21" s="52">
        <v>35460.843000000001</v>
      </c>
      <c r="AG21" s="46"/>
      <c r="AH21" s="45"/>
      <c r="AI21" s="14"/>
      <c r="AJ21" s="45"/>
      <c r="AK21" s="45"/>
      <c r="AL21" s="35" t="s">
        <v>17</v>
      </c>
      <c r="AM21" s="36">
        <f>$O$2-AP21</f>
        <v>31</v>
      </c>
      <c r="AN21" s="51"/>
      <c r="AO21" s="52"/>
      <c r="AP21" s="53"/>
      <c r="AQ21" s="54"/>
      <c r="AR21" s="39">
        <f>MAX(($Q$2-AO21)/$Q$2,0)</f>
        <v>1</v>
      </c>
      <c r="AS21" s="52"/>
      <c r="AU21" s="45"/>
      <c r="AV21" s="2">
        <v>14168155</v>
      </c>
      <c r="AW21" s="2">
        <v>10065371</v>
      </c>
      <c r="AX21" s="2">
        <v>637.76432999999997</v>
      </c>
      <c r="AY21" s="2">
        <v>96</v>
      </c>
      <c r="AZ21" s="2">
        <v>28</v>
      </c>
      <c r="BA21" s="2">
        <v>674.44443000000001</v>
      </c>
      <c r="BB21" s="2">
        <v>469.80613</v>
      </c>
      <c r="BC21" s="58">
        <v>0.30299999999999999</v>
      </c>
      <c r="BD21" s="2">
        <v>20.7</v>
      </c>
      <c r="BE21" s="2" t="s">
        <v>23</v>
      </c>
    </row>
    <row r="22" spans="1:57" ht="15" thickBot="1" x14ac:dyDescent="0.35">
      <c r="C22" s="3"/>
      <c r="D22" s="3"/>
      <c r="E22" s="3"/>
      <c r="F22" s="3"/>
      <c r="G22" s="3"/>
      <c r="H22" s="3"/>
      <c r="I22" s="3"/>
      <c r="K22" s="56"/>
      <c r="O22" s="3"/>
      <c r="P22" s="3"/>
      <c r="Q22" s="3"/>
      <c r="R22" s="3"/>
      <c r="S22" s="3"/>
      <c r="T22" s="3"/>
      <c r="U22" s="3"/>
      <c r="V22" s="56"/>
      <c r="W22" s="56"/>
      <c r="Z22" s="3"/>
      <c r="AA22" s="3"/>
      <c r="AB22" s="3"/>
      <c r="AC22" s="3"/>
      <c r="AD22" s="3"/>
      <c r="AE22" s="3"/>
      <c r="AF22" s="3"/>
      <c r="AG22" s="57"/>
      <c r="AH22" s="56"/>
      <c r="AI22" s="56"/>
      <c r="AJ22" s="56"/>
      <c r="AK22" s="56"/>
      <c r="AM22" s="3"/>
      <c r="AN22" s="3"/>
      <c r="AO22" s="3"/>
      <c r="AP22" s="3"/>
      <c r="AQ22" s="3"/>
      <c r="AR22" s="3"/>
      <c r="AS22" s="3"/>
      <c r="AU22" s="56"/>
    </row>
    <row r="23" spans="1:57" x14ac:dyDescent="0.3">
      <c r="B23" s="21" t="s">
        <v>15</v>
      </c>
      <c r="C23" s="22">
        <f>$O$2-F23</f>
        <v>18</v>
      </c>
      <c r="D23" s="41">
        <v>4</v>
      </c>
      <c r="E23" s="42">
        <v>661.28090320951003</v>
      </c>
      <c r="F23" s="43">
        <v>13</v>
      </c>
      <c r="G23" s="44">
        <v>1</v>
      </c>
      <c r="H23" s="25">
        <f>MAX(($Q$2-E23)/$Q$2, 0)</f>
        <v>0.15652946019195149</v>
      </c>
      <c r="I23" s="42">
        <v>2.1919917080000002</v>
      </c>
      <c r="K23" s="27">
        <f>(E23-E25)/E25</f>
        <v>4.5101733444491542E-3</v>
      </c>
      <c r="M23" s="3">
        <v>4</v>
      </c>
      <c r="N23" s="21" t="s">
        <v>15</v>
      </c>
      <c r="O23" s="22">
        <f>$O$2-R23</f>
        <v>20</v>
      </c>
      <c r="P23" s="41">
        <v>4</v>
      </c>
      <c r="Q23" s="42">
        <v>745.01099279037999</v>
      </c>
      <c r="R23" s="43">
        <v>11</v>
      </c>
      <c r="S23" s="44">
        <v>1</v>
      </c>
      <c r="T23" s="25">
        <f>MAX(($Q$2-Q23)/$Q$2, 0)</f>
        <v>4.973087654288267E-2</v>
      </c>
      <c r="U23" s="42">
        <v>5.3401800000000001</v>
      </c>
      <c r="V23" s="45"/>
      <c r="W23" s="27">
        <f>(Q23-Q25)/Q25</f>
        <v>3.78076710133868E-2</v>
      </c>
      <c r="Y23" s="21" t="s">
        <v>15</v>
      </c>
      <c r="Z23" s="22">
        <f>$O$2-AC23</f>
        <v>20</v>
      </c>
      <c r="AA23" s="41">
        <v>4</v>
      </c>
      <c r="AB23" s="42">
        <v>673.34452705219996</v>
      </c>
      <c r="AC23" s="43">
        <v>11</v>
      </c>
      <c r="AD23" s="44">
        <v>1</v>
      </c>
      <c r="AE23" s="25">
        <f>MAX(($Q$2-AB23)/$Q$2, 0)</f>
        <v>0.14114218488239799</v>
      </c>
      <c r="AF23" s="42">
        <v>2.5945999999999998</v>
      </c>
      <c r="AG23" s="46"/>
      <c r="AH23" s="27">
        <f>(AB23-AB25)/AB25</f>
        <v>7.2426031315283562E-3</v>
      </c>
      <c r="AI23" s="28"/>
      <c r="AJ23" s="27"/>
      <c r="AK23" s="27"/>
      <c r="AL23" s="21" t="s">
        <v>15</v>
      </c>
      <c r="AM23" s="22">
        <f>$O$2-AP23</f>
        <v>21</v>
      </c>
      <c r="AN23" s="41">
        <v>4</v>
      </c>
      <c r="AO23" s="42">
        <v>732.48779760929096</v>
      </c>
      <c r="AP23" s="43">
        <v>10</v>
      </c>
      <c r="AQ23" s="44">
        <v>1</v>
      </c>
      <c r="AR23" s="25">
        <f>MAX(($Q$2-AO23)/$Q$2, 0)</f>
        <v>6.5704339784067645E-2</v>
      </c>
      <c r="AS23" s="42">
        <v>1982.360579656</v>
      </c>
      <c r="AU23" s="27" t="e">
        <f>(AO23-AO25)/AO25</f>
        <v>#DIV/0!</v>
      </c>
    </row>
    <row r="24" spans="1:57" x14ac:dyDescent="0.3">
      <c r="B24" s="29" t="s">
        <v>16</v>
      </c>
      <c r="C24" s="30">
        <f>$O$2-F24</f>
        <v>18</v>
      </c>
      <c r="D24" s="45">
        <v>4</v>
      </c>
      <c r="E24" s="47">
        <v>661.28090320951003</v>
      </c>
      <c r="F24" s="48">
        <v>13</v>
      </c>
      <c r="G24" s="49">
        <v>1</v>
      </c>
      <c r="H24" s="33">
        <f>MAX(($Q$2-E24)/$Q$2, 0)</f>
        <v>0.15652946019195149</v>
      </c>
      <c r="I24" s="47">
        <v>31.126105940999999</v>
      </c>
      <c r="J24" s="3">
        <v>100</v>
      </c>
      <c r="K24" s="27">
        <f>(E24-E25)/E25</f>
        <v>4.5101733444491542E-3</v>
      </c>
      <c r="N24" s="29" t="s">
        <v>16</v>
      </c>
      <c r="O24" s="30">
        <f>$O$2-R24</f>
        <v>21</v>
      </c>
      <c r="P24" s="45">
        <v>4</v>
      </c>
      <c r="Q24" s="47">
        <v>717.87091999999996</v>
      </c>
      <c r="R24" s="48">
        <v>10</v>
      </c>
      <c r="S24" s="49">
        <v>1</v>
      </c>
      <c r="T24" s="33">
        <f>MAX(($Q$2-Q24)/$Q$2, 0)</f>
        <v>8.434831632653067E-2</v>
      </c>
      <c r="U24" s="47">
        <v>76.136343999999994</v>
      </c>
      <c r="V24" s="45">
        <v>105</v>
      </c>
      <c r="W24" s="27">
        <f>(Q24-Q25)/Q25</f>
        <v>1.2815690862565089E-6</v>
      </c>
      <c r="Y24" s="29" t="s">
        <v>16</v>
      </c>
      <c r="Z24" s="30">
        <f>$O$2-AC24</f>
        <v>21</v>
      </c>
      <c r="AA24" s="45">
        <v>4</v>
      </c>
      <c r="AB24" s="47">
        <v>668.50282600000003</v>
      </c>
      <c r="AC24" s="48">
        <v>10</v>
      </c>
      <c r="AD24" s="49">
        <v>1</v>
      </c>
      <c r="AE24" s="33">
        <f>MAX(($Q$2-AB24)/$Q$2, 0)</f>
        <v>0.14731782397959181</v>
      </c>
      <c r="AF24" s="47">
        <v>103.07154</v>
      </c>
      <c r="AG24" s="46">
        <v>142</v>
      </c>
      <c r="AH24" s="27">
        <f>(AB24-AB25)/AB25</f>
        <v>-5.8094595773551133E-10</v>
      </c>
      <c r="AI24" s="28"/>
      <c r="AJ24" s="27"/>
      <c r="AK24" s="27"/>
      <c r="AL24" s="29" t="s">
        <v>16</v>
      </c>
      <c r="AM24" s="30">
        <f>$O$2-AP24</f>
        <v>31</v>
      </c>
      <c r="AN24" s="45"/>
      <c r="AO24" s="47"/>
      <c r="AP24" s="48"/>
      <c r="AQ24" s="49"/>
      <c r="AR24" s="33">
        <f>MAX(($Q$2-AO24)/$Q$2, 0)</f>
        <v>1</v>
      </c>
      <c r="AS24" s="47"/>
      <c r="AU24" s="27" t="e">
        <f>(AO24-AO25)/AO25</f>
        <v>#DIV/0!</v>
      </c>
    </row>
    <row r="25" spans="1:57" ht="15" thickBot="1" x14ac:dyDescent="0.35">
      <c r="A25" s="50" t="s">
        <v>24</v>
      </c>
      <c r="B25" s="35" t="s">
        <v>17</v>
      </c>
      <c r="C25" s="36">
        <f>$O$2-F25</f>
        <v>20</v>
      </c>
      <c r="D25" s="51">
        <v>4</v>
      </c>
      <c r="E25" s="52">
        <v>658.31180286389701</v>
      </c>
      <c r="F25" s="53">
        <v>11</v>
      </c>
      <c r="G25" s="54">
        <v>1</v>
      </c>
      <c r="H25" s="39">
        <f>MAX(($Q$2-E25)/$Q$2,0)</f>
        <v>0.16031657797972321</v>
      </c>
      <c r="I25" s="52">
        <v>50955.380219790997</v>
      </c>
      <c r="K25" s="45"/>
      <c r="N25" s="35" t="s">
        <v>17</v>
      </c>
      <c r="O25" s="36">
        <f>$O$2-R25</f>
        <v>21</v>
      </c>
      <c r="P25" s="51">
        <v>4</v>
      </c>
      <c r="Q25" s="52">
        <v>717.87</v>
      </c>
      <c r="R25" s="53">
        <v>10</v>
      </c>
      <c r="S25" s="54">
        <v>1</v>
      </c>
      <c r="T25" s="39">
        <f>MAX(($Q$2-Q25)/$Q$2,0)</f>
        <v>8.4349489795918359E-2</v>
      </c>
      <c r="U25" s="52">
        <v>591.06299999999999</v>
      </c>
      <c r="V25" s="45"/>
      <c r="W25" s="45"/>
      <c r="Y25" s="35" t="s">
        <v>17</v>
      </c>
      <c r="Z25" s="36">
        <f>$O$2-AC25</f>
        <v>21</v>
      </c>
      <c r="AA25" s="51">
        <v>4</v>
      </c>
      <c r="AB25" s="52">
        <v>668.50282638836404</v>
      </c>
      <c r="AC25" s="53">
        <v>10</v>
      </c>
      <c r="AD25" s="54">
        <v>1</v>
      </c>
      <c r="AE25" s="39">
        <f>MAX(($Q$2-AB25)/$Q$2,0)</f>
        <v>0.14731782348422953</v>
      </c>
      <c r="AF25" s="52">
        <v>16008.37516646</v>
      </c>
      <c r="AG25" s="46"/>
      <c r="AH25" s="45"/>
      <c r="AI25" s="14"/>
      <c r="AJ25" s="45"/>
      <c r="AK25" s="45"/>
      <c r="AL25" s="35" t="s">
        <v>17</v>
      </c>
      <c r="AM25" s="36">
        <f>$O$2-AP25</f>
        <v>31</v>
      </c>
      <c r="AN25" s="51"/>
      <c r="AO25" s="52"/>
      <c r="AP25" s="53"/>
      <c r="AQ25" s="54"/>
      <c r="AR25" s="39">
        <f>MAX(($Q$2-AO25)/$Q$2,0)</f>
        <v>1</v>
      </c>
      <c r="AS25" s="52"/>
      <c r="AU25" s="45"/>
    </row>
    <row r="26" spans="1:57" ht="15" thickBot="1" x14ac:dyDescent="0.35">
      <c r="C26" s="3"/>
      <c r="D26" s="3"/>
      <c r="E26" s="3"/>
      <c r="F26" s="3"/>
      <c r="G26" s="3"/>
      <c r="H26" s="3"/>
      <c r="I26" s="3"/>
      <c r="K26" s="56"/>
      <c r="O26" s="3"/>
      <c r="P26" s="3"/>
      <c r="Q26" s="3"/>
      <c r="R26" s="3"/>
      <c r="S26" s="3"/>
      <c r="T26" s="3"/>
      <c r="U26" s="3"/>
      <c r="V26" s="56"/>
      <c r="W26" s="56"/>
      <c r="Z26" s="3"/>
      <c r="AA26" s="3"/>
      <c r="AB26" s="3"/>
      <c r="AC26" s="3"/>
      <c r="AD26" s="3"/>
      <c r="AE26" s="3"/>
      <c r="AF26" s="3"/>
      <c r="AG26" s="57"/>
      <c r="AH26" s="56"/>
      <c r="AI26" s="56"/>
      <c r="AJ26" s="56"/>
      <c r="AK26" s="56"/>
      <c r="AM26" s="3"/>
      <c r="AN26" s="3"/>
      <c r="AO26" s="3"/>
      <c r="AP26" s="3"/>
      <c r="AQ26" s="3"/>
      <c r="AR26" s="3"/>
      <c r="AS26" s="3"/>
      <c r="AU26" s="56"/>
    </row>
    <row r="27" spans="1:57" x14ac:dyDescent="0.3">
      <c r="B27" s="21" t="s">
        <v>15</v>
      </c>
      <c r="C27" s="22">
        <f>$O$2-F27</f>
        <v>19</v>
      </c>
      <c r="D27" s="41">
        <v>4</v>
      </c>
      <c r="E27" s="42">
        <v>690.45835439629798</v>
      </c>
      <c r="F27" s="43">
        <v>12</v>
      </c>
      <c r="G27" s="44">
        <v>1</v>
      </c>
      <c r="H27" s="25">
        <f>MAX(($Q$2-E27)/$Q$2, 0)</f>
        <v>0.11931332347410972</v>
      </c>
      <c r="I27" s="42">
        <v>2.2181435390000002</v>
      </c>
      <c r="K27" s="27">
        <f>(E27-E29)/E29</f>
        <v>2.1767020688150264E-2</v>
      </c>
      <c r="M27" s="3">
        <v>5</v>
      </c>
      <c r="N27" s="21" t="s">
        <v>15</v>
      </c>
      <c r="O27" s="22">
        <f>$O$2-R27</f>
        <v>21</v>
      </c>
      <c r="P27" s="41">
        <v>4</v>
      </c>
      <c r="Q27" s="42">
        <v>737.86535415256901</v>
      </c>
      <c r="R27" s="43">
        <v>10</v>
      </c>
      <c r="S27" s="44">
        <v>1</v>
      </c>
      <c r="T27" s="25">
        <f>MAX(($Q$2-Q27)/$Q$2, 0)</f>
        <v>5.8845211540090543E-2</v>
      </c>
      <c r="U27" s="42">
        <v>3.2677100000000001</v>
      </c>
      <c r="V27" s="45"/>
      <c r="W27" s="27">
        <f>(Q27-Q29)/Q29</f>
        <v>2.2673498494216449E-2</v>
      </c>
      <c r="Y27" s="21" t="s">
        <v>15</v>
      </c>
      <c r="Z27" s="22">
        <f>$O$2-AC27</f>
        <v>22</v>
      </c>
      <c r="AA27" s="41">
        <v>4</v>
      </c>
      <c r="AB27" s="42">
        <v>763.5419124</v>
      </c>
      <c r="AC27" s="43">
        <v>9</v>
      </c>
      <c r="AD27" s="44">
        <v>1</v>
      </c>
      <c r="AE27" s="25">
        <f>MAX(($Q$2-AB27)/$Q$2, 0)</f>
        <v>2.6094499489795916E-2</v>
      </c>
      <c r="AF27" s="42">
        <v>2.72437</v>
      </c>
      <c r="AG27" s="46"/>
      <c r="AH27" s="27">
        <f>(AB27-AB29)/AB29</f>
        <v>4.2929279466120143E-2</v>
      </c>
      <c r="AI27" s="28"/>
      <c r="AJ27" s="27"/>
      <c r="AK27" s="27"/>
      <c r="AL27" s="21" t="s">
        <v>15</v>
      </c>
      <c r="AM27" s="22">
        <f>$O$2-AP27</f>
        <v>31</v>
      </c>
      <c r="AN27" s="41"/>
      <c r="AO27" s="42"/>
      <c r="AP27" s="43"/>
      <c r="AQ27" s="44"/>
      <c r="AR27" s="25">
        <f>MAX(($Q$2-AO27)/$Q$2, 0)</f>
        <v>1</v>
      </c>
      <c r="AS27" s="42"/>
      <c r="AU27" s="27" t="e">
        <f>(AO27-AO29)/AO29</f>
        <v>#DIV/0!</v>
      </c>
    </row>
    <row r="28" spans="1:57" x14ac:dyDescent="0.3">
      <c r="B28" s="29" t="s">
        <v>16</v>
      </c>
      <c r="C28" s="30">
        <f>$O$2-F28</f>
        <v>20</v>
      </c>
      <c r="D28" s="45">
        <v>4</v>
      </c>
      <c r="E28" s="47">
        <v>679.25214813273101</v>
      </c>
      <c r="F28" s="48">
        <v>11</v>
      </c>
      <c r="G28" s="49">
        <v>1</v>
      </c>
      <c r="H28" s="33">
        <f>MAX(($Q$2-E28)/$Q$2, 0)</f>
        <v>0.1336069539123329</v>
      </c>
      <c r="I28" s="47">
        <v>59.186288726000001</v>
      </c>
      <c r="J28" s="3">
        <v>166</v>
      </c>
      <c r="K28" s="27">
        <f>(E28-E29)/E29</f>
        <v>5.1836425390754661E-3</v>
      </c>
      <c r="N28" s="29" t="s">
        <v>16</v>
      </c>
      <c r="O28" s="30">
        <f>$O$2-R28</f>
        <v>21</v>
      </c>
      <c r="P28" s="45">
        <v>4</v>
      </c>
      <c r="Q28" s="47">
        <v>723.80229999999995</v>
      </c>
      <c r="R28" s="48">
        <v>10</v>
      </c>
      <c r="S28" s="49">
        <v>1</v>
      </c>
      <c r="T28" s="33">
        <f>MAX(($Q$2-Q28)/$Q$2, 0)</f>
        <v>7.6782780612244972E-2</v>
      </c>
      <c r="U28" s="47">
        <v>67.812799999999996</v>
      </c>
      <c r="V28" s="45">
        <v>101</v>
      </c>
      <c r="W28" s="27">
        <f>(Q28-Q29)/Q29</f>
        <v>3.1822556695158513E-3</v>
      </c>
      <c r="Y28" s="29" t="s">
        <v>16</v>
      </c>
      <c r="Z28" s="30">
        <f>$O$2-AC28</f>
        <v>24</v>
      </c>
      <c r="AA28" s="45">
        <v>4</v>
      </c>
      <c r="AB28" s="47">
        <v>732.11283000000003</v>
      </c>
      <c r="AC28" s="48">
        <v>7</v>
      </c>
      <c r="AD28" s="49">
        <v>1</v>
      </c>
      <c r="AE28" s="33">
        <f>MAX(($Q$2-AB28)/$Q$2, 0)</f>
        <v>6.6182614795918332E-2</v>
      </c>
      <c r="AF28" s="47">
        <v>98.794481200000007</v>
      </c>
      <c r="AG28" s="46">
        <v>101</v>
      </c>
      <c r="AH28" s="27">
        <f>(AB28-AB29)/AB29</f>
        <v>-8.0155362263786506E-9</v>
      </c>
      <c r="AI28" s="28"/>
      <c r="AJ28" s="27"/>
      <c r="AK28" s="27"/>
      <c r="AL28" s="29" t="s">
        <v>16</v>
      </c>
      <c r="AM28" s="30">
        <f>$O$2-AP28</f>
        <v>31</v>
      </c>
      <c r="AN28" s="45"/>
      <c r="AO28" s="47"/>
      <c r="AP28" s="48"/>
      <c r="AQ28" s="49"/>
      <c r="AR28" s="33">
        <f>MAX(($Q$2-AO28)/$Q$2, 0)</f>
        <v>1</v>
      </c>
      <c r="AS28" s="47"/>
      <c r="AU28" s="27" t="e">
        <f>(AO28-AO29)/AO29</f>
        <v>#DIV/0!</v>
      </c>
      <c r="AV28" s="59">
        <f>E28-[1]Graph!G12</f>
        <v>615.25019503753254</v>
      </c>
      <c r="AW28" s="59">
        <v>614.20964288063703</v>
      </c>
    </row>
    <row r="29" spans="1:57" ht="15" thickBot="1" x14ac:dyDescent="0.35">
      <c r="A29" s="50" t="s">
        <v>25</v>
      </c>
      <c r="B29" s="35" t="s">
        <v>17</v>
      </c>
      <c r="C29" s="36">
        <f>$O$2-F29</f>
        <v>21</v>
      </c>
      <c r="D29" s="51">
        <v>4</v>
      </c>
      <c r="E29" s="52">
        <v>675.74930528808898</v>
      </c>
      <c r="F29" s="53">
        <v>10</v>
      </c>
      <c r="G29" s="54">
        <v>1</v>
      </c>
      <c r="H29" s="39">
        <f>MAX(($Q$2-E29)/$Q$2,0)</f>
        <v>0.13807486570396815</v>
      </c>
      <c r="I29" s="52">
        <v>199698.59628162099</v>
      </c>
      <c r="K29" s="45"/>
      <c r="N29" s="35" t="s">
        <v>17</v>
      </c>
      <c r="O29" s="36">
        <f>$O$2-R29</f>
        <v>23</v>
      </c>
      <c r="P29" s="60">
        <v>4</v>
      </c>
      <c r="Q29" s="61">
        <v>721.50628254179003</v>
      </c>
      <c r="R29" s="62">
        <v>8</v>
      </c>
      <c r="S29" s="63">
        <v>1</v>
      </c>
      <c r="T29" s="39">
        <f>MAX(($Q$2-Q29)/$Q$2,0)</f>
        <v>7.9711374308941291E-2</v>
      </c>
      <c r="U29" s="52">
        <v>397.94799999999998</v>
      </c>
      <c r="V29" s="45"/>
      <c r="W29" s="45"/>
      <c r="Y29" s="35" t="s">
        <v>17</v>
      </c>
      <c r="Z29" s="36">
        <f>$O$2-AC29</f>
        <v>24</v>
      </c>
      <c r="AA29" s="51">
        <v>4</v>
      </c>
      <c r="AB29" s="52">
        <v>732.11283586827699</v>
      </c>
      <c r="AC29" s="53">
        <v>7</v>
      </c>
      <c r="AD29" s="54">
        <v>1</v>
      </c>
      <c r="AE29" s="39">
        <f>MAX(($Q$2-AB29)/$Q$2,0)</f>
        <v>6.6182607310871194E-2</v>
      </c>
      <c r="AF29" s="52">
        <v>14142.836794501</v>
      </c>
      <c r="AG29" s="46"/>
      <c r="AH29" s="45"/>
      <c r="AI29" s="14"/>
      <c r="AJ29" s="45"/>
      <c r="AK29" s="45"/>
      <c r="AL29" s="35" t="s">
        <v>17</v>
      </c>
      <c r="AM29" s="36">
        <f>$O$2-AP29</f>
        <v>31</v>
      </c>
      <c r="AN29" s="51"/>
      <c r="AO29" s="52"/>
      <c r="AP29" s="53"/>
      <c r="AQ29" s="54"/>
      <c r="AR29" s="39">
        <f>MAX(($Q$2-AO29)/$Q$2,0)</f>
        <v>1</v>
      </c>
      <c r="AS29" s="52"/>
      <c r="AU29" s="45"/>
    </row>
    <row r="32" spans="1:57" ht="15" thickBot="1" x14ac:dyDescent="0.35">
      <c r="B32" s="12"/>
      <c r="C32" s="278" t="s">
        <v>26</v>
      </c>
      <c r="D32" s="278"/>
      <c r="E32" s="278"/>
      <c r="F32" s="278"/>
      <c r="G32" s="278"/>
      <c r="H32" s="278"/>
      <c r="I32" s="278"/>
      <c r="N32" s="12"/>
      <c r="O32" s="278" t="s">
        <v>27</v>
      </c>
      <c r="P32" s="278"/>
      <c r="Q32" s="278"/>
      <c r="R32" s="278"/>
      <c r="S32" s="278"/>
      <c r="T32" s="278"/>
      <c r="U32" s="278"/>
      <c r="V32" s="14"/>
      <c r="W32" s="14"/>
      <c r="Y32" s="12"/>
      <c r="Z32" s="278" t="s">
        <v>28</v>
      </c>
      <c r="AA32" s="278"/>
      <c r="AB32" s="278"/>
      <c r="AC32" s="278"/>
      <c r="AD32" s="278"/>
      <c r="AE32" s="278"/>
      <c r="AF32" s="278"/>
      <c r="AG32" s="15"/>
      <c r="AH32" s="15"/>
      <c r="AI32" s="15"/>
      <c r="AJ32" s="15"/>
      <c r="AK32" s="15"/>
      <c r="AL32" s="12"/>
      <c r="AM32" s="278" t="s">
        <v>29</v>
      </c>
      <c r="AN32" s="278"/>
      <c r="AO32" s="278"/>
      <c r="AP32" s="278"/>
      <c r="AQ32" s="278"/>
      <c r="AR32" s="278"/>
      <c r="AS32" s="278"/>
    </row>
    <row r="33" spans="1:47" ht="15" thickBot="1" x14ac:dyDescent="0.35">
      <c r="B33" s="16" t="s">
        <v>5</v>
      </c>
      <c r="C33" s="276" t="s">
        <v>6</v>
      </c>
      <c r="D33" s="279"/>
      <c r="E33" s="277"/>
      <c r="F33" s="276" t="s">
        <v>7</v>
      </c>
      <c r="G33" s="277"/>
      <c r="H33" s="276" t="s">
        <v>8</v>
      </c>
      <c r="I33" s="277"/>
      <c r="N33" s="16" t="s">
        <v>5</v>
      </c>
      <c r="O33" s="276" t="s">
        <v>6</v>
      </c>
      <c r="P33" s="279"/>
      <c r="Q33" s="277"/>
      <c r="R33" s="276" t="s">
        <v>7</v>
      </c>
      <c r="S33" s="277"/>
      <c r="T33" s="276" t="s">
        <v>8</v>
      </c>
      <c r="U33" s="277"/>
      <c r="V33" s="14"/>
      <c r="W33" s="14"/>
      <c r="Y33" s="16" t="s">
        <v>5</v>
      </c>
      <c r="Z33" s="276" t="s">
        <v>6</v>
      </c>
      <c r="AA33" s="279"/>
      <c r="AB33" s="277"/>
      <c r="AC33" s="276" t="s">
        <v>7</v>
      </c>
      <c r="AD33" s="277"/>
      <c r="AE33" s="276" t="s">
        <v>8</v>
      </c>
      <c r="AF33" s="277"/>
      <c r="AG33" s="15"/>
      <c r="AH33" s="15"/>
      <c r="AI33" s="15"/>
      <c r="AJ33" s="15"/>
      <c r="AK33" s="15"/>
      <c r="AL33" s="16" t="s">
        <v>5</v>
      </c>
      <c r="AM33" s="276" t="s">
        <v>6</v>
      </c>
      <c r="AN33" s="279"/>
      <c r="AO33" s="277"/>
      <c r="AP33" s="276" t="s">
        <v>7</v>
      </c>
      <c r="AQ33" s="277"/>
      <c r="AR33" s="276" t="s">
        <v>8</v>
      </c>
      <c r="AS33" s="277"/>
    </row>
    <row r="34" spans="1:47" ht="29.4" thickBot="1" x14ac:dyDescent="0.35">
      <c r="B34" s="17" t="s">
        <v>9</v>
      </c>
      <c r="C34" s="8" t="s">
        <v>10</v>
      </c>
      <c r="D34" s="9" t="s">
        <v>11</v>
      </c>
      <c r="E34" s="10" t="s">
        <v>12</v>
      </c>
      <c r="F34" s="8" t="s">
        <v>10</v>
      </c>
      <c r="G34" s="10" t="s">
        <v>11</v>
      </c>
      <c r="H34" s="8" t="s">
        <v>8</v>
      </c>
      <c r="I34" s="18" t="s">
        <v>13</v>
      </c>
      <c r="N34" s="17" t="s">
        <v>9</v>
      </c>
      <c r="O34" s="8" t="s">
        <v>10</v>
      </c>
      <c r="P34" s="9" t="s">
        <v>11</v>
      </c>
      <c r="Q34" s="10" t="s">
        <v>12</v>
      </c>
      <c r="R34" s="8" t="s">
        <v>10</v>
      </c>
      <c r="S34" s="10" t="s">
        <v>11</v>
      </c>
      <c r="T34" s="8" t="s">
        <v>8</v>
      </c>
      <c r="U34" s="18" t="s">
        <v>13</v>
      </c>
      <c r="V34" s="19"/>
      <c r="W34" s="19"/>
      <c r="Y34" s="17" t="s">
        <v>9</v>
      </c>
      <c r="Z34" s="8" t="s">
        <v>10</v>
      </c>
      <c r="AA34" s="9" t="s">
        <v>11</v>
      </c>
      <c r="AB34" s="10" t="s">
        <v>12</v>
      </c>
      <c r="AC34" s="8" t="s">
        <v>10</v>
      </c>
      <c r="AD34" s="10" t="s">
        <v>11</v>
      </c>
      <c r="AE34" s="8" t="s">
        <v>8</v>
      </c>
      <c r="AF34" s="18" t="s">
        <v>13</v>
      </c>
      <c r="AG34" s="20"/>
      <c r="AH34" s="20"/>
      <c r="AI34" s="20"/>
      <c r="AJ34" s="20"/>
      <c r="AK34" s="20"/>
      <c r="AL34" s="17" t="s">
        <v>9</v>
      </c>
      <c r="AM34" s="8" t="s">
        <v>10</v>
      </c>
      <c r="AN34" s="9" t="s">
        <v>11</v>
      </c>
      <c r="AO34" s="10" t="s">
        <v>12</v>
      </c>
      <c r="AP34" s="8" t="s">
        <v>10</v>
      </c>
      <c r="AQ34" s="10" t="s">
        <v>11</v>
      </c>
      <c r="AR34" s="8" t="s">
        <v>8</v>
      </c>
      <c r="AS34" s="18" t="s">
        <v>13</v>
      </c>
    </row>
    <row r="35" spans="1:47" x14ac:dyDescent="0.3">
      <c r="B35" s="21" t="s">
        <v>15</v>
      </c>
      <c r="C35" s="22">
        <f t="shared" ref="C35:I37" si="4">AVERAGE(C40,C44,C48,C52,C56)</f>
        <v>16.8</v>
      </c>
      <c r="D35" s="23">
        <f t="shared" si="4"/>
        <v>3.4</v>
      </c>
      <c r="E35" s="24">
        <f t="shared" si="4"/>
        <v>661.16310072417741</v>
      </c>
      <c r="F35" s="22">
        <f t="shared" si="4"/>
        <v>14.2</v>
      </c>
      <c r="G35" s="24">
        <f t="shared" si="4"/>
        <v>1.6</v>
      </c>
      <c r="H35" s="64">
        <f t="shared" si="4"/>
        <v>0.15667971846405945</v>
      </c>
      <c r="I35" s="24">
        <f t="shared" si="4"/>
        <v>7.5260034222000005</v>
      </c>
      <c r="K35" s="27">
        <f>AVERAGE(K44,K48,K52,K56)</f>
        <v>1.4908441538741067E-2</v>
      </c>
      <c r="N35" s="21" t="s">
        <v>15</v>
      </c>
      <c r="O35" s="22">
        <f t="shared" ref="O35:U37" si="5">AVERAGE(O40,O44,O48,O52,O56)</f>
        <v>21.2</v>
      </c>
      <c r="P35" s="23">
        <f t="shared" si="5"/>
        <v>4</v>
      </c>
      <c r="Q35" s="24">
        <f t="shared" si="5"/>
        <v>742.98823157999993</v>
      </c>
      <c r="R35" s="22">
        <f t="shared" si="5"/>
        <v>9.8000000000000007</v>
      </c>
      <c r="S35" s="24">
        <f t="shared" si="5"/>
        <v>1</v>
      </c>
      <c r="T35" s="25">
        <f t="shared" si="5"/>
        <v>5.2310929107142842E-2</v>
      </c>
      <c r="U35" s="26">
        <f t="shared" si="5"/>
        <v>2.7161905825999999</v>
      </c>
      <c r="V35" s="14"/>
      <c r="W35" s="27">
        <f>AVERAGE(W40,W44,W48,W52,W56)</f>
        <v>1.8625469297960461E-2</v>
      </c>
      <c r="Y35" s="21" t="s">
        <v>15</v>
      </c>
      <c r="Z35" s="22">
        <f t="shared" ref="Z35:AF37" si="6">AVERAGE(Z40,Z44,Z48,Z52,Z56)</f>
        <v>20.6</v>
      </c>
      <c r="AA35" s="23">
        <f t="shared" si="6"/>
        <v>4</v>
      </c>
      <c r="AB35" s="24">
        <f t="shared" si="6"/>
        <v>710.0619444301459</v>
      </c>
      <c r="AC35" s="22">
        <f t="shared" si="6"/>
        <v>10.4</v>
      </c>
      <c r="AD35" s="24">
        <f t="shared" si="6"/>
        <v>1</v>
      </c>
      <c r="AE35" s="25">
        <f t="shared" si="6"/>
        <v>9.4308744349303614E-2</v>
      </c>
      <c r="AF35" s="26">
        <f t="shared" si="6"/>
        <v>4.3528944204000002</v>
      </c>
      <c r="AG35" s="15"/>
      <c r="AH35" s="27">
        <f>AVERAGE(AH40,AH48,AH52,AH56)</f>
        <v>2.2804803864349184E-2</v>
      </c>
      <c r="AI35" s="28"/>
      <c r="AJ35" s="27"/>
      <c r="AK35" s="27"/>
      <c r="AL35" s="21" t="s">
        <v>15</v>
      </c>
      <c r="AM35" s="22">
        <f t="shared" ref="AM35:AS37" si="7">AVERAGE(AM40,AM44,AM48,AM52,AM56)</f>
        <v>31</v>
      </c>
      <c r="AN35" s="23" t="e">
        <f t="shared" si="7"/>
        <v>#DIV/0!</v>
      </c>
      <c r="AO35" s="24" t="e">
        <f t="shared" si="7"/>
        <v>#DIV/0!</v>
      </c>
      <c r="AP35" s="22" t="e">
        <f t="shared" si="7"/>
        <v>#DIV/0!</v>
      </c>
      <c r="AQ35" s="24" t="e">
        <f t="shared" si="7"/>
        <v>#DIV/0!</v>
      </c>
      <c r="AR35" s="22">
        <f t="shared" si="7"/>
        <v>1</v>
      </c>
      <c r="AS35" s="24" t="e">
        <f t="shared" si="7"/>
        <v>#DIV/0!</v>
      </c>
      <c r="AU35" s="27" t="e">
        <f>AVERAGE(AU40,AU44,AU48,AU52,AU56)</f>
        <v>#DIV/0!</v>
      </c>
    </row>
    <row r="36" spans="1:47" x14ac:dyDescent="0.3">
      <c r="B36" s="29" t="s">
        <v>16</v>
      </c>
      <c r="C36" s="30">
        <f>AVERAGE(C41,C45,C49,C53,C57)</f>
        <v>18.600000000000001</v>
      </c>
      <c r="D36" s="31">
        <f t="shared" si="4"/>
        <v>3.8</v>
      </c>
      <c r="E36" s="32">
        <f t="shared" si="4"/>
        <v>651.54228375163916</v>
      </c>
      <c r="F36" s="30">
        <f t="shared" si="4"/>
        <v>12.4</v>
      </c>
      <c r="G36" s="32">
        <f t="shared" si="4"/>
        <v>1.2</v>
      </c>
      <c r="H36" s="272">
        <f>AVERAGE(H41,H45,H49,H53,H57)</f>
        <v>0.16895116868413368</v>
      </c>
      <c r="I36" s="32">
        <f t="shared" si="4"/>
        <v>115.47152886200001</v>
      </c>
      <c r="K36" s="27">
        <f>AVERAGE(K45,K49,K53,K57)</f>
        <v>0</v>
      </c>
      <c r="N36" s="29" t="s">
        <v>16</v>
      </c>
      <c r="O36" s="30">
        <f>AVERAGE(O41,O45,O49,O53,O57)</f>
        <v>21.6</v>
      </c>
      <c r="P36" s="31">
        <f t="shared" si="5"/>
        <v>4</v>
      </c>
      <c r="Q36" s="32">
        <f t="shared" si="5"/>
        <v>730.07042230147863</v>
      </c>
      <c r="R36" s="30">
        <f t="shared" si="5"/>
        <v>9.4</v>
      </c>
      <c r="S36" s="32">
        <f t="shared" si="5"/>
        <v>1</v>
      </c>
      <c r="T36" s="33">
        <f t="shared" si="5"/>
        <v>6.878772665627729E-2</v>
      </c>
      <c r="U36" s="34">
        <f t="shared" si="5"/>
        <v>89.553469604400007</v>
      </c>
      <c r="V36" s="133">
        <f>+R36/31</f>
        <v>0.3032258064516129</v>
      </c>
      <c r="W36" s="27">
        <f>AVERAGE(W41,W45,W49,W53,W57)</f>
        <v>4.47165008683073E-4</v>
      </c>
      <c r="Y36" s="29" t="s">
        <v>16</v>
      </c>
      <c r="Z36" s="30">
        <f>AVERAGE(Z41,Z45,Z49,Z53,Z57)</f>
        <v>22.4</v>
      </c>
      <c r="AA36" s="31">
        <f t="shared" si="6"/>
        <v>4</v>
      </c>
      <c r="AB36" s="32">
        <f t="shared" si="6"/>
        <v>695.28131102207192</v>
      </c>
      <c r="AC36" s="30">
        <f t="shared" si="6"/>
        <v>8.6</v>
      </c>
      <c r="AD36" s="32">
        <f t="shared" si="6"/>
        <v>1</v>
      </c>
      <c r="AE36" s="33">
        <f>AVERAGE(AE41,AE49,AE53,AE57)</f>
        <v>0.10044100538572706</v>
      </c>
      <c r="AF36" s="34">
        <f t="shared" si="6"/>
        <v>163.60386681120002</v>
      </c>
      <c r="AG36" s="15"/>
      <c r="AH36" s="27">
        <f>AVERAGE(AH41,AH49,AH53,AH57)</f>
        <v>1.9956640889770576E-8</v>
      </c>
      <c r="AI36" s="28"/>
      <c r="AJ36" s="27"/>
      <c r="AK36" s="27"/>
      <c r="AL36" s="29" t="s">
        <v>16</v>
      </c>
      <c r="AM36" s="30">
        <f>AVERAGE(AM41,AM45,AM49,AM53,AM57)</f>
        <v>31</v>
      </c>
      <c r="AN36" s="31" t="e">
        <f t="shared" si="7"/>
        <v>#DIV/0!</v>
      </c>
      <c r="AO36" s="32" t="e">
        <f t="shared" si="7"/>
        <v>#DIV/0!</v>
      </c>
      <c r="AP36" s="30" t="e">
        <f t="shared" si="7"/>
        <v>#DIV/0!</v>
      </c>
      <c r="AQ36" s="32" t="e">
        <f t="shared" si="7"/>
        <v>#DIV/0!</v>
      </c>
      <c r="AR36" s="30">
        <f t="shared" si="7"/>
        <v>1</v>
      </c>
      <c r="AS36" s="32" t="e">
        <f t="shared" si="7"/>
        <v>#DIV/0!</v>
      </c>
      <c r="AU36" s="27" t="e">
        <f>AVERAGE(AU41,AU45,AU49,AU53,AU57)</f>
        <v>#DIV/0!</v>
      </c>
    </row>
    <row r="37" spans="1:47" ht="15" thickBot="1" x14ac:dyDescent="0.35">
      <c r="B37" s="35" t="s">
        <v>17</v>
      </c>
      <c r="C37" s="36">
        <f>AVERAGE(C42,C46,C50,C54,C58)</f>
        <v>22</v>
      </c>
      <c r="D37" s="37">
        <f t="shared" si="4"/>
        <v>4</v>
      </c>
      <c r="E37" s="38">
        <f t="shared" si="4"/>
        <v>667.47996515752766</v>
      </c>
      <c r="F37" s="36">
        <f t="shared" si="4"/>
        <v>11.25</v>
      </c>
      <c r="G37" s="38">
        <f t="shared" si="4"/>
        <v>1</v>
      </c>
      <c r="H37" s="273">
        <f>AVERAGE(H46,H50,H54,H58)</f>
        <v>0.14862249342152073</v>
      </c>
      <c r="I37" s="40">
        <f t="shared" si="4"/>
        <v>218860.74704973772</v>
      </c>
      <c r="K37" s="14"/>
      <c r="N37" s="35" t="s">
        <v>17</v>
      </c>
      <c r="O37" s="36">
        <f>AVERAGE(O42,O46,O50,O54,O58)</f>
        <v>21.6</v>
      </c>
      <c r="P37" s="37">
        <f t="shared" si="5"/>
        <v>4</v>
      </c>
      <c r="Q37" s="38">
        <f t="shared" si="5"/>
        <v>729.7312729702802</v>
      </c>
      <c r="R37" s="36">
        <f t="shared" si="5"/>
        <v>9.4</v>
      </c>
      <c r="S37" s="38">
        <f t="shared" si="5"/>
        <v>1</v>
      </c>
      <c r="T37" s="39">
        <f t="shared" si="5"/>
        <v>6.9220315088928341E-2</v>
      </c>
      <c r="U37" s="40">
        <f t="shared" si="5"/>
        <v>8200.7134577200013</v>
      </c>
      <c r="V37" s="14"/>
      <c r="W37" s="14"/>
      <c r="Y37" s="35" t="s">
        <v>17</v>
      </c>
      <c r="Z37" s="36">
        <f>AVERAGE(Z42,Z46,Z50,Z54,Z58)</f>
        <v>24.4</v>
      </c>
      <c r="AA37" s="37">
        <f t="shared" si="6"/>
        <v>4</v>
      </c>
      <c r="AB37" s="38">
        <f t="shared" si="6"/>
        <v>705.25423878150605</v>
      </c>
      <c r="AC37" s="36">
        <f t="shared" si="6"/>
        <v>8.25</v>
      </c>
      <c r="AD37" s="38">
        <f t="shared" si="6"/>
        <v>1</v>
      </c>
      <c r="AE37" s="39">
        <f>AVERAGE(AE42,AE50,AE54,AE58)</f>
        <v>0.1004410219623648</v>
      </c>
      <c r="AF37" s="40">
        <f t="shared" si="6"/>
        <v>46341.014066195501</v>
      </c>
      <c r="AG37" s="15"/>
      <c r="AH37" s="14"/>
      <c r="AI37" s="14"/>
      <c r="AJ37" s="14"/>
      <c r="AK37" s="14"/>
      <c r="AL37" s="35" t="s">
        <v>17</v>
      </c>
      <c r="AM37" s="36">
        <f>AVERAGE(AM42,AM46,AM50,AM54,AM58)</f>
        <v>31</v>
      </c>
      <c r="AN37" s="37" t="e">
        <f t="shared" si="7"/>
        <v>#DIV/0!</v>
      </c>
      <c r="AO37" s="38" t="e">
        <f t="shared" si="7"/>
        <v>#DIV/0!</v>
      </c>
      <c r="AP37" s="36" t="e">
        <f t="shared" si="7"/>
        <v>#DIV/0!</v>
      </c>
      <c r="AQ37" s="38" t="e">
        <f t="shared" si="7"/>
        <v>#DIV/0!</v>
      </c>
      <c r="AR37" s="36">
        <f t="shared" si="7"/>
        <v>1</v>
      </c>
      <c r="AS37" s="40" t="e">
        <f t="shared" si="7"/>
        <v>#DIV/0!</v>
      </c>
      <c r="AU37" s="14"/>
    </row>
    <row r="38" spans="1:47" x14ac:dyDescent="0.3">
      <c r="K38" s="4"/>
      <c r="AH38" s="4"/>
      <c r="AI38" s="4"/>
      <c r="AJ38" s="4"/>
      <c r="AK38" s="4"/>
      <c r="AU38" s="4"/>
    </row>
    <row r="39" spans="1:47" ht="15" thickBot="1" x14ac:dyDescent="0.35">
      <c r="K39" s="4"/>
      <c r="AH39" s="4"/>
      <c r="AI39" s="4"/>
      <c r="AJ39" s="4"/>
      <c r="AK39" s="4"/>
      <c r="AU39" s="4"/>
    </row>
    <row r="40" spans="1:47" x14ac:dyDescent="0.3">
      <c r="B40" s="21" t="s">
        <v>15</v>
      </c>
      <c r="C40" s="22">
        <f>$O$2-F40</f>
        <v>14</v>
      </c>
      <c r="D40" s="41">
        <v>3</v>
      </c>
      <c r="E40" s="42">
        <v>595.91468890218005</v>
      </c>
      <c r="F40" s="43">
        <v>17</v>
      </c>
      <c r="G40" s="44">
        <v>2</v>
      </c>
      <c r="H40" s="25">
        <f>MAX(($Q$2-E40)/$Q$2, 0)</f>
        <v>0.23990473354313768</v>
      </c>
      <c r="I40" s="42">
        <v>8.3691611940000001</v>
      </c>
      <c r="K40" s="27" t="e">
        <f>(E40-E42)/E42</f>
        <v>#DIV/0!</v>
      </c>
      <c r="N40" s="21" t="s">
        <v>15</v>
      </c>
      <c r="O40" s="22">
        <f>$O$2-R40</f>
        <v>20</v>
      </c>
      <c r="P40" s="41">
        <v>4</v>
      </c>
      <c r="Q40" s="42">
        <v>722.67397489999996</v>
      </c>
      <c r="R40" s="43">
        <v>11</v>
      </c>
      <c r="S40" s="44">
        <v>1</v>
      </c>
      <c r="T40" s="25">
        <f>MAX(($Q$2-Q40)/$Q$2, 0)</f>
        <v>7.8221970790816372E-2</v>
      </c>
      <c r="U40" s="42">
        <v>2.5971449999999998</v>
      </c>
      <c r="V40" s="45"/>
      <c r="W40" s="27">
        <f>(Q40-Q42)/Q42</f>
        <v>4.4862094706848667E-4</v>
      </c>
      <c r="Y40" s="21" t="s">
        <v>15</v>
      </c>
      <c r="Z40" s="22">
        <f>$O$2-AC40</f>
        <v>20</v>
      </c>
      <c r="AA40" s="41">
        <v>4</v>
      </c>
      <c r="AB40" s="42">
        <v>691.56772545072999</v>
      </c>
      <c r="AC40" s="43">
        <v>11</v>
      </c>
      <c r="AD40" s="44">
        <v>1</v>
      </c>
      <c r="AE40" s="25">
        <f>MAX(($Q$2-AB40)/$Q$2, 0)</f>
        <v>0.11789830937406888</v>
      </c>
      <c r="AF40" s="42">
        <v>5.0663999999999998</v>
      </c>
      <c r="AG40" s="46"/>
      <c r="AH40" s="27">
        <f>(AB40-AB42)/AB42</f>
        <v>5.8232472590377379E-2</v>
      </c>
      <c r="AI40" s="28"/>
      <c r="AJ40" s="27"/>
      <c r="AK40" s="27"/>
      <c r="AL40" s="21" t="s">
        <v>15</v>
      </c>
      <c r="AM40" s="22">
        <f>$O$2-AP40</f>
        <v>31</v>
      </c>
      <c r="AN40" s="41"/>
      <c r="AO40" s="42"/>
      <c r="AP40" s="43"/>
      <c r="AQ40" s="44"/>
      <c r="AR40" s="25">
        <f>MAX(($Q$2-AO40)/$Q$2, 0)</f>
        <v>1</v>
      </c>
      <c r="AS40" s="42"/>
      <c r="AU40" s="27" t="e">
        <f>(AO40-AO42)/AO42</f>
        <v>#DIV/0!</v>
      </c>
    </row>
    <row r="41" spans="1:47" x14ac:dyDescent="0.3">
      <c r="B41" s="29" t="s">
        <v>16</v>
      </c>
      <c r="C41" s="30">
        <f>$O$2-F41</f>
        <v>14</v>
      </c>
      <c r="D41" s="45">
        <v>3</v>
      </c>
      <c r="E41" s="47">
        <v>587.79155812808494</v>
      </c>
      <c r="F41" s="48">
        <v>17</v>
      </c>
      <c r="G41" s="49">
        <v>2</v>
      </c>
      <c r="H41" s="33">
        <f>MAX(($Q$2-E41)/$Q$2, 0)</f>
        <v>0.25026586973458553</v>
      </c>
      <c r="I41" s="47">
        <v>91.143282854000006</v>
      </c>
      <c r="J41" s="3">
        <v>102</v>
      </c>
      <c r="K41" s="27" t="e">
        <f>(E41-E42)/E42</f>
        <v>#DIV/0!</v>
      </c>
      <c r="L41" s="2">
        <f>4.5*2322432/240000</f>
        <v>43.5456</v>
      </c>
      <c r="N41" s="29" t="s">
        <v>16</v>
      </c>
      <c r="O41" s="30">
        <f>$O$2-R41</f>
        <v>20</v>
      </c>
      <c r="P41" s="45">
        <v>4</v>
      </c>
      <c r="Q41" s="47">
        <v>722.34991359759999</v>
      </c>
      <c r="R41" s="48">
        <v>11</v>
      </c>
      <c r="S41" s="49">
        <v>1</v>
      </c>
      <c r="T41" s="33">
        <f>MAX(($Q$2-Q41)/$Q$2, 0)</f>
        <v>7.8635314288775515E-2</v>
      </c>
      <c r="U41" s="47">
        <v>67.853300000000004</v>
      </c>
      <c r="V41" s="45"/>
      <c r="W41" s="27">
        <f>(Q41-Q42)/Q42</f>
        <v>-6.4999888689929741E-14</v>
      </c>
      <c r="Y41" s="29" t="s">
        <v>16</v>
      </c>
      <c r="Z41" s="30">
        <f>$O$2-AC41</f>
        <v>24</v>
      </c>
      <c r="AA41" s="45">
        <v>4</v>
      </c>
      <c r="AB41" s="47">
        <v>653.51215828098202</v>
      </c>
      <c r="AC41" s="48">
        <v>7</v>
      </c>
      <c r="AD41" s="49">
        <v>1</v>
      </c>
      <c r="AE41" s="33">
        <f>MAX(($Q$2-AB41)/$Q$2, 0)</f>
        <v>0.16643857362119641</v>
      </c>
      <c r="AF41" s="47">
        <v>105.4768</v>
      </c>
      <c r="AG41" s="46">
        <v>155</v>
      </c>
      <c r="AH41" s="27">
        <f>(AB41-AB42)/AB42</f>
        <v>8.9181182703274735E-8</v>
      </c>
      <c r="AI41" s="28"/>
      <c r="AJ41" s="27"/>
      <c r="AK41" s="27"/>
      <c r="AL41" s="29" t="s">
        <v>16</v>
      </c>
      <c r="AM41" s="30">
        <f>$O$2-AP41</f>
        <v>31</v>
      </c>
      <c r="AN41" s="45"/>
      <c r="AO41" s="47"/>
      <c r="AP41" s="48"/>
      <c r="AQ41" s="49"/>
      <c r="AR41" s="33">
        <f>MAX(($Q$2-AO41)/$Q$2, 0)</f>
        <v>1</v>
      </c>
      <c r="AS41" s="47"/>
      <c r="AU41" s="27" t="e">
        <f>(AO41-AO42)/AO42</f>
        <v>#DIV/0!</v>
      </c>
    </row>
    <row r="42" spans="1:47" ht="15" thickBot="1" x14ac:dyDescent="0.35">
      <c r="A42" s="50" t="s">
        <v>30</v>
      </c>
      <c r="B42" s="35" t="s">
        <v>17</v>
      </c>
      <c r="C42" s="36">
        <f>$O$2-F42</f>
        <v>31</v>
      </c>
      <c r="D42" s="51"/>
      <c r="E42" s="52"/>
      <c r="F42" s="53"/>
      <c r="G42" s="54"/>
      <c r="H42" s="39">
        <f>MAX(($Q$2-E42)/$Q$2,0)</f>
        <v>1</v>
      </c>
      <c r="I42" s="52"/>
      <c r="K42" s="27"/>
      <c r="N42" s="35" t="s">
        <v>17</v>
      </c>
      <c r="O42" s="36">
        <f>$O$2-R42</f>
        <v>20</v>
      </c>
      <c r="P42" s="51">
        <v>4</v>
      </c>
      <c r="Q42" s="52">
        <v>722.34991359764695</v>
      </c>
      <c r="R42" s="53">
        <v>11</v>
      </c>
      <c r="S42" s="54">
        <v>1</v>
      </c>
      <c r="T42" s="39">
        <f>MAX(($Q$2-Q42)/$Q$2,0)</f>
        <v>7.8635314288715633E-2</v>
      </c>
      <c r="U42" s="52">
        <v>3662.9380999999998</v>
      </c>
      <c r="V42" s="45"/>
      <c r="W42" s="27"/>
      <c r="Y42" s="35" t="s">
        <v>17</v>
      </c>
      <c r="Z42" s="36">
        <f>$O$2-AC42</f>
        <v>24</v>
      </c>
      <c r="AA42" s="51">
        <v>4</v>
      </c>
      <c r="AB42" s="52">
        <v>653.51210000000003</v>
      </c>
      <c r="AC42" s="53">
        <v>7</v>
      </c>
      <c r="AD42" s="54">
        <v>1</v>
      </c>
      <c r="AE42" s="39">
        <f>MAX(($Q$2-AB42)/$Q$2,0)</f>
        <v>0.16643864795918364</v>
      </c>
      <c r="AF42" s="52">
        <v>85420.936552942003</v>
      </c>
      <c r="AG42" s="46"/>
      <c r="AH42" s="27"/>
      <c r="AI42" s="28"/>
      <c r="AJ42" s="27"/>
      <c r="AK42" s="27"/>
      <c r="AL42" s="35" t="s">
        <v>17</v>
      </c>
      <c r="AM42" s="36">
        <f>$O$2-AP42</f>
        <v>31</v>
      </c>
      <c r="AN42" s="51"/>
      <c r="AO42" s="52"/>
      <c r="AP42" s="53"/>
      <c r="AQ42" s="54"/>
      <c r="AR42" s="39">
        <f>MAX(($Q$2-AO42)/$Q$2,0)</f>
        <v>1</v>
      </c>
      <c r="AS42" s="52"/>
      <c r="AU42" s="27"/>
    </row>
    <row r="43" spans="1:47" ht="15" thickBot="1" x14ac:dyDescent="0.35">
      <c r="C43" s="3"/>
      <c r="D43" s="3"/>
      <c r="E43" s="3"/>
      <c r="F43" s="3"/>
      <c r="G43" s="3"/>
      <c r="H43" s="3"/>
      <c r="I43" s="3"/>
      <c r="K43" s="56"/>
      <c r="O43" s="3"/>
      <c r="P43" s="3"/>
      <c r="Q43" s="3"/>
      <c r="R43" s="3"/>
      <c r="S43" s="3"/>
      <c r="T43" s="3"/>
      <c r="U43" s="3"/>
      <c r="V43" s="56"/>
      <c r="W43" s="56"/>
      <c r="Z43" s="3"/>
      <c r="AA43" s="3"/>
      <c r="AB43" s="3"/>
      <c r="AC43" s="3"/>
      <c r="AD43" s="3"/>
      <c r="AE43" s="3"/>
      <c r="AF43" s="3"/>
      <c r="AG43" s="57"/>
      <c r="AH43" s="56"/>
      <c r="AI43" s="56"/>
      <c r="AJ43" s="56"/>
      <c r="AK43" s="56"/>
      <c r="AM43" s="3"/>
      <c r="AN43" s="3"/>
      <c r="AO43" s="3"/>
      <c r="AP43" s="3"/>
      <c r="AQ43" s="3"/>
      <c r="AR43" s="3"/>
      <c r="AS43" s="3"/>
      <c r="AU43" s="56"/>
    </row>
    <row r="44" spans="1:47" x14ac:dyDescent="0.3">
      <c r="B44" s="21" t="s">
        <v>15</v>
      </c>
      <c r="C44" s="22">
        <f>$O$2-F44</f>
        <v>17</v>
      </c>
      <c r="D44" s="41">
        <v>3</v>
      </c>
      <c r="E44" s="42">
        <v>709.81355660798897</v>
      </c>
      <c r="F44" s="43">
        <v>14</v>
      </c>
      <c r="G44" s="44">
        <v>2</v>
      </c>
      <c r="H44" s="25">
        <f>MAX(($Q$2-E44)/$Q$2, 0)</f>
        <v>9.4625565551034477E-2</v>
      </c>
      <c r="I44" s="42">
        <v>17.254028279</v>
      </c>
      <c r="K44" s="27">
        <f>(E44-E46)/E46</f>
        <v>2.5864417601821774E-2</v>
      </c>
      <c r="N44" s="21" t="s">
        <v>15</v>
      </c>
      <c r="O44" s="22">
        <f>$O$2-R44</f>
        <v>24</v>
      </c>
      <c r="P44" s="41">
        <v>4</v>
      </c>
      <c r="Q44" s="42">
        <v>766.48305600000003</v>
      </c>
      <c r="R44" s="43">
        <v>7</v>
      </c>
      <c r="S44" s="44">
        <v>1</v>
      </c>
      <c r="T44" s="25">
        <f>MAX(($Q$2-Q44)/$Q$2, 0)</f>
        <v>2.2343040816326487E-2</v>
      </c>
      <c r="U44" s="42">
        <v>2.6231599999999999</v>
      </c>
      <c r="V44" s="45"/>
      <c r="W44" s="27">
        <f>(Q44-Q46)/Q46</f>
        <v>1.0600655872226764E-2</v>
      </c>
      <c r="Y44" s="21" t="s">
        <v>15</v>
      </c>
      <c r="Z44" s="22">
        <f>$O$2-AC44</f>
        <v>18</v>
      </c>
      <c r="AA44" s="41">
        <v>4</v>
      </c>
      <c r="AB44" s="42">
        <v>668.85745699999995</v>
      </c>
      <c r="AC44" s="43">
        <v>13</v>
      </c>
      <c r="AD44" s="44">
        <v>1</v>
      </c>
      <c r="AE44" s="25">
        <f>MAX(($Q$2-AB44)/$Q$2, 0)</f>
        <v>0.14686548852040823</v>
      </c>
      <c r="AF44" s="42">
        <v>3.6734800000000001</v>
      </c>
      <c r="AG44" s="46"/>
      <c r="AH44" s="27" t="e">
        <f>(AB44-AB46)/AB46</f>
        <v>#DIV/0!</v>
      </c>
      <c r="AI44" s="28"/>
      <c r="AJ44" s="27"/>
      <c r="AK44" s="27"/>
      <c r="AL44" s="21" t="s">
        <v>15</v>
      </c>
      <c r="AM44" s="22">
        <f>$O$2-AP44</f>
        <v>31</v>
      </c>
      <c r="AN44" s="41"/>
      <c r="AO44" s="42"/>
      <c r="AP44" s="43"/>
      <c r="AQ44" s="44"/>
      <c r="AR44" s="25">
        <f>MAX(($Q$2-AO44)/$Q$2, 0)</f>
        <v>1</v>
      </c>
      <c r="AS44" s="42"/>
      <c r="AU44" s="27" t="e">
        <f>(AO44-AO46)/AO46</f>
        <v>#DIV/0!</v>
      </c>
    </row>
    <row r="45" spans="1:47" x14ac:dyDescent="0.3">
      <c r="B45" s="29" t="s">
        <v>16</v>
      </c>
      <c r="C45" s="30">
        <f>$O$2-F45</f>
        <v>21</v>
      </c>
      <c r="D45" s="45">
        <v>4</v>
      </c>
      <c r="E45" s="47">
        <v>691.917513103077</v>
      </c>
      <c r="F45" s="48">
        <v>10</v>
      </c>
      <c r="G45" s="49">
        <v>1</v>
      </c>
      <c r="H45" s="33">
        <f>MAX(($Q$2-E45)/$Q$2, 0)</f>
        <v>0.11745215165423852</v>
      </c>
      <c r="I45" s="47">
        <v>181.099377541</v>
      </c>
      <c r="J45" s="3">
        <v>194</v>
      </c>
      <c r="K45" s="27">
        <f>(E45-E46)/E46</f>
        <v>0</v>
      </c>
      <c r="N45" s="29" t="s">
        <v>16</v>
      </c>
      <c r="O45" s="30">
        <f>$O$2-R45</f>
        <v>24</v>
      </c>
      <c r="P45" s="45">
        <v>4</v>
      </c>
      <c r="Q45" s="47">
        <v>760.13881691479298</v>
      </c>
      <c r="R45" s="48">
        <v>7</v>
      </c>
      <c r="S45" s="49">
        <v>1</v>
      </c>
      <c r="T45" s="33">
        <f>MAX(($Q$2-Q45)/$Q$2, 0)</f>
        <v>3.0435182506641602E-2</v>
      </c>
      <c r="U45" s="47">
        <v>104.63079999999999</v>
      </c>
      <c r="V45" s="45">
        <v>127</v>
      </c>
      <c r="W45" s="27">
        <f>(Q45-Q46)/Q46</f>
        <v>2.2358366758576521E-3</v>
      </c>
      <c r="Y45" s="29" t="s">
        <v>16</v>
      </c>
      <c r="Z45" s="30">
        <f>$O$2-AC45</f>
        <v>21</v>
      </c>
      <c r="AA45" s="45">
        <v>4</v>
      </c>
      <c r="AB45" s="47">
        <v>655.38954799999999</v>
      </c>
      <c r="AC45" s="48">
        <v>10</v>
      </c>
      <c r="AD45" s="49">
        <v>1</v>
      </c>
      <c r="AE45" s="33">
        <f>MAX(($Q$2-AB45)/$Q$2, 0)</f>
        <v>0.16404394387755103</v>
      </c>
      <c r="AF45" s="47">
        <v>170.10457700000001</v>
      </c>
      <c r="AG45" s="46">
        <v>127</v>
      </c>
      <c r="AH45" s="27" t="e">
        <f>(AB45-AB46)/AB46</f>
        <v>#DIV/0!</v>
      </c>
      <c r="AI45" s="28"/>
      <c r="AJ45" s="27"/>
      <c r="AK45" s="27"/>
      <c r="AL45" s="29" t="s">
        <v>16</v>
      </c>
      <c r="AM45" s="30">
        <f>$O$2-AP45</f>
        <v>31</v>
      </c>
      <c r="AN45" s="45"/>
      <c r="AO45" s="47"/>
      <c r="AP45" s="48"/>
      <c r="AQ45" s="49"/>
      <c r="AR45" s="33">
        <f>MAX(($Q$2-AO45)/$Q$2, 0)</f>
        <v>1</v>
      </c>
      <c r="AS45" s="47"/>
      <c r="AU45" s="27" t="e">
        <f>(AO45-AO46)/AO46</f>
        <v>#DIV/0!</v>
      </c>
    </row>
    <row r="46" spans="1:47" ht="15" thickBot="1" x14ac:dyDescent="0.35">
      <c r="A46" s="50" t="s">
        <v>19</v>
      </c>
      <c r="B46" s="35" t="s">
        <v>17</v>
      </c>
      <c r="C46" s="36">
        <f>$O$2-F46</f>
        <v>21</v>
      </c>
      <c r="D46" s="51">
        <v>4</v>
      </c>
      <c r="E46" s="52">
        <v>691.917513103077</v>
      </c>
      <c r="F46" s="53">
        <v>10</v>
      </c>
      <c r="G46" s="54">
        <v>1</v>
      </c>
      <c r="H46" s="39">
        <f>MAX(($Q$2-E46)/$Q$2,0)</f>
        <v>0.11745215165423852</v>
      </c>
      <c r="I46" s="52">
        <v>186229.890049307</v>
      </c>
      <c r="K46" s="45"/>
      <c r="L46" s="59">
        <f>E45-[1]Graph!G12</f>
        <v>627.91556000787853</v>
      </c>
      <c r="N46" s="35" t="s">
        <v>17</v>
      </c>
      <c r="O46" s="36">
        <f>$O$2-R46</f>
        <v>24</v>
      </c>
      <c r="P46" s="51">
        <v>4</v>
      </c>
      <c r="Q46" s="52">
        <v>758.44306210000002</v>
      </c>
      <c r="R46" s="53">
        <v>7</v>
      </c>
      <c r="S46" s="54">
        <v>1</v>
      </c>
      <c r="T46" s="39">
        <f>MAX(($Q$2-Q46)/$Q$2,0)</f>
        <v>3.2598135076530588E-2</v>
      </c>
      <c r="U46" s="52">
        <v>3243.9745625999999</v>
      </c>
      <c r="V46" s="45"/>
      <c r="W46" s="45"/>
      <c r="Y46" s="35" t="s">
        <v>17</v>
      </c>
      <c r="Z46" s="36">
        <f>$O$2-AC46</f>
        <v>31</v>
      </c>
      <c r="AA46" s="51"/>
      <c r="AB46" s="52"/>
      <c r="AC46" s="53"/>
      <c r="AD46" s="54"/>
      <c r="AE46" s="39">
        <f>MAX(($Q$2-AB46)/$Q$2,0)</f>
        <v>1</v>
      </c>
      <c r="AF46" s="52"/>
      <c r="AG46" s="46"/>
      <c r="AH46" s="45"/>
      <c r="AI46" s="14"/>
      <c r="AJ46" s="45"/>
      <c r="AK46" s="45"/>
      <c r="AL46" s="35" t="s">
        <v>17</v>
      </c>
      <c r="AM46" s="36">
        <f>$O$2-AP46</f>
        <v>31</v>
      </c>
      <c r="AN46" s="51"/>
      <c r="AO46" s="52"/>
      <c r="AP46" s="53"/>
      <c r="AQ46" s="54"/>
      <c r="AR46" s="39">
        <f>MAX(($Q$2-AO46)/$Q$2,0)</f>
        <v>1</v>
      </c>
      <c r="AS46" s="52"/>
      <c r="AU46" s="45"/>
    </row>
    <row r="47" spans="1:47" ht="15" thickBot="1" x14ac:dyDescent="0.35">
      <c r="C47" s="3"/>
      <c r="D47" s="3"/>
      <c r="E47" s="3"/>
      <c r="F47" s="3"/>
      <c r="G47" s="3"/>
      <c r="H47" s="3"/>
      <c r="I47" s="3"/>
      <c r="K47" s="56"/>
      <c r="O47" s="3"/>
      <c r="P47" s="3"/>
      <c r="Q47" s="3"/>
      <c r="R47" s="3"/>
      <c r="S47" s="3"/>
      <c r="T47" s="3"/>
      <c r="U47" s="3"/>
      <c r="V47" s="56"/>
      <c r="W47" s="56"/>
      <c r="Z47" s="3"/>
      <c r="AA47" s="3"/>
      <c r="AB47" s="3"/>
      <c r="AC47" s="3"/>
      <c r="AD47" s="3"/>
      <c r="AE47" s="3"/>
      <c r="AF47" s="3"/>
      <c r="AG47" s="57"/>
      <c r="AH47" s="56"/>
      <c r="AI47" s="56"/>
      <c r="AJ47" s="56"/>
      <c r="AK47" s="56"/>
      <c r="AM47" s="3"/>
      <c r="AN47" s="3"/>
      <c r="AO47" s="3"/>
      <c r="AP47" s="3"/>
      <c r="AQ47" s="3"/>
      <c r="AR47" s="3"/>
      <c r="AS47" s="3"/>
      <c r="AU47" s="56"/>
    </row>
    <row r="48" spans="1:47" x14ac:dyDescent="0.3">
      <c r="B48" s="21" t="s">
        <v>15</v>
      </c>
      <c r="C48" s="22">
        <f>$O$2-F48</f>
        <v>19</v>
      </c>
      <c r="D48" s="41">
        <v>4</v>
      </c>
      <c r="E48" s="42">
        <v>673.55529208764995</v>
      </c>
      <c r="F48" s="43">
        <v>12</v>
      </c>
      <c r="G48" s="44">
        <v>1</v>
      </c>
      <c r="H48" s="25">
        <f>MAX(($Q$2-E48)/$Q$2, 0)</f>
        <v>0.14087335192901793</v>
      </c>
      <c r="I48" s="42">
        <v>3.975437849</v>
      </c>
      <c r="K48" s="27">
        <f>(E48-E50)/E50</f>
        <v>5.0446976150792747E-3</v>
      </c>
      <c r="N48" s="21" t="s">
        <v>15</v>
      </c>
      <c r="O48" s="22">
        <f>$O$2-R48</f>
        <v>20</v>
      </c>
      <c r="P48" s="41">
        <v>4</v>
      </c>
      <c r="Q48" s="42">
        <v>728.87335299999995</v>
      </c>
      <c r="R48" s="43">
        <v>11</v>
      </c>
      <c r="S48" s="44">
        <v>1</v>
      </c>
      <c r="T48" s="25">
        <f>MAX(($Q$2-Q48)/$Q$2, 0)</f>
        <v>7.0314600765306184E-2</v>
      </c>
      <c r="U48" s="42">
        <v>3.0497679999999998</v>
      </c>
      <c r="V48" s="45"/>
      <c r="W48" s="27">
        <f>(Q48-Q50)/Q50</f>
        <v>5.2078429089654273E-2</v>
      </c>
      <c r="Y48" s="21" t="s">
        <v>15</v>
      </c>
      <c r="Z48" s="22">
        <f>$O$2-AC48</f>
        <v>23</v>
      </c>
      <c r="AA48" s="41">
        <v>4</v>
      </c>
      <c r="AB48" s="42">
        <v>759.01329929999997</v>
      </c>
      <c r="AC48" s="43">
        <v>8</v>
      </c>
      <c r="AD48" s="44">
        <v>1</v>
      </c>
      <c r="AE48" s="25">
        <f>MAX(($Q$2-AB48)/$Q$2, 0)</f>
        <v>3.1870791709183707E-2</v>
      </c>
      <c r="AF48" s="42">
        <v>3.1528999999999998</v>
      </c>
      <c r="AG48" s="46"/>
      <c r="AH48" s="27">
        <f>(AB48-AB50)/AB50</f>
        <v>4.1860174785979237E-3</v>
      </c>
      <c r="AI48" s="28"/>
      <c r="AJ48" s="27"/>
      <c r="AK48" s="27"/>
      <c r="AL48" s="21" t="s">
        <v>15</v>
      </c>
      <c r="AM48" s="22">
        <f>$O$2-AP48</f>
        <v>31</v>
      </c>
      <c r="AN48" s="41"/>
      <c r="AO48" s="42"/>
      <c r="AP48" s="43"/>
      <c r="AQ48" s="44"/>
      <c r="AR48" s="25">
        <f>MAX(($Q$2-AO48)/$Q$2, 0)</f>
        <v>1</v>
      </c>
      <c r="AS48" s="42"/>
      <c r="AU48" s="27" t="e">
        <f>(AO48-AO50)/AO50</f>
        <v>#DIV/0!</v>
      </c>
    </row>
    <row r="49" spans="1:47" x14ac:dyDescent="0.3">
      <c r="B49" s="29" t="s">
        <v>16</v>
      </c>
      <c r="C49" s="30">
        <f>$O$2-F49</f>
        <v>19</v>
      </c>
      <c r="D49" s="45">
        <v>4</v>
      </c>
      <c r="E49" s="47">
        <v>670.17446456457401</v>
      </c>
      <c r="F49" s="48">
        <v>12</v>
      </c>
      <c r="G49" s="49">
        <v>1</v>
      </c>
      <c r="H49" s="33">
        <f>MAX(($Q$2-E49)/$Q$2, 0)</f>
        <v>0.14518563193294132</v>
      </c>
      <c r="I49" s="47">
        <v>57.550346343000001</v>
      </c>
      <c r="J49" s="3">
        <v>101</v>
      </c>
      <c r="K49" s="27">
        <f>(E49-E50)/E50</f>
        <v>0</v>
      </c>
      <c r="N49" s="29" t="s">
        <v>16</v>
      </c>
      <c r="O49" s="30">
        <f>$O$2-R49</f>
        <v>22</v>
      </c>
      <c r="P49" s="45">
        <v>4</v>
      </c>
      <c r="Q49" s="47">
        <v>692.79374316999997</v>
      </c>
      <c r="R49" s="48">
        <v>9</v>
      </c>
      <c r="S49" s="49">
        <v>1</v>
      </c>
      <c r="T49" s="33">
        <f>MAX(($Q$2-Q49)/$Q$2, 0)</f>
        <v>0.11633451126275514</v>
      </c>
      <c r="U49" s="47">
        <v>86.97878</v>
      </c>
      <c r="V49" s="45">
        <v>124</v>
      </c>
      <c r="W49" s="27">
        <f>(Q49-Q50)/Q50</f>
        <v>-3.5191054465589021E-12</v>
      </c>
      <c r="Y49" s="29" t="s">
        <v>16</v>
      </c>
      <c r="Z49" s="30">
        <f>$O$2-AC49</f>
        <v>23</v>
      </c>
      <c r="AA49" s="45">
        <v>4</v>
      </c>
      <c r="AB49" s="47">
        <v>755.84929999999997</v>
      </c>
      <c r="AC49" s="48">
        <v>8</v>
      </c>
      <c r="AD49" s="49">
        <v>1</v>
      </c>
      <c r="AE49" s="33">
        <f>MAX(($Q$2-AB49)/$Q$2, 0)</f>
        <v>3.5906505102040853E-2</v>
      </c>
      <c r="AF49" s="47">
        <v>154.1797</v>
      </c>
      <c r="AG49" s="46">
        <v>104</v>
      </c>
      <c r="AH49" s="27">
        <f>(AB49-AB50)/AB50</f>
        <v>-1.2108009117561199E-9</v>
      </c>
      <c r="AI49" s="28"/>
      <c r="AJ49" s="27"/>
      <c r="AK49" s="27"/>
      <c r="AL49" s="29" t="s">
        <v>16</v>
      </c>
      <c r="AM49" s="30">
        <f>$O$2-AP49</f>
        <v>31</v>
      </c>
      <c r="AN49" s="45"/>
      <c r="AO49" s="47"/>
      <c r="AP49" s="48"/>
      <c r="AQ49" s="49"/>
      <c r="AR49" s="33">
        <f>MAX(($Q$2-AO49)/$Q$2, 0)</f>
        <v>1</v>
      </c>
      <c r="AS49" s="47"/>
      <c r="AU49" s="27" t="e">
        <f>(AO49-AO50)/AO50</f>
        <v>#DIV/0!</v>
      </c>
    </row>
    <row r="50" spans="1:47" ht="15" thickBot="1" x14ac:dyDescent="0.35">
      <c r="A50" s="50" t="s">
        <v>31</v>
      </c>
      <c r="B50" s="35" t="s">
        <v>17</v>
      </c>
      <c r="C50" s="36">
        <f>$O$2-F50</f>
        <v>19</v>
      </c>
      <c r="D50" s="51">
        <v>4</v>
      </c>
      <c r="E50" s="52">
        <v>670.17446456457401</v>
      </c>
      <c r="F50" s="53">
        <v>12</v>
      </c>
      <c r="G50" s="54">
        <v>1</v>
      </c>
      <c r="H50" s="39">
        <f>MAX(($Q$2-E50)/$Q$2,0)</f>
        <v>0.14518563193294132</v>
      </c>
      <c r="I50" s="52">
        <v>303750.92657735798</v>
      </c>
      <c r="K50" s="45"/>
      <c r="L50" s="59">
        <f>E49-[1]Graph!G12</f>
        <v>606.17251146937554</v>
      </c>
      <c r="N50" s="35" t="s">
        <v>17</v>
      </c>
      <c r="O50" s="36">
        <f>$O$2-R50</f>
        <v>22</v>
      </c>
      <c r="P50" s="51">
        <v>4</v>
      </c>
      <c r="Q50" s="52">
        <v>692.79374317243798</v>
      </c>
      <c r="R50" s="53">
        <v>9</v>
      </c>
      <c r="S50" s="54">
        <v>1</v>
      </c>
      <c r="T50" s="39">
        <f>MAX(($Q$2-Q50)/$Q$2,0)</f>
        <v>0.11633451125964543</v>
      </c>
      <c r="U50" s="52">
        <v>1253.3445999999999</v>
      </c>
      <c r="V50" s="45"/>
      <c r="W50" s="45"/>
      <c r="Y50" s="35" t="s">
        <v>17</v>
      </c>
      <c r="Z50" s="36">
        <f>$O$2-AC50</f>
        <v>23</v>
      </c>
      <c r="AA50" s="51">
        <v>4</v>
      </c>
      <c r="AB50" s="52">
        <v>755.84930091518299</v>
      </c>
      <c r="AC50" s="53">
        <v>8</v>
      </c>
      <c r="AD50" s="54">
        <v>1</v>
      </c>
      <c r="AE50" s="39">
        <f>MAX(($Q$2-AB50)/$Q$2,0)</f>
        <v>3.5906503934715568E-2</v>
      </c>
      <c r="AF50" s="52">
        <v>62545.604321266001</v>
      </c>
      <c r="AG50" s="46"/>
      <c r="AH50" s="45"/>
      <c r="AI50" s="14"/>
      <c r="AJ50" s="45"/>
      <c r="AK50" s="45"/>
      <c r="AL50" s="35" t="s">
        <v>17</v>
      </c>
      <c r="AM50" s="36">
        <f>$O$2-AP50</f>
        <v>31</v>
      </c>
      <c r="AN50" s="51"/>
      <c r="AO50" s="52"/>
      <c r="AP50" s="53"/>
      <c r="AQ50" s="54"/>
      <c r="AR50" s="39">
        <f>MAX(($Q$2-AO50)/$Q$2,0)</f>
        <v>1</v>
      </c>
      <c r="AS50" s="52"/>
      <c r="AU50" s="45"/>
    </row>
    <row r="51" spans="1:47" ht="15" thickBot="1" x14ac:dyDescent="0.35">
      <c r="C51" s="3"/>
      <c r="D51" s="3"/>
      <c r="E51" s="3"/>
      <c r="F51" s="3"/>
      <c r="G51" s="3"/>
      <c r="H51" s="3"/>
      <c r="I51" s="3"/>
      <c r="K51" s="56"/>
      <c r="O51" s="3"/>
      <c r="P51" s="3"/>
      <c r="Q51" s="3"/>
      <c r="R51" s="3"/>
      <c r="S51" s="3"/>
      <c r="T51" s="3"/>
      <c r="U51" s="3"/>
      <c r="V51" s="56"/>
      <c r="W51" s="56"/>
      <c r="Z51" s="3"/>
      <c r="AA51" s="3"/>
      <c r="AB51" s="3"/>
      <c r="AC51" s="3"/>
      <c r="AD51" s="3"/>
      <c r="AE51" s="3"/>
      <c r="AF51" s="3"/>
      <c r="AG51" s="57"/>
      <c r="AH51" s="56"/>
      <c r="AI51" s="56"/>
      <c r="AJ51" s="56"/>
      <c r="AK51" s="56"/>
      <c r="AM51" s="3"/>
      <c r="AN51" s="3"/>
      <c r="AO51" s="3"/>
      <c r="AP51" s="3"/>
      <c r="AQ51" s="3"/>
      <c r="AR51" s="3"/>
      <c r="AS51" s="3"/>
      <c r="AU51" s="56"/>
    </row>
    <row r="52" spans="1:47" x14ac:dyDescent="0.3">
      <c r="B52" s="21" t="s">
        <v>15</v>
      </c>
      <c r="C52" s="22">
        <f>$O$2-F52</f>
        <v>19</v>
      </c>
      <c r="D52" s="41">
        <v>4</v>
      </c>
      <c r="E52" s="42">
        <v>664.32274880135901</v>
      </c>
      <c r="F52" s="43">
        <v>12</v>
      </c>
      <c r="G52" s="44">
        <v>1</v>
      </c>
      <c r="H52" s="25">
        <f>MAX(($Q$2-E52)/$Q$2, 0)</f>
        <v>0.15264955510030739</v>
      </c>
      <c r="I52" s="42">
        <v>4.4332925740000002</v>
      </c>
      <c r="K52" s="27">
        <f>(E52-E54)/E54</f>
        <v>7.2830023719887681E-3</v>
      </c>
      <c r="N52" s="21" t="s">
        <v>15</v>
      </c>
      <c r="O52" s="22">
        <f>$O$2-R52</f>
        <v>19</v>
      </c>
      <c r="P52" s="41">
        <v>4</v>
      </c>
      <c r="Q52" s="42">
        <v>714.66781000000003</v>
      </c>
      <c r="R52" s="43">
        <v>12</v>
      </c>
      <c r="S52" s="44">
        <v>1</v>
      </c>
      <c r="T52" s="25">
        <f>MAX(($Q$2-Q52)/$Q$2, 0)</f>
        <v>8.8433915816326494E-2</v>
      </c>
      <c r="U52" s="42">
        <v>1.9409799130000001</v>
      </c>
      <c r="V52" s="45"/>
      <c r="W52" s="27">
        <f>(Q52-Q54)/Q54</f>
        <v>1.8937002061381106E-2</v>
      </c>
      <c r="Y52" s="21" t="s">
        <v>15</v>
      </c>
      <c r="Z52" s="22">
        <f>$O$2-AC52</f>
        <v>19</v>
      </c>
      <c r="AA52" s="41">
        <v>4</v>
      </c>
      <c r="AB52" s="42">
        <v>678.48429769999996</v>
      </c>
      <c r="AC52" s="43">
        <v>12</v>
      </c>
      <c r="AD52" s="44">
        <v>1</v>
      </c>
      <c r="AE52" s="25">
        <f>MAX(($Q$2-AB52)/$Q$2, 0)</f>
        <v>0.13458635497448984</v>
      </c>
      <c r="AF52" s="42">
        <v>3.2210000000000001</v>
      </c>
      <c r="AG52" s="46"/>
      <c r="AH52" s="27">
        <f>(AB52-AB54)/AB54</f>
        <v>2.675662933849102E-2</v>
      </c>
      <c r="AI52" s="28"/>
      <c r="AJ52" s="27"/>
      <c r="AK52" s="27"/>
      <c r="AL52" s="21" t="s">
        <v>15</v>
      </c>
      <c r="AM52" s="22">
        <f>$O$2-AP52</f>
        <v>31</v>
      </c>
      <c r="AN52" s="41"/>
      <c r="AO52" s="42"/>
      <c r="AP52" s="43"/>
      <c r="AQ52" s="44"/>
      <c r="AR52" s="25">
        <f>MAX(($Q$2-AO52)/$Q$2, 0)</f>
        <v>1</v>
      </c>
      <c r="AS52" s="42"/>
      <c r="AU52" s="27" t="e">
        <f>(AO52-AO54)/AO54</f>
        <v>#DIV/0!</v>
      </c>
    </row>
    <row r="53" spans="1:47" x14ac:dyDescent="0.3">
      <c r="B53" s="29" t="s">
        <v>16</v>
      </c>
      <c r="C53" s="30">
        <f>$O$2-F53</f>
        <v>20</v>
      </c>
      <c r="D53" s="45">
        <v>4</v>
      </c>
      <c r="E53" s="47">
        <v>659.51946695912295</v>
      </c>
      <c r="F53" s="48">
        <v>11</v>
      </c>
      <c r="G53" s="49">
        <v>1</v>
      </c>
      <c r="H53" s="33">
        <f>MAX(($Q$2-E53)/$Q$2, 0)</f>
        <v>0.15877619010315949</v>
      </c>
      <c r="I53" s="47">
        <v>113.64026292699999</v>
      </c>
      <c r="J53" s="3">
        <v>118</v>
      </c>
      <c r="K53" s="27">
        <f>(E53-E54)/E54</f>
        <v>0</v>
      </c>
      <c r="N53" s="29" t="s">
        <v>16</v>
      </c>
      <c r="O53" s="30">
        <f>$O$2-R53</f>
        <v>19</v>
      </c>
      <c r="P53" s="45">
        <v>4</v>
      </c>
      <c r="Q53" s="47">
        <v>701.38566000000003</v>
      </c>
      <c r="R53" s="48">
        <v>12</v>
      </c>
      <c r="S53" s="49">
        <v>1</v>
      </c>
      <c r="T53" s="33">
        <f>MAX(($Q$2-Q53)/$Q$2, 0)</f>
        <v>0.10537543367346935</v>
      </c>
      <c r="U53" s="47">
        <v>99.774698021999995</v>
      </c>
      <c r="V53" s="45">
        <v>179</v>
      </c>
      <c r="W53" s="27">
        <f>(Q53-Q54)/Q54</f>
        <v>-1.1628838932283193E-8</v>
      </c>
      <c r="Y53" s="29" t="s">
        <v>16</v>
      </c>
      <c r="Z53" s="30">
        <f>$O$2-AC53</f>
        <v>21</v>
      </c>
      <c r="AA53" s="45">
        <v>4</v>
      </c>
      <c r="AB53" s="47">
        <v>660.80341999999996</v>
      </c>
      <c r="AC53" s="48">
        <v>10</v>
      </c>
      <c r="AD53" s="49">
        <v>1</v>
      </c>
      <c r="AE53" s="33">
        <f>MAX(($Q$2-AB53)/$Q$2, 0)</f>
        <v>0.15713849489795922</v>
      </c>
      <c r="AF53" s="47">
        <v>164.31972038800001</v>
      </c>
      <c r="AG53" s="46">
        <v>133</v>
      </c>
      <c r="AH53" s="27">
        <f>(AB53-AB54)/AB54</f>
        <v>-8.1438182324363044E-9</v>
      </c>
      <c r="AI53" s="28"/>
      <c r="AJ53" s="27"/>
      <c r="AK53" s="27"/>
      <c r="AL53" s="29" t="s">
        <v>16</v>
      </c>
      <c r="AM53" s="30">
        <f>$O$2-AP53</f>
        <v>31</v>
      </c>
      <c r="AN53" s="45"/>
      <c r="AO53" s="47"/>
      <c r="AP53" s="48"/>
      <c r="AQ53" s="49"/>
      <c r="AR53" s="33">
        <f>MAX(($Q$2-AO53)/$Q$2, 0)</f>
        <v>1</v>
      </c>
      <c r="AS53" s="47"/>
      <c r="AU53" s="27" t="e">
        <f>(AO53-AO54)/AO54</f>
        <v>#DIV/0!</v>
      </c>
    </row>
    <row r="54" spans="1:47" ht="15" thickBot="1" x14ac:dyDescent="0.35">
      <c r="A54" s="50" t="s">
        <v>32</v>
      </c>
      <c r="B54" s="35" t="s">
        <v>17</v>
      </c>
      <c r="C54" s="36">
        <f>$O$2-F54</f>
        <v>20</v>
      </c>
      <c r="D54" s="51">
        <v>4</v>
      </c>
      <c r="E54" s="52">
        <v>659.51946695912295</v>
      </c>
      <c r="F54" s="53">
        <v>11</v>
      </c>
      <c r="G54" s="54">
        <v>1</v>
      </c>
      <c r="H54" s="39">
        <f>MAX(($Q$2-E54)/$Q$2,0)</f>
        <v>0.15877619010315949</v>
      </c>
      <c r="I54" s="52">
        <v>178326.46059719301</v>
      </c>
      <c r="K54" s="45"/>
      <c r="L54" s="59">
        <f>E53-[1]Graph!G12</f>
        <v>595.51751386392448</v>
      </c>
      <c r="N54" s="35" t="s">
        <v>17</v>
      </c>
      <c r="O54" s="36">
        <f>$O$2-R54</f>
        <v>19</v>
      </c>
      <c r="P54" s="51">
        <v>4</v>
      </c>
      <c r="Q54" s="52">
        <v>701.38566815630099</v>
      </c>
      <c r="R54" s="53">
        <v>12</v>
      </c>
      <c r="S54" s="54">
        <v>1</v>
      </c>
      <c r="T54" s="39">
        <f>MAX(($Q$2-Q54)/$Q$2,0)</f>
        <v>0.10537542327002425</v>
      </c>
      <c r="U54" s="52">
        <v>1817.8157200000001</v>
      </c>
      <c r="V54" s="45"/>
      <c r="W54" s="45"/>
      <c r="Y54" s="35" t="s">
        <v>17</v>
      </c>
      <c r="Z54" s="36">
        <f>$O$2-AC54</f>
        <v>21</v>
      </c>
      <c r="AA54" s="51">
        <v>4</v>
      </c>
      <c r="AB54" s="52">
        <v>660.80342538146294</v>
      </c>
      <c r="AC54" s="53">
        <v>10</v>
      </c>
      <c r="AD54" s="54">
        <v>1</v>
      </c>
      <c r="AE54" s="39">
        <f>MAX(($Q$2-AB54)/$Q$2,0)</f>
        <v>0.15713848803384828</v>
      </c>
      <c r="AF54" s="52">
        <v>31474.118081021999</v>
      </c>
      <c r="AG54" s="46"/>
      <c r="AH54" s="45"/>
      <c r="AI54" s="14"/>
      <c r="AJ54" s="45"/>
      <c r="AK54" s="45"/>
      <c r="AL54" s="35" t="s">
        <v>17</v>
      </c>
      <c r="AM54" s="36">
        <f>$O$2-AP54</f>
        <v>31</v>
      </c>
      <c r="AN54" s="51"/>
      <c r="AO54" s="52"/>
      <c r="AP54" s="53"/>
      <c r="AQ54" s="54"/>
      <c r="AR54" s="39">
        <f>MAX(($Q$2-AO54)/$Q$2,0)</f>
        <v>1</v>
      </c>
      <c r="AS54" s="52"/>
      <c r="AU54" s="45"/>
    </row>
    <row r="55" spans="1:47" ht="15" thickBot="1" x14ac:dyDescent="0.35">
      <c r="C55" s="3"/>
      <c r="D55" s="3"/>
      <c r="E55" s="3"/>
      <c r="F55" s="3"/>
      <c r="G55" s="3"/>
      <c r="H55" s="3"/>
      <c r="I55" s="3"/>
      <c r="K55" s="56"/>
      <c r="O55" s="3"/>
      <c r="P55" s="3"/>
      <c r="Q55" s="3"/>
      <c r="R55" s="3"/>
      <c r="S55" s="3"/>
      <c r="T55" s="3"/>
      <c r="U55" s="3"/>
      <c r="V55" s="56"/>
      <c r="W55" s="56"/>
      <c r="Z55" s="3"/>
      <c r="AA55" s="3"/>
      <c r="AB55" s="3"/>
      <c r="AC55" s="3"/>
      <c r="AD55" s="3"/>
      <c r="AE55" s="3"/>
      <c r="AF55" s="3"/>
      <c r="AG55" s="57"/>
      <c r="AH55" s="56"/>
      <c r="AI55" s="56"/>
      <c r="AJ55" s="56"/>
      <c r="AK55" s="56"/>
      <c r="AM55" s="3"/>
      <c r="AN55" s="3"/>
      <c r="AO55" s="3"/>
      <c r="AP55" s="3"/>
      <c r="AQ55" s="3"/>
      <c r="AR55" s="3"/>
      <c r="AS55" s="3"/>
      <c r="AU55" s="56"/>
    </row>
    <row r="56" spans="1:47" x14ac:dyDescent="0.3">
      <c r="B56" s="21" t="s">
        <v>15</v>
      </c>
      <c r="C56" s="22">
        <f>$O$2-F56</f>
        <v>15</v>
      </c>
      <c r="D56" s="41">
        <v>3</v>
      </c>
      <c r="E56" s="42">
        <v>662.20921722170897</v>
      </c>
      <c r="F56" s="43">
        <v>16</v>
      </c>
      <c r="G56" s="44">
        <v>2</v>
      </c>
      <c r="H56" s="25">
        <f>MAX(($Q$2-E56)/$Q$2, 0)</f>
        <v>0.15534538619679977</v>
      </c>
      <c r="I56" s="42">
        <v>3.5980972150000001</v>
      </c>
      <c r="K56" s="27">
        <f>(E56-E58)/E58</f>
        <v>2.1441648566074455E-2</v>
      </c>
      <c r="N56" s="21" t="s">
        <v>15</v>
      </c>
      <c r="O56" s="22">
        <f>$O$2-R56</f>
        <v>23</v>
      </c>
      <c r="P56" s="41">
        <v>4</v>
      </c>
      <c r="Q56" s="42">
        <v>782.24296400000003</v>
      </c>
      <c r="R56" s="43">
        <v>8</v>
      </c>
      <c r="S56" s="44">
        <v>1</v>
      </c>
      <c r="T56" s="25">
        <f>MAX(($Q$2-Q56)/$Q$2, 0)</f>
        <v>2.2411173469387385E-3</v>
      </c>
      <c r="U56" s="42">
        <v>3.3698999999999999</v>
      </c>
      <c r="V56" s="45"/>
      <c r="W56" s="27">
        <f>(Q56-Q58)/Q58</f>
        <v>1.1062638519471675E-2</v>
      </c>
      <c r="Y56" s="21" t="s">
        <v>15</v>
      </c>
      <c r="Z56" s="22">
        <f>$O$2-AC56</f>
        <v>23</v>
      </c>
      <c r="AA56" s="41">
        <v>4</v>
      </c>
      <c r="AB56" s="42">
        <v>752.38694269999996</v>
      </c>
      <c r="AC56" s="43">
        <v>8</v>
      </c>
      <c r="AD56" s="44">
        <v>1</v>
      </c>
      <c r="AE56" s="25">
        <f>MAX(($Q$2-AB56)/$Q$2, 0)</f>
        <v>4.0322777168367394E-2</v>
      </c>
      <c r="AF56" s="42">
        <v>6.6506921019999998</v>
      </c>
      <c r="AG56" s="46"/>
      <c r="AH56" s="27">
        <f>(AB56-AB58)/AB58</f>
        <v>2.0440960499304144E-3</v>
      </c>
      <c r="AI56" s="28"/>
      <c r="AJ56" s="27"/>
      <c r="AK56" s="27"/>
      <c r="AL56" s="21" t="s">
        <v>15</v>
      </c>
      <c r="AM56" s="22">
        <f>$O$2-AP56</f>
        <v>31</v>
      </c>
      <c r="AN56" s="41"/>
      <c r="AO56" s="42"/>
      <c r="AP56" s="43"/>
      <c r="AQ56" s="44"/>
      <c r="AR56" s="25">
        <f>MAX(($Q$2-AO56)/$Q$2, 0)</f>
        <v>1</v>
      </c>
      <c r="AS56" s="42"/>
      <c r="AU56" s="27" t="e">
        <f>(AO56-AO58)/AO58</f>
        <v>#DIV/0!</v>
      </c>
    </row>
    <row r="57" spans="1:47" x14ac:dyDescent="0.3">
      <c r="B57" s="29" t="s">
        <v>16</v>
      </c>
      <c r="C57" s="30">
        <f>$O$2-F57</f>
        <v>19</v>
      </c>
      <c r="D57" s="45">
        <v>4</v>
      </c>
      <c r="E57" s="47">
        <v>648.30841600333702</v>
      </c>
      <c r="F57" s="48">
        <v>12</v>
      </c>
      <c r="G57" s="49">
        <v>1</v>
      </c>
      <c r="H57" s="33">
        <f>MAX(($Q$2-E57)/$Q$2, 0)</f>
        <v>0.17307599999574361</v>
      </c>
      <c r="I57" s="47">
        <v>133.924374645</v>
      </c>
      <c r="J57" s="3">
        <v>168</v>
      </c>
      <c r="K57" s="27">
        <f>(E57-E58)/E58</f>
        <v>0</v>
      </c>
      <c r="N57" s="29" t="s">
        <v>16</v>
      </c>
      <c r="O57" s="30">
        <f>$O$2-R57</f>
        <v>23</v>
      </c>
      <c r="P57" s="45">
        <v>4</v>
      </c>
      <c r="Q57" s="47">
        <v>773.68397782500006</v>
      </c>
      <c r="R57" s="48">
        <v>8</v>
      </c>
      <c r="S57" s="49">
        <v>1</v>
      </c>
      <c r="T57" s="33">
        <f>MAX(($Q$2-Q57)/$Q$2, 0)</f>
        <v>1.3158191549744826E-2</v>
      </c>
      <c r="U57" s="47">
        <v>88.529769999999999</v>
      </c>
      <c r="V57" s="45">
        <v>109</v>
      </c>
      <c r="W57" s="27">
        <f>(Q57-Q58)/Q58</f>
        <v>-1.9249430217488701E-14</v>
      </c>
      <c r="Y57" s="29" t="s">
        <v>16</v>
      </c>
      <c r="Z57" s="30">
        <f>$O$2-AC57</f>
        <v>23</v>
      </c>
      <c r="AA57" s="45">
        <v>4</v>
      </c>
      <c r="AB57" s="47">
        <v>750.85212882937799</v>
      </c>
      <c r="AC57" s="48">
        <v>8</v>
      </c>
      <c r="AD57" s="49">
        <v>1</v>
      </c>
      <c r="AE57" s="33">
        <f>MAX(($Q$2-AB57)/$Q$2, 0)</f>
        <v>4.2280447921711747E-2</v>
      </c>
      <c r="AF57" s="47">
        <v>223.93853666800001</v>
      </c>
      <c r="AG57" s="46">
        <v>208</v>
      </c>
      <c r="AH57" s="27">
        <f>(AB57-AB58)/AB58</f>
        <v>0</v>
      </c>
      <c r="AI57" s="28"/>
      <c r="AJ57" s="27"/>
      <c r="AK57" s="27"/>
      <c r="AL57" s="29" t="s">
        <v>16</v>
      </c>
      <c r="AM57" s="30">
        <f>$O$2-AP57</f>
        <v>31</v>
      </c>
      <c r="AN57" s="45"/>
      <c r="AO57" s="47"/>
      <c r="AP57" s="48"/>
      <c r="AQ57" s="49"/>
      <c r="AR57" s="33">
        <f>MAX(($Q$2-AO57)/$Q$2, 0)</f>
        <v>1</v>
      </c>
      <c r="AS57" s="47"/>
      <c r="AU57" s="27" t="e">
        <f>(AO57-AO58)/AO58</f>
        <v>#DIV/0!</v>
      </c>
    </row>
    <row r="58" spans="1:47" ht="15" thickBot="1" x14ac:dyDescent="0.35">
      <c r="A58" s="50" t="s">
        <v>33</v>
      </c>
      <c r="B58" s="35" t="s">
        <v>17</v>
      </c>
      <c r="C58" s="36">
        <f>$O$2-F58</f>
        <v>19</v>
      </c>
      <c r="D58" s="51">
        <v>4</v>
      </c>
      <c r="E58" s="52">
        <v>648.30841600333702</v>
      </c>
      <c r="F58" s="53">
        <v>12</v>
      </c>
      <c r="G58" s="54">
        <v>1</v>
      </c>
      <c r="H58" s="39">
        <f>MAX(($Q$2-E58)/$Q$2,0)</f>
        <v>0.17307599999574361</v>
      </c>
      <c r="I58" s="52">
        <v>207135.71097509301</v>
      </c>
      <c r="K58" s="45"/>
      <c r="L58" s="59">
        <f>E57-[1]Graph!G12</f>
        <v>584.30646290813854</v>
      </c>
      <c r="N58" s="35" t="s">
        <v>17</v>
      </c>
      <c r="O58" s="36">
        <f>$O$2-R58</f>
        <v>23</v>
      </c>
      <c r="P58" s="51">
        <v>4</v>
      </c>
      <c r="Q58" s="52">
        <v>773.68397782501495</v>
      </c>
      <c r="R58" s="53">
        <v>8</v>
      </c>
      <c r="S58" s="54">
        <v>1</v>
      </c>
      <c r="T58" s="39">
        <f>MAX(($Q$2-Q58)/$Q$2,0)</f>
        <v>1.315819154972583E-2</v>
      </c>
      <c r="U58" s="52">
        <v>31025.494306000001</v>
      </c>
      <c r="V58" s="45"/>
      <c r="W58" s="45"/>
      <c r="Y58" s="35" t="s">
        <v>17</v>
      </c>
      <c r="Z58" s="36">
        <f>$O$2-AC58</f>
        <v>23</v>
      </c>
      <c r="AA58" s="51">
        <v>4</v>
      </c>
      <c r="AB58" s="52">
        <v>750.85212882937799</v>
      </c>
      <c r="AC58" s="53">
        <v>8</v>
      </c>
      <c r="AD58" s="54">
        <v>1</v>
      </c>
      <c r="AE58" s="39">
        <f>MAX(($Q$2-AB58)/$Q$2,0)</f>
        <v>4.2280447921711747E-2</v>
      </c>
      <c r="AF58" s="52">
        <v>5923.3973095519996</v>
      </c>
      <c r="AG58" s="46"/>
      <c r="AH58" s="45"/>
      <c r="AI58" s="14"/>
      <c r="AJ58" s="45"/>
      <c r="AK58" s="45"/>
      <c r="AL58" s="35" t="s">
        <v>17</v>
      </c>
      <c r="AM58" s="36">
        <f>$O$2-AP58</f>
        <v>31</v>
      </c>
      <c r="AN58" s="51"/>
      <c r="AO58" s="52"/>
      <c r="AP58" s="53"/>
      <c r="AQ58" s="54"/>
      <c r="AR58" s="39">
        <f>MAX(($Q$2-AO58)/$Q$2,0)</f>
        <v>1</v>
      </c>
      <c r="AS58" s="52"/>
      <c r="AU58" s="45"/>
    </row>
    <row r="61" spans="1:47" ht="15" thickBot="1" x14ac:dyDescent="0.35">
      <c r="B61" s="12"/>
      <c r="C61" s="278" t="s">
        <v>34</v>
      </c>
      <c r="D61" s="278"/>
      <c r="E61" s="278"/>
      <c r="F61" s="278"/>
      <c r="G61" s="278"/>
      <c r="H61" s="278"/>
      <c r="I61" s="278"/>
      <c r="N61" s="12"/>
      <c r="O61" s="278" t="s">
        <v>35</v>
      </c>
      <c r="P61" s="278"/>
      <c r="Q61" s="278"/>
      <c r="R61" s="278"/>
      <c r="S61" s="278"/>
      <c r="T61" s="278"/>
      <c r="U61" s="278"/>
      <c r="V61" s="14"/>
      <c r="W61" s="14"/>
      <c r="Y61" s="12"/>
      <c r="Z61" s="278" t="s">
        <v>36</v>
      </c>
      <c r="AA61" s="278"/>
      <c r="AB61" s="278"/>
      <c r="AC61" s="278"/>
      <c r="AD61" s="278"/>
      <c r="AE61" s="278"/>
      <c r="AF61" s="278"/>
      <c r="AG61" s="15"/>
      <c r="AH61" s="15"/>
      <c r="AI61" s="15"/>
      <c r="AJ61" s="15"/>
      <c r="AK61" s="15"/>
      <c r="AL61" s="12"/>
      <c r="AM61" s="278" t="s">
        <v>37</v>
      </c>
      <c r="AN61" s="278"/>
      <c r="AO61" s="278"/>
      <c r="AP61" s="278"/>
      <c r="AQ61" s="278"/>
      <c r="AR61" s="278"/>
      <c r="AS61" s="278"/>
    </row>
    <row r="62" spans="1:47" ht="15" thickBot="1" x14ac:dyDescent="0.35">
      <c r="B62" s="16" t="s">
        <v>5</v>
      </c>
      <c r="C62" s="276" t="s">
        <v>6</v>
      </c>
      <c r="D62" s="279"/>
      <c r="E62" s="277"/>
      <c r="F62" s="276" t="s">
        <v>7</v>
      </c>
      <c r="G62" s="277"/>
      <c r="H62" s="276" t="s">
        <v>8</v>
      </c>
      <c r="I62" s="277"/>
      <c r="N62" s="16" t="s">
        <v>5</v>
      </c>
      <c r="O62" s="276" t="s">
        <v>6</v>
      </c>
      <c r="P62" s="279"/>
      <c r="Q62" s="277"/>
      <c r="R62" s="276" t="s">
        <v>7</v>
      </c>
      <c r="S62" s="277"/>
      <c r="T62" s="276" t="s">
        <v>8</v>
      </c>
      <c r="U62" s="277"/>
      <c r="V62" s="14"/>
      <c r="W62" s="14"/>
      <c r="Y62" s="16" t="s">
        <v>5</v>
      </c>
      <c r="Z62" s="276" t="s">
        <v>6</v>
      </c>
      <c r="AA62" s="279"/>
      <c r="AB62" s="277"/>
      <c r="AC62" s="276" t="s">
        <v>7</v>
      </c>
      <c r="AD62" s="277"/>
      <c r="AE62" s="276" t="s">
        <v>8</v>
      </c>
      <c r="AF62" s="277"/>
      <c r="AG62" s="15"/>
      <c r="AH62" s="15"/>
      <c r="AI62" s="15"/>
      <c r="AJ62" s="15"/>
      <c r="AK62" s="15"/>
      <c r="AL62" s="16" t="s">
        <v>5</v>
      </c>
      <c r="AM62" s="276" t="s">
        <v>6</v>
      </c>
      <c r="AN62" s="279"/>
      <c r="AO62" s="277"/>
      <c r="AP62" s="276" t="s">
        <v>7</v>
      </c>
      <c r="AQ62" s="277"/>
      <c r="AR62" s="276" t="s">
        <v>8</v>
      </c>
      <c r="AS62" s="277"/>
    </row>
    <row r="63" spans="1:47" ht="29.4" thickBot="1" x14ac:dyDescent="0.35">
      <c r="B63" s="17" t="s">
        <v>9</v>
      </c>
      <c r="C63" s="8" t="s">
        <v>10</v>
      </c>
      <c r="D63" s="9" t="s">
        <v>11</v>
      </c>
      <c r="E63" s="10" t="s">
        <v>12</v>
      </c>
      <c r="F63" s="8" t="s">
        <v>10</v>
      </c>
      <c r="G63" s="10" t="s">
        <v>11</v>
      </c>
      <c r="H63" s="8" t="s">
        <v>8</v>
      </c>
      <c r="I63" s="18" t="s">
        <v>13</v>
      </c>
      <c r="N63" s="17" t="s">
        <v>9</v>
      </c>
      <c r="O63" s="8" t="s">
        <v>10</v>
      </c>
      <c r="P63" s="9" t="s">
        <v>11</v>
      </c>
      <c r="Q63" s="10" t="s">
        <v>12</v>
      </c>
      <c r="R63" s="8" t="s">
        <v>10</v>
      </c>
      <c r="S63" s="10" t="s">
        <v>11</v>
      </c>
      <c r="T63" s="8" t="s">
        <v>8</v>
      </c>
      <c r="U63" s="18" t="s">
        <v>13</v>
      </c>
      <c r="V63" s="19"/>
      <c r="W63" s="19"/>
      <c r="Y63" s="17" t="s">
        <v>9</v>
      </c>
      <c r="Z63" s="8" t="s">
        <v>10</v>
      </c>
      <c r="AA63" s="9" t="s">
        <v>11</v>
      </c>
      <c r="AB63" s="10" t="s">
        <v>12</v>
      </c>
      <c r="AC63" s="8" t="s">
        <v>10</v>
      </c>
      <c r="AD63" s="10" t="s">
        <v>11</v>
      </c>
      <c r="AE63" s="8" t="s">
        <v>8</v>
      </c>
      <c r="AF63" s="18" t="s">
        <v>13</v>
      </c>
      <c r="AG63" s="20"/>
      <c r="AH63" s="20"/>
      <c r="AI63" s="20"/>
      <c r="AJ63" s="20"/>
      <c r="AK63" s="20"/>
      <c r="AL63" s="17" t="s">
        <v>9</v>
      </c>
      <c r="AM63" s="8" t="s">
        <v>10</v>
      </c>
      <c r="AN63" s="9" t="s">
        <v>11</v>
      </c>
      <c r="AO63" s="10" t="s">
        <v>12</v>
      </c>
      <c r="AP63" s="8" t="s">
        <v>10</v>
      </c>
      <c r="AQ63" s="10" t="s">
        <v>11</v>
      </c>
      <c r="AR63" s="8" t="s">
        <v>8</v>
      </c>
      <c r="AS63" s="18" t="s">
        <v>13</v>
      </c>
    </row>
    <row r="64" spans="1:47" x14ac:dyDescent="0.3">
      <c r="B64" s="21" t="s">
        <v>15</v>
      </c>
      <c r="C64" s="22">
        <f t="shared" ref="C64:I66" si="8">AVERAGE(C69,C73,C77,C81,C85)</f>
        <v>17</v>
      </c>
      <c r="D64" s="23">
        <f t="shared" si="8"/>
        <v>3.6</v>
      </c>
      <c r="E64" s="24">
        <f t="shared" si="8"/>
        <v>665.58262219710707</v>
      </c>
      <c r="F64" s="22">
        <f t="shared" si="8"/>
        <v>14</v>
      </c>
      <c r="G64" s="24">
        <f t="shared" si="8"/>
        <v>1.4</v>
      </c>
      <c r="H64" s="274">
        <f t="shared" si="8"/>
        <v>0.15104257372817984</v>
      </c>
      <c r="I64" s="24">
        <f t="shared" si="8"/>
        <v>5.2039751923999997</v>
      </c>
      <c r="K64" s="27">
        <f>AVERAGE(K69,K73,K77,K81,K85)</f>
        <v>1.5395922872150223E-2</v>
      </c>
      <c r="N64" s="21" t="s">
        <v>15</v>
      </c>
      <c r="O64" s="22">
        <f t="shared" ref="O64:U66" si="9">AVERAGE(O69,O73,O77,O81,O85)</f>
        <v>20.399999999999999</v>
      </c>
      <c r="P64" s="23">
        <f t="shared" si="9"/>
        <v>4</v>
      </c>
      <c r="Q64" s="24">
        <f t="shared" si="9"/>
        <v>732.42530263361209</v>
      </c>
      <c r="R64" s="22">
        <f t="shared" si="9"/>
        <v>10.6</v>
      </c>
      <c r="S64" s="24">
        <f t="shared" si="9"/>
        <v>1</v>
      </c>
      <c r="T64" s="25">
        <f t="shared" si="9"/>
        <v>6.5784052763250001E-2</v>
      </c>
      <c r="U64" s="26">
        <f t="shared" si="9"/>
        <v>8.1211170541999991</v>
      </c>
      <c r="V64" s="14"/>
      <c r="W64" s="27">
        <f>AVERAGE(W69,W73,W77,W81,W85)</f>
        <v>1.0559280199225531E-2</v>
      </c>
      <c r="Y64" s="21" t="s">
        <v>15</v>
      </c>
      <c r="Z64" s="22">
        <f t="shared" ref="Z64:AF66" si="10">AVERAGE(Z69,Z73,Z77,Z81,Z85)</f>
        <v>21.2</v>
      </c>
      <c r="AA64" s="23">
        <f t="shared" si="10"/>
        <v>4</v>
      </c>
      <c r="AB64" s="24">
        <f t="shared" si="10"/>
        <v>725.77300156812225</v>
      </c>
      <c r="AC64" s="22">
        <f t="shared" si="10"/>
        <v>9.8000000000000007</v>
      </c>
      <c r="AD64" s="24">
        <f t="shared" si="10"/>
        <v>1</v>
      </c>
      <c r="AE64" s="25">
        <f t="shared" si="10"/>
        <v>7.4269130652905344E-2</v>
      </c>
      <c r="AF64" s="26">
        <f t="shared" si="10"/>
        <v>4.1323386893999992</v>
      </c>
      <c r="AG64" s="15"/>
      <c r="AH64" s="27">
        <f>AVERAGE(AH69,AH73,AH77,AH81,AH85)</f>
        <v>3.3425132226750601E-2</v>
      </c>
      <c r="AI64" s="28"/>
      <c r="AJ64" s="27"/>
      <c r="AK64" s="27"/>
      <c r="AL64" s="21" t="s">
        <v>15</v>
      </c>
      <c r="AM64" s="22">
        <f t="shared" ref="AM64:AS66" si="11">AVERAGE(AM69,AM73,AM77,AM81,AM85)</f>
        <v>31</v>
      </c>
      <c r="AN64" s="23" t="e">
        <f t="shared" si="11"/>
        <v>#DIV/0!</v>
      </c>
      <c r="AO64" s="24" t="e">
        <f t="shared" si="11"/>
        <v>#DIV/0!</v>
      </c>
      <c r="AP64" s="22" t="e">
        <f t="shared" si="11"/>
        <v>#DIV/0!</v>
      </c>
      <c r="AQ64" s="24" t="e">
        <f t="shared" si="11"/>
        <v>#DIV/0!</v>
      </c>
      <c r="AR64" s="22">
        <f t="shared" si="11"/>
        <v>1</v>
      </c>
      <c r="AS64" s="24" t="e">
        <f t="shared" si="11"/>
        <v>#DIV/0!</v>
      </c>
      <c r="AU64" s="27" t="e">
        <f>AVERAGE(AU69,AU73,AU77,AU81,AU85)</f>
        <v>#DIV/0!</v>
      </c>
    </row>
    <row r="65" spans="1:47" x14ac:dyDescent="0.3">
      <c r="B65" s="29" t="s">
        <v>16</v>
      </c>
      <c r="C65" s="30">
        <f>AVERAGE(C70,C74,C78,C82,C86)</f>
        <v>17.8</v>
      </c>
      <c r="D65" s="31">
        <f t="shared" si="8"/>
        <v>3.8</v>
      </c>
      <c r="E65" s="32">
        <f t="shared" si="8"/>
        <v>656.90944328129842</v>
      </c>
      <c r="F65" s="30">
        <f t="shared" si="8"/>
        <v>13.2</v>
      </c>
      <c r="G65" s="32">
        <f t="shared" si="8"/>
        <v>1.2</v>
      </c>
      <c r="H65" s="272">
        <f t="shared" si="8"/>
        <v>0.16210530193711933</v>
      </c>
      <c r="I65" s="32">
        <f t="shared" si="8"/>
        <v>105.50235817320001</v>
      </c>
      <c r="K65" s="27">
        <f>AVERAGE(K70,K74,K78,K82,K86)</f>
        <v>1.9650815147305638E-3</v>
      </c>
      <c r="N65" s="29" t="s">
        <v>16</v>
      </c>
      <c r="O65" s="30">
        <f>AVERAGE(O70,O74,O78,O82,O86)</f>
        <v>20.6</v>
      </c>
      <c r="P65" s="31">
        <f t="shared" si="9"/>
        <v>4</v>
      </c>
      <c r="Q65" s="32">
        <f t="shared" si="9"/>
        <v>725.40171358063708</v>
      </c>
      <c r="R65" s="30">
        <f t="shared" si="9"/>
        <v>10.4</v>
      </c>
      <c r="S65" s="32">
        <f t="shared" si="9"/>
        <v>1</v>
      </c>
      <c r="T65" s="33">
        <f t="shared" si="9"/>
        <v>7.4742712269595613E-2</v>
      </c>
      <c r="U65" s="34">
        <f t="shared" si="9"/>
        <v>130.0231130132</v>
      </c>
      <c r="V65" s="14"/>
      <c r="W65" s="27">
        <f>AVERAGE(W70,W74,W78,W82,W86)</f>
        <v>5.9240418896854571E-4</v>
      </c>
      <c r="Y65" s="29" t="s">
        <v>16</v>
      </c>
      <c r="Z65" s="30">
        <f>AVERAGE(Z70,Z74,Z78,Z82,Z86)</f>
        <v>22.8</v>
      </c>
      <c r="AA65" s="31">
        <f t="shared" si="10"/>
        <v>4</v>
      </c>
      <c r="AB65" s="32">
        <f t="shared" si="10"/>
        <v>703.0125215347332</v>
      </c>
      <c r="AC65" s="30">
        <f t="shared" si="10"/>
        <v>8.1999999999999993</v>
      </c>
      <c r="AD65" s="32">
        <f t="shared" si="10"/>
        <v>1</v>
      </c>
      <c r="AE65" s="33">
        <f t="shared" si="10"/>
        <v>0.10330035518528928</v>
      </c>
      <c r="AF65" s="34">
        <f t="shared" si="10"/>
        <v>179.6461429684</v>
      </c>
      <c r="AG65" s="15"/>
      <c r="AH65" s="27">
        <f>AVERAGE(AH70,AH74,AH78,AH82,AH86)</f>
        <v>-1.6062450130286749E-11</v>
      </c>
      <c r="AI65" s="28"/>
      <c r="AJ65" s="27"/>
      <c r="AK65" s="27"/>
      <c r="AL65" s="29" t="s">
        <v>16</v>
      </c>
      <c r="AM65" s="30">
        <f>AVERAGE(AM70,AM74,AM78,AM82,AM86)</f>
        <v>31</v>
      </c>
      <c r="AN65" s="31" t="e">
        <f t="shared" si="11"/>
        <v>#DIV/0!</v>
      </c>
      <c r="AO65" s="32" t="e">
        <f t="shared" si="11"/>
        <v>#DIV/0!</v>
      </c>
      <c r="AP65" s="30" t="e">
        <f t="shared" si="11"/>
        <v>#DIV/0!</v>
      </c>
      <c r="AQ65" s="32" t="e">
        <f t="shared" si="11"/>
        <v>#DIV/0!</v>
      </c>
      <c r="AR65" s="30">
        <f t="shared" si="11"/>
        <v>1</v>
      </c>
      <c r="AS65" s="32" t="e">
        <f t="shared" si="11"/>
        <v>#DIV/0!</v>
      </c>
      <c r="AU65" s="27" t="e">
        <f>AVERAGE(AU70,AU74,AU78,AU82,AU86)</f>
        <v>#DIV/0!</v>
      </c>
    </row>
    <row r="66" spans="1:47" ht="15" thickBot="1" x14ac:dyDescent="0.35">
      <c r="B66" s="35" t="s">
        <v>17</v>
      </c>
      <c r="C66" s="36">
        <f>AVERAGE(C71,C75,C79,C83,C87)</f>
        <v>18</v>
      </c>
      <c r="D66" s="37">
        <f t="shared" si="8"/>
        <v>3.8</v>
      </c>
      <c r="E66" s="38">
        <f t="shared" si="8"/>
        <v>655.54976896658127</v>
      </c>
      <c r="F66" s="36">
        <f t="shared" si="8"/>
        <v>13</v>
      </c>
      <c r="G66" s="38">
        <f t="shared" si="8"/>
        <v>1.2</v>
      </c>
      <c r="H66" s="273">
        <f t="shared" si="8"/>
        <v>0.16383958039976884</v>
      </c>
      <c r="I66" s="40">
        <f t="shared" si="8"/>
        <v>220737.94987018482</v>
      </c>
      <c r="K66" s="14"/>
      <c r="N66" s="35" t="s">
        <v>17</v>
      </c>
      <c r="O66" s="36">
        <f>AVERAGE(O71,O75,O79,O83,O87)</f>
        <v>20.6</v>
      </c>
      <c r="P66" s="37">
        <f t="shared" si="9"/>
        <v>4</v>
      </c>
      <c r="Q66" s="38">
        <f t="shared" si="9"/>
        <v>725.00369934987123</v>
      </c>
      <c r="R66" s="36">
        <f t="shared" si="9"/>
        <v>10.4</v>
      </c>
      <c r="S66" s="38">
        <f t="shared" si="9"/>
        <v>1</v>
      </c>
      <c r="T66" s="39">
        <f t="shared" si="9"/>
        <v>7.5250383482307143E-2</v>
      </c>
      <c r="U66" s="40">
        <f t="shared" si="9"/>
        <v>33757.462620418206</v>
      </c>
      <c r="V66" s="14"/>
      <c r="W66" s="14"/>
      <c r="Y66" s="35" t="s">
        <v>17</v>
      </c>
      <c r="Z66" s="36">
        <f>AVERAGE(Z71,Z75,Z79,Z83,Z87)</f>
        <v>22.8</v>
      </c>
      <c r="AA66" s="37">
        <f t="shared" si="10"/>
        <v>4</v>
      </c>
      <c r="AB66" s="38">
        <f t="shared" si="10"/>
        <v>703.01252154613462</v>
      </c>
      <c r="AC66" s="36">
        <f t="shared" si="10"/>
        <v>8.1999999999999993</v>
      </c>
      <c r="AD66" s="38">
        <f t="shared" si="10"/>
        <v>1</v>
      </c>
      <c r="AE66" s="39">
        <f t="shared" si="10"/>
        <v>0.10330035517074665</v>
      </c>
      <c r="AF66" s="40">
        <f t="shared" si="10"/>
        <v>81130.984612012748</v>
      </c>
      <c r="AG66" s="15"/>
      <c r="AH66" s="14"/>
      <c r="AI66" s="14"/>
      <c r="AJ66" s="14"/>
      <c r="AK66" s="14"/>
      <c r="AL66" s="35" t="s">
        <v>17</v>
      </c>
      <c r="AM66" s="36">
        <f>AVERAGE(AM71,AM75,AM79,AM83,AM87)</f>
        <v>31</v>
      </c>
      <c r="AN66" s="37" t="e">
        <f t="shared" si="11"/>
        <v>#DIV/0!</v>
      </c>
      <c r="AO66" s="38" t="e">
        <f t="shared" si="11"/>
        <v>#DIV/0!</v>
      </c>
      <c r="AP66" s="36" t="e">
        <f t="shared" si="11"/>
        <v>#DIV/0!</v>
      </c>
      <c r="AQ66" s="38" t="e">
        <f t="shared" si="11"/>
        <v>#DIV/0!</v>
      </c>
      <c r="AR66" s="36">
        <f t="shared" si="11"/>
        <v>1</v>
      </c>
      <c r="AS66" s="40" t="e">
        <f t="shared" si="11"/>
        <v>#DIV/0!</v>
      </c>
      <c r="AU66" s="14"/>
    </row>
    <row r="67" spans="1:47" x14ac:dyDescent="0.3">
      <c r="K67" s="4"/>
      <c r="AH67" s="4"/>
      <c r="AI67" s="4"/>
      <c r="AJ67" s="4"/>
      <c r="AK67" s="4"/>
      <c r="AU67" s="4"/>
    </row>
    <row r="68" spans="1:47" ht="15" thickBot="1" x14ac:dyDescent="0.35">
      <c r="K68" s="4"/>
      <c r="AH68" s="4"/>
      <c r="AI68" s="4"/>
      <c r="AJ68" s="4"/>
      <c r="AK68" s="4"/>
      <c r="AU68" s="4"/>
    </row>
    <row r="69" spans="1:47" x14ac:dyDescent="0.3">
      <c r="B69" s="21" t="s">
        <v>15</v>
      </c>
      <c r="C69" s="22">
        <f>$O$2-F69</f>
        <v>14</v>
      </c>
      <c r="D69" s="41">
        <v>3</v>
      </c>
      <c r="E69" s="42">
        <v>606.30916804744504</v>
      </c>
      <c r="F69" s="43">
        <v>17</v>
      </c>
      <c r="G69" s="44">
        <v>2</v>
      </c>
      <c r="H69" s="25">
        <f>MAX(($Q$2-E69)/$Q$2, 0)</f>
        <v>0.22664646932723848</v>
      </c>
      <c r="I69" s="42">
        <v>6.1781367569999999</v>
      </c>
      <c r="K69" s="27">
        <f>(E69-E71)/E71</f>
        <v>2.4726172500057046E-2</v>
      </c>
      <c r="N69" s="21" t="s">
        <v>15</v>
      </c>
      <c r="O69" s="22">
        <f>$O$2-R69</f>
        <v>21</v>
      </c>
      <c r="P69" s="41">
        <v>4</v>
      </c>
      <c r="Q69" s="42">
        <v>739.47072000000003</v>
      </c>
      <c r="R69" s="43">
        <v>10</v>
      </c>
      <c r="S69" s="44">
        <v>1</v>
      </c>
      <c r="T69" s="25">
        <f>MAX(($Q$2-Q69)/$Q$2, 0)</f>
        <v>5.6797551020408128E-2</v>
      </c>
      <c r="U69" s="42">
        <v>3.604516072</v>
      </c>
      <c r="V69" s="45"/>
      <c r="W69" s="27">
        <f>(Q69-Q71)/Q71</f>
        <v>1.0544130207514855E-2</v>
      </c>
      <c r="Y69" s="21" t="s">
        <v>15</v>
      </c>
      <c r="Z69" s="22">
        <f>$O$2-AC69</f>
        <v>22</v>
      </c>
      <c r="AA69" s="41">
        <v>4</v>
      </c>
      <c r="AB69" s="42">
        <v>710.86194699999999</v>
      </c>
      <c r="AC69" s="43">
        <v>9</v>
      </c>
      <c r="AD69" s="44">
        <v>1</v>
      </c>
      <c r="AE69" s="25">
        <f>MAX(($Q$2-AB69)/$Q$2, 0)</f>
        <v>9.3288332908163282E-2</v>
      </c>
      <c r="AF69" s="42">
        <v>2.0331752079999998</v>
      </c>
      <c r="AG69" s="46"/>
      <c r="AH69" s="27">
        <f>(AB69-AB71)/AB71</f>
        <v>7.2611307835493324E-3</v>
      </c>
      <c r="AI69" s="28"/>
      <c r="AJ69" s="27"/>
      <c r="AK69" s="27"/>
      <c r="AL69" s="21" t="s">
        <v>15</v>
      </c>
      <c r="AM69" s="22">
        <f>$O$2-AP69</f>
        <v>31</v>
      </c>
      <c r="AN69" s="41"/>
      <c r="AO69" s="42"/>
      <c r="AP69" s="43"/>
      <c r="AQ69" s="44"/>
      <c r="AR69" s="25">
        <f>MAX(($Q$2-AO69)/$Q$2, 0)</f>
        <v>1</v>
      </c>
      <c r="AS69" s="42"/>
      <c r="AU69" s="27" t="e">
        <f>(AO69-AO71)/AO71</f>
        <v>#DIV/0!</v>
      </c>
    </row>
    <row r="70" spans="1:47" x14ac:dyDescent="0.3">
      <c r="B70" s="29" t="s">
        <v>16</v>
      </c>
      <c r="C70" s="30">
        <f>$O$2-F70</f>
        <v>14</v>
      </c>
      <c r="D70" s="45">
        <v>3</v>
      </c>
      <c r="E70" s="47">
        <v>591.67920593675603</v>
      </c>
      <c r="F70" s="48">
        <v>17</v>
      </c>
      <c r="G70" s="49">
        <v>2</v>
      </c>
      <c r="H70" s="33">
        <f>MAX(($Q$2-E70)/$Q$2, 0)</f>
        <v>0.24530713528474996</v>
      </c>
      <c r="I70" s="47">
        <v>76.811147367999993</v>
      </c>
      <c r="K70" s="27">
        <f>(E70-E71)/E71</f>
        <v>0</v>
      </c>
      <c r="N70" s="29" t="s">
        <v>16</v>
      </c>
      <c r="O70" s="30">
        <f>$O$2-R70</f>
        <v>21</v>
      </c>
      <c r="P70" s="45">
        <v>4</v>
      </c>
      <c r="Q70" s="47">
        <v>731.75503100000003</v>
      </c>
      <c r="R70" s="48">
        <v>10</v>
      </c>
      <c r="S70" s="49">
        <v>1</v>
      </c>
      <c r="T70" s="33">
        <f>MAX(($Q$2-Q70)/$Q$2, 0)</f>
        <v>6.6638991071428538E-2</v>
      </c>
      <c r="U70" s="47">
        <v>150.16437725500001</v>
      </c>
      <c r="V70" s="45">
        <v>105</v>
      </c>
      <c r="W70" s="27">
        <f>(Q70-Q71)/Q71</f>
        <v>4.2363906000532093E-8</v>
      </c>
      <c r="Y70" s="29" t="s">
        <v>16</v>
      </c>
      <c r="Z70" s="30">
        <f>$O$2-AC70</f>
        <v>24</v>
      </c>
      <c r="AA70" s="45">
        <v>4</v>
      </c>
      <c r="AB70" s="47">
        <v>705.73749469999996</v>
      </c>
      <c r="AC70" s="48">
        <v>7</v>
      </c>
      <c r="AD70" s="49">
        <v>1</v>
      </c>
      <c r="AE70" s="33">
        <f>MAX(($Q$2-AB70)/$Q$2, 0)</f>
        <v>9.9824624107142906E-2</v>
      </c>
      <c r="AF70" s="47">
        <v>183.29988615299999</v>
      </c>
      <c r="AG70" s="46">
        <v>153</v>
      </c>
      <c r="AH70" s="27">
        <f>(AB70-AB71)/AB71</f>
        <v>-7.3331927362066946E-11</v>
      </c>
      <c r="AI70" s="28"/>
      <c r="AJ70" s="27"/>
      <c r="AK70" s="27"/>
      <c r="AL70" s="29" t="s">
        <v>16</v>
      </c>
      <c r="AM70" s="30">
        <f>$O$2-AP70</f>
        <v>31</v>
      </c>
      <c r="AN70" s="45"/>
      <c r="AO70" s="47"/>
      <c r="AP70" s="48"/>
      <c r="AQ70" s="49"/>
      <c r="AR70" s="33">
        <f>MAX(($Q$2-AO70)/$Q$2, 0)</f>
        <v>1</v>
      </c>
      <c r="AS70" s="47"/>
      <c r="AU70" s="27" t="e">
        <f>(AO70-AO71)/AO71</f>
        <v>#DIV/0!</v>
      </c>
    </row>
    <row r="71" spans="1:47" ht="15" thickBot="1" x14ac:dyDescent="0.35">
      <c r="A71" s="50" t="s">
        <v>38</v>
      </c>
      <c r="B71" s="35" t="s">
        <v>17</v>
      </c>
      <c r="C71" s="36">
        <f>$O$2-F71</f>
        <v>14</v>
      </c>
      <c r="D71" s="51">
        <v>3</v>
      </c>
      <c r="E71" s="52">
        <v>591.67920593675603</v>
      </c>
      <c r="F71" s="53">
        <v>17</v>
      </c>
      <c r="G71" s="54">
        <v>2</v>
      </c>
      <c r="H71" s="39">
        <f>MAX(($Q$2-E71)/$Q$2,0)</f>
        <v>0.24530713528474996</v>
      </c>
      <c r="I71" s="52">
        <v>103.921963909</v>
      </c>
      <c r="J71" s="3">
        <v>147</v>
      </c>
      <c r="K71" s="27"/>
      <c r="N71" s="35" t="s">
        <v>17</v>
      </c>
      <c r="O71" s="36">
        <f>$O$2-R71</f>
        <v>21</v>
      </c>
      <c r="P71" s="51">
        <v>4</v>
      </c>
      <c r="Q71" s="52">
        <v>731.755</v>
      </c>
      <c r="R71" s="53">
        <v>10</v>
      </c>
      <c r="S71" s="54">
        <v>1</v>
      </c>
      <c r="T71" s="39">
        <f>MAX(($Q$2-Q71)/$Q$2,0)</f>
        <v>6.6639030612244909E-2</v>
      </c>
      <c r="U71" s="52">
        <v>1717.594871</v>
      </c>
      <c r="V71" s="45"/>
      <c r="W71" s="27"/>
      <c r="Y71" s="35" t="s">
        <v>17</v>
      </c>
      <c r="Z71" s="36">
        <f>$O$2-AC71</f>
        <v>24</v>
      </c>
      <c r="AA71" s="51">
        <v>4</v>
      </c>
      <c r="AB71" s="52">
        <v>705.73749475175305</v>
      </c>
      <c r="AC71" s="53">
        <v>7</v>
      </c>
      <c r="AD71" s="54">
        <v>1</v>
      </c>
      <c r="AE71" s="39">
        <f>MAX(($Q$2-AB71)/$Q$2,0)</f>
        <v>9.9824624041131321E-2</v>
      </c>
      <c r="AF71" s="52">
        <v>6147.7187000000004</v>
      </c>
      <c r="AG71" s="46"/>
      <c r="AH71" s="27"/>
      <c r="AI71" s="28"/>
      <c r="AJ71" s="27"/>
      <c r="AK71" s="27"/>
      <c r="AL71" s="35" t="s">
        <v>17</v>
      </c>
      <c r="AM71" s="36">
        <f>$O$2-AP71</f>
        <v>31</v>
      </c>
      <c r="AN71" s="51"/>
      <c r="AO71" s="52"/>
      <c r="AP71" s="53"/>
      <c r="AQ71" s="54"/>
      <c r="AR71" s="39">
        <f>MAX(($Q$2-AO71)/$Q$2,0)</f>
        <v>1</v>
      </c>
      <c r="AS71" s="52"/>
      <c r="AU71" s="27"/>
    </row>
    <row r="72" spans="1:47" ht="15" thickBot="1" x14ac:dyDescent="0.35">
      <c r="C72" s="3"/>
      <c r="D72" s="3"/>
      <c r="E72" s="3"/>
      <c r="F72" s="3"/>
      <c r="G72" s="3"/>
      <c r="H72" s="3"/>
      <c r="I72" s="3"/>
      <c r="K72" s="56"/>
      <c r="O72" s="3"/>
      <c r="P72" s="3"/>
      <c r="Q72" s="3"/>
      <c r="R72" s="3"/>
      <c r="S72" s="3"/>
      <c r="T72" s="3"/>
      <c r="U72" s="3"/>
      <c r="V72" s="56"/>
      <c r="W72" s="56"/>
      <c r="Z72" s="3"/>
      <c r="AA72" s="3"/>
      <c r="AB72" s="3"/>
      <c r="AC72" s="3"/>
      <c r="AD72" s="3"/>
      <c r="AE72" s="3"/>
      <c r="AF72" s="3"/>
      <c r="AG72" s="57"/>
      <c r="AH72" s="56"/>
      <c r="AI72" s="56"/>
      <c r="AJ72" s="56"/>
      <c r="AK72" s="56"/>
      <c r="AM72" s="3"/>
      <c r="AN72" s="3"/>
      <c r="AO72" s="3"/>
      <c r="AP72" s="3"/>
      <c r="AQ72" s="3"/>
      <c r="AR72" s="3"/>
      <c r="AS72" s="3"/>
      <c r="AU72" s="56"/>
    </row>
    <row r="73" spans="1:47" x14ac:dyDescent="0.3">
      <c r="B73" s="21" t="s">
        <v>15</v>
      </c>
      <c r="C73" s="22">
        <f>$O$2-F73</f>
        <v>17</v>
      </c>
      <c r="D73" s="41">
        <v>3</v>
      </c>
      <c r="E73" s="42">
        <v>709.81355660798897</v>
      </c>
      <c r="F73" s="43">
        <v>14</v>
      </c>
      <c r="G73" s="44">
        <v>2</v>
      </c>
      <c r="H73" s="25">
        <f>MAX(($Q$2-E73)/$Q$2, 0)</f>
        <v>9.4625565551034477E-2</v>
      </c>
      <c r="I73" s="42">
        <v>4.4357275019999998</v>
      </c>
      <c r="K73" s="27">
        <f>(E73-E75)/E75</f>
        <v>2.5864417601821774E-2</v>
      </c>
      <c r="N73" s="21" t="s">
        <v>15</v>
      </c>
      <c r="O73" s="22">
        <f>$O$2-R73</f>
        <v>20</v>
      </c>
      <c r="P73" s="41">
        <v>4</v>
      </c>
      <c r="Q73" s="42">
        <v>748.66472799999997</v>
      </c>
      <c r="R73" s="43">
        <v>11</v>
      </c>
      <c r="S73" s="44">
        <v>1</v>
      </c>
      <c r="T73" s="25">
        <f>MAX(($Q$2-Q73)/$Q$2, 0)</f>
        <v>4.5070500000000041E-2</v>
      </c>
      <c r="U73" s="42">
        <v>17.709785750000002</v>
      </c>
      <c r="V73" s="45"/>
      <c r="W73" s="27">
        <f>(Q73-Q75)/Q75</f>
        <v>1.7639574606746191E-3</v>
      </c>
      <c r="Y73" s="21" t="s">
        <v>15</v>
      </c>
      <c r="Z73" s="22">
        <f>$O$2-AC73</f>
        <v>20</v>
      </c>
      <c r="AA73" s="41">
        <v>4</v>
      </c>
      <c r="AB73" s="42">
        <v>722.84465133000003</v>
      </c>
      <c r="AC73" s="43">
        <v>11</v>
      </c>
      <c r="AD73" s="44">
        <v>1</v>
      </c>
      <c r="AE73" s="25">
        <f>MAX(($Q$2-AB73)/$Q$2, 0)</f>
        <v>7.8004271262755054E-2</v>
      </c>
      <c r="AF73" s="42">
        <v>5.5114181010000003</v>
      </c>
      <c r="AG73" s="46"/>
      <c r="AH73" s="27">
        <f>(AB73-AB75)/AB75</f>
        <v>7.6581941896395195E-2</v>
      </c>
      <c r="AI73" s="28"/>
      <c r="AJ73" s="27"/>
      <c r="AK73" s="27"/>
      <c r="AL73" s="21" t="s">
        <v>15</v>
      </c>
      <c r="AM73" s="22">
        <f>$O$2-AP73</f>
        <v>31</v>
      </c>
      <c r="AN73" s="41"/>
      <c r="AO73" s="42"/>
      <c r="AP73" s="43"/>
      <c r="AQ73" s="44"/>
      <c r="AR73" s="25">
        <f>MAX(($Q$2-AO73)/$Q$2, 0)</f>
        <v>1</v>
      </c>
      <c r="AS73" s="42"/>
      <c r="AU73" s="27" t="e">
        <f>(AO73-AO75)/AO75</f>
        <v>#DIV/0!</v>
      </c>
    </row>
    <row r="74" spans="1:47" x14ac:dyDescent="0.3">
      <c r="B74" s="29" t="s">
        <v>16</v>
      </c>
      <c r="C74" s="30">
        <f>$O$2-F74</f>
        <v>20</v>
      </c>
      <c r="D74" s="45">
        <v>4</v>
      </c>
      <c r="E74" s="47">
        <v>698.71588467666299</v>
      </c>
      <c r="F74" s="48">
        <v>11</v>
      </c>
      <c r="G74" s="49">
        <v>1</v>
      </c>
      <c r="H74" s="33">
        <f>MAX(($Q$2-E74)/$Q$2, 0)</f>
        <v>0.10878075934099107</v>
      </c>
      <c r="I74" s="47">
        <v>97.476193198999994</v>
      </c>
      <c r="J74" s="3">
        <v>119</v>
      </c>
      <c r="K74" s="27">
        <f>(E74-E75)/E75</f>
        <v>9.8254075736528192E-3</v>
      </c>
      <c r="N74" s="29" t="s">
        <v>16</v>
      </c>
      <c r="O74" s="30">
        <f>$O$2-R74</f>
        <v>20</v>
      </c>
      <c r="P74" s="45">
        <v>4</v>
      </c>
      <c r="Q74" s="47">
        <v>747.34644060000005</v>
      </c>
      <c r="R74" s="48">
        <v>11</v>
      </c>
      <c r="S74" s="49">
        <v>1</v>
      </c>
      <c r="T74" s="33">
        <f>MAX(($Q$2-Q74)/$Q$2, 0)</f>
        <v>4.675198903061218E-2</v>
      </c>
      <c r="U74" s="47">
        <v>142.70908969000001</v>
      </c>
      <c r="V74" s="45">
        <v>101</v>
      </c>
      <c r="W74" s="27">
        <f>(Q74-Q75)/Q75</f>
        <v>-9.402730439324004E-11</v>
      </c>
      <c r="Y74" s="29" t="s">
        <v>16</v>
      </c>
      <c r="Z74" s="30">
        <f>$O$2-AC74</f>
        <v>22</v>
      </c>
      <c r="AA74" s="45">
        <v>4</v>
      </c>
      <c r="AB74" s="47">
        <v>671.42557681834398</v>
      </c>
      <c r="AC74" s="48">
        <v>9</v>
      </c>
      <c r="AD74" s="49">
        <v>1</v>
      </c>
      <c r="AE74" s="33">
        <f>MAX(($Q$2-AB74)/$Q$2, 0)</f>
        <v>0.14358982548680616</v>
      </c>
      <c r="AF74" s="47">
        <v>240.55597402199999</v>
      </c>
      <c r="AG74" s="46">
        <v>209</v>
      </c>
      <c r="AH74" s="27">
        <f>(AB74-AB75)/AB75</f>
        <v>0</v>
      </c>
      <c r="AI74" s="28"/>
      <c r="AJ74" s="27"/>
      <c r="AK74" s="27"/>
      <c r="AL74" s="29" t="s">
        <v>16</v>
      </c>
      <c r="AM74" s="30">
        <f>$O$2-AP74</f>
        <v>31</v>
      </c>
      <c r="AN74" s="45"/>
      <c r="AO74" s="47"/>
      <c r="AP74" s="48"/>
      <c r="AQ74" s="49"/>
      <c r="AR74" s="33">
        <f>MAX(($Q$2-AO74)/$Q$2, 0)</f>
        <v>1</v>
      </c>
      <c r="AS74" s="47"/>
      <c r="AU74" s="27" t="e">
        <f>(AO74-AO75)/AO75</f>
        <v>#DIV/0!</v>
      </c>
    </row>
    <row r="75" spans="1:47" ht="15" thickBot="1" x14ac:dyDescent="0.35">
      <c r="A75" s="50" t="s">
        <v>39</v>
      </c>
      <c r="B75" s="35" t="s">
        <v>17</v>
      </c>
      <c r="C75" s="36">
        <f>$O$2-F75</f>
        <v>21</v>
      </c>
      <c r="D75" s="51">
        <v>4</v>
      </c>
      <c r="E75" s="52">
        <v>691.917513103077</v>
      </c>
      <c r="F75" s="53">
        <v>10</v>
      </c>
      <c r="G75" s="54">
        <v>1</v>
      </c>
      <c r="H75" s="39">
        <f>MAX(($Q$2-E75)/$Q$2,0)</f>
        <v>0.11745215165423852</v>
      </c>
      <c r="I75" s="52">
        <v>281642.89311162999</v>
      </c>
      <c r="K75" s="45"/>
      <c r="N75" s="35" t="s">
        <v>17</v>
      </c>
      <c r="O75" s="36">
        <f>$O$2-R75</f>
        <v>20</v>
      </c>
      <c r="P75" s="51">
        <v>4</v>
      </c>
      <c r="Q75" s="52">
        <v>747.34644067027102</v>
      </c>
      <c r="R75" s="53">
        <v>11</v>
      </c>
      <c r="S75" s="54">
        <v>1</v>
      </c>
      <c r="T75" s="39">
        <f>MAX(($Q$2-Q75)/$Q$2,0)</f>
        <v>4.6751988940980836E-2</v>
      </c>
      <c r="U75" s="52">
        <v>5515.402</v>
      </c>
      <c r="V75" s="45"/>
      <c r="W75" s="45"/>
      <c r="Y75" s="35" t="s">
        <v>17</v>
      </c>
      <c r="Z75" s="36">
        <f>$O$2-AC75</f>
        <v>22</v>
      </c>
      <c r="AA75" s="51">
        <v>4</v>
      </c>
      <c r="AB75" s="52">
        <v>671.42557681834398</v>
      </c>
      <c r="AC75" s="53">
        <v>9</v>
      </c>
      <c r="AD75" s="54">
        <v>1</v>
      </c>
      <c r="AE75" s="39">
        <f>MAX(($Q$2-AB75)/$Q$2,0)</f>
        <v>0.14358982548680616</v>
      </c>
      <c r="AF75" s="52">
        <v>102640.27167364</v>
      </c>
      <c r="AG75" s="46"/>
      <c r="AH75" s="45"/>
      <c r="AI75" s="14"/>
      <c r="AJ75" s="45"/>
      <c r="AK75" s="45"/>
      <c r="AL75" s="35" t="s">
        <v>17</v>
      </c>
      <c r="AM75" s="36">
        <f>$O$2-AP75</f>
        <v>31</v>
      </c>
      <c r="AN75" s="51"/>
      <c r="AO75" s="52"/>
      <c r="AP75" s="53"/>
      <c r="AQ75" s="54"/>
      <c r="AR75" s="39">
        <f>MAX(($Q$2-AO75)/$Q$2,0)</f>
        <v>1</v>
      </c>
      <c r="AS75" s="52"/>
      <c r="AU75" s="45"/>
    </row>
    <row r="76" spans="1:47" ht="15" thickBot="1" x14ac:dyDescent="0.35">
      <c r="C76" s="3"/>
      <c r="D76" s="3"/>
      <c r="E76" s="3"/>
      <c r="F76" s="3"/>
      <c r="G76" s="3"/>
      <c r="H76" s="3"/>
      <c r="I76" s="3"/>
      <c r="K76" s="56"/>
      <c r="O76" s="3"/>
      <c r="P76" s="3"/>
      <c r="Q76" s="3"/>
      <c r="R76" s="3"/>
      <c r="S76" s="3"/>
      <c r="T76" s="3"/>
      <c r="U76" s="3"/>
      <c r="V76" s="56"/>
      <c r="W76" s="56"/>
      <c r="Z76" s="3"/>
      <c r="AA76" s="3"/>
      <c r="AB76" s="3"/>
      <c r="AC76" s="3"/>
      <c r="AD76" s="3"/>
      <c r="AE76" s="3"/>
      <c r="AF76" s="3"/>
      <c r="AG76" s="57"/>
      <c r="AH76" s="56"/>
      <c r="AI76" s="56"/>
      <c r="AJ76" s="56"/>
      <c r="AK76" s="56"/>
      <c r="AM76" s="3"/>
      <c r="AN76" s="3"/>
      <c r="AO76" s="3"/>
      <c r="AP76" s="3"/>
      <c r="AQ76" s="3"/>
      <c r="AR76" s="3"/>
      <c r="AS76" s="3"/>
      <c r="AU76" s="56"/>
    </row>
    <row r="77" spans="1:47" x14ac:dyDescent="0.3">
      <c r="B77" s="21" t="s">
        <v>15</v>
      </c>
      <c r="C77" s="22">
        <f>$O$2-F77</f>
        <v>18</v>
      </c>
      <c r="D77" s="41">
        <v>4</v>
      </c>
      <c r="E77" s="42">
        <v>685.060543496837</v>
      </c>
      <c r="F77" s="43">
        <v>13</v>
      </c>
      <c r="G77" s="44">
        <v>1</v>
      </c>
      <c r="H77" s="25">
        <f>MAX(($Q$2-E77)/$Q$2, 0)</f>
        <v>0.12619828635607525</v>
      </c>
      <c r="I77" s="42">
        <v>6.4155380879999999</v>
      </c>
      <c r="K77" s="27">
        <f>(E77-E79)/E79</f>
        <v>2.4404041512600186E-2</v>
      </c>
      <c r="N77" s="21" t="s">
        <v>15</v>
      </c>
      <c r="O77" s="22">
        <f>$O$2-R77</f>
        <v>20</v>
      </c>
      <c r="P77" s="41">
        <v>4</v>
      </c>
      <c r="Q77" s="42">
        <v>721.33307000000002</v>
      </c>
      <c r="R77" s="43">
        <v>11</v>
      </c>
      <c r="S77" s="44">
        <v>1</v>
      </c>
      <c r="T77" s="25">
        <f>MAX(($Q$2-Q77)/$Q$2, 0)</f>
        <v>7.9932308673469357E-2</v>
      </c>
      <c r="U77" s="42">
        <v>9.881020243</v>
      </c>
      <c r="V77" s="45"/>
      <c r="W77" s="27">
        <f>(Q77-Q79)/Q79</f>
        <v>1.839078693093504E-2</v>
      </c>
      <c r="Y77" s="21" t="s">
        <v>15</v>
      </c>
      <c r="Z77" s="22">
        <f>$O$2-AC77</f>
        <v>22</v>
      </c>
      <c r="AA77" s="41">
        <v>4</v>
      </c>
      <c r="AB77" s="42">
        <v>762.11003631849997</v>
      </c>
      <c r="AC77" s="43">
        <v>9</v>
      </c>
      <c r="AD77" s="44">
        <v>1</v>
      </c>
      <c r="AE77" s="25">
        <f>MAX(($Q$2-AB77)/$Q$2, 0)</f>
        <v>2.7920872042729635E-2</v>
      </c>
      <c r="AF77" s="42">
        <v>6.115996118</v>
      </c>
      <c r="AG77" s="46"/>
      <c r="AH77" s="27">
        <f>(AB77-AB79)/AB79</f>
        <v>1.2511755760570816E-2</v>
      </c>
      <c r="AI77" s="28"/>
      <c r="AJ77" s="27"/>
      <c r="AK77" s="27"/>
      <c r="AL77" s="21" t="s">
        <v>15</v>
      </c>
      <c r="AM77" s="22">
        <f>$O$2-AP77</f>
        <v>31</v>
      </c>
      <c r="AN77" s="41"/>
      <c r="AO77" s="42"/>
      <c r="AP77" s="43"/>
      <c r="AQ77" s="44"/>
      <c r="AR77" s="25">
        <f>MAX(($Q$2-AO77)/$Q$2, 0)</f>
        <v>1</v>
      </c>
      <c r="AS77" s="42"/>
      <c r="AU77" s="27" t="e">
        <f>(AO77-AO79)/AO79</f>
        <v>#DIV/0!</v>
      </c>
    </row>
    <row r="78" spans="1:47" x14ac:dyDescent="0.3">
      <c r="B78" s="29" t="s">
        <v>16</v>
      </c>
      <c r="C78" s="30">
        <f>$O$2-F78</f>
        <v>19</v>
      </c>
      <c r="D78" s="45">
        <v>4</v>
      </c>
      <c r="E78" s="47">
        <v>668.74057084478102</v>
      </c>
      <c r="F78" s="48">
        <v>12</v>
      </c>
      <c r="G78" s="49">
        <v>1</v>
      </c>
      <c r="H78" s="33">
        <f>MAX(($Q$2-E78)/$Q$2, 0)</f>
        <v>0.14701457800410583</v>
      </c>
      <c r="I78" s="47">
        <v>116.191869986</v>
      </c>
      <c r="K78" s="27">
        <f>(E78-E79)/E79</f>
        <v>0</v>
      </c>
      <c r="N78" s="29" t="s">
        <v>16</v>
      </c>
      <c r="O78" s="30">
        <f>$O$2-R78</f>
        <v>20</v>
      </c>
      <c r="P78" s="45">
        <v>4</v>
      </c>
      <c r="Q78" s="47">
        <v>708.30675145229804</v>
      </c>
      <c r="R78" s="48">
        <v>11</v>
      </c>
      <c r="S78" s="49">
        <v>1</v>
      </c>
      <c r="T78" s="33">
        <f>MAX(($Q$2-Q78)/$Q$2, 0)</f>
        <v>9.6547510902681072E-2</v>
      </c>
      <c r="U78" s="47">
        <v>119.877394059</v>
      </c>
      <c r="V78" s="45">
        <v>155</v>
      </c>
      <c r="W78" s="27">
        <f>(Q78-Q79)/Q79</f>
        <v>0</v>
      </c>
      <c r="X78" s="59"/>
      <c r="Y78" s="29" t="s">
        <v>16</v>
      </c>
      <c r="Z78" s="30">
        <f>$O$2-AC78</f>
        <v>23</v>
      </c>
      <c r="AA78" s="45">
        <v>4</v>
      </c>
      <c r="AB78" s="47">
        <v>752.69253119999996</v>
      </c>
      <c r="AC78" s="48">
        <v>8</v>
      </c>
      <c r="AD78" s="49">
        <v>1</v>
      </c>
      <c r="AE78" s="33">
        <f>MAX(($Q$2-AB78)/$Q$2, 0)</f>
        <v>3.9932995918367395E-2</v>
      </c>
      <c r="AF78" s="47">
        <v>186.261022604</v>
      </c>
      <c r="AG78" s="46">
        <v>234</v>
      </c>
      <c r="AH78" s="27">
        <f>(AB78-AB79)/AB79</f>
        <v>-6.9803232893668046E-12</v>
      </c>
      <c r="AI78" s="28"/>
      <c r="AJ78" s="27"/>
      <c r="AK78" s="27"/>
      <c r="AL78" s="29" t="s">
        <v>16</v>
      </c>
      <c r="AM78" s="30">
        <f>$O$2-AP78</f>
        <v>31</v>
      </c>
      <c r="AN78" s="45"/>
      <c r="AO78" s="47"/>
      <c r="AP78" s="48"/>
      <c r="AQ78" s="49"/>
      <c r="AR78" s="33">
        <f>MAX(($Q$2-AO78)/$Q$2, 0)</f>
        <v>1</v>
      </c>
      <c r="AS78" s="47"/>
      <c r="AU78" s="27" t="e">
        <f>(AO78-AO79)/AO79</f>
        <v>#DIV/0!</v>
      </c>
    </row>
    <row r="79" spans="1:47" ht="15" thickBot="1" x14ac:dyDescent="0.35">
      <c r="A79" s="50" t="s">
        <v>40</v>
      </c>
      <c r="B79" s="35" t="s">
        <v>17</v>
      </c>
      <c r="C79" s="36">
        <f>$O$2-F79</f>
        <v>19</v>
      </c>
      <c r="D79" s="51">
        <v>4</v>
      </c>
      <c r="E79" s="52">
        <v>668.74057084478102</v>
      </c>
      <c r="F79" s="53">
        <v>12</v>
      </c>
      <c r="G79" s="54">
        <v>1</v>
      </c>
      <c r="H79" s="39">
        <f>MAX(($Q$2-E79)/$Q$2,0)</f>
        <v>0.14701457800410583</v>
      </c>
      <c r="I79" s="52">
        <v>424157.52196770703</v>
      </c>
      <c r="K79" s="45"/>
      <c r="N79" s="35" t="s">
        <v>17</v>
      </c>
      <c r="O79" s="36">
        <f>$O$2-R79</f>
        <v>20</v>
      </c>
      <c r="P79" s="51">
        <v>4</v>
      </c>
      <c r="Q79" s="52">
        <v>708.30675145229804</v>
      </c>
      <c r="R79" s="53">
        <v>11</v>
      </c>
      <c r="S79" s="54">
        <v>1</v>
      </c>
      <c r="T79" s="39">
        <f>MAX(($Q$2-Q79)/$Q$2,0)</f>
        <v>9.6547510902681072E-2</v>
      </c>
      <c r="U79" s="52">
        <v>2413.9360000000001</v>
      </c>
      <c r="V79" s="45"/>
      <c r="W79" s="45"/>
      <c r="Y79" s="35" t="s">
        <v>17</v>
      </c>
      <c r="Z79" s="36">
        <f>$O$2-AC79</f>
        <v>23</v>
      </c>
      <c r="AA79" s="51">
        <v>4</v>
      </c>
      <c r="AB79" s="52">
        <v>752.692531205254</v>
      </c>
      <c r="AC79" s="53">
        <v>8</v>
      </c>
      <c r="AD79" s="54">
        <v>1</v>
      </c>
      <c r="AE79" s="39">
        <f>MAX(($Q$2-AB79)/$Q$2,0)</f>
        <v>3.9932995911665818E-2</v>
      </c>
      <c r="AF79" s="52">
        <v>160140.798074411</v>
      </c>
      <c r="AG79" s="46"/>
      <c r="AH79" s="45"/>
      <c r="AI79" s="14"/>
      <c r="AJ79" s="45"/>
      <c r="AK79" s="45"/>
      <c r="AL79" s="35" t="s">
        <v>17</v>
      </c>
      <c r="AM79" s="36">
        <f>$O$2-AP79</f>
        <v>31</v>
      </c>
      <c r="AN79" s="51"/>
      <c r="AO79" s="52"/>
      <c r="AP79" s="53"/>
      <c r="AQ79" s="54"/>
      <c r="AR79" s="39">
        <f>MAX(($Q$2-AO79)/$Q$2,0)</f>
        <v>1</v>
      </c>
      <c r="AS79" s="52"/>
      <c r="AU79" s="45"/>
    </row>
    <row r="80" spans="1:47" ht="15" thickBot="1" x14ac:dyDescent="0.35">
      <c r="C80" s="3"/>
      <c r="D80" s="3"/>
      <c r="E80" s="3"/>
      <c r="F80" s="3"/>
      <c r="G80" s="3"/>
      <c r="H80" s="3"/>
      <c r="I80" s="3"/>
      <c r="K80" s="56"/>
      <c r="O80" s="3"/>
      <c r="P80" s="3"/>
      <c r="Q80" s="3"/>
      <c r="R80" s="3"/>
      <c r="S80" s="3"/>
      <c r="T80" s="3"/>
      <c r="U80" s="3"/>
      <c r="V80" s="56"/>
      <c r="W80" s="56"/>
      <c r="Z80" s="3"/>
      <c r="AA80" s="3"/>
      <c r="AB80" s="3"/>
      <c r="AC80" s="3"/>
      <c r="AD80" s="3"/>
      <c r="AE80" s="3"/>
      <c r="AF80" s="3"/>
      <c r="AG80" s="57"/>
      <c r="AH80" s="56"/>
      <c r="AI80" s="56"/>
      <c r="AJ80" s="56"/>
      <c r="AK80" s="56"/>
      <c r="AM80" s="3"/>
      <c r="AN80" s="3"/>
      <c r="AO80" s="3"/>
      <c r="AP80" s="3"/>
      <c r="AQ80" s="3"/>
      <c r="AR80" s="3"/>
      <c r="AS80" s="3"/>
      <c r="AU80" s="56"/>
    </row>
    <row r="81" spans="1:47" x14ac:dyDescent="0.3">
      <c r="B81" s="21" t="s">
        <v>15</v>
      </c>
      <c r="C81" s="22">
        <f>$O$2-F81</f>
        <v>18</v>
      </c>
      <c r="D81" s="41">
        <v>4</v>
      </c>
      <c r="E81" s="42">
        <v>661.28090320951003</v>
      </c>
      <c r="F81" s="43">
        <v>13</v>
      </c>
      <c r="G81" s="44">
        <v>1</v>
      </c>
      <c r="H81" s="25">
        <f>MAX(($Q$2-E81)/$Q$2, 0)</f>
        <v>0.15652946019195149</v>
      </c>
      <c r="I81" s="42">
        <v>5.7603877560000001</v>
      </c>
      <c r="K81" s="27">
        <f>(E81-E83)/E83</f>
        <v>0</v>
      </c>
      <c r="N81" s="21" t="s">
        <v>15</v>
      </c>
      <c r="O81" s="22">
        <f>$O$2-R81</f>
        <v>19</v>
      </c>
      <c r="P81" s="41">
        <v>4</v>
      </c>
      <c r="Q81" s="42">
        <v>685.26839583000003</v>
      </c>
      <c r="R81" s="43">
        <v>12</v>
      </c>
      <c r="S81" s="44">
        <v>1</v>
      </c>
      <c r="T81" s="25">
        <f>MAX(($Q$2-Q81)/$Q$2, 0)</f>
        <v>0.12593316858418363</v>
      </c>
      <c r="U81" s="42">
        <v>2.3710327499999999</v>
      </c>
      <c r="V81" s="45"/>
      <c r="W81" s="27">
        <f>(Q81-Q83)/Q83</f>
        <v>1.9954441064832296E-2</v>
      </c>
      <c r="Y81" s="21" t="s">
        <v>15</v>
      </c>
      <c r="Z81" s="22">
        <f>$O$2-AC81</f>
        <v>19</v>
      </c>
      <c r="AA81" s="41">
        <v>4</v>
      </c>
      <c r="AB81" s="42">
        <v>712.23787319211101</v>
      </c>
      <c r="AC81" s="43">
        <v>12</v>
      </c>
      <c r="AD81" s="44">
        <v>1</v>
      </c>
      <c r="AE81" s="25">
        <f>MAX(($Q$2-AB81)/$Q$2, 0)</f>
        <v>9.1533325010062491E-2</v>
      </c>
      <c r="AF81" s="42">
        <v>1.776480713</v>
      </c>
      <c r="AG81" s="46"/>
      <c r="AH81" s="27">
        <f>(AB81-AB83)/AB83</f>
        <v>6.2084669038320779E-2</v>
      </c>
      <c r="AI81" s="28"/>
      <c r="AJ81" s="27"/>
      <c r="AK81" s="27"/>
      <c r="AL81" s="21" t="s">
        <v>15</v>
      </c>
      <c r="AM81" s="22">
        <f>$O$2-AP81</f>
        <v>31</v>
      </c>
      <c r="AN81" s="41"/>
      <c r="AO81" s="42"/>
      <c r="AP81" s="43"/>
      <c r="AQ81" s="44"/>
      <c r="AR81" s="25">
        <f>MAX(($Q$2-AO81)/$Q$2, 0)</f>
        <v>1</v>
      </c>
      <c r="AS81" s="42"/>
      <c r="AU81" s="27" t="e">
        <f>(AO81-AO83)/AO83</f>
        <v>#DIV/0!</v>
      </c>
    </row>
    <row r="82" spans="1:47" x14ac:dyDescent="0.3">
      <c r="B82" s="29" t="s">
        <v>16</v>
      </c>
      <c r="C82" s="30">
        <f>$O$2-F82</f>
        <v>18</v>
      </c>
      <c r="D82" s="45">
        <v>4</v>
      </c>
      <c r="E82" s="47">
        <v>661.28090320951003</v>
      </c>
      <c r="F82" s="48">
        <v>13</v>
      </c>
      <c r="G82" s="49">
        <v>1</v>
      </c>
      <c r="H82" s="33">
        <f>MAX(($Q$2-E82)/$Q$2, 0)</f>
        <v>0.15652946019195149</v>
      </c>
      <c r="I82" s="47">
        <v>134.02291500800001</v>
      </c>
      <c r="J82" s="3">
        <v>100</v>
      </c>
      <c r="K82" s="27">
        <f>(E82-E83)/E83</f>
        <v>0</v>
      </c>
      <c r="N82" s="29" t="s">
        <v>16</v>
      </c>
      <c r="O82" s="30">
        <f>$O$2-R82</f>
        <v>20</v>
      </c>
      <c r="P82" s="45">
        <v>4</v>
      </c>
      <c r="Q82" s="47">
        <v>673.85181005088702</v>
      </c>
      <c r="R82" s="48">
        <v>11</v>
      </c>
      <c r="S82" s="49">
        <v>1</v>
      </c>
      <c r="T82" s="33">
        <f>MAX(($Q$2-Q82)/$Q$2, 0)</f>
        <v>0.14049514024121554</v>
      </c>
      <c r="U82" s="47">
        <v>98.074698373000004</v>
      </c>
      <c r="V82" s="45">
        <v>174</v>
      </c>
      <c r="W82" s="27">
        <f>(Q82-Q83)/Q83</f>
        <v>2.9619787857275153E-3</v>
      </c>
      <c r="Y82" s="29" t="s">
        <v>16</v>
      </c>
      <c r="Z82" s="30">
        <f>$O$2-AC82</f>
        <v>22</v>
      </c>
      <c r="AA82" s="45">
        <v>4</v>
      </c>
      <c r="AB82" s="47">
        <v>670.60366650148205</v>
      </c>
      <c r="AC82" s="48">
        <v>9</v>
      </c>
      <c r="AD82" s="49">
        <v>1</v>
      </c>
      <c r="AE82" s="33">
        <f>MAX(($Q$2-AB82)/$Q$2, 0)</f>
        <v>0.1446381804828035</v>
      </c>
      <c r="AF82" s="47">
        <v>138.028366197</v>
      </c>
      <c r="AG82" s="46">
        <v>141</v>
      </c>
      <c r="AH82" s="27">
        <f>(AB82-AB83)/AB83</f>
        <v>0</v>
      </c>
      <c r="AI82" s="28"/>
      <c r="AJ82" s="27"/>
      <c r="AK82" s="27"/>
      <c r="AL82" s="29" t="s">
        <v>16</v>
      </c>
      <c r="AM82" s="30">
        <f>$O$2-AP82</f>
        <v>31</v>
      </c>
      <c r="AN82" s="45"/>
      <c r="AO82" s="47"/>
      <c r="AP82" s="48"/>
      <c r="AQ82" s="49"/>
      <c r="AR82" s="33">
        <f>MAX(($Q$2-AO82)/$Q$2, 0)</f>
        <v>1</v>
      </c>
      <c r="AS82" s="47"/>
      <c r="AU82" s="27" t="e">
        <f>(AO82-AO83)/AO83</f>
        <v>#DIV/0!</v>
      </c>
    </row>
    <row r="83" spans="1:47" ht="15" thickBot="1" x14ac:dyDescent="0.35">
      <c r="A83" s="50" t="s">
        <v>19</v>
      </c>
      <c r="B83" s="35" t="s">
        <v>17</v>
      </c>
      <c r="C83" s="36">
        <f>$O$2-F83</f>
        <v>18</v>
      </c>
      <c r="D83" s="51">
        <v>4</v>
      </c>
      <c r="E83" s="52">
        <v>661.28090320951003</v>
      </c>
      <c r="F83" s="53">
        <v>13</v>
      </c>
      <c r="G83" s="54">
        <v>1</v>
      </c>
      <c r="H83" s="39">
        <f>MAX(($Q$2-E83)/$Q$2,0)</f>
        <v>0.15652946019195149</v>
      </c>
      <c r="I83" s="52">
        <v>87803.284714423004</v>
      </c>
      <c r="K83" s="45"/>
      <c r="N83" s="35" t="s">
        <v>17</v>
      </c>
      <c r="O83" s="36">
        <f>$O$2-R83</f>
        <v>20</v>
      </c>
      <c r="P83" s="51">
        <v>4</v>
      </c>
      <c r="Q83" s="52">
        <v>671.86176974196997</v>
      </c>
      <c r="R83" s="53">
        <v>11</v>
      </c>
      <c r="S83" s="54">
        <v>1</v>
      </c>
      <c r="T83" s="39">
        <f>MAX(($Q$2-Q83)/$Q$2,0)</f>
        <v>0.143033456961773</v>
      </c>
      <c r="U83" s="52">
        <v>157446.13123109101</v>
      </c>
      <c r="V83" s="45"/>
      <c r="W83" s="45"/>
      <c r="Y83" s="35" t="s">
        <v>17</v>
      </c>
      <c r="Z83" s="36">
        <f>$O$2-AC83</f>
        <v>22</v>
      </c>
      <c r="AA83" s="51">
        <v>4</v>
      </c>
      <c r="AB83" s="52">
        <v>670.60366650148205</v>
      </c>
      <c r="AC83" s="53">
        <v>9</v>
      </c>
      <c r="AD83" s="54">
        <v>1</v>
      </c>
      <c r="AE83" s="39">
        <f>MAX(($Q$2-AB83)/$Q$2,0)</f>
        <v>0.1446381804828035</v>
      </c>
      <c r="AF83" s="52"/>
      <c r="AG83" s="46"/>
      <c r="AH83" s="45"/>
      <c r="AI83" s="14"/>
      <c r="AJ83" s="45"/>
      <c r="AK83" s="45"/>
      <c r="AL83" s="35" t="s">
        <v>17</v>
      </c>
      <c r="AM83" s="36">
        <f>$O$2-AP83</f>
        <v>31</v>
      </c>
      <c r="AN83" s="51"/>
      <c r="AO83" s="52"/>
      <c r="AP83" s="53"/>
      <c r="AQ83" s="54"/>
      <c r="AR83" s="39">
        <f>MAX(($Q$2-AO83)/$Q$2,0)</f>
        <v>1</v>
      </c>
      <c r="AS83" s="52"/>
      <c r="AU83" s="45"/>
    </row>
    <row r="84" spans="1:47" ht="15" thickBot="1" x14ac:dyDescent="0.35">
      <c r="A84" s="50"/>
      <c r="C84" s="3"/>
      <c r="D84" s="3"/>
      <c r="E84" s="3"/>
      <c r="F84" s="3"/>
      <c r="G84" s="3"/>
      <c r="H84" s="3"/>
      <c r="I84" s="3"/>
      <c r="K84" s="56"/>
      <c r="O84" s="3"/>
      <c r="P84" s="3"/>
      <c r="Q84" s="3"/>
      <c r="R84" s="3"/>
      <c r="S84" s="3"/>
      <c r="T84" s="3"/>
      <c r="U84" s="3"/>
      <c r="V84" s="56"/>
      <c r="W84" s="56"/>
      <c r="Z84" s="3"/>
      <c r="AA84" s="3"/>
      <c r="AB84" s="3"/>
      <c r="AC84" s="3"/>
      <c r="AD84" s="3"/>
      <c r="AE84" s="3"/>
      <c r="AF84" s="3"/>
      <c r="AG84" s="57"/>
      <c r="AH84" s="56"/>
      <c r="AI84" s="56"/>
      <c r="AJ84" s="56"/>
      <c r="AK84" s="56"/>
      <c r="AM84" s="3"/>
      <c r="AN84" s="3"/>
      <c r="AO84" s="3"/>
      <c r="AP84" s="3"/>
      <c r="AQ84" s="3"/>
      <c r="AR84" s="3"/>
      <c r="AS84" s="3"/>
      <c r="AU84" s="56"/>
    </row>
    <row r="85" spans="1:47" x14ac:dyDescent="0.3">
      <c r="B85" s="21" t="s">
        <v>15</v>
      </c>
      <c r="C85" s="22">
        <f>$O$2-F85</f>
        <v>18</v>
      </c>
      <c r="D85" s="41">
        <v>4</v>
      </c>
      <c r="E85" s="42">
        <v>665.44893962375397</v>
      </c>
      <c r="F85" s="43">
        <v>13</v>
      </c>
      <c r="G85" s="44">
        <v>1</v>
      </c>
      <c r="H85" s="25">
        <f>MAX(($Q$2-E85)/$Q$2, 0)</f>
        <v>0.15121308721459953</v>
      </c>
      <c r="I85" s="42">
        <v>3.2300858589999999</v>
      </c>
      <c r="K85" s="27">
        <f>(E85-E87)/E87</f>
        <v>1.984982746272115E-3</v>
      </c>
      <c r="N85" s="21" t="s">
        <v>15</v>
      </c>
      <c r="O85" s="22">
        <f>$O$2-R85</f>
        <v>22</v>
      </c>
      <c r="P85" s="41">
        <v>4</v>
      </c>
      <c r="Q85" s="42">
        <v>767.38959933805995</v>
      </c>
      <c r="R85" s="43">
        <v>9</v>
      </c>
      <c r="S85" s="44">
        <v>1</v>
      </c>
      <c r="T85" s="25">
        <f>MAX(($Q$2-Q85)/$Q$2, 0)</f>
        <v>2.1186735538188835E-2</v>
      </c>
      <c r="U85" s="42">
        <v>7.0392304560000003</v>
      </c>
      <c r="V85" s="45"/>
      <c r="W85" s="27">
        <f>(Q85-Q87)/Q87</f>
        <v>2.1430853321708393E-3</v>
      </c>
      <c r="Y85" s="21" t="s">
        <v>15</v>
      </c>
      <c r="Z85" s="22">
        <f>$O$2-AC85</f>
        <v>23</v>
      </c>
      <c r="AA85" s="41">
        <v>4</v>
      </c>
      <c r="AB85" s="42">
        <v>720.81050000000005</v>
      </c>
      <c r="AC85" s="43">
        <v>8</v>
      </c>
      <c r="AD85" s="44">
        <v>1</v>
      </c>
      <c r="AE85" s="25">
        <f>MAX(($Q$2-AB85)/$Q$2, 0)</f>
        <v>8.0598852040816266E-2</v>
      </c>
      <c r="AF85" s="42">
        <v>5.2246233069999999</v>
      </c>
      <c r="AG85" s="46"/>
      <c r="AH85" s="27">
        <f>(AB85-AB87)/AB87</f>
        <v>8.686163654916897E-3</v>
      </c>
      <c r="AI85" s="28"/>
      <c r="AJ85" s="27"/>
      <c r="AK85" s="27"/>
      <c r="AL85" s="21" t="s">
        <v>15</v>
      </c>
      <c r="AM85" s="22">
        <f>$O$2-AP85</f>
        <v>31</v>
      </c>
      <c r="AN85" s="41"/>
      <c r="AO85" s="42"/>
      <c r="AP85" s="43"/>
      <c r="AQ85" s="44"/>
      <c r="AR85" s="25">
        <f>MAX(($Q$2-AO85)/$Q$2, 0)</f>
        <v>1</v>
      </c>
      <c r="AS85" s="42"/>
      <c r="AU85" s="27" t="e">
        <f>(AO85-AO87)/AO87</f>
        <v>#DIV/0!</v>
      </c>
    </row>
    <row r="86" spans="1:47" x14ac:dyDescent="0.3">
      <c r="B86" s="29" t="s">
        <v>16</v>
      </c>
      <c r="C86" s="30">
        <f>$O$2-F86</f>
        <v>18</v>
      </c>
      <c r="D86" s="45">
        <v>4</v>
      </c>
      <c r="E86" s="47">
        <v>664.13065173878203</v>
      </c>
      <c r="F86" s="48">
        <v>13</v>
      </c>
      <c r="G86" s="49">
        <v>1</v>
      </c>
      <c r="H86" s="33">
        <f>MAX(($Q$2-E86)/$Q$2, 0)</f>
        <v>0.15289457686379843</v>
      </c>
      <c r="I86" s="47">
        <v>103.009665305</v>
      </c>
      <c r="J86" s="3">
        <v>101</v>
      </c>
      <c r="K86" s="27">
        <f>(E86-E87)/E87</f>
        <v>0</v>
      </c>
      <c r="N86" s="29" t="s">
        <v>16</v>
      </c>
      <c r="O86" s="30">
        <f>$O$2-R86</f>
        <v>22</v>
      </c>
      <c r="P86" s="45">
        <v>4</v>
      </c>
      <c r="Q86" s="47">
        <v>765.74853480000002</v>
      </c>
      <c r="R86" s="48">
        <v>9</v>
      </c>
      <c r="S86" s="49">
        <v>1</v>
      </c>
      <c r="T86" s="33">
        <f>MAX(($Q$2-Q86)/$Q$2, 0)</f>
        <v>2.3279930102040797E-2</v>
      </c>
      <c r="U86" s="47">
        <v>139.290005689</v>
      </c>
      <c r="V86" s="45">
        <v>108</v>
      </c>
      <c r="W86" s="27">
        <f>(Q86-Q87)/Q87</f>
        <v>-1.1076348293591117E-10</v>
      </c>
      <c r="Y86" s="29" t="s">
        <v>16</v>
      </c>
      <c r="Z86" s="30">
        <f>$O$2-AC86</f>
        <v>23</v>
      </c>
      <c r="AA86" s="45">
        <v>4</v>
      </c>
      <c r="AB86" s="47">
        <v>714.60333845384002</v>
      </c>
      <c r="AC86" s="48">
        <v>8</v>
      </c>
      <c r="AD86" s="49">
        <v>1</v>
      </c>
      <c r="AE86" s="33">
        <f>MAX(($Q$2-AB86)/$Q$2, 0)</f>
        <v>8.8516149931326504E-2</v>
      </c>
      <c r="AF86" s="47">
        <v>150.08546586599999</v>
      </c>
      <c r="AG86" s="46">
        <v>114</v>
      </c>
      <c r="AH86" s="27">
        <f>(AB86-AB87)/AB87</f>
        <v>0</v>
      </c>
      <c r="AI86" s="28"/>
      <c r="AJ86" s="27"/>
      <c r="AK86" s="27"/>
      <c r="AL86" s="29" t="s">
        <v>16</v>
      </c>
      <c r="AM86" s="30">
        <f>$O$2-AP86</f>
        <v>31</v>
      </c>
      <c r="AN86" s="45"/>
      <c r="AO86" s="47"/>
      <c r="AP86" s="48"/>
      <c r="AQ86" s="49"/>
      <c r="AR86" s="33">
        <f>MAX(($Q$2-AO86)/$Q$2, 0)</f>
        <v>1</v>
      </c>
      <c r="AS86" s="47"/>
      <c r="AU86" s="27" t="e">
        <f>(AO86-AO87)/AO87</f>
        <v>#DIV/0!</v>
      </c>
    </row>
    <row r="87" spans="1:47" ht="15" thickBot="1" x14ac:dyDescent="0.35">
      <c r="A87" s="50" t="s">
        <v>41</v>
      </c>
      <c r="B87" s="35" t="s">
        <v>17</v>
      </c>
      <c r="C87" s="36">
        <f>$O$2-F87</f>
        <v>18</v>
      </c>
      <c r="D87" s="51">
        <v>4</v>
      </c>
      <c r="E87" s="52">
        <v>664.13065173878203</v>
      </c>
      <c r="F87" s="53">
        <v>13</v>
      </c>
      <c r="G87" s="54">
        <v>1</v>
      </c>
      <c r="H87" s="39">
        <f>MAX(($Q$2-E87)/$Q$2,0)</f>
        <v>0.15289457686379843</v>
      </c>
      <c r="I87" s="52">
        <v>309982.12759325502</v>
      </c>
      <c r="K87" s="45"/>
      <c r="N87" s="35" t="s">
        <v>17</v>
      </c>
      <c r="O87" s="36">
        <f>$O$2-R87</f>
        <v>22</v>
      </c>
      <c r="P87" s="51">
        <v>4</v>
      </c>
      <c r="Q87" s="52">
        <v>765.74853488481699</v>
      </c>
      <c r="R87" s="53">
        <v>9</v>
      </c>
      <c r="S87" s="54">
        <v>1</v>
      </c>
      <c r="T87" s="39">
        <f>MAX(($Q$2-Q87)/$Q$2,0)</f>
        <v>2.3279929993855881E-2</v>
      </c>
      <c r="U87" s="52">
        <v>1694.249</v>
      </c>
      <c r="V87" s="45"/>
      <c r="W87" s="45"/>
      <c r="Y87" s="35" t="s">
        <v>17</v>
      </c>
      <c r="Z87" s="36">
        <f>$O$2-AC87</f>
        <v>23</v>
      </c>
      <c r="AA87" s="51">
        <v>4</v>
      </c>
      <c r="AB87" s="52">
        <v>714.60333845384002</v>
      </c>
      <c r="AC87" s="53">
        <v>8</v>
      </c>
      <c r="AD87" s="54">
        <v>1</v>
      </c>
      <c r="AE87" s="39">
        <f>MAX(($Q$2-AB87)/$Q$2,0)</f>
        <v>8.8516149931326504E-2</v>
      </c>
      <c r="AF87" s="52">
        <v>55595.15</v>
      </c>
      <c r="AG87" s="46"/>
      <c r="AH87" s="45"/>
      <c r="AI87" s="14"/>
      <c r="AJ87" s="45"/>
      <c r="AK87" s="45"/>
      <c r="AL87" s="35" t="s">
        <v>17</v>
      </c>
      <c r="AM87" s="36">
        <f>$O$2-AP87</f>
        <v>31</v>
      </c>
      <c r="AN87" s="51"/>
      <c r="AO87" s="52"/>
      <c r="AP87" s="53"/>
      <c r="AQ87" s="54"/>
      <c r="AR87" s="39">
        <f>MAX(($Q$2-AO87)/$Q$2,0)</f>
        <v>1</v>
      </c>
      <c r="AS87" s="52"/>
      <c r="AU87" s="45"/>
    </row>
    <row r="89" spans="1:47" x14ac:dyDescent="0.3">
      <c r="AF89" s="59">
        <v>650.60138535864201</v>
      </c>
    </row>
    <row r="494" spans="51:51" x14ac:dyDescent="0.3">
      <c r="AY494" s="65"/>
    </row>
    <row r="495" spans="51:51" x14ac:dyDescent="0.3">
      <c r="AY495" s="65"/>
    </row>
    <row r="496" spans="51:51" x14ac:dyDescent="0.3">
      <c r="AY496" s="65"/>
    </row>
    <row r="497" spans="51:51" x14ac:dyDescent="0.3">
      <c r="AY497" s="65"/>
    </row>
    <row r="498" spans="51:51" x14ac:dyDescent="0.3">
      <c r="AY498" s="65"/>
    </row>
    <row r="499" spans="51:51" x14ac:dyDescent="0.3">
      <c r="AY499" s="65"/>
    </row>
    <row r="500" spans="51:51" x14ac:dyDescent="0.3">
      <c r="AY500" s="65"/>
    </row>
    <row r="501" spans="51:51" x14ac:dyDescent="0.3">
      <c r="AY501" s="65"/>
    </row>
    <row r="502" spans="51:51" x14ac:dyDescent="0.3">
      <c r="AY502" s="65"/>
    </row>
    <row r="503" spans="51:51" x14ac:dyDescent="0.3">
      <c r="AY503" s="65"/>
    </row>
    <row r="504" spans="51:51" x14ac:dyDescent="0.3">
      <c r="AY504" s="65"/>
    </row>
    <row r="505" spans="51:51" x14ac:dyDescent="0.3">
      <c r="AY505" s="65"/>
    </row>
    <row r="506" spans="51:51" x14ac:dyDescent="0.3">
      <c r="AY506" s="65"/>
    </row>
    <row r="507" spans="51:51" x14ac:dyDescent="0.3">
      <c r="AY507" s="65"/>
    </row>
    <row r="508" spans="51:51" x14ac:dyDescent="0.3">
      <c r="AY508" s="65"/>
    </row>
    <row r="509" spans="51:51" x14ac:dyDescent="0.3">
      <c r="AY509" s="65"/>
    </row>
    <row r="510" spans="51:51" x14ac:dyDescent="0.3">
      <c r="AY510" s="65"/>
    </row>
    <row r="511" spans="51:51" x14ac:dyDescent="0.3">
      <c r="AY511" s="65"/>
    </row>
    <row r="512" spans="51:51" x14ac:dyDescent="0.3">
      <c r="AY512" s="65"/>
    </row>
    <row r="513" spans="51:51" x14ac:dyDescent="0.3">
      <c r="AY513" s="65"/>
    </row>
    <row r="514" spans="51:51" x14ac:dyDescent="0.3">
      <c r="AY514" s="65"/>
    </row>
    <row r="515" spans="51:51" x14ac:dyDescent="0.3">
      <c r="AY515" s="65"/>
    </row>
    <row r="516" spans="51:51" x14ac:dyDescent="0.3">
      <c r="AY516" s="65"/>
    </row>
    <row r="517" spans="51:51" x14ac:dyDescent="0.3">
      <c r="AY517" s="65"/>
    </row>
    <row r="518" spans="51:51" x14ac:dyDescent="0.3">
      <c r="AY518" s="65"/>
    </row>
    <row r="519" spans="51:51" x14ac:dyDescent="0.3">
      <c r="AY519" s="65"/>
    </row>
    <row r="520" spans="51:51" x14ac:dyDescent="0.3">
      <c r="AY520" s="65"/>
    </row>
    <row r="521" spans="51:51" x14ac:dyDescent="0.3">
      <c r="AY521" s="65"/>
    </row>
    <row r="522" spans="51:51" x14ac:dyDescent="0.3">
      <c r="AY522" s="65"/>
    </row>
    <row r="523" spans="51:51" x14ac:dyDescent="0.3">
      <c r="AY523" s="65"/>
    </row>
    <row r="524" spans="51:51" x14ac:dyDescent="0.3">
      <c r="AY524" s="65"/>
    </row>
    <row r="525" spans="51:51" x14ac:dyDescent="0.3">
      <c r="AY525" s="65"/>
    </row>
    <row r="526" spans="51:51" x14ac:dyDescent="0.3">
      <c r="AY526" s="65"/>
    </row>
    <row r="527" spans="51:51" x14ac:dyDescent="0.3">
      <c r="AY527" s="65"/>
    </row>
    <row r="528" spans="51:51" x14ac:dyDescent="0.3">
      <c r="AY528" s="65"/>
    </row>
    <row r="529" spans="51:51" x14ac:dyDescent="0.3">
      <c r="AY529" s="65"/>
    </row>
    <row r="530" spans="51:51" x14ac:dyDescent="0.3">
      <c r="AY530" s="65"/>
    </row>
    <row r="531" spans="51:51" x14ac:dyDescent="0.3">
      <c r="AY531" s="65"/>
    </row>
    <row r="532" spans="51:51" x14ac:dyDescent="0.3">
      <c r="AY532" s="65"/>
    </row>
    <row r="533" spans="51:51" x14ac:dyDescent="0.3">
      <c r="AY533" s="65"/>
    </row>
    <row r="534" spans="51:51" x14ac:dyDescent="0.3">
      <c r="AY534" s="65"/>
    </row>
    <row r="535" spans="51:51" x14ac:dyDescent="0.3">
      <c r="AY535" s="65"/>
    </row>
    <row r="536" spans="51:51" x14ac:dyDescent="0.3">
      <c r="AY536" s="65"/>
    </row>
    <row r="537" spans="51:51" x14ac:dyDescent="0.3">
      <c r="AY537" s="65"/>
    </row>
    <row r="538" spans="51:51" x14ac:dyDescent="0.3">
      <c r="AY538" s="65"/>
    </row>
    <row r="539" spans="51:51" x14ac:dyDescent="0.3">
      <c r="AY539" s="65"/>
    </row>
    <row r="540" spans="51:51" x14ac:dyDescent="0.3">
      <c r="AY540" s="65"/>
    </row>
    <row r="541" spans="51:51" x14ac:dyDescent="0.3">
      <c r="AY541" s="65"/>
    </row>
    <row r="542" spans="51:51" x14ac:dyDescent="0.3">
      <c r="AY542" s="65"/>
    </row>
    <row r="543" spans="51:51" x14ac:dyDescent="0.3">
      <c r="AY543" s="65"/>
    </row>
    <row r="544" spans="51:51" x14ac:dyDescent="0.3">
      <c r="AY544" s="65"/>
    </row>
    <row r="545" spans="51:51" x14ac:dyDescent="0.3">
      <c r="AY545" s="65"/>
    </row>
    <row r="546" spans="51:51" x14ac:dyDescent="0.3">
      <c r="AY546" s="65"/>
    </row>
    <row r="547" spans="51:51" x14ac:dyDescent="0.3">
      <c r="AY547" s="65"/>
    </row>
    <row r="548" spans="51:51" x14ac:dyDescent="0.3">
      <c r="AY548" s="65"/>
    </row>
    <row r="549" spans="51:51" x14ac:dyDescent="0.3">
      <c r="AY549" s="65"/>
    </row>
    <row r="550" spans="51:51" x14ac:dyDescent="0.3">
      <c r="AY550" s="65"/>
    </row>
    <row r="551" spans="51:51" x14ac:dyDescent="0.3">
      <c r="AY551" s="65"/>
    </row>
    <row r="552" spans="51:51" x14ac:dyDescent="0.3">
      <c r="AY552" s="65"/>
    </row>
    <row r="553" spans="51:51" x14ac:dyDescent="0.3">
      <c r="AY553" s="65"/>
    </row>
    <row r="554" spans="51:51" x14ac:dyDescent="0.3">
      <c r="AY554" s="65"/>
    </row>
    <row r="555" spans="51:51" x14ac:dyDescent="0.3">
      <c r="AY555" s="65"/>
    </row>
    <row r="556" spans="51:51" x14ac:dyDescent="0.3">
      <c r="AY556" s="65"/>
    </row>
    <row r="557" spans="51:51" x14ac:dyDescent="0.3">
      <c r="AY557" s="65"/>
    </row>
    <row r="558" spans="51:51" x14ac:dyDescent="0.3">
      <c r="AY558" s="65"/>
    </row>
    <row r="559" spans="51:51" x14ac:dyDescent="0.3">
      <c r="AY559" s="65"/>
    </row>
    <row r="560" spans="51:51" x14ac:dyDescent="0.3">
      <c r="AY560" s="65"/>
    </row>
    <row r="561" spans="51:51" x14ac:dyDescent="0.3">
      <c r="AY561" s="65"/>
    </row>
    <row r="562" spans="51:51" x14ac:dyDescent="0.3">
      <c r="AY562" s="65"/>
    </row>
    <row r="563" spans="51:51" x14ac:dyDescent="0.3">
      <c r="AY563" s="65"/>
    </row>
    <row r="564" spans="51:51" x14ac:dyDescent="0.3">
      <c r="AY564" s="65"/>
    </row>
    <row r="565" spans="51:51" x14ac:dyDescent="0.3">
      <c r="AY565" s="65"/>
    </row>
    <row r="566" spans="51:51" x14ac:dyDescent="0.3">
      <c r="AY566" s="65"/>
    </row>
    <row r="567" spans="51:51" x14ac:dyDescent="0.3">
      <c r="AY567" s="65"/>
    </row>
    <row r="568" spans="51:51" x14ac:dyDescent="0.3">
      <c r="AY568" s="65"/>
    </row>
    <row r="569" spans="51:51" x14ac:dyDescent="0.3">
      <c r="AY569" s="65"/>
    </row>
    <row r="570" spans="51:51" x14ac:dyDescent="0.3">
      <c r="AY570" s="65"/>
    </row>
    <row r="571" spans="51:51" x14ac:dyDescent="0.3">
      <c r="AY571" s="65"/>
    </row>
    <row r="572" spans="51:51" x14ac:dyDescent="0.3">
      <c r="AY572" s="65"/>
    </row>
    <row r="573" spans="51:51" x14ac:dyDescent="0.3">
      <c r="AY573" s="65"/>
    </row>
    <row r="574" spans="51:51" x14ac:dyDescent="0.3">
      <c r="AY574" s="65"/>
    </row>
    <row r="575" spans="51:51" x14ac:dyDescent="0.3">
      <c r="AY575" s="65"/>
    </row>
    <row r="576" spans="51:51" x14ac:dyDescent="0.3">
      <c r="AY576" s="65"/>
    </row>
    <row r="577" spans="51:51" x14ac:dyDescent="0.3">
      <c r="AY577" s="65"/>
    </row>
    <row r="578" spans="51:51" x14ac:dyDescent="0.3">
      <c r="AY578" s="65"/>
    </row>
    <row r="579" spans="51:51" x14ac:dyDescent="0.3">
      <c r="AY579" s="65"/>
    </row>
    <row r="580" spans="51:51" x14ac:dyDescent="0.3">
      <c r="AY580" s="65"/>
    </row>
    <row r="581" spans="51:51" x14ac:dyDescent="0.3">
      <c r="AY581" s="65"/>
    </row>
    <row r="582" spans="51:51" x14ac:dyDescent="0.3">
      <c r="AY582" s="65"/>
    </row>
    <row r="583" spans="51:51" x14ac:dyDescent="0.3">
      <c r="AY583" s="65"/>
    </row>
    <row r="584" spans="51:51" x14ac:dyDescent="0.3">
      <c r="AY584" s="65"/>
    </row>
    <row r="585" spans="51:51" x14ac:dyDescent="0.3">
      <c r="AY585" s="65"/>
    </row>
    <row r="586" spans="51:51" x14ac:dyDescent="0.3">
      <c r="AY586" s="65"/>
    </row>
    <row r="587" spans="51:51" x14ac:dyDescent="0.3">
      <c r="AY587" s="65"/>
    </row>
    <row r="588" spans="51:51" x14ac:dyDescent="0.3">
      <c r="AY588" s="65"/>
    </row>
  </sheetData>
  <mergeCells count="48">
    <mergeCell ref="AR4:AS4"/>
    <mergeCell ref="C3:I3"/>
    <mergeCell ref="O3:U3"/>
    <mergeCell ref="Z3:AF3"/>
    <mergeCell ref="AM3:AS3"/>
    <mergeCell ref="C4:E4"/>
    <mergeCell ref="F4:G4"/>
    <mergeCell ref="H4:I4"/>
    <mergeCell ref="O4:Q4"/>
    <mergeCell ref="R4:S4"/>
    <mergeCell ref="T4:U4"/>
    <mergeCell ref="Z4:AB4"/>
    <mergeCell ref="AC4:AD4"/>
    <mergeCell ref="AE4:AF4"/>
    <mergeCell ref="AM4:AO4"/>
    <mergeCell ref="AP4:AQ4"/>
    <mergeCell ref="AR33:AS33"/>
    <mergeCell ref="C32:I32"/>
    <mergeCell ref="O32:U32"/>
    <mergeCell ref="Z32:AF32"/>
    <mergeCell ref="AM32:AS32"/>
    <mergeCell ref="C33:E33"/>
    <mergeCell ref="F33:G33"/>
    <mergeCell ref="H33:I33"/>
    <mergeCell ref="O33:Q33"/>
    <mergeCell ref="R33:S33"/>
    <mergeCell ref="T33:U33"/>
    <mergeCell ref="Z33:AB33"/>
    <mergeCell ref="AC33:AD33"/>
    <mergeCell ref="AE33:AF33"/>
    <mergeCell ref="AM33:AO33"/>
    <mergeCell ref="AP33:AQ33"/>
    <mergeCell ref="AR62:AS62"/>
    <mergeCell ref="C61:I61"/>
    <mergeCell ref="O61:U61"/>
    <mergeCell ref="Z61:AF61"/>
    <mergeCell ref="AM61:AS61"/>
    <mergeCell ref="C62:E62"/>
    <mergeCell ref="F62:G62"/>
    <mergeCell ref="H62:I62"/>
    <mergeCell ref="O62:Q62"/>
    <mergeCell ref="R62:S62"/>
    <mergeCell ref="T62:U62"/>
    <mergeCell ref="Z62:AB62"/>
    <mergeCell ref="AC62:AD62"/>
    <mergeCell ref="AE62:AF62"/>
    <mergeCell ref="AM62:AO62"/>
    <mergeCell ref="AP62:AQ62"/>
  </mergeCells>
  <conditionalFormatting sqref="AB11:AB13">
    <cfRule type="expression" dxfId="15" priority="3">
      <formula>AB11=MIN($AB$11:$AB$13)</formula>
    </cfRule>
  </conditionalFormatting>
  <conditionalFormatting sqref="AB19:AB21">
    <cfRule type="expression" dxfId="14" priority="2">
      <formula>$AB$19=MIN($AB$19:$AB$21)</formula>
    </cfRule>
  </conditionalFormatting>
  <conditionalFormatting sqref="AB25">
    <cfRule type="expression" dxfId="13" priority="1">
      <formula>$AB$19=MIN($AB$19:$AB$21)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7"/>
  <sheetViews>
    <sheetView zoomScale="60" zoomScaleNormal="60" workbookViewId="0">
      <selection activeCell="E28" sqref="E28"/>
    </sheetView>
  </sheetViews>
  <sheetFormatPr defaultRowHeight="14.4" x14ac:dyDescent="0.3"/>
  <cols>
    <col min="1" max="1" width="12.5546875" style="66" customWidth="1"/>
    <col min="2" max="2" width="18.21875" style="67" bestFit="1" customWidth="1"/>
    <col min="3" max="8" width="8.88671875" style="67"/>
    <col min="9" max="9" width="12" style="67" bestFit="1" customWidth="1"/>
    <col min="10" max="10" width="8.88671875" style="68"/>
    <col min="11" max="11" width="9.21875" style="67" bestFit="1" customWidth="1"/>
    <col min="12" max="12" width="8.88671875" style="67"/>
    <col min="13" max="13" width="8" style="68" bestFit="1" customWidth="1"/>
    <col min="14" max="14" width="18.21875" style="67" bestFit="1" customWidth="1"/>
    <col min="15" max="21" width="8.88671875" style="67"/>
    <col min="22" max="22" width="5.5546875" style="69" customWidth="1"/>
    <col min="23" max="23" width="7.77734375" style="69" bestFit="1" customWidth="1"/>
    <col min="24" max="24" width="8.88671875" style="67"/>
    <col min="25" max="25" width="18.21875" style="67" bestFit="1" customWidth="1"/>
    <col min="26" max="31" width="8.88671875" style="67"/>
    <col min="32" max="32" width="11" style="67" bestFit="1" customWidth="1"/>
    <col min="33" max="33" width="5.5546875" style="70" customWidth="1"/>
    <col min="34" max="34" width="8.109375" style="70" bestFit="1" customWidth="1"/>
    <col min="35" max="35" width="8.88671875" style="67"/>
    <col min="36" max="36" width="18.21875" style="67" hidden="1" customWidth="1"/>
    <col min="37" max="42" width="0" style="67" hidden="1" customWidth="1"/>
    <col min="43" max="43" width="13.33203125" style="67" hidden="1" customWidth="1"/>
    <col min="44" max="45" width="0" style="67" hidden="1" customWidth="1"/>
    <col min="46" max="16384" width="8.88671875" style="67"/>
  </cols>
  <sheetData>
    <row r="1" spans="1:45" ht="15" thickBot="1" x14ac:dyDescent="0.35"/>
    <row r="2" spans="1:45" ht="15" thickBot="1" x14ac:dyDescent="0.35">
      <c r="N2" s="7" t="s">
        <v>0</v>
      </c>
      <c r="O2" s="8">
        <v>31</v>
      </c>
      <c r="P2" s="9">
        <v>5</v>
      </c>
      <c r="Q2" s="10">
        <v>784</v>
      </c>
      <c r="R2" s="71"/>
      <c r="S2" s="72"/>
      <c r="T2" s="72"/>
      <c r="U2" s="72"/>
      <c r="V2" s="73"/>
      <c r="W2" s="73"/>
    </row>
    <row r="3" spans="1:45" ht="15" thickBot="1" x14ac:dyDescent="0.35">
      <c r="B3" s="12"/>
      <c r="C3" s="278" t="s">
        <v>1</v>
      </c>
      <c r="D3" s="278"/>
      <c r="E3" s="278"/>
      <c r="F3" s="278"/>
      <c r="G3" s="278"/>
      <c r="H3" s="278"/>
      <c r="I3" s="278"/>
      <c r="N3" s="12"/>
      <c r="O3" s="278" t="s">
        <v>2</v>
      </c>
      <c r="P3" s="278"/>
      <c r="Q3" s="278"/>
      <c r="R3" s="278"/>
      <c r="S3" s="278"/>
      <c r="T3" s="278"/>
      <c r="U3" s="278"/>
      <c r="V3" s="14"/>
      <c r="W3" s="14"/>
      <c r="Y3" s="12"/>
      <c r="Z3" s="278" t="s">
        <v>3</v>
      </c>
      <c r="AA3" s="278"/>
      <c r="AB3" s="278"/>
      <c r="AC3" s="278"/>
      <c r="AD3" s="278"/>
      <c r="AE3" s="278"/>
      <c r="AF3" s="278"/>
      <c r="AG3" s="15"/>
      <c r="AH3" s="15"/>
      <c r="AJ3" s="12"/>
      <c r="AK3" s="278" t="s">
        <v>4</v>
      </c>
      <c r="AL3" s="278"/>
      <c r="AM3" s="278"/>
      <c r="AN3" s="278"/>
      <c r="AO3" s="278"/>
      <c r="AP3" s="278"/>
      <c r="AQ3" s="278"/>
    </row>
    <row r="4" spans="1:45" ht="15" thickBot="1" x14ac:dyDescent="0.35">
      <c r="B4" s="74" t="s">
        <v>5</v>
      </c>
      <c r="C4" s="276" t="s">
        <v>6</v>
      </c>
      <c r="D4" s="279"/>
      <c r="E4" s="277"/>
      <c r="F4" s="276" t="s">
        <v>7</v>
      </c>
      <c r="G4" s="277"/>
      <c r="H4" s="276" t="s">
        <v>8</v>
      </c>
      <c r="I4" s="277"/>
      <c r="N4" s="74" t="s">
        <v>5</v>
      </c>
      <c r="O4" s="276" t="s">
        <v>6</v>
      </c>
      <c r="P4" s="279"/>
      <c r="Q4" s="277"/>
      <c r="R4" s="276" t="s">
        <v>7</v>
      </c>
      <c r="S4" s="277"/>
      <c r="T4" s="276" t="s">
        <v>8</v>
      </c>
      <c r="U4" s="277"/>
      <c r="V4" s="14"/>
      <c r="W4" s="14"/>
      <c r="Y4" s="74" t="s">
        <v>5</v>
      </c>
      <c r="Z4" s="276" t="s">
        <v>6</v>
      </c>
      <c r="AA4" s="279"/>
      <c r="AB4" s="277"/>
      <c r="AC4" s="276" t="s">
        <v>7</v>
      </c>
      <c r="AD4" s="277"/>
      <c r="AE4" s="276" t="s">
        <v>8</v>
      </c>
      <c r="AF4" s="277"/>
      <c r="AG4" s="15"/>
      <c r="AH4" s="15"/>
      <c r="AJ4" s="74" t="s">
        <v>5</v>
      </c>
      <c r="AK4" s="276" t="s">
        <v>6</v>
      </c>
      <c r="AL4" s="279"/>
      <c r="AM4" s="277"/>
      <c r="AN4" s="276" t="s">
        <v>7</v>
      </c>
      <c r="AO4" s="277"/>
      <c r="AP4" s="276" t="s">
        <v>8</v>
      </c>
      <c r="AQ4" s="277"/>
    </row>
    <row r="5" spans="1:45" ht="29.4" thickBot="1" x14ac:dyDescent="0.35">
      <c r="B5" s="17" t="s">
        <v>9</v>
      </c>
      <c r="C5" s="8" t="s">
        <v>10</v>
      </c>
      <c r="D5" s="9" t="s">
        <v>11</v>
      </c>
      <c r="E5" s="10" t="s">
        <v>12</v>
      </c>
      <c r="F5" s="8" t="s">
        <v>10</v>
      </c>
      <c r="G5" s="10" t="s">
        <v>11</v>
      </c>
      <c r="H5" s="8" t="s">
        <v>8</v>
      </c>
      <c r="I5" s="18" t="s">
        <v>13</v>
      </c>
      <c r="N5" s="17" t="s">
        <v>9</v>
      </c>
      <c r="O5" s="8" t="s">
        <v>10</v>
      </c>
      <c r="P5" s="9" t="s">
        <v>11</v>
      </c>
      <c r="Q5" s="10" t="s">
        <v>12</v>
      </c>
      <c r="R5" s="8" t="s">
        <v>10</v>
      </c>
      <c r="S5" s="10" t="s">
        <v>11</v>
      </c>
      <c r="T5" s="8" t="s">
        <v>8</v>
      </c>
      <c r="U5" s="18" t="s">
        <v>13</v>
      </c>
      <c r="V5" s="19"/>
      <c r="W5" s="19"/>
      <c r="Y5" s="17" t="s">
        <v>9</v>
      </c>
      <c r="Z5" s="8" t="s">
        <v>10</v>
      </c>
      <c r="AA5" s="9" t="s">
        <v>11</v>
      </c>
      <c r="AB5" s="10" t="s">
        <v>12</v>
      </c>
      <c r="AC5" s="8" t="s">
        <v>10</v>
      </c>
      <c r="AD5" s="10" t="s">
        <v>11</v>
      </c>
      <c r="AE5" s="8" t="s">
        <v>8</v>
      </c>
      <c r="AF5" s="18" t="s">
        <v>13</v>
      </c>
      <c r="AG5" s="20"/>
      <c r="AH5" s="20"/>
      <c r="AJ5" s="17" t="s">
        <v>9</v>
      </c>
      <c r="AK5" s="8" t="s">
        <v>10</v>
      </c>
      <c r="AL5" s="9" t="s">
        <v>11</v>
      </c>
      <c r="AM5" s="10" t="s">
        <v>12</v>
      </c>
      <c r="AN5" s="8" t="s">
        <v>10</v>
      </c>
      <c r="AO5" s="10" t="s">
        <v>11</v>
      </c>
      <c r="AP5" s="8" t="s">
        <v>8</v>
      </c>
      <c r="AQ5" s="18" t="s">
        <v>13</v>
      </c>
    </row>
    <row r="6" spans="1:45" x14ac:dyDescent="0.3">
      <c r="B6" s="75" t="s">
        <v>15</v>
      </c>
      <c r="C6" s="76">
        <f>AVERAGE(C11,C15,C19,C23,C27)</f>
        <v>18.399999999999999</v>
      </c>
      <c r="D6" s="77">
        <f t="shared" ref="D6:I8" si="0">AVERAGE(D11,D15,D19,D23,D27)</f>
        <v>3.6</v>
      </c>
      <c r="E6" s="78">
        <f t="shared" si="0"/>
        <v>707.59903800146481</v>
      </c>
      <c r="F6" s="76">
        <f>AVERAGE(F11,F15,F19,F23,F27)</f>
        <v>12.6</v>
      </c>
      <c r="G6" s="78">
        <f>AVERAGE(G11,G15,G19,G23,G27)</f>
        <v>1.4</v>
      </c>
      <c r="H6" s="79">
        <f>AVERAGE(H11,H15,H19,H23,H27)</f>
        <v>9.7450206630784714E-2</v>
      </c>
      <c r="I6" s="80">
        <f>AVERAGE(I11,I15,I19,I23,I27)</f>
        <v>12.305517577</v>
      </c>
      <c r="K6" s="81">
        <f>AVERAGE(K11,K15,K19,K23,K27)</f>
        <v>6.317214320363676E-2</v>
      </c>
      <c r="N6" s="75" t="s">
        <v>15</v>
      </c>
      <c r="O6" s="76">
        <f>AVERAGE(O11,O15,O19,O23,O27)</f>
        <v>22</v>
      </c>
      <c r="P6" s="77">
        <f t="shared" ref="P6:U8" si="1">AVERAGE(P11,P15,P19,P23,P27)</f>
        <v>4</v>
      </c>
      <c r="Q6" s="78">
        <f t="shared" si="1"/>
        <v>754.28625830715168</v>
      </c>
      <c r="R6" s="76">
        <f>AVERAGE(R11,R15,R19,R23,R27)</f>
        <v>9</v>
      </c>
      <c r="S6" s="78">
        <f>AVERAGE(S11,S15,S19,S23,S27)</f>
        <v>1</v>
      </c>
      <c r="T6" s="79">
        <f>AVERAGE(T11,T15,T19,T23,T27)</f>
        <v>3.7900180730673985E-2</v>
      </c>
      <c r="U6" s="80">
        <f>AVERAGE(U11,U15,U19,U23,U27)</f>
        <v>8.518898232199998</v>
      </c>
      <c r="V6" s="82"/>
      <c r="W6" s="81">
        <f>AVERAGE(W11,W15,W19,W23,W27)</f>
        <v>1.6491645352649107E-2</v>
      </c>
      <c r="Y6" s="75" t="s">
        <v>15</v>
      </c>
      <c r="Z6" s="76">
        <f>AVERAGE(Z11,Z15,Z19,Z23,Z27)</f>
        <v>24.2</v>
      </c>
      <c r="AA6" s="77">
        <f t="shared" ref="AA6:AF8" si="2">AVERAGE(AA11,AA15,AA19,AA23,AA27)</f>
        <v>4</v>
      </c>
      <c r="AB6" s="78">
        <f t="shared" si="2"/>
        <v>757.64419144670455</v>
      </c>
      <c r="AC6" s="76">
        <f>AVERAGE(AC11,AC15,AC19,AC23,AC27)</f>
        <v>6.8</v>
      </c>
      <c r="AD6" s="78">
        <f>AVERAGE(AD11,AD15,AD19,AD23,AD27)</f>
        <v>1</v>
      </c>
      <c r="AE6" s="79">
        <f>AVERAGE(AE11,AE15,AE19,AE23,AE27)</f>
        <v>3.478203512991708E-2</v>
      </c>
      <c r="AF6" s="80">
        <f>AVERAGE(AF11,AF15,AF19,AF23,AF27)</f>
        <v>15.107194575599999</v>
      </c>
      <c r="AG6" s="83"/>
      <c r="AH6" s="81">
        <f>AVERAGE(AH11,AH15,AH19,AH23,AH27)</f>
        <v>2.1021097633629842E-2</v>
      </c>
      <c r="AJ6" s="75" t="s">
        <v>15</v>
      </c>
      <c r="AK6" s="76">
        <f>AVERAGE(AK11,AK15,AK19,AK23,AK27)</f>
        <v>31</v>
      </c>
      <c r="AL6" s="77" t="e">
        <f t="shared" ref="AL6:AQ8" si="3">AVERAGE(AL11,AL15,AL19,AL23,AL27)</f>
        <v>#DIV/0!</v>
      </c>
      <c r="AM6" s="78" t="e">
        <f t="shared" si="3"/>
        <v>#DIV/0!</v>
      </c>
      <c r="AN6" s="76" t="e">
        <f>AVERAGE(AN11,AN15,AN19,AN23,AN27)</f>
        <v>#DIV/0!</v>
      </c>
      <c r="AO6" s="78" t="e">
        <f>AVERAGE(AO11,AO15,AO19,AO23,AO27)</f>
        <v>#DIV/0!</v>
      </c>
      <c r="AP6" s="79">
        <f>AVERAGE(AP11,AP15,AP19,AP23,AP27)</f>
        <v>1</v>
      </c>
      <c r="AQ6" s="78" t="e">
        <f>AVERAGE(AQ11,AQ15,AQ19,AQ23,AQ27)</f>
        <v>#DIV/0!</v>
      </c>
      <c r="AS6" s="81" t="e">
        <f>AVERAGE(AS11,AS15,AS19,AS23,AS27)</f>
        <v>#DIV/0!</v>
      </c>
    </row>
    <row r="7" spans="1:45" x14ac:dyDescent="0.3">
      <c r="B7" s="84" t="s">
        <v>16</v>
      </c>
      <c r="C7" s="85">
        <f>AVERAGE(C12,C16,C20,C24,C28)</f>
        <v>19.600000000000001</v>
      </c>
      <c r="D7" s="86">
        <f t="shared" si="0"/>
        <v>4</v>
      </c>
      <c r="E7" s="87">
        <f t="shared" si="0"/>
        <v>669.13981517785442</v>
      </c>
      <c r="F7" s="85">
        <f t="shared" si="0"/>
        <v>11.4</v>
      </c>
      <c r="G7" s="87">
        <f t="shared" si="0"/>
        <v>1</v>
      </c>
      <c r="H7" s="88">
        <f t="shared" si="0"/>
        <v>0.14650533778334895</v>
      </c>
      <c r="I7" s="89">
        <f t="shared" si="0"/>
        <v>156.8928582058</v>
      </c>
      <c r="K7" s="81">
        <f>AVERAGE(K12,K16,K20,K24,K28)</f>
        <v>4.975040354025277E-3</v>
      </c>
      <c r="N7" s="84" t="s">
        <v>16</v>
      </c>
      <c r="O7" s="85">
        <f>AVERAGE(O12,O16,O20,O24,O28)</f>
        <v>22</v>
      </c>
      <c r="P7" s="86">
        <f t="shared" si="1"/>
        <v>4</v>
      </c>
      <c r="Q7" s="87">
        <f t="shared" si="1"/>
        <v>742.68064594774819</v>
      </c>
      <c r="R7" s="85">
        <f t="shared" si="1"/>
        <v>9</v>
      </c>
      <c r="S7" s="87">
        <f t="shared" si="1"/>
        <v>1</v>
      </c>
      <c r="T7" s="88">
        <f t="shared" si="1"/>
        <v>5.2703257719708942E-2</v>
      </c>
      <c r="U7" s="89">
        <f t="shared" si="1"/>
        <v>141.03673506280001</v>
      </c>
      <c r="V7" s="82"/>
      <c r="W7" s="81">
        <f>AVERAGE(W12,W16,W20,W24,W28)</f>
        <v>6.8827330552606841E-4</v>
      </c>
      <c r="Y7" s="84" t="s">
        <v>16</v>
      </c>
      <c r="Z7" s="85">
        <f>AVERAGE(Z12,Z16,Z20,Z24,Z28)</f>
        <v>24</v>
      </c>
      <c r="AA7" s="86">
        <f t="shared" si="2"/>
        <v>4</v>
      </c>
      <c r="AB7" s="87">
        <f t="shared" si="2"/>
        <v>742.193383035132</v>
      </c>
      <c r="AC7" s="85">
        <f t="shared" si="2"/>
        <v>7</v>
      </c>
      <c r="AD7" s="87">
        <f t="shared" si="2"/>
        <v>1</v>
      </c>
      <c r="AE7" s="88">
        <f t="shared" si="2"/>
        <v>5.332476653682143E-2</v>
      </c>
      <c r="AF7" s="89">
        <f t="shared" si="2"/>
        <v>242.73868013660004</v>
      </c>
      <c r="AG7" s="83"/>
      <c r="AH7" s="81">
        <f>AVERAGE(AH12,AH16,AH20,AH24,AH28)</f>
        <v>1.5469220065657746E-4</v>
      </c>
      <c r="AJ7" s="84" t="s">
        <v>16</v>
      </c>
      <c r="AK7" s="85">
        <f>AVERAGE(AK12,AK16,AK20,AK24,AK28)</f>
        <v>31</v>
      </c>
      <c r="AL7" s="86" t="e">
        <f t="shared" si="3"/>
        <v>#DIV/0!</v>
      </c>
      <c r="AM7" s="87" t="e">
        <f t="shared" si="3"/>
        <v>#DIV/0!</v>
      </c>
      <c r="AN7" s="85" t="e">
        <f t="shared" si="3"/>
        <v>#DIV/0!</v>
      </c>
      <c r="AO7" s="87" t="e">
        <f t="shared" si="3"/>
        <v>#DIV/0!</v>
      </c>
      <c r="AP7" s="88">
        <f t="shared" si="3"/>
        <v>1</v>
      </c>
      <c r="AQ7" s="87" t="e">
        <f t="shared" si="3"/>
        <v>#DIV/0!</v>
      </c>
      <c r="AS7" s="81" t="e">
        <f>AVERAGE(AS12,AS16,AS20,AS24,AS28)</f>
        <v>#DIV/0!</v>
      </c>
    </row>
    <row r="8" spans="1:45" ht="15" thickBot="1" x14ac:dyDescent="0.35">
      <c r="B8" s="90" t="s">
        <v>17</v>
      </c>
      <c r="C8" s="91">
        <f>AVERAGE(C13,C17,C21,C25,C29)</f>
        <v>20.399999999999999</v>
      </c>
      <c r="D8" s="92">
        <f t="shared" si="0"/>
        <v>4</v>
      </c>
      <c r="E8" s="93">
        <f t="shared" si="0"/>
        <v>665.84713028536464</v>
      </c>
      <c r="F8" s="91">
        <f t="shared" si="0"/>
        <v>10.6</v>
      </c>
      <c r="G8" s="93">
        <f t="shared" si="0"/>
        <v>1</v>
      </c>
      <c r="H8" s="94">
        <f t="shared" si="0"/>
        <v>0.15070519096254514</v>
      </c>
      <c r="I8" s="95">
        <f t="shared" si="0"/>
        <v>135524.664262426</v>
      </c>
      <c r="K8" s="82"/>
      <c r="N8" s="90" t="s">
        <v>17</v>
      </c>
      <c r="O8" s="91">
        <f>AVERAGE(O13,O17,O21,O25,O29)</f>
        <v>22.4</v>
      </c>
      <c r="P8" s="92">
        <f t="shared" si="1"/>
        <v>4</v>
      </c>
      <c r="Q8" s="93">
        <f t="shared" si="1"/>
        <v>742.18194450835801</v>
      </c>
      <c r="R8" s="91">
        <f t="shared" si="1"/>
        <v>8.6</v>
      </c>
      <c r="S8" s="93">
        <f t="shared" si="1"/>
        <v>1</v>
      </c>
      <c r="T8" s="94">
        <f t="shared" si="1"/>
        <v>5.3339356494441305E-2</v>
      </c>
      <c r="U8" s="95">
        <f t="shared" si="1"/>
        <v>1201.8430400000002</v>
      </c>
      <c r="V8" s="82"/>
      <c r="W8" s="82"/>
      <c r="Y8" s="90" t="s">
        <v>17</v>
      </c>
      <c r="Z8" s="91">
        <f>AVERAGE(Z13,Z17,Z21,Z25,Z29)</f>
        <v>24.2</v>
      </c>
      <c r="AA8" s="92">
        <f t="shared" si="2"/>
        <v>4</v>
      </c>
      <c r="AB8" s="93">
        <f t="shared" si="2"/>
        <v>742.07425248101242</v>
      </c>
      <c r="AC8" s="91">
        <f t="shared" si="2"/>
        <v>6.8</v>
      </c>
      <c r="AD8" s="93">
        <f t="shared" si="2"/>
        <v>1</v>
      </c>
      <c r="AE8" s="94">
        <f t="shared" si="2"/>
        <v>5.3476718774218876E-2</v>
      </c>
      <c r="AF8" s="95" t="e">
        <f t="shared" si="2"/>
        <v>#DIV/0!</v>
      </c>
      <c r="AG8" s="83"/>
      <c r="AH8" s="82"/>
      <c r="AJ8" s="90" t="s">
        <v>17</v>
      </c>
      <c r="AK8" s="91">
        <f>AVERAGE(AK13,AK17,AK21,AK25,AK29)</f>
        <v>29</v>
      </c>
      <c r="AL8" s="92">
        <f t="shared" si="3"/>
        <v>4</v>
      </c>
      <c r="AM8" s="93">
        <f t="shared" si="3"/>
        <v>689.9985797091</v>
      </c>
      <c r="AN8" s="91">
        <f t="shared" si="3"/>
        <v>10</v>
      </c>
      <c r="AO8" s="93">
        <f t="shared" si="3"/>
        <v>1</v>
      </c>
      <c r="AP8" s="94">
        <f t="shared" si="3"/>
        <v>0.82397995415584191</v>
      </c>
      <c r="AQ8" s="95">
        <f t="shared" si="3"/>
        <v>10440.694855993001</v>
      </c>
      <c r="AS8" s="82"/>
    </row>
    <row r="9" spans="1:45" x14ac:dyDescent="0.3">
      <c r="K9" s="69"/>
      <c r="AH9" s="69"/>
      <c r="AS9" s="69"/>
    </row>
    <row r="10" spans="1:45" ht="15" thickBot="1" x14ac:dyDescent="0.35">
      <c r="K10" s="69"/>
      <c r="M10" s="68" t="s">
        <v>18</v>
      </c>
      <c r="AH10" s="69"/>
      <c r="AS10" s="69"/>
    </row>
    <row r="11" spans="1:45" x14ac:dyDescent="0.3">
      <c r="B11" s="75" t="s">
        <v>15</v>
      </c>
      <c r="C11" s="76">
        <f>$O$2-F11</f>
        <v>20</v>
      </c>
      <c r="D11" s="96">
        <v>4</v>
      </c>
      <c r="E11" s="97">
        <v>726.35775333793401</v>
      </c>
      <c r="F11" s="98">
        <v>11</v>
      </c>
      <c r="G11" s="99">
        <v>1</v>
      </c>
      <c r="H11" s="79">
        <f>MAX(($Q$2-E11)/$Q$2, 0)</f>
        <v>7.3523273803655601E-2</v>
      </c>
      <c r="I11" s="97">
        <v>3.748433962</v>
      </c>
      <c r="K11" s="81">
        <f>(E11-E13)/E13</f>
        <v>5.269456300064105E-2</v>
      </c>
      <c r="M11" s="68">
        <v>1</v>
      </c>
      <c r="N11" s="75" t="s">
        <v>15</v>
      </c>
      <c r="O11" s="76">
        <f>$O$2-R11</f>
        <v>23</v>
      </c>
      <c r="P11" s="96">
        <v>4</v>
      </c>
      <c r="Q11" s="97">
        <v>769.43080999999995</v>
      </c>
      <c r="R11" s="98">
        <v>8</v>
      </c>
      <c r="S11" s="99">
        <v>1</v>
      </c>
      <c r="T11" s="79">
        <f>MAX(($Q$2-Q11)/$Q$2, 0)</f>
        <v>1.8583150510204142E-2</v>
      </c>
      <c r="U11" s="97">
        <v>3.1279188429999998</v>
      </c>
      <c r="V11" s="100"/>
      <c r="W11" s="81">
        <f>(Q11-Q13)/Q13</f>
        <v>9.1944901708732735E-3</v>
      </c>
      <c r="Y11" s="75" t="s">
        <v>15</v>
      </c>
      <c r="Z11" s="76">
        <f>$O$2-AC11</f>
        <v>27</v>
      </c>
      <c r="AA11" s="96">
        <v>4</v>
      </c>
      <c r="AB11" s="97">
        <v>788.56653494279794</v>
      </c>
      <c r="AC11" s="98">
        <v>4</v>
      </c>
      <c r="AD11" s="99">
        <v>1</v>
      </c>
      <c r="AE11" s="79">
        <f>MAX(($Q$2-AB11)/$Q$2, 0)</f>
        <v>0</v>
      </c>
      <c r="AF11" s="97">
        <v>24.779954490000001</v>
      </c>
      <c r="AG11" s="101"/>
      <c r="AH11" s="81">
        <f>(AB11-AB13)/AB13</f>
        <v>2.3961245412773766E-2</v>
      </c>
      <c r="AJ11" s="75" t="s">
        <v>15</v>
      </c>
      <c r="AK11" s="76">
        <f>$O$2-AN11</f>
        <v>31</v>
      </c>
      <c r="AL11" s="96"/>
      <c r="AM11" s="97"/>
      <c r="AN11" s="98"/>
      <c r="AO11" s="99"/>
      <c r="AP11" s="79">
        <f>MAX(($Q$2-AM11)/$Q$2, 0)</f>
        <v>1</v>
      </c>
      <c r="AQ11" s="97"/>
      <c r="AS11" s="81">
        <f>(AM11-AM13)/AM13</f>
        <v>-1</v>
      </c>
    </row>
    <row r="12" spans="1:45" x14ac:dyDescent="0.3">
      <c r="B12" s="84" t="s">
        <v>16</v>
      </c>
      <c r="C12" s="85">
        <f>$O$2-F12</f>
        <v>19</v>
      </c>
      <c r="D12" s="100">
        <v>4</v>
      </c>
      <c r="E12" s="102">
        <v>698.06361411798105</v>
      </c>
      <c r="F12" s="103">
        <v>12</v>
      </c>
      <c r="G12" s="104">
        <v>1</v>
      </c>
      <c r="H12" s="88">
        <f>MAX(($Q$2-E12)/$Q$2, 0)</f>
        <v>0.10961273709441192</v>
      </c>
      <c r="I12" s="102">
        <v>146.93872419499999</v>
      </c>
      <c r="J12" s="68">
        <v>120</v>
      </c>
      <c r="K12" s="81">
        <f>(E12-E13)/E13</f>
        <v>1.1688479724525268E-2</v>
      </c>
      <c r="N12" s="84" t="s">
        <v>16</v>
      </c>
      <c r="O12" s="85">
        <f>$O$2-R12</f>
        <v>23</v>
      </c>
      <c r="P12" s="100">
        <v>4</v>
      </c>
      <c r="Q12" s="102">
        <v>762.61712601679596</v>
      </c>
      <c r="R12" s="103">
        <v>8</v>
      </c>
      <c r="S12" s="104">
        <v>1</v>
      </c>
      <c r="T12" s="88">
        <f>MAX(($Q$2-Q12)/$Q$2, 0)</f>
        <v>2.7274073958168412E-2</v>
      </c>
      <c r="U12" s="102">
        <v>156.11520250199999</v>
      </c>
      <c r="V12" s="100">
        <v>101</v>
      </c>
      <c r="W12" s="81">
        <f>(Q12-Q13)/Q13</f>
        <v>2.5758220690053768E-4</v>
      </c>
      <c r="Y12" s="84" t="s">
        <v>16</v>
      </c>
      <c r="Z12" s="85">
        <f>$O$2-AC12</f>
        <v>26</v>
      </c>
      <c r="AA12" s="100">
        <v>4</v>
      </c>
      <c r="AB12" s="102">
        <v>770.70924980306302</v>
      </c>
      <c r="AC12" s="103">
        <v>5</v>
      </c>
      <c r="AD12" s="104">
        <v>1</v>
      </c>
      <c r="AE12" s="88">
        <f>MAX(($Q$2-AB12)/$Q$2, 0)</f>
        <v>1.6952487496093092E-2</v>
      </c>
      <c r="AF12" s="102">
        <v>236.45077856500001</v>
      </c>
      <c r="AG12" s="101">
        <v>168</v>
      </c>
      <c r="AH12" s="81">
        <f>(AB12-AB13)/AB13</f>
        <v>7.7338855970506806E-4</v>
      </c>
      <c r="AJ12" s="84" t="s">
        <v>16</v>
      </c>
      <c r="AK12" s="85">
        <f>$O$2-AN12</f>
        <v>31</v>
      </c>
      <c r="AL12" s="100"/>
      <c r="AM12" s="102"/>
      <c r="AN12" s="103"/>
      <c r="AO12" s="104"/>
      <c r="AP12" s="88">
        <f>MAX(($Q$2-AM12)/$Q$2, 0)</f>
        <v>1</v>
      </c>
      <c r="AQ12" s="102"/>
      <c r="AR12" s="67">
        <v>120</v>
      </c>
      <c r="AS12" s="81">
        <f>(AM12-AM13)/AM13</f>
        <v>-1</v>
      </c>
    </row>
    <row r="13" spans="1:45" ht="15" thickBot="1" x14ac:dyDescent="0.35">
      <c r="A13" s="105" t="s">
        <v>19</v>
      </c>
      <c r="B13" s="90" t="s">
        <v>17</v>
      </c>
      <c r="C13" s="91">
        <f>$O$2-F13</f>
        <v>21</v>
      </c>
      <c r="D13" s="60">
        <v>4</v>
      </c>
      <c r="E13" s="61">
        <v>689.9985797091</v>
      </c>
      <c r="F13" s="62">
        <v>10</v>
      </c>
      <c r="G13" s="63">
        <v>1</v>
      </c>
      <c r="H13" s="94">
        <f>MAX(($Q$2-E13)/$Q$2,0)</f>
        <v>0.11989977077920919</v>
      </c>
      <c r="I13" s="61">
        <v>10440.694855993001</v>
      </c>
      <c r="K13" s="81"/>
      <c r="N13" s="90" t="s">
        <v>17</v>
      </c>
      <c r="O13" s="91">
        <f>$O$2-R13</f>
        <v>23</v>
      </c>
      <c r="P13" s="55">
        <v>4</v>
      </c>
      <c r="Q13" s="52">
        <v>762.42074000000002</v>
      </c>
      <c r="R13" s="62">
        <v>8</v>
      </c>
      <c r="S13" s="63">
        <v>1</v>
      </c>
      <c r="T13" s="94">
        <f>MAX(($Q$2-Q13)/$Q$2,0)</f>
        <v>2.7524566326530581E-2</v>
      </c>
      <c r="U13" s="61">
        <v>2297.8935000000001</v>
      </c>
      <c r="V13" s="100"/>
      <c r="W13" s="81"/>
      <c r="Y13" s="90" t="s">
        <v>17</v>
      </c>
      <c r="Z13" s="91">
        <f>$O$2-AC13</f>
        <v>27</v>
      </c>
      <c r="AA13" s="60">
        <v>4</v>
      </c>
      <c r="AB13" s="61">
        <v>770.11365271438103</v>
      </c>
      <c r="AC13" s="62">
        <v>4</v>
      </c>
      <c r="AD13" s="63">
        <v>1</v>
      </c>
      <c r="AE13" s="94">
        <f>MAX(($Q$2-AB13)/$Q$2,0)</f>
        <v>1.7712177660228274E-2</v>
      </c>
      <c r="AF13" s="61"/>
      <c r="AG13" s="101"/>
      <c r="AH13" s="81"/>
      <c r="AJ13" s="90" t="s">
        <v>17</v>
      </c>
      <c r="AK13" s="91">
        <f>$O$2-AN13</f>
        <v>21</v>
      </c>
      <c r="AL13" s="60">
        <v>4</v>
      </c>
      <c r="AM13" s="61">
        <v>689.9985797091</v>
      </c>
      <c r="AN13" s="62">
        <v>10</v>
      </c>
      <c r="AO13" s="63">
        <v>1</v>
      </c>
      <c r="AP13" s="94">
        <f>MAX(($Q$2-AM13)/$Q$2,0)</f>
        <v>0.11989977077920919</v>
      </c>
      <c r="AQ13" s="61">
        <v>10440.694855993001</v>
      </c>
      <c r="AS13" s="81"/>
    </row>
    <row r="14" spans="1:45" ht="15" thickBot="1" x14ac:dyDescent="0.35">
      <c r="C14" s="68"/>
      <c r="D14" s="68"/>
      <c r="E14" s="68"/>
      <c r="F14" s="68"/>
      <c r="G14" s="68"/>
      <c r="H14" s="68"/>
      <c r="I14" s="68"/>
      <c r="K14" s="106"/>
      <c r="O14" s="68"/>
      <c r="P14" s="68"/>
      <c r="Q14" s="68"/>
      <c r="R14" s="68"/>
      <c r="S14" s="68"/>
      <c r="T14" s="68"/>
      <c r="U14" s="68"/>
      <c r="V14" s="106"/>
      <c r="W14" s="106"/>
      <c r="Z14" s="68"/>
      <c r="AA14" s="68"/>
      <c r="AB14" s="68"/>
      <c r="AC14" s="68"/>
      <c r="AD14" s="68"/>
      <c r="AE14" s="68"/>
      <c r="AF14" s="68"/>
      <c r="AG14" s="107"/>
      <c r="AH14" s="106"/>
      <c r="AK14" s="68"/>
      <c r="AL14" s="68"/>
      <c r="AM14" s="68"/>
      <c r="AN14" s="68"/>
      <c r="AO14" s="68"/>
      <c r="AP14" s="68"/>
      <c r="AQ14" s="68"/>
      <c r="AS14" s="106"/>
    </row>
    <row r="15" spans="1:45" x14ac:dyDescent="0.3">
      <c r="B15" s="75" t="s">
        <v>15</v>
      </c>
      <c r="C15" s="76">
        <f>$O$2-F15</f>
        <v>15</v>
      </c>
      <c r="D15" s="96">
        <v>3</v>
      </c>
      <c r="E15" s="97">
        <v>702.75647351647797</v>
      </c>
      <c r="F15" s="98">
        <v>16</v>
      </c>
      <c r="G15" s="99">
        <v>2</v>
      </c>
      <c r="H15" s="79">
        <f>MAX(($Q$2-E15)/$Q$2, 0)</f>
        <v>0.10362694704530871</v>
      </c>
      <c r="I15" s="97">
        <v>14.895678577</v>
      </c>
      <c r="K15" s="81">
        <f>(E15-E17)/E17</f>
        <v>0.10343223199921961</v>
      </c>
      <c r="M15" s="68">
        <v>2</v>
      </c>
      <c r="N15" s="75" t="s">
        <v>15</v>
      </c>
      <c r="O15" s="76">
        <f>$O$2-R15</f>
        <v>22</v>
      </c>
      <c r="P15" s="96">
        <v>4</v>
      </c>
      <c r="Q15" s="97">
        <v>760.31815200000005</v>
      </c>
      <c r="R15" s="98">
        <v>9</v>
      </c>
      <c r="S15" s="99">
        <v>1</v>
      </c>
      <c r="T15" s="79">
        <f>MAX(($Q$2-Q15)/$Q$2, 0)</f>
        <v>3.0206438775510134E-2</v>
      </c>
      <c r="U15" s="97">
        <v>10.748357355</v>
      </c>
      <c r="V15" s="100"/>
      <c r="W15" s="81">
        <f>(Q15-Q17)/Q17</f>
        <v>8.5871150135944305E-3</v>
      </c>
      <c r="Y15" s="75" t="s">
        <v>15</v>
      </c>
      <c r="Z15" s="76">
        <f>$O$2-AC15</f>
        <v>24</v>
      </c>
      <c r="AA15" s="96">
        <v>4</v>
      </c>
      <c r="AB15" s="97">
        <v>774.93156218022204</v>
      </c>
      <c r="AC15" s="98">
        <v>7</v>
      </c>
      <c r="AD15" s="99">
        <v>1</v>
      </c>
      <c r="AE15" s="79">
        <f>MAX(($Q$2-AB15)/$Q$2, 0)</f>
        <v>1.1566884974206576E-2</v>
      </c>
      <c r="AF15" s="97">
        <v>22.146748687999999</v>
      </c>
      <c r="AG15" s="101"/>
      <c r="AH15" s="81">
        <f>(AB15-AB17)/AB17</f>
        <v>5.0766882991785806E-3</v>
      </c>
      <c r="AJ15" s="75" t="s">
        <v>15</v>
      </c>
      <c r="AK15" s="76">
        <f>$O$2-AN15</f>
        <v>31</v>
      </c>
      <c r="AL15" s="96"/>
      <c r="AM15" s="97"/>
      <c r="AN15" s="98"/>
      <c r="AO15" s="99"/>
      <c r="AP15" s="79">
        <f>MAX(($Q$2-AM15)/$Q$2, 0)</f>
        <v>1</v>
      </c>
      <c r="AQ15" s="97"/>
      <c r="AS15" s="81" t="e">
        <f>(AM15-AM17)/AM17</f>
        <v>#DIV/0!</v>
      </c>
    </row>
    <row r="16" spans="1:45" x14ac:dyDescent="0.3">
      <c r="B16" s="84" t="s">
        <v>16</v>
      </c>
      <c r="C16" s="85">
        <f>$O$2-F16</f>
        <v>19</v>
      </c>
      <c r="D16" s="100">
        <v>4</v>
      </c>
      <c r="E16" s="102">
        <v>645.28070428795502</v>
      </c>
      <c r="F16" s="103">
        <v>12</v>
      </c>
      <c r="G16" s="104">
        <v>1</v>
      </c>
      <c r="H16" s="88">
        <f>MAX(($Q$2-E16)/$Q$2, 0)</f>
        <v>0.17693787718373086</v>
      </c>
      <c r="I16" s="102">
        <v>180.83783284399999</v>
      </c>
      <c r="J16" s="68">
        <v>181</v>
      </c>
      <c r="K16" s="81">
        <f>(E16-E17)/E17</f>
        <v>1.318672204560112E-2</v>
      </c>
      <c r="N16" s="84" t="s">
        <v>16</v>
      </c>
      <c r="O16" s="85">
        <f>$O$2-R16</f>
        <v>22</v>
      </c>
      <c r="P16" s="100">
        <v>4</v>
      </c>
      <c r="Q16" s="102">
        <v>753.84482800000001</v>
      </c>
      <c r="R16" s="103">
        <v>9</v>
      </c>
      <c r="S16" s="104">
        <v>1</v>
      </c>
      <c r="T16" s="88">
        <f>MAX(($Q$2-Q16)/$Q$2, 0)</f>
        <v>3.8463229591836727E-2</v>
      </c>
      <c r="U16" s="102">
        <v>167.857263448</v>
      </c>
      <c r="V16" s="100">
        <v>111</v>
      </c>
      <c r="W16" s="81">
        <f>(Q16-Q17)/Q17</f>
        <v>3.7142923905548772E-8</v>
      </c>
      <c r="Y16" s="84" t="s">
        <v>16</v>
      </c>
      <c r="Z16" s="85">
        <f>$O$2-AC16</f>
        <v>24</v>
      </c>
      <c r="AA16" s="100">
        <v>4</v>
      </c>
      <c r="AB16" s="102">
        <v>771.01734743403995</v>
      </c>
      <c r="AC16" s="103">
        <v>7</v>
      </c>
      <c r="AD16" s="104">
        <v>1</v>
      </c>
      <c r="AE16" s="88">
        <f>MAX(($Q$2-AB16)/$Q$2, 0)</f>
        <v>1.6559505823928639E-2</v>
      </c>
      <c r="AF16" s="102">
        <v>242.06944742799999</v>
      </c>
      <c r="AG16" s="101">
        <v>157</v>
      </c>
      <c r="AH16" s="81">
        <f>(AB16-AB17)/AB17</f>
        <v>0</v>
      </c>
      <c r="AJ16" s="84" t="s">
        <v>16</v>
      </c>
      <c r="AK16" s="85">
        <f>$O$2-AN16</f>
        <v>31</v>
      </c>
      <c r="AL16" s="100"/>
      <c r="AM16" s="102"/>
      <c r="AN16" s="103"/>
      <c r="AO16" s="104"/>
      <c r="AP16" s="88">
        <f>MAX(($Q$2-AM16)/$Q$2, 0)</f>
        <v>1</v>
      </c>
      <c r="AQ16" s="102"/>
      <c r="AR16" s="67">
        <v>114</v>
      </c>
      <c r="AS16" s="81" t="e">
        <f>(AM16-AM17)/AM17</f>
        <v>#DIV/0!</v>
      </c>
    </row>
    <row r="17" spans="1:45" ht="15" thickBot="1" x14ac:dyDescent="0.35">
      <c r="A17" s="105" t="s">
        <v>20</v>
      </c>
      <c r="B17" s="90" t="s">
        <v>17</v>
      </c>
      <c r="C17" s="91">
        <f>$O$2-F17</f>
        <v>21</v>
      </c>
      <c r="D17" s="60">
        <v>4</v>
      </c>
      <c r="E17" s="61">
        <v>636.88231423438697</v>
      </c>
      <c r="F17" s="62">
        <v>10</v>
      </c>
      <c r="G17" s="63">
        <v>1</v>
      </c>
      <c r="H17" s="94">
        <f>MAX(($Q$2-E17)/$Q$2,0)</f>
        <v>0.18765010939491458</v>
      </c>
      <c r="I17" s="61">
        <v>281003.98569229897</v>
      </c>
      <c r="K17" s="100"/>
      <c r="N17" s="90" t="s">
        <v>17</v>
      </c>
      <c r="O17" s="91">
        <f>$O$2-R17</f>
        <v>22</v>
      </c>
      <c r="P17" s="60">
        <v>4</v>
      </c>
      <c r="Q17" s="61">
        <v>753.84479999999996</v>
      </c>
      <c r="R17" s="62">
        <v>9</v>
      </c>
      <c r="S17" s="63">
        <v>1</v>
      </c>
      <c r="T17" s="94">
        <f>MAX(($Q$2-Q17)/$Q$2,0)</f>
        <v>3.8463265306122492E-2</v>
      </c>
      <c r="U17" s="61">
        <v>1108.8</v>
      </c>
      <c r="V17" s="100"/>
      <c r="W17" s="100"/>
      <c r="Y17" s="90" t="s">
        <v>17</v>
      </c>
      <c r="Z17" s="91">
        <f>$O$2-AC17</f>
        <v>24</v>
      </c>
      <c r="AA17" s="60">
        <v>4</v>
      </c>
      <c r="AB17" s="61">
        <v>771.01734743403995</v>
      </c>
      <c r="AC17" s="62">
        <v>7</v>
      </c>
      <c r="AD17" s="63">
        <v>1</v>
      </c>
      <c r="AE17" s="94">
        <f>MAX(($Q$2-AB17)/$Q$2,0)</f>
        <v>1.6559505823928639E-2</v>
      </c>
      <c r="AF17" s="61"/>
      <c r="AG17" s="101"/>
      <c r="AH17" s="100"/>
      <c r="AJ17" s="90" t="s">
        <v>17</v>
      </c>
      <c r="AK17" s="91">
        <f>$O$2-AN17</f>
        <v>31</v>
      </c>
      <c r="AL17" s="60"/>
      <c r="AM17" s="61"/>
      <c r="AN17" s="62"/>
      <c r="AO17" s="63"/>
      <c r="AP17" s="94">
        <f>MAX(($Q$2-AM17)/$Q$2,0)</f>
        <v>1</v>
      </c>
      <c r="AQ17" s="61"/>
      <c r="AS17" s="100"/>
    </row>
    <row r="18" spans="1:45" ht="15" thickBot="1" x14ac:dyDescent="0.35">
      <c r="C18" s="68"/>
      <c r="D18" s="68"/>
      <c r="E18" s="68"/>
      <c r="F18" s="68"/>
      <c r="G18" s="68"/>
      <c r="H18" s="68"/>
      <c r="I18" s="68"/>
      <c r="K18" s="106"/>
      <c r="O18" s="68"/>
      <c r="P18" s="68"/>
      <c r="Q18" s="68"/>
      <c r="R18" s="68"/>
      <c r="S18" s="68"/>
      <c r="T18" s="68"/>
      <c r="U18" s="68"/>
      <c r="V18" s="106"/>
      <c r="W18" s="106"/>
      <c r="Z18" s="68"/>
      <c r="AA18" s="68"/>
      <c r="AB18" s="68"/>
      <c r="AC18" s="68"/>
      <c r="AD18" s="68"/>
      <c r="AE18" s="68"/>
      <c r="AF18" s="68"/>
      <c r="AG18" s="107"/>
      <c r="AH18" s="106"/>
      <c r="AK18" s="68"/>
      <c r="AL18" s="68"/>
      <c r="AM18" s="68"/>
      <c r="AN18" s="68"/>
      <c r="AO18" s="68"/>
      <c r="AP18" s="68"/>
      <c r="AQ18" s="68"/>
      <c r="AS18" s="106"/>
    </row>
    <row r="19" spans="1:45" x14ac:dyDescent="0.3">
      <c r="B19" s="75" t="s">
        <v>15</v>
      </c>
      <c r="C19" s="76">
        <f>$O$2-F19</f>
        <v>20</v>
      </c>
      <c r="D19" s="96">
        <v>4</v>
      </c>
      <c r="E19" s="97">
        <v>726.00499331509695</v>
      </c>
      <c r="F19" s="98">
        <v>11</v>
      </c>
      <c r="G19" s="99">
        <v>1</v>
      </c>
      <c r="H19" s="79">
        <f>MAX(($Q$2-E19)/$Q$2, 0)</f>
        <v>7.3973222812376338E-2</v>
      </c>
      <c r="I19" s="97">
        <v>17.052744241999999</v>
      </c>
      <c r="K19" s="81">
        <f>(E19-E21)/E21</f>
        <v>8.6356265754566189E-2</v>
      </c>
      <c r="M19" s="68">
        <v>3</v>
      </c>
      <c r="N19" s="75" t="s">
        <v>15</v>
      </c>
      <c r="O19" s="76">
        <f>$O$2-R19</f>
        <v>23</v>
      </c>
      <c r="P19" s="96">
        <v>4</v>
      </c>
      <c r="Q19" s="97">
        <v>765.37411707629497</v>
      </c>
      <c r="R19" s="98">
        <v>8</v>
      </c>
      <c r="S19" s="99">
        <v>1</v>
      </c>
      <c r="T19" s="79">
        <f>MAX(($Q$2-Q19)/$Q$2, 0)</f>
        <v>2.3757503729215607E-2</v>
      </c>
      <c r="U19" s="97">
        <v>20.308152709000002</v>
      </c>
      <c r="V19" s="100"/>
      <c r="W19" s="81">
        <f>(Q19-Q21)/Q21</f>
        <v>1.3380969952906658E-2</v>
      </c>
      <c r="Y19" s="75" t="s">
        <v>15</v>
      </c>
      <c r="Z19" s="76">
        <f>$O$2-AC19</f>
        <v>25</v>
      </c>
      <c r="AA19" s="96">
        <v>4</v>
      </c>
      <c r="AB19" s="97">
        <v>781.32767237738597</v>
      </c>
      <c r="AC19" s="98">
        <v>6</v>
      </c>
      <c r="AD19" s="99">
        <v>1</v>
      </c>
      <c r="AE19" s="79">
        <f>MAX(($Q$2-AB19)/$Q$2, 0)</f>
        <v>3.4085811512934109E-3</v>
      </c>
      <c r="AF19" s="97">
        <v>20.728297403999999</v>
      </c>
      <c r="AG19" s="101"/>
      <c r="AH19" s="81">
        <f>(AB19-AB21)/AB21</f>
        <v>1.6527017711098473E-2</v>
      </c>
      <c r="AJ19" s="75" t="s">
        <v>15</v>
      </c>
      <c r="AK19" s="76">
        <f>$O$2-AN19</f>
        <v>31</v>
      </c>
      <c r="AL19" s="96"/>
      <c r="AM19" s="97"/>
      <c r="AN19" s="98"/>
      <c r="AO19" s="99"/>
      <c r="AP19" s="79">
        <f>MAX(($Q$2-AM19)/$Q$2, 0)</f>
        <v>1</v>
      </c>
      <c r="AQ19" s="97"/>
      <c r="AS19" s="81" t="e">
        <f>(AM19-AM21)/AM21</f>
        <v>#DIV/0!</v>
      </c>
    </row>
    <row r="20" spans="1:45" x14ac:dyDescent="0.3">
      <c r="B20" s="84" t="s">
        <v>16</v>
      </c>
      <c r="C20" s="85">
        <f>$O$2-F20</f>
        <v>19</v>
      </c>
      <c r="D20" s="100">
        <v>4</v>
      </c>
      <c r="E20" s="102">
        <v>668.29364933135003</v>
      </c>
      <c r="F20" s="103">
        <v>12</v>
      </c>
      <c r="G20" s="104">
        <v>1</v>
      </c>
      <c r="H20" s="88">
        <f>MAX(($Q$2-E20)/$Q$2, 0)</f>
        <v>0.14758463095491067</v>
      </c>
      <c r="I20" s="102">
        <v>145.57145642899999</v>
      </c>
      <c r="J20" s="68">
        <v>156</v>
      </c>
      <c r="K20" s="81">
        <f>(E20-E21)/E21</f>
        <v>0</v>
      </c>
      <c r="N20" s="84" t="s">
        <v>16</v>
      </c>
      <c r="O20" s="85">
        <f>$O$2-R20</f>
        <v>23</v>
      </c>
      <c r="P20" s="100">
        <v>4</v>
      </c>
      <c r="Q20" s="102">
        <v>755.26799509222997</v>
      </c>
      <c r="R20" s="103">
        <v>8</v>
      </c>
      <c r="S20" s="104">
        <v>1</v>
      </c>
      <c r="T20" s="88">
        <f>MAX(($Q$2-Q20)/$Q$2, 0)</f>
        <v>3.6647965443584229E-2</v>
      </c>
      <c r="U20" s="102">
        <v>143.66574054399999</v>
      </c>
      <c r="V20" s="100">
        <v>105</v>
      </c>
      <c r="W20" s="81">
        <f>(Q20-Q21)/Q21</f>
        <v>1.2590529785861716E-7</v>
      </c>
      <c r="Y20" s="84" t="s">
        <v>16</v>
      </c>
      <c r="Z20" s="85">
        <f>$O$2-AC20</f>
        <v>25</v>
      </c>
      <c r="AA20" s="100">
        <v>4</v>
      </c>
      <c r="AB20" s="102">
        <v>768.62465568191601</v>
      </c>
      <c r="AC20" s="103">
        <v>6</v>
      </c>
      <c r="AD20" s="104">
        <v>1</v>
      </c>
      <c r="AE20" s="88">
        <f>MAX(($Q$2-AB20)/$Q$2, 0)</f>
        <v>1.9611408568984679E-2</v>
      </c>
      <c r="AF20" s="102">
        <v>197.16038650799999</v>
      </c>
      <c r="AG20" s="101">
        <v>102</v>
      </c>
      <c r="AH20" s="81">
        <f>(AB20-AB21)/AB21</f>
        <v>7.2443577819115427E-8</v>
      </c>
      <c r="AJ20" s="84" t="s">
        <v>16</v>
      </c>
      <c r="AK20" s="85">
        <f>$O$2-AN20</f>
        <v>31</v>
      </c>
      <c r="AL20" s="100"/>
      <c r="AM20" s="102"/>
      <c r="AN20" s="103"/>
      <c r="AO20" s="104"/>
      <c r="AP20" s="88">
        <f>MAX(($Q$2-AM20)/$Q$2, 0)</f>
        <v>1</v>
      </c>
      <c r="AQ20" s="102"/>
      <c r="AS20" s="81" t="e">
        <f>(AM20-AM21)/AM21</f>
        <v>#DIV/0!</v>
      </c>
    </row>
    <row r="21" spans="1:45" ht="15" thickBot="1" x14ac:dyDescent="0.35">
      <c r="A21" s="105" t="s">
        <v>22</v>
      </c>
      <c r="B21" s="90" t="s">
        <v>17</v>
      </c>
      <c r="C21" s="91">
        <f>$O$2-F21</f>
        <v>19</v>
      </c>
      <c r="D21" s="60">
        <v>4</v>
      </c>
      <c r="E21" s="61">
        <v>668.29364933135003</v>
      </c>
      <c r="F21" s="62">
        <v>12</v>
      </c>
      <c r="G21" s="63">
        <v>1</v>
      </c>
      <c r="H21" s="94">
        <f>MAX(($Q$2-E21)/$Q$2,0)</f>
        <v>0.14758463095491067</v>
      </c>
      <c r="I21" s="61"/>
      <c r="K21" s="100"/>
      <c r="N21" s="90" t="s">
        <v>17</v>
      </c>
      <c r="O21" s="91">
        <f>$O$2-R21</f>
        <v>23</v>
      </c>
      <c r="P21" s="60">
        <v>4</v>
      </c>
      <c r="Q21" s="61">
        <v>755.26790000000005</v>
      </c>
      <c r="R21" s="62">
        <v>8</v>
      </c>
      <c r="S21" s="63">
        <v>1</v>
      </c>
      <c r="T21" s="94">
        <f>MAX(($Q$2-Q21)/$Q$2,0)</f>
        <v>3.6648086734693809E-2</v>
      </c>
      <c r="U21" s="61">
        <v>1613.5107</v>
      </c>
      <c r="V21" s="100"/>
      <c r="W21" s="100"/>
      <c r="Y21" s="90" t="s">
        <v>17</v>
      </c>
      <c r="Z21" s="91">
        <f>$O$2-AC21</f>
        <v>25</v>
      </c>
      <c r="AA21" s="60">
        <v>4</v>
      </c>
      <c r="AB21" s="61">
        <v>768.62459999999999</v>
      </c>
      <c r="AC21" s="62">
        <v>6</v>
      </c>
      <c r="AD21" s="63">
        <v>1</v>
      </c>
      <c r="AE21" s="94">
        <f>MAX(($Q$2-AB21)/$Q$2,0)</f>
        <v>1.9611479591836751E-2</v>
      </c>
      <c r="AF21" s="61"/>
      <c r="AG21" s="101"/>
      <c r="AH21" s="100"/>
      <c r="AJ21" s="90" t="s">
        <v>17</v>
      </c>
      <c r="AK21" s="91">
        <f>$O$2-AN21</f>
        <v>31</v>
      </c>
      <c r="AL21" s="60"/>
      <c r="AM21" s="61"/>
      <c r="AN21" s="62"/>
      <c r="AO21" s="63"/>
      <c r="AP21" s="94">
        <f>MAX(($Q$2-AM21)/$Q$2,0)</f>
        <v>1</v>
      </c>
      <c r="AQ21" s="61"/>
      <c r="AS21" s="100"/>
    </row>
    <row r="22" spans="1:45" ht="15" thickBot="1" x14ac:dyDescent="0.35">
      <c r="C22" s="68"/>
      <c r="D22" s="68"/>
      <c r="E22" s="68"/>
      <c r="F22" s="68"/>
      <c r="G22" s="68"/>
      <c r="H22" s="68"/>
      <c r="I22" s="68"/>
      <c r="K22" s="106"/>
      <c r="O22" s="68"/>
      <c r="P22" s="68"/>
      <c r="Q22" s="68"/>
      <c r="R22" s="68"/>
      <c r="S22" s="68"/>
      <c r="T22" s="68"/>
      <c r="U22" s="68"/>
      <c r="V22" s="106"/>
      <c r="W22" s="106"/>
      <c r="Z22" s="68"/>
      <c r="AA22" s="68"/>
      <c r="AB22" s="68"/>
      <c r="AC22" s="68"/>
      <c r="AD22" s="68"/>
      <c r="AE22" s="68"/>
      <c r="AF22" s="68"/>
      <c r="AG22" s="107"/>
      <c r="AH22" s="106"/>
      <c r="AK22" s="68"/>
      <c r="AL22" s="68"/>
      <c r="AM22" s="68"/>
      <c r="AN22" s="68"/>
      <c r="AO22" s="68"/>
      <c r="AP22" s="68"/>
      <c r="AQ22" s="68"/>
      <c r="AS22" s="106"/>
    </row>
    <row r="23" spans="1:45" x14ac:dyDescent="0.3">
      <c r="B23" s="75" t="s">
        <v>15</v>
      </c>
      <c r="C23" s="76">
        <f>$O$2-F23</f>
        <v>20</v>
      </c>
      <c r="D23" s="96">
        <v>4</v>
      </c>
      <c r="E23" s="97">
        <v>687.38276808897899</v>
      </c>
      <c r="F23" s="98">
        <v>11</v>
      </c>
      <c r="G23" s="99">
        <v>1</v>
      </c>
      <c r="H23" s="79">
        <f>MAX(($Q$2-E23)/$Q$2, 0)</f>
        <v>0.12323626519262884</v>
      </c>
      <c r="I23" s="97">
        <v>13.412824130000001</v>
      </c>
      <c r="K23" s="81">
        <f>(E23-E25)/E25</f>
        <v>4.4159872417010679E-2</v>
      </c>
      <c r="M23" s="68">
        <v>4</v>
      </c>
      <c r="N23" s="75" t="s">
        <v>15</v>
      </c>
      <c r="O23" s="76">
        <f>$O$2-R23</f>
        <v>20</v>
      </c>
      <c r="P23" s="96">
        <v>4</v>
      </c>
      <c r="Q23" s="97">
        <v>733.30912522946301</v>
      </c>
      <c r="R23" s="98">
        <v>11</v>
      </c>
      <c r="S23" s="99">
        <v>1</v>
      </c>
      <c r="T23" s="79">
        <f>MAX(($Q$2-Q23)/$Q$2, 0)</f>
        <v>6.4656728023644125E-2</v>
      </c>
      <c r="U23" s="97">
        <v>4.6072962540000004</v>
      </c>
      <c r="V23" s="100"/>
      <c r="W23" s="81">
        <f>(Q23-Q25)/Q25</f>
        <v>2.1506853928236314E-2</v>
      </c>
      <c r="Y23" s="75" t="s">
        <v>15</v>
      </c>
      <c r="Z23" s="76">
        <f>$O$2-AC23</f>
        <v>23</v>
      </c>
      <c r="AA23" s="96">
        <v>4</v>
      </c>
      <c r="AB23" s="97">
        <v>677.024536039959</v>
      </c>
      <c r="AC23" s="98">
        <v>8</v>
      </c>
      <c r="AD23" s="99">
        <v>1</v>
      </c>
      <c r="AE23" s="79">
        <f>MAX(($Q$2-AB23)/$Q$2, 0)</f>
        <v>0.13644829586739923</v>
      </c>
      <c r="AF23" s="97">
        <v>4.5343373810000003</v>
      </c>
      <c r="AG23" s="101"/>
      <c r="AH23" s="81">
        <f>(AB23-AB25)/AB25</f>
        <v>1.2747454932440791E-2</v>
      </c>
      <c r="AJ23" s="75" t="s">
        <v>15</v>
      </c>
      <c r="AK23" s="76">
        <f>$O$2-AN23</f>
        <v>31</v>
      </c>
      <c r="AL23" s="96"/>
      <c r="AM23" s="97"/>
      <c r="AN23" s="98"/>
      <c r="AO23" s="99"/>
      <c r="AP23" s="79">
        <f>MAX(($Q$2-AM23)/$Q$2, 0)</f>
        <v>1</v>
      </c>
      <c r="AQ23" s="97"/>
      <c r="AS23" s="81" t="e">
        <f>(AM23-AM25)/AM25</f>
        <v>#DIV/0!</v>
      </c>
    </row>
    <row r="24" spans="1:45" x14ac:dyDescent="0.3">
      <c r="B24" s="84" t="s">
        <v>16</v>
      </c>
      <c r="C24" s="85">
        <f>$O$2-F24</f>
        <v>20</v>
      </c>
      <c r="D24" s="100">
        <v>4</v>
      </c>
      <c r="E24" s="102">
        <v>658.31180286389701</v>
      </c>
      <c r="F24" s="103">
        <v>11</v>
      </c>
      <c r="G24" s="104">
        <v>1</v>
      </c>
      <c r="H24" s="88">
        <f>MAX(($Q$2-E24)/$Q$2, 0)</f>
        <v>0.16031657797972321</v>
      </c>
      <c r="I24" s="102">
        <v>149.89821906</v>
      </c>
      <c r="J24" s="68">
        <v>154</v>
      </c>
      <c r="K24" s="81">
        <f>(E24-E25)/E25</f>
        <v>0</v>
      </c>
      <c r="N24" s="84" t="s">
        <v>16</v>
      </c>
      <c r="O24" s="85">
        <f>$O$2-R24</f>
        <v>21</v>
      </c>
      <c r="P24" s="100">
        <v>4</v>
      </c>
      <c r="Q24" s="102">
        <v>717.87092025189997</v>
      </c>
      <c r="R24" s="103">
        <v>10</v>
      </c>
      <c r="S24" s="104">
        <v>1</v>
      </c>
      <c r="T24" s="88">
        <f>MAX(($Q$2-Q24)/$Q$2, 0)</f>
        <v>8.4348316005229629E-2</v>
      </c>
      <c r="U24" s="102">
        <v>165.74098882000001</v>
      </c>
      <c r="V24" s="100">
        <v>137</v>
      </c>
      <c r="W24" s="81">
        <f>(Q24-Q25)/Q25</f>
        <v>1.2819199854709433E-6</v>
      </c>
      <c r="Y24" s="84" t="s">
        <v>16</v>
      </c>
      <c r="Z24" s="85">
        <f>$O$2-AC24</f>
        <v>21</v>
      </c>
      <c r="AA24" s="100">
        <v>4</v>
      </c>
      <c r="AB24" s="102">
        <v>668.50282638836404</v>
      </c>
      <c r="AC24" s="103">
        <v>10</v>
      </c>
      <c r="AD24" s="104">
        <v>1</v>
      </c>
      <c r="AE24" s="88">
        <f>MAX(($Q$2-AB24)/$Q$2, 0)</f>
        <v>0.14731782348422953</v>
      </c>
      <c r="AF24" s="102">
        <v>270.73913010000001</v>
      </c>
      <c r="AG24" s="101">
        <v>207</v>
      </c>
      <c r="AH24" s="81">
        <f>(AB24-AB25)/AB25</f>
        <v>0</v>
      </c>
      <c r="AJ24" s="84" t="s">
        <v>16</v>
      </c>
      <c r="AK24" s="85">
        <f>$O$2-AN24</f>
        <v>31</v>
      </c>
      <c r="AL24" s="100"/>
      <c r="AM24" s="102"/>
      <c r="AN24" s="103"/>
      <c r="AO24" s="104"/>
      <c r="AP24" s="88">
        <f>MAX(($Q$2-AM24)/$Q$2, 0)</f>
        <v>1</v>
      </c>
      <c r="AQ24" s="102"/>
      <c r="AS24" s="81" t="e">
        <f>(AM24-AM25)/AM25</f>
        <v>#DIV/0!</v>
      </c>
    </row>
    <row r="25" spans="1:45" ht="15" thickBot="1" x14ac:dyDescent="0.35">
      <c r="A25" s="105" t="s">
        <v>24</v>
      </c>
      <c r="B25" s="90" t="s">
        <v>17</v>
      </c>
      <c r="C25" s="91">
        <f>$O$2-F25</f>
        <v>20</v>
      </c>
      <c r="D25" s="60">
        <v>4</v>
      </c>
      <c r="E25" s="61">
        <v>658.31180286389701</v>
      </c>
      <c r="F25" s="62">
        <v>11</v>
      </c>
      <c r="G25" s="63">
        <v>1</v>
      </c>
      <c r="H25" s="94">
        <f>MAX(($Q$2-E25)/$Q$2,0)</f>
        <v>0.16031657797972321</v>
      </c>
      <c r="I25" s="61">
        <v>50955.380219790997</v>
      </c>
      <c r="K25" s="100"/>
      <c r="N25" s="90" t="s">
        <v>17</v>
      </c>
      <c r="O25" s="91">
        <f>$O$2-R25</f>
        <v>21</v>
      </c>
      <c r="P25" s="60">
        <v>4</v>
      </c>
      <c r="Q25" s="61">
        <v>717.87</v>
      </c>
      <c r="R25" s="62">
        <v>10</v>
      </c>
      <c r="S25" s="63">
        <v>1</v>
      </c>
      <c r="T25" s="94">
        <f>MAX(($Q$2-Q25)/$Q$2,0)</f>
        <v>8.4349489795918359E-2</v>
      </c>
      <c r="U25" s="61">
        <v>591.06299999999999</v>
      </c>
      <c r="V25" s="100"/>
      <c r="W25" s="100"/>
      <c r="Y25" s="90" t="s">
        <v>17</v>
      </c>
      <c r="Z25" s="91">
        <f>$O$2-AC25</f>
        <v>21</v>
      </c>
      <c r="AA25" s="60">
        <v>4</v>
      </c>
      <c r="AB25" s="61">
        <v>668.50282638836404</v>
      </c>
      <c r="AC25" s="62">
        <v>10</v>
      </c>
      <c r="AD25" s="63">
        <v>1</v>
      </c>
      <c r="AE25" s="94">
        <f>MAX(($Q$2-AB25)/$Q$2,0)</f>
        <v>0.14731782348422953</v>
      </c>
      <c r="AF25" s="61"/>
      <c r="AG25" s="101"/>
      <c r="AH25" s="100"/>
      <c r="AJ25" s="90" t="s">
        <v>17</v>
      </c>
      <c r="AK25" s="91">
        <f>$O$2-AN25</f>
        <v>31</v>
      </c>
      <c r="AL25" s="60"/>
      <c r="AM25" s="61"/>
      <c r="AN25" s="62"/>
      <c r="AO25" s="63"/>
      <c r="AP25" s="94">
        <f>MAX(($Q$2-AM25)/$Q$2,0)</f>
        <v>1</v>
      </c>
      <c r="AQ25" s="61"/>
      <c r="AS25" s="100"/>
    </row>
    <row r="26" spans="1:45" ht="15" thickBot="1" x14ac:dyDescent="0.35">
      <c r="C26" s="68"/>
      <c r="D26" s="68"/>
      <c r="E26" s="68"/>
      <c r="F26" s="68"/>
      <c r="G26" s="68"/>
      <c r="H26" s="68"/>
      <c r="I26" s="68"/>
      <c r="K26" s="106"/>
      <c r="O26" s="68"/>
      <c r="P26" s="68"/>
      <c r="Q26" s="68"/>
      <c r="R26" s="68"/>
      <c r="S26" s="68"/>
      <c r="T26" s="68"/>
      <c r="U26" s="68"/>
      <c r="V26" s="106"/>
      <c r="W26" s="106"/>
      <c r="Z26" s="68"/>
      <c r="AA26" s="68"/>
      <c r="AB26" s="68"/>
      <c r="AC26" s="68"/>
      <c r="AD26" s="68"/>
      <c r="AE26" s="68"/>
      <c r="AF26" s="68"/>
      <c r="AG26" s="107"/>
      <c r="AH26" s="106"/>
      <c r="AK26" s="68"/>
      <c r="AL26" s="68"/>
      <c r="AM26" s="68"/>
      <c r="AN26" s="68"/>
      <c r="AO26" s="68"/>
      <c r="AP26" s="68"/>
      <c r="AQ26" s="68"/>
      <c r="AS26" s="106"/>
    </row>
    <row r="27" spans="1:45" x14ac:dyDescent="0.3">
      <c r="B27" s="75" t="s">
        <v>15</v>
      </c>
      <c r="C27" s="76">
        <f>$O$2-F27</f>
        <v>17</v>
      </c>
      <c r="D27" s="96">
        <v>3</v>
      </c>
      <c r="E27" s="97">
        <v>695.49320174883599</v>
      </c>
      <c r="F27" s="98">
        <v>14</v>
      </c>
      <c r="G27" s="99">
        <v>2</v>
      </c>
      <c r="H27" s="79">
        <f>MAX(($Q$2-E27)/$Q$2, 0)</f>
        <v>0.1128913242999541</v>
      </c>
      <c r="I27" s="97">
        <v>12.417906973999999</v>
      </c>
      <c r="K27" s="81">
        <f>(E27-E29)/E29</f>
        <v>2.9217782846746233E-2</v>
      </c>
      <c r="M27" s="68">
        <v>5</v>
      </c>
      <c r="N27" s="75" t="s">
        <v>15</v>
      </c>
      <c r="O27" s="76">
        <f>$O$2-R27</f>
        <v>22</v>
      </c>
      <c r="P27" s="96">
        <v>4</v>
      </c>
      <c r="Q27" s="97">
        <v>742.99908722999999</v>
      </c>
      <c r="R27" s="98">
        <v>9</v>
      </c>
      <c r="S27" s="99">
        <v>1</v>
      </c>
      <c r="T27" s="79">
        <f>MAX(($Q$2-Q27)/$Q$2, 0)</f>
        <v>5.2297082614795938E-2</v>
      </c>
      <c r="U27" s="97">
        <v>3.8027660000000001</v>
      </c>
      <c r="V27" s="100"/>
      <c r="W27" s="81">
        <f>(Q27-Q29)/Q29</f>
        <v>2.9788797697634855E-2</v>
      </c>
      <c r="Y27" s="75" t="s">
        <v>15</v>
      </c>
      <c r="Z27" s="76">
        <f>$O$2-AC27</f>
        <v>22</v>
      </c>
      <c r="AA27" s="96">
        <v>4</v>
      </c>
      <c r="AB27" s="97">
        <v>766.37065169315804</v>
      </c>
      <c r="AC27" s="98">
        <v>9</v>
      </c>
      <c r="AD27" s="99">
        <v>1</v>
      </c>
      <c r="AE27" s="79">
        <f>MAX(($Q$2-AB27)/$Q$2, 0)</f>
        <v>2.2486413656686174E-2</v>
      </c>
      <c r="AF27" s="97">
        <v>3.3466349150000001</v>
      </c>
      <c r="AG27" s="101"/>
      <c r="AH27" s="81">
        <f>(AB27-AB29)/AB29</f>
        <v>4.6793081812657601E-2</v>
      </c>
      <c r="AJ27" s="75" t="s">
        <v>15</v>
      </c>
      <c r="AK27" s="76">
        <f>$O$2-AN27</f>
        <v>31</v>
      </c>
      <c r="AL27" s="96"/>
      <c r="AM27" s="97"/>
      <c r="AN27" s="98"/>
      <c r="AO27" s="99"/>
      <c r="AP27" s="79">
        <f>MAX(($Q$2-AM27)/$Q$2, 0)</f>
        <v>1</v>
      </c>
      <c r="AQ27" s="97"/>
      <c r="AS27" s="81" t="e">
        <f>(AM27-AM29)/AM29</f>
        <v>#DIV/0!</v>
      </c>
    </row>
    <row r="28" spans="1:45" x14ac:dyDescent="0.3">
      <c r="B28" s="84" t="s">
        <v>16</v>
      </c>
      <c r="C28" s="85">
        <f>$O$2-F28</f>
        <v>21</v>
      </c>
      <c r="D28" s="100">
        <v>4</v>
      </c>
      <c r="E28" s="102">
        <v>675.74930528808898</v>
      </c>
      <c r="F28" s="103">
        <v>10</v>
      </c>
      <c r="G28" s="104">
        <v>1</v>
      </c>
      <c r="H28" s="88">
        <f>MAX(($Q$2-E28)/$Q$2, 0)</f>
        <v>0.13807486570396815</v>
      </c>
      <c r="I28" s="102">
        <v>161.218058501</v>
      </c>
      <c r="J28" s="68">
        <v>159</v>
      </c>
      <c r="K28" s="81">
        <f>(E28-E29)/E29</f>
        <v>0</v>
      </c>
      <c r="N28" s="84" t="s">
        <v>16</v>
      </c>
      <c r="O28" s="85">
        <f>$O$2-R28</f>
        <v>21</v>
      </c>
      <c r="P28" s="100">
        <v>4</v>
      </c>
      <c r="Q28" s="102">
        <v>723.80236037781503</v>
      </c>
      <c r="R28" s="103">
        <v>10</v>
      </c>
      <c r="S28" s="104">
        <v>1</v>
      </c>
      <c r="T28" s="88">
        <f>MAX(($Q$2-Q28)/$Q$2, 0)</f>
        <v>7.6782703599725721E-2</v>
      </c>
      <c r="U28" s="102">
        <v>71.804479999999998</v>
      </c>
      <c r="V28" s="100">
        <v>104</v>
      </c>
      <c r="W28" s="81">
        <f>(Q28-Q29)/Q29</f>
        <v>3.1823393525225695E-3</v>
      </c>
      <c r="Y28" s="84" t="s">
        <v>16</v>
      </c>
      <c r="Z28" s="85">
        <f>$O$2-AC28</f>
        <v>24</v>
      </c>
      <c r="AA28" s="100">
        <v>4</v>
      </c>
      <c r="AB28" s="102">
        <v>732.11283586827699</v>
      </c>
      <c r="AC28" s="103">
        <v>7</v>
      </c>
      <c r="AD28" s="104">
        <v>1</v>
      </c>
      <c r="AE28" s="88">
        <f>MAX(($Q$2-AB28)/$Q$2, 0)</f>
        <v>6.6182607310871194E-2</v>
      </c>
      <c r="AF28" s="102">
        <v>267.273658082</v>
      </c>
      <c r="AG28" s="101">
        <v>140</v>
      </c>
      <c r="AH28" s="81">
        <f>(AB28-AB29)/AB29</f>
        <v>0</v>
      </c>
      <c r="AJ28" s="84" t="s">
        <v>16</v>
      </c>
      <c r="AK28" s="85">
        <f>$O$2-AN28</f>
        <v>31</v>
      </c>
      <c r="AL28" s="100"/>
      <c r="AM28" s="102"/>
      <c r="AN28" s="103"/>
      <c r="AO28" s="104"/>
      <c r="AP28" s="88">
        <f>MAX(($Q$2-AM28)/$Q$2, 0)</f>
        <v>1</v>
      </c>
      <c r="AQ28" s="102"/>
      <c r="AS28" s="81" t="e">
        <f>(AM28-AM29)/AM29</f>
        <v>#DIV/0!</v>
      </c>
    </row>
    <row r="29" spans="1:45" ht="15" thickBot="1" x14ac:dyDescent="0.35">
      <c r="A29" s="105" t="s">
        <v>25</v>
      </c>
      <c r="B29" s="90" t="s">
        <v>17</v>
      </c>
      <c r="C29" s="91">
        <f>$O$2-F29</f>
        <v>21</v>
      </c>
      <c r="D29" s="60">
        <v>4</v>
      </c>
      <c r="E29" s="61">
        <v>675.74930528808898</v>
      </c>
      <c r="F29" s="62">
        <v>10</v>
      </c>
      <c r="G29" s="63">
        <v>1</v>
      </c>
      <c r="H29" s="94">
        <f>MAX(($Q$2-E29)/$Q$2,0)</f>
        <v>0.13807486570396815</v>
      </c>
      <c r="I29" s="61">
        <v>199698.59628162099</v>
      </c>
      <c r="K29" s="100"/>
      <c r="N29" s="90" t="s">
        <v>17</v>
      </c>
      <c r="O29" s="91">
        <f>$O$2-R29</f>
        <v>23</v>
      </c>
      <c r="P29" s="60">
        <v>4</v>
      </c>
      <c r="Q29" s="61">
        <v>721.50628254179003</v>
      </c>
      <c r="R29" s="62">
        <v>8</v>
      </c>
      <c r="S29" s="63">
        <v>1</v>
      </c>
      <c r="T29" s="94">
        <f>MAX(($Q$2-Q29)/$Q$2,0)</f>
        <v>7.9711374308941291E-2</v>
      </c>
      <c r="U29" s="61">
        <v>397.94799999999998</v>
      </c>
      <c r="V29" s="100"/>
      <c r="W29" s="100"/>
      <c r="Y29" s="90" t="s">
        <v>17</v>
      </c>
      <c r="Z29" s="91">
        <f>$O$2-AC29</f>
        <v>24</v>
      </c>
      <c r="AA29" s="60">
        <v>4</v>
      </c>
      <c r="AB29" s="61">
        <v>732.11283586827699</v>
      </c>
      <c r="AC29" s="62">
        <v>7</v>
      </c>
      <c r="AD29" s="63">
        <v>1</v>
      </c>
      <c r="AE29" s="94">
        <f>MAX(($Q$2-AB29)/$Q$2,0)</f>
        <v>6.6182607310871194E-2</v>
      </c>
      <c r="AF29" s="61"/>
      <c r="AG29" s="101"/>
      <c r="AH29" s="100"/>
      <c r="AJ29" s="90" t="s">
        <v>17</v>
      </c>
      <c r="AK29" s="91">
        <f>$O$2-AN29</f>
        <v>31</v>
      </c>
      <c r="AL29" s="60"/>
      <c r="AM29" s="61"/>
      <c r="AN29" s="62"/>
      <c r="AO29" s="63"/>
      <c r="AP29" s="94">
        <f>MAX(($Q$2-AM29)/$Q$2,0)</f>
        <v>1</v>
      </c>
      <c r="AQ29" s="61"/>
      <c r="AS29" s="100"/>
    </row>
    <row r="32" spans="1:45" ht="15" thickBot="1" x14ac:dyDescent="0.35">
      <c r="B32" s="12"/>
      <c r="C32" s="278" t="s">
        <v>26</v>
      </c>
      <c r="D32" s="278"/>
      <c r="E32" s="278"/>
      <c r="F32" s="278"/>
      <c r="G32" s="278"/>
      <c r="H32" s="278"/>
      <c r="I32" s="278"/>
      <c r="N32" s="12"/>
      <c r="O32" s="278" t="s">
        <v>27</v>
      </c>
      <c r="P32" s="278"/>
      <c r="Q32" s="278"/>
      <c r="R32" s="278"/>
      <c r="S32" s="278"/>
      <c r="T32" s="278"/>
      <c r="U32" s="278"/>
      <c r="V32" s="14"/>
      <c r="W32" s="14"/>
      <c r="Y32" s="12"/>
      <c r="Z32" s="278" t="s">
        <v>28</v>
      </c>
      <c r="AA32" s="278"/>
      <c r="AB32" s="278"/>
      <c r="AC32" s="278"/>
      <c r="AD32" s="278"/>
      <c r="AE32" s="278"/>
      <c r="AF32" s="278"/>
      <c r="AG32" s="15"/>
      <c r="AH32" s="15"/>
      <c r="AJ32" s="12"/>
      <c r="AK32" s="278" t="s">
        <v>29</v>
      </c>
      <c r="AL32" s="278"/>
      <c r="AM32" s="278"/>
      <c r="AN32" s="278"/>
      <c r="AO32" s="278"/>
      <c r="AP32" s="278"/>
      <c r="AQ32" s="278"/>
    </row>
    <row r="33" spans="1:45" ht="15" thickBot="1" x14ac:dyDescent="0.35">
      <c r="B33" s="74" t="s">
        <v>5</v>
      </c>
      <c r="C33" s="276" t="s">
        <v>6</v>
      </c>
      <c r="D33" s="279"/>
      <c r="E33" s="277"/>
      <c r="F33" s="276" t="s">
        <v>7</v>
      </c>
      <c r="G33" s="277"/>
      <c r="H33" s="276" t="s">
        <v>8</v>
      </c>
      <c r="I33" s="277"/>
      <c r="N33" s="74" t="s">
        <v>5</v>
      </c>
      <c r="O33" s="276" t="s">
        <v>6</v>
      </c>
      <c r="P33" s="279"/>
      <c r="Q33" s="277"/>
      <c r="R33" s="276" t="s">
        <v>7</v>
      </c>
      <c r="S33" s="277"/>
      <c r="T33" s="276" t="s">
        <v>8</v>
      </c>
      <c r="U33" s="277"/>
      <c r="V33" s="14"/>
      <c r="W33" s="14"/>
      <c r="Y33" s="74" t="s">
        <v>5</v>
      </c>
      <c r="Z33" s="276" t="s">
        <v>6</v>
      </c>
      <c r="AA33" s="279"/>
      <c r="AB33" s="277"/>
      <c r="AC33" s="276" t="s">
        <v>7</v>
      </c>
      <c r="AD33" s="277"/>
      <c r="AE33" s="276" t="s">
        <v>8</v>
      </c>
      <c r="AF33" s="277"/>
      <c r="AG33" s="15"/>
      <c r="AH33" s="15"/>
      <c r="AJ33" s="74" t="s">
        <v>5</v>
      </c>
      <c r="AK33" s="276" t="s">
        <v>6</v>
      </c>
      <c r="AL33" s="279"/>
      <c r="AM33" s="277"/>
      <c r="AN33" s="276" t="s">
        <v>7</v>
      </c>
      <c r="AO33" s="277"/>
      <c r="AP33" s="276" t="s">
        <v>8</v>
      </c>
      <c r="AQ33" s="277"/>
    </row>
    <row r="34" spans="1:45" ht="29.4" thickBot="1" x14ac:dyDescent="0.35">
      <c r="B34" s="17" t="s">
        <v>9</v>
      </c>
      <c r="C34" s="8" t="s">
        <v>10</v>
      </c>
      <c r="D34" s="9" t="s">
        <v>11</v>
      </c>
      <c r="E34" s="10" t="s">
        <v>12</v>
      </c>
      <c r="F34" s="8" t="s">
        <v>10</v>
      </c>
      <c r="G34" s="10" t="s">
        <v>11</v>
      </c>
      <c r="H34" s="8" t="s">
        <v>8</v>
      </c>
      <c r="I34" s="18" t="s">
        <v>13</v>
      </c>
      <c r="N34" s="17" t="s">
        <v>9</v>
      </c>
      <c r="O34" s="8" t="s">
        <v>10</v>
      </c>
      <c r="P34" s="9" t="s">
        <v>11</v>
      </c>
      <c r="Q34" s="10" t="s">
        <v>12</v>
      </c>
      <c r="R34" s="8" t="s">
        <v>10</v>
      </c>
      <c r="S34" s="10" t="s">
        <v>11</v>
      </c>
      <c r="T34" s="8" t="s">
        <v>8</v>
      </c>
      <c r="U34" s="18" t="s">
        <v>13</v>
      </c>
      <c r="V34" s="19"/>
      <c r="W34" s="19"/>
      <c r="Y34" s="17" t="s">
        <v>9</v>
      </c>
      <c r="Z34" s="8" t="s">
        <v>10</v>
      </c>
      <c r="AA34" s="9" t="s">
        <v>11</v>
      </c>
      <c r="AB34" s="10" t="s">
        <v>12</v>
      </c>
      <c r="AC34" s="8" t="s">
        <v>10</v>
      </c>
      <c r="AD34" s="10" t="s">
        <v>11</v>
      </c>
      <c r="AE34" s="8" t="s">
        <v>8</v>
      </c>
      <c r="AF34" s="18" t="s">
        <v>13</v>
      </c>
      <c r="AG34" s="20"/>
      <c r="AH34" s="20"/>
      <c r="AJ34" s="17" t="s">
        <v>9</v>
      </c>
      <c r="AK34" s="8" t="s">
        <v>10</v>
      </c>
      <c r="AL34" s="9" t="s">
        <v>11</v>
      </c>
      <c r="AM34" s="10" t="s">
        <v>12</v>
      </c>
      <c r="AN34" s="8" t="s">
        <v>10</v>
      </c>
      <c r="AO34" s="10" t="s">
        <v>11</v>
      </c>
      <c r="AP34" s="8" t="s">
        <v>8</v>
      </c>
      <c r="AQ34" s="18" t="s">
        <v>13</v>
      </c>
    </row>
    <row r="35" spans="1:45" x14ac:dyDescent="0.3">
      <c r="B35" s="75" t="s">
        <v>15</v>
      </c>
      <c r="C35" s="76">
        <f>AVERAGE(C40,C44,C48,C52,C56)</f>
        <v>16.8</v>
      </c>
      <c r="D35" s="77">
        <f t="shared" ref="D35:I37" si="4">AVERAGE(D40,D44,D48,D52,D56)</f>
        <v>3.2</v>
      </c>
      <c r="E35" s="78">
        <f t="shared" si="4"/>
        <v>671.42246911661437</v>
      </c>
      <c r="F35" s="76">
        <f>AVERAGE(F40,F44,F48,F52,F56)</f>
        <v>14.2</v>
      </c>
      <c r="G35" s="78">
        <f>AVERAGE(G40,G44,G48,G52,G56)</f>
        <v>1.8</v>
      </c>
      <c r="H35" s="76">
        <f>AVERAGE(H40,H44,H48,H52,H56)</f>
        <v>0.14359378939207343</v>
      </c>
      <c r="I35" s="78">
        <f>AVERAGE(I40,I44,I48,I52,I56)</f>
        <v>10.976059747999999</v>
      </c>
      <c r="K35" s="81">
        <f>AVERAGE(K44,K48,K52,K56)</f>
        <v>3.4985825096497655E-2</v>
      </c>
      <c r="N35" s="75" t="s">
        <v>15</v>
      </c>
      <c r="O35" s="76">
        <f>AVERAGE(O40,O44,O48,O52,O56)</f>
        <v>21.8</v>
      </c>
      <c r="P35" s="77">
        <f t="shared" ref="P35:U37" si="5">AVERAGE(P40,P44,P48,P52,P56)</f>
        <v>4</v>
      </c>
      <c r="Q35" s="78">
        <f t="shared" si="5"/>
        <v>740.73185627790201</v>
      </c>
      <c r="R35" s="76">
        <f>AVERAGE(R40,R44,R48,R52,R56)</f>
        <v>9.1999999999999993</v>
      </c>
      <c r="S35" s="78">
        <f>AVERAGE(S40,S44,S48,S52,S56)</f>
        <v>1</v>
      </c>
      <c r="T35" s="79">
        <f>AVERAGE(T40,T44,T48,T52,T56)</f>
        <v>5.5188958829206623E-2</v>
      </c>
      <c r="U35" s="80">
        <f>AVERAGE(U40,U44,U48,U52,U56)</f>
        <v>6.2894682191999998</v>
      </c>
      <c r="V35" s="82"/>
      <c r="W35" s="81">
        <f>AVERAGE(W40,W44,W48,W52,W56)</f>
        <v>1.542683149070082E-2</v>
      </c>
      <c r="Y35" s="75" t="s">
        <v>15</v>
      </c>
      <c r="Z35" s="76">
        <f>AVERAGE(Z40,Z44,Z48,Z52,Z56)</f>
        <v>22</v>
      </c>
      <c r="AA35" s="77">
        <f t="shared" ref="AA35:AF37" si="6">AVERAGE(AA40,AA44,AA48,AA52,AA56)</f>
        <v>3.8</v>
      </c>
      <c r="AB35" s="78">
        <f t="shared" si="6"/>
        <v>737.86907224521633</v>
      </c>
      <c r="AC35" s="76">
        <f>AVERAGE(AC40,AC44,AC48,AC52,AC56)</f>
        <v>9</v>
      </c>
      <c r="AD35" s="78">
        <f>AVERAGE(AD40,AD44,AD48,AD52,AD56)</f>
        <v>1</v>
      </c>
      <c r="AE35" s="79">
        <f>AVERAGE(AE40,AE44,AE48,AE52,AE56)</f>
        <v>5.884046907497912E-2</v>
      </c>
      <c r="AF35" s="80">
        <f>AVERAGE(AF40,AF44,AF48,AF52,AF56)</f>
        <v>9.0265304654000005</v>
      </c>
      <c r="AG35" s="83"/>
      <c r="AH35" s="81">
        <f>AVERAGE(AH40,AH48,AH52,AH56)</f>
        <v>6.0177934118646768E-2</v>
      </c>
      <c r="AJ35" s="75" t="s">
        <v>15</v>
      </c>
      <c r="AK35" s="76">
        <f>AVERAGE(AK40,AK44,AK48,AK52,AK56)</f>
        <v>31</v>
      </c>
      <c r="AL35" s="77" t="e">
        <f t="shared" ref="AL35:AQ37" si="7">AVERAGE(AL40,AL44,AL48,AL52,AL56)</f>
        <v>#DIV/0!</v>
      </c>
      <c r="AM35" s="78" t="e">
        <f t="shared" si="7"/>
        <v>#DIV/0!</v>
      </c>
      <c r="AN35" s="76" t="e">
        <f>AVERAGE(AN40,AN44,AN48,AN52,AN56)</f>
        <v>#DIV/0!</v>
      </c>
      <c r="AO35" s="78" t="e">
        <f>AVERAGE(AO40,AO44,AO48,AO52,AO56)</f>
        <v>#DIV/0!</v>
      </c>
      <c r="AP35" s="76">
        <f>AVERAGE(AP40,AP44,AP48,AP52,AP56)</f>
        <v>1</v>
      </c>
      <c r="AQ35" s="78" t="e">
        <f>AVERAGE(AQ40,AQ44,AQ48,AQ52,AQ56)</f>
        <v>#DIV/0!</v>
      </c>
      <c r="AS35" s="81" t="e">
        <f>AVERAGE(AS40,AS44,AS48,AS52,AS56)</f>
        <v>#DIV/0!</v>
      </c>
    </row>
    <row r="36" spans="1:45" x14ac:dyDescent="0.3">
      <c r="B36" s="84" t="s">
        <v>16</v>
      </c>
      <c r="C36" s="85">
        <f>AVERAGE(C41,C45,C49,C53,C57)</f>
        <v>18.8</v>
      </c>
      <c r="D36" s="86">
        <f t="shared" si="4"/>
        <v>3.8</v>
      </c>
      <c r="E36" s="87">
        <f t="shared" si="4"/>
        <v>651.99406072372312</v>
      </c>
      <c r="F36" s="85">
        <f t="shared" si="4"/>
        <v>12.2</v>
      </c>
      <c r="G36" s="87">
        <f t="shared" si="4"/>
        <v>1.2</v>
      </c>
      <c r="H36" s="85">
        <f t="shared" si="4"/>
        <v>0.16837492254627145</v>
      </c>
      <c r="I36" s="87">
        <f t="shared" si="4"/>
        <v>140.31433050560003</v>
      </c>
      <c r="K36" s="81">
        <f>AVERAGE(K45,K49,K53,K57)</f>
        <v>8.161684079542609E-4</v>
      </c>
      <c r="N36" s="84" t="s">
        <v>16</v>
      </c>
      <c r="O36" s="85">
        <f>AVERAGE(O41,O45,O49,O53,O57)</f>
        <v>21.6</v>
      </c>
      <c r="P36" s="86">
        <f t="shared" si="5"/>
        <v>4</v>
      </c>
      <c r="Q36" s="87">
        <f t="shared" si="5"/>
        <v>729.73127297208021</v>
      </c>
      <c r="R36" s="85">
        <f t="shared" si="5"/>
        <v>9.4</v>
      </c>
      <c r="S36" s="87">
        <f t="shared" si="5"/>
        <v>1</v>
      </c>
      <c r="T36" s="88">
        <f t="shared" si="5"/>
        <v>6.9220315086632428E-2</v>
      </c>
      <c r="U36" s="89">
        <f t="shared" si="5"/>
        <v>146.13850442580002</v>
      </c>
      <c r="V36" s="82"/>
      <c r="W36" s="81">
        <f>AVERAGE(W41,W45,W49,W53,W57)</f>
        <v>2.3732878466347125E-12</v>
      </c>
      <c r="Y36" s="84" t="s">
        <v>16</v>
      </c>
      <c r="Z36" s="85">
        <f>AVERAGE(Z41,Z45,Z49,Z53,Z57)</f>
        <v>22</v>
      </c>
      <c r="AA36" s="86">
        <f t="shared" si="6"/>
        <v>4</v>
      </c>
      <c r="AB36" s="87">
        <f t="shared" si="6"/>
        <v>696.96276327320697</v>
      </c>
      <c r="AC36" s="85">
        <f t="shared" si="6"/>
        <v>9</v>
      </c>
      <c r="AD36" s="87">
        <f t="shared" si="6"/>
        <v>1</v>
      </c>
      <c r="AE36" s="88">
        <f t="shared" si="6"/>
        <v>0.11101688358009314</v>
      </c>
      <c r="AF36" s="89">
        <f t="shared" si="6"/>
        <v>255.29255456480001</v>
      </c>
      <c r="AG36" s="83"/>
      <c r="AH36" s="81">
        <f>AVERAGE(AH41,AH49,AH53,AH57)</f>
        <v>3.9594290408184272E-3</v>
      </c>
      <c r="AJ36" s="84" t="s">
        <v>16</v>
      </c>
      <c r="AK36" s="85">
        <f>AVERAGE(AK41,AK45,AK49,AK53,AK57)</f>
        <v>31</v>
      </c>
      <c r="AL36" s="86" t="e">
        <f t="shared" si="7"/>
        <v>#DIV/0!</v>
      </c>
      <c r="AM36" s="87" t="e">
        <f t="shared" si="7"/>
        <v>#DIV/0!</v>
      </c>
      <c r="AN36" s="85" t="e">
        <f t="shared" si="7"/>
        <v>#DIV/0!</v>
      </c>
      <c r="AO36" s="87" t="e">
        <f t="shared" si="7"/>
        <v>#DIV/0!</v>
      </c>
      <c r="AP36" s="85">
        <f t="shared" si="7"/>
        <v>1</v>
      </c>
      <c r="AQ36" s="87" t="e">
        <f t="shared" si="7"/>
        <v>#DIV/0!</v>
      </c>
      <c r="AS36" s="81" t="e">
        <f>AVERAGE(AS41,AS45,AS49,AS53,AS57)</f>
        <v>#DIV/0!</v>
      </c>
    </row>
    <row r="37" spans="1:45" ht="15" thickBot="1" x14ac:dyDescent="0.35">
      <c r="B37" s="90" t="s">
        <v>17</v>
      </c>
      <c r="C37" s="91">
        <f>AVERAGE(C42,C46,C50,C54,C58)</f>
        <v>22</v>
      </c>
      <c r="D37" s="92">
        <f t="shared" si="4"/>
        <v>4</v>
      </c>
      <c r="E37" s="93">
        <f t="shared" si="4"/>
        <v>667.47996515752766</v>
      </c>
      <c r="F37" s="91">
        <f t="shared" si="4"/>
        <v>11.25</v>
      </c>
      <c r="G37" s="93">
        <f t="shared" si="4"/>
        <v>1</v>
      </c>
      <c r="H37" s="91">
        <f t="shared" si="4"/>
        <v>0.31889799473721658</v>
      </c>
      <c r="I37" s="95">
        <f t="shared" si="4"/>
        <v>218860.74704973772</v>
      </c>
      <c r="K37" s="82"/>
      <c r="N37" s="90" t="s">
        <v>17</v>
      </c>
      <c r="O37" s="91">
        <f>AVERAGE(O42,O46,O50,O54,O58)</f>
        <v>21.6</v>
      </c>
      <c r="P37" s="92">
        <f t="shared" si="5"/>
        <v>4</v>
      </c>
      <c r="Q37" s="93">
        <f t="shared" si="5"/>
        <v>729.7312729702802</v>
      </c>
      <c r="R37" s="91">
        <f t="shared" si="5"/>
        <v>9.4</v>
      </c>
      <c r="S37" s="93">
        <f t="shared" si="5"/>
        <v>1</v>
      </c>
      <c r="T37" s="94">
        <f t="shared" si="5"/>
        <v>6.9220315088928341E-2</v>
      </c>
      <c r="U37" s="95" t="e">
        <f t="shared" si="5"/>
        <v>#DIV/0!</v>
      </c>
      <c r="V37" s="82"/>
      <c r="W37" s="82"/>
      <c r="Y37" s="90" t="s">
        <v>17</v>
      </c>
      <c r="Z37" s="91">
        <f>AVERAGE(Z42,Z46,Z50,Z54,Z58)</f>
        <v>24.4</v>
      </c>
      <c r="AA37" s="92">
        <f t="shared" si="6"/>
        <v>4</v>
      </c>
      <c r="AB37" s="93">
        <f t="shared" si="6"/>
        <v>705.25423878150605</v>
      </c>
      <c r="AC37" s="91">
        <f t="shared" si="6"/>
        <v>8.25</v>
      </c>
      <c r="AD37" s="93">
        <f t="shared" si="6"/>
        <v>1</v>
      </c>
      <c r="AE37" s="94">
        <f t="shared" si="6"/>
        <v>0.28035281756989183</v>
      </c>
      <c r="AF37" s="95">
        <f t="shared" si="6"/>
        <v>33314.37323728</v>
      </c>
      <c r="AG37" s="83"/>
      <c r="AH37" s="82"/>
      <c r="AJ37" s="90" t="s">
        <v>17</v>
      </c>
      <c r="AK37" s="91">
        <f>AVERAGE(AK42,AK46,AK50,AK54,AK58)</f>
        <v>31</v>
      </c>
      <c r="AL37" s="92" t="e">
        <f t="shared" si="7"/>
        <v>#DIV/0!</v>
      </c>
      <c r="AM37" s="93" t="e">
        <f t="shared" si="7"/>
        <v>#DIV/0!</v>
      </c>
      <c r="AN37" s="91" t="e">
        <f t="shared" si="7"/>
        <v>#DIV/0!</v>
      </c>
      <c r="AO37" s="93" t="e">
        <f t="shared" si="7"/>
        <v>#DIV/0!</v>
      </c>
      <c r="AP37" s="91">
        <f t="shared" si="7"/>
        <v>1</v>
      </c>
      <c r="AQ37" s="95" t="e">
        <f t="shared" si="7"/>
        <v>#DIV/0!</v>
      </c>
      <c r="AS37" s="82"/>
    </row>
    <row r="38" spans="1:45" x14ac:dyDescent="0.3">
      <c r="K38" s="69"/>
      <c r="AH38" s="69"/>
      <c r="AS38" s="69"/>
    </row>
    <row r="39" spans="1:45" ht="15" thickBot="1" x14ac:dyDescent="0.35">
      <c r="K39" s="69"/>
      <c r="AH39" s="69"/>
      <c r="AS39" s="69"/>
    </row>
    <row r="40" spans="1:45" x14ac:dyDescent="0.3">
      <c r="B40" s="75" t="s">
        <v>15</v>
      </c>
      <c r="C40" s="76">
        <f>$O$2-F40</f>
        <v>15</v>
      </c>
      <c r="D40" s="96">
        <v>3</v>
      </c>
      <c r="E40" s="97">
        <v>593.93991540314698</v>
      </c>
      <c r="F40" s="98">
        <v>16</v>
      </c>
      <c r="G40" s="99">
        <v>2</v>
      </c>
      <c r="H40" s="79">
        <f>MAX(($Q$2-E40)/$Q$2, 0)</f>
        <v>0.24242357729190436</v>
      </c>
      <c r="I40" s="97">
        <v>15.822378823999999</v>
      </c>
      <c r="K40" s="81" t="e">
        <f>(E40-E42)/E42</f>
        <v>#DIV/0!</v>
      </c>
      <c r="N40" s="75" t="s">
        <v>15</v>
      </c>
      <c r="O40" s="76">
        <f>$O$2-R40</f>
        <v>21</v>
      </c>
      <c r="P40" s="96">
        <v>4</v>
      </c>
      <c r="Q40" s="97">
        <v>748.68448824024404</v>
      </c>
      <c r="R40" s="98">
        <v>10</v>
      </c>
      <c r="S40" s="99">
        <v>1</v>
      </c>
      <c r="T40" s="79">
        <f>MAX(($Q$2-Q40)/$Q$2, 0)</f>
        <v>4.5045295611933628E-2</v>
      </c>
      <c r="U40" s="97">
        <v>4.2325206700000004</v>
      </c>
      <c r="V40" s="100"/>
      <c r="W40" s="81">
        <f>(Q40-Q42)/Q42</f>
        <v>3.6456811507650573E-2</v>
      </c>
      <c r="Y40" s="75" t="s">
        <v>15</v>
      </c>
      <c r="Z40" s="76">
        <f>$O$2-AC40</f>
        <v>22</v>
      </c>
      <c r="AA40" s="96">
        <v>3</v>
      </c>
      <c r="AB40" s="97">
        <v>726.35980658728795</v>
      </c>
      <c r="AC40" s="98">
        <v>9</v>
      </c>
      <c r="AD40" s="99">
        <v>1</v>
      </c>
      <c r="AE40" s="79">
        <f>MAX(($Q$2-AB40)/$Q$2, 0)</f>
        <v>7.3520654863153123E-2</v>
      </c>
      <c r="AF40" s="97">
        <v>5.4986020199999999</v>
      </c>
      <c r="AG40" s="101"/>
      <c r="AH40" s="81">
        <f>(AB40-AB42)/AB42</f>
        <v>0.11147109072240272</v>
      </c>
      <c r="AJ40" s="75" t="s">
        <v>15</v>
      </c>
      <c r="AK40" s="76">
        <f>$O$2-AN40</f>
        <v>31</v>
      </c>
      <c r="AL40" s="96"/>
      <c r="AM40" s="97"/>
      <c r="AN40" s="98"/>
      <c r="AO40" s="99"/>
      <c r="AP40" s="79">
        <f>MAX(($Q$2-AM40)/$Q$2, 0)</f>
        <v>1</v>
      </c>
      <c r="AQ40" s="97"/>
      <c r="AS40" s="81" t="e">
        <f>(AM40-AM42)/AM42</f>
        <v>#DIV/0!</v>
      </c>
    </row>
    <row r="41" spans="1:45" x14ac:dyDescent="0.3">
      <c r="B41" s="84" t="s">
        <v>16</v>
      </c>
      <c r="C41" s="85">
        <f>$O$2-F41</f>
        <v>14</v>
      </c>
      <c r="D41" s="100">
        <v>3</v>
      </c>
      <c r="E41" s="102">
        <v>587.79155812808494</v>
      </c>
      <c r="F41" s="103">
        <v>17</v>
      </c>
      <c r="G41" s="104">
        <v>2</v>
      </c>
      <c r="H41" s="88">
        <f>MAX(($Q$2-E41)/$Q$2, 0)</f>
        <v>0.25026586973458553</v>
      </c>
      <c r="I41" s="102">
        <v>82.538603530000003</v>
      </c>
      <c r="J41" s="68">
        <v>102</v>
      </c>
      <c r="K41" s="81" t="e">
        <f>(E41-E42)/E42</f>
        <v>#DIV/0!</v>
      </c>
      <c r="N41" s="84" t="s">
        <v>16</v>
      </c>
      <c r="O41" s="85">
        <f>$O$2-R41</f>
        <v>20</v>
      </c>
      <c r="P41" s="100">
        <v>4</v>
      </c>
      <c r="Q41" s="102">
        <v>722.34991359764695</v>
      </c>
      <c r="R41" s="103">
        <v>11</v>
      </c>
      <c r="S41" s="104">
        <v>1</v>
      </c>
      <c r="T41" s="88">
        <f>MAX(($Q$2-Q41)/$Q$2, 0)</f>
        <v>7.8635314288715633E-2</v>
      </c>
      <c r="U41" s="102">
        <v>178.91172894900001</v>
      </c>
      <c r="V41" s="100">
        <v>116</v>
      </c>
      <c r="W41" s="81">
        <f>(Q41-Q42)/Q42</f>
        <v>0</v>
      </c>
      <c r="Y41" s="84" t="s">
        <v>16</v>
      </c>
      <c r="Z41" s="85">
        <f>$O$2-AC41</f>
        <v>22</v>
      </c>
      <c r="AA41" s="100">
        <v>4</v>
      </c>
      <c r="AB41" s="102">
        <v>663.86223914906498</v>
      </c>
      <c r="AC41" s="103">
        <v>9</v>
      </c>
      <c r="AD41" s="104">
        <v>1</v>
      </c>
      <c r="AE41" s="88">
        <f>MAX(($Q$2-AB41)/$Q$2, 0)</f>
        <v>0.15323693986088652</v>
      </c>
      <c r="AF41" s="102">
        <v>308.65808207700002</v>
      </c>
      <c r="AG41" s="101">
        <v>160</v>
      </c>
      <c r="AH41" s="81">
        <f>(AB41-AB42)/AB42</f>
        <v>1.5837716163273709E-2</v>
      </c>
      <c r="AJ41" s="84" t="s">
        <v>16</v>
      </c>
      <c r="AK41" s="85">
        <f>$O$2-AN41</f>
        <v>31</v>
      </c>
      <c r="AL41" s="100"/>
      <c r="AM41" s="102"/>
      <c r="AN41" s="103"/>
      <c r="AO41" s="104"/>
      <c r="AP41" s="88">
        <f>MAX(($Q$2-AM41)/$Q$2, 0)</f>
        <v>1</v>
      </c>
      <c r="AQ41" s="102"/>
      <c r="AS41" s="81" t="e">
        <f>(AM41-AM42)/AM42</f>
        <v>#DIV/0!</v>
      </c>
    </row>
    <row r="42" spans="1:45" ht="15" thickBot="1" x14ac:dyDescent="0.35">
      <c r="A42" s="105" t="s">
        <v>30</v>
      </c>
      <c r="B42" s="90" t="s">
        <v>17</v>
      </c>
      <c r="C42" s="91">
        <f>$O$2-F42</f>
        <v>31</v>
      </c>
      <c r="D42" s="60"/>
      <c r="E42" s="61"/>
      <c r="F42" s="62"/>
      <c r="G42" s="63"/>
      <c r="H42" s="94">
        <f>MAX(($Q$2-E42)/$Q$2,0)</f>
        <v>1</v>
      </c>
      <c r="I42" s="61"/>
      <c r="K42" s="81"/>
      <c r="N42" s="90" t="s">
        <v>17</v>
      </c>
      <c r="O42" s="91">
        <f>$O$2-R42</f>
        <v>20</v>
      </c>
      <c r="P42" s="60">
        <v>4</v>
      </c>
      <c r="Q42" s="61">
        <v>722.34991359764695</v>
      </c>
      <c r="R42" s="62">
        <v>11</v>
      </c>
      <c r="S42" s="63">
        <v>1</v>
      </c>
      <c r="T42" s="94">
        <f>MAX(($Q$2-Q42)/$Q$2,0)</f>
        <v>7.8635314288715633E-2</v>
      </c>
      <c r="U42" s="61"/>
      <c r="V42" s="100"/>
      <c r="W42" s="81"/>
      <c r="Y42" s="90" t="s">
        <v>17</v>
      </c>
      <c r="Z42" s="91">
        <f>$O$2-AC42</f>
        <v>24</v>
      </c>
      <c r="AA42" s="60">
        <v>4</v>
      </c>
      <c r="AB42" s="61">
        <v>653.51210000000003</v>
      </c>
      <c r="AC42" s="62">
        <v>7</v>
      </c>
      <c r="AD42" s="63">
        <v>1</v>
      </c>
      <c r="AE42" s="94">
        <f>MAX(($Q$2-AB42)/$Q$2,0)</f>
        <v>0.16643864795918364</v>
      </c>
      <c r="AF42" s="61"/>
      <c r="AG42" s="101"/>
      <c r="AH42" s="81"/>
      <c r="AJ42" s="90" t="s">
        <v>17</v>
      </c>
      <c r="AK42" s="91">
        <f>$O$2-AN42</f>
        <v>31</v>
      </c>
      <c r="AL42" s="60"/>
      <c r="AM42" s="61"/>
      <c r="AN42" s="62"/>
      <c r="AO42" s="63"/>
      <c r="AP42" s="94">
        <f>MAX(($Q$2-AM42)/$Q$2,0)</f>
        <v>1</v>
      </c>
      <c r="AQ42" s="61"/>
      <c r="AS42" s="81"/>
    </row>
    <row r="43" spans="1:45" ht="15" thickBot="1" x14ac:dyDescent="0.35">
      <c r="C43" s="68"/>
      <c r="D43" s="68"/>
      <c r="E43" s="68"/>
      <c r="F43" s="68"/>
      <c r="G43" s="68"/>
      <c r="H43" s="68"/>
      <c r="I43" s="68"/>
      <c r="K43" s="106"/>
      <c r="O43" s="68"/>
      <c r="P43" s="68"/>
      <c r="Q43" s="68"/>
      <c r="R43" s="68"/>
      <c r="S43" s="68"/>
      <c r="T43" s="68"/>
      <c r="U43" s="68"/>
      <c r="V43" s="106"/>
      <c r="W43" s="106"/>
      <c r="Z43" s="68"/>
      <c r="AA43" s="68"/>
      <c r="AB43" s="68"/>
      <c r="AC43" s="68"/>
      <c r="AD43" s="68"/>
      <c r="AE43" s="68"/>
      <c r="AF43" s="68"/>
      <c r="AG43" s="107"/>
      <c r="AH43" s="106"/>
      <c r="AK43" s="68"/>
      <c r="AL43" s="68"/>
      <c r="AM43" s="68"/>
      <c r="AN43" s="68"/>
      <c r="AO43" s="68"/>
      <c r="AP43" s="68"/>
      <c r="AQ43" s="68"/>
      <c r="AS43" s="106"/>
    </row>
    <row r="44" spans="1:45" x14ac:dyDescent="0.3">
      <c r="B44" s="75" t="s">
        <v>15</v>
      </c>
      <c r="C44" s="76">
        <f>$O$2-F44</f>
        <v>21</v>
      </c>
      <c r="D44" s="96">
        <v>4</v>
      </c>
      <c r="E44" s="97">
        <v>701.45691872722205</v>
      </c>
      <c r="F44" s="98">
        <v>10</v>
      </c>
      <c r="G44" s="99">
        <v>1</v>
      </c>
      <c r="H44" s="79">
        <f>MAX(($Q$2-E44)/$Q$2, 0)</f>
        <v>0.1052845424397678</v>
      </c>
      <c r="I44" s="97">
        <v>3.931648891</v>
      </c>
      <c r="K44" s="81">
        <f>(E44-E46)/E46</f>
        <v>1.3786911652753519E-2</v>
      </c>
      <c r="N44" s="75" t="s">
        <v>15</v>
      </c>
      <c r="O44" s="76">
        <f>$O$2-R44</f>
        <v>24</v>
      </c>
      <c r="P44" s="96">
        <v>4</v>
      </c>
      <c r="Q44" s="97">
        <v>760.91467374155104</v>
      </c>
      <c r="R44" s="98">
        <v>7</v>
      </c>
      <c r="S44" s="99">
        <v>1</v>
      </c>
      <c r="T44" s="79">
        <f>MAX(($Q$2-Q44)/$Q$2, 0)</f>
        <v>2.9445569207205303E-2</v>
      </c>
      <c r="U44" s="97">
        <v>7.640188137</v>
      </c>
      <c r="V44" s="100"/>
      <c r="W44" s="81">
        <f>(Q44-Q46)/Q46</f>
        <v>3.2587965597675171E-3</v>
      </c>
      <c r="Y44" s="75" t="s">
        <v>15</v>
      </c>
      <c r="Z44" s="76">
        <f>$O$2-AC44</f>
        <v>20</v>
      </c>
      <c r="AA44" s="96">
        <v>4</v>
      </c>
      <c r="AB44" s="97">
        <v>707.56791463612899</v>
      </c>
      <c r="AC44" s="98">
        <v>11</v>
      </c>
      <c r="AD44" s="99">
        <v>1</v>
      </c>
      <c r="AE44" s="79">
        <f>MAX(($Q$2-AB44)/$Q$2, 0)</f>
        <v>9.7489904800855884E-2</v>
      </c>
      <c r="AF44" s="97">
        <v>9.4195076499999999</v>
      </c>
      <c r="AG44" s="101"/>
      <c r="AH44" s="81" t="e">
        <f>(AB44-AB46)/AB46</f>
        <v>#DIV/0!</v>
      </c>
      <c r="AJ44" s="75" t="s">
        <v>15</v>
      </c>
      <c r="AK44" s="76">
        <f>$O$2-AN44</f>
        <v>31</v>
      </c>
      <c r="AL44" s="96"/>
      <c r="AM44" s="97"/>
      <c r="AN44" s="98"/>
      <c r="AO44" s="99"/>
      <c r="AP44" s="79">
        <f>MAX(($Q$2-AM44)/$Q$2, 0)</f>
        <v>1</v>
      </c>
      <c r="AQ44" s="97"/>
      <c r="AS44" s="81" t="e">
        <f>(AM44-AM46)/AM46</f>
        <v>#DIV/0!</v>
      </c>
    </row>
    <row r="45" spans="1:45" x14ac:dyDescent="0.3">
      <c r="B45" s="84" t="s">
        <v>16</v>
      </c>
      <c r="C45" s="85">
        <f>$O$2-F45</f>
        <v>22</v>
      </c>
      <c r="D45" s="100">
        <v>4</v>
      </c>
      <c r="E45" s="102">
        <v>694.17639796349704</v>
      </c>
      <c r="F45" s="103">
        <v>9</v>
      </c>
      <c r="G45" s="104">
        <v>1</v>
      </c>
      <c r="H45" s="88">
        <f>MAX(($Q$2-E45)/$Q$2, 0)</f>
        <v>0.11457092096492724</v>
      </c>
      <c r="I45" s="102">
        <v>127.961881401</v>
      </c>
      <c r="J45" s="68">
        <v>129</v>
      </c>
      <c r="K45" s="81">
        <f>(E45-E46)/E46</f>
        <v>3.2646736318170436E-3</v>
      </c>
      <c r="N45" s="84" t="s">
        <v>16</v>
      </c>
      <c r="O45" s="85">
        <f>$O$2-R45</f>
        <v>24</v>
      </c>
      <c r="P45" s="100">
        <v>4</v>
      </c>
      <c r="Q45" s="102">
        <v>758.44306210900004</v>
      </c>
      <c r="R45" s="103">
        <v>7</v>
      </c>
      <c r="S45" s="104">
        <v>1</v>
      </c>
      <c r="T45" s="88">
        <f>MAX(($Q$2-Q45)/$Q$2, 0)</f>
        <v>3.2598135065050972E-2</v>
      </c>
      <c r="U45" s="102">
        <v>205.947803083</v>
      </c>
      <c r="V45" s="100">
        <v>150</v>
      </c>
      <c r="W45" s="81">
        <f>(Q45-Q46)/Q46</f>
        <v>1.1866439233173563E-11</v>
      </c>
      <c r="Y45" s="84" t="s">
        <v>16</v>
      </c>
      <c r="Z45" s="85">
        <f>$O$2-AC45</f>
        <v>21</v>
      </c>
      <c r="AA45" s="100">
        <v>4</v>
      </c>
      <c r="AB45" s="102">
        <v>653.44672209094597</v>
      </c>
      <c r="AC45" s="103">
        <v>10</v>
      </c>
      <c r="AD45" s="104">
        <v>1</v>
      </c>
      <c r="AE45" s="88">
        <f>MAX(($Q$2-AB45)/$Q$2, 0)</f>
        <v>0.16652203814930361</v>
      </c>
      <c r="AF45" s="102">
        <v>329.00416901599999</v>
      </c>
      <c r="AG45" s="101">
        <v>186</v>
      </c>
      <c r="AH45" s="81" t="e">
        <f>(AB45-AB46)/AB46</f>
        <v>#DIV/0!</v>
      </c>
      <c r="AJ45" s="84" t="s">
        <v>16</v>
      </c>
      <c r="AK45" s="85">
        <f>$O$2-AN45</f>
        <v>31</v>
      </c>
      <c r="AL45" s="100"/>
      <c r="AM45" s="102"/>
      <c r="AN45" s="103"/>
      <c r="AO45" s="104"/>
      <c r="AP45" s="88">
        <f>MAX(($Q$2-AM45)/$Q$2, 0)</f>
        <v>1</v>
      </c>
      <c r="AQ45" s="102"/>
      <c r="AS45" s="81" t="e">
        <f>(AM45-AM46)/AM46</f>
        <v>#DIV/0!</v>
      </c>
    </row>
    <row r="46" spans="1:45" ht="15" thickBot="1" x14ac:dyDescent="0.35">
      <c r="A46" s="105" t="s">
        <v>19</v>
      </c>
      <c r="B46" s="90" t="s">
        <v>17</v>
      </c>
      <c r="C46" s="91">
        <f>$O$2-F46</f>
        <v>21</v>
      </c>
      <c r="D46" s="60">
        <v>4</v>
      </c>
      <c r="E46" s="61">
        <v>691.917513103077</v>
      </c>
      <c r="F46" s="62">
        <v>10</v>
      </c>
      <c r="G46" s="63">
        <v>1</v>
      </c>
      <c r="H46" s="94">
        <f>MAX(($Q$2-E46)/$Q$2,0)</f>
        <v>0.11745215165423852</v>
      </c>
      <c r="I46" s="61">
        <v>186229.890049307</v>
      </c>
      <c r="K46" s="100"/>
      <c r="N46" s="90" t="s">
        <v>17</v>
      </c>
      <c r="O46" s="91">
        <f>$O$2-R46</f>
        <v>24</v>
      </c>
      <c r="P46" s="60">
        <v>4</v>
      </c>
      <c r="Q46" s="61">
        <v>758.44306210000002</v>
      </c>
      <c r="R46" s="62">
        <v>7</v>
      </c>
      <c r="S46" s="63">
        <v>1</v>
      </c>
      <c r="T46" s="94">
        <f>MAX(($Q$2-Q46)/$Q$2,0)</f>
        <v>3.2598135076530588E-2</v>
      </c>
      <c r="U46" s="61"/>
      <c r="V46" s="100"/>
      <c r="W46" s="100"/>
      <c r="Y46" s="90" t="s">
        <v>17</v>
      </c>
      <c r="Z46" s="91">
        <f>$O$2-AC46</f>
        <v>31</v>
      </c>
      <c r="AA46" s="60"/>
      <c r="AB46" s="61"/>
      <c r="AC46" s="62"/>
      <c r="AD46" s="63"/>
      <c r="AE46" s="94">
        <f>MAX(($Q$2-AB46)/$Q$2,0)</f>
        <v>1</v>
      </c>
      <c r="AF46" s="61"/>
      <c r="AG46" s="101"/>
      <c r="AH46" s="100"/>
      <c r="AJ46" s="90" t="s">
        <v>17</v>
      </c>
      <c r="AK46" s="91">
        <f>$O$2-AN46</f>
        <v>31</v>
      </c>
      <c r="AL46" s="60"/>
      <c r="AM46" s="61"/>
      <c r="AN46" s="62"/>
      <c r="AO46" s="63"/>
      <c r="AP46" s="94">
        <f>MAX(($Q$2-AM46)/$Q$2,0)</f>
        <v>1</v>
      </c>
      <c r="AQ46" s="61"/>
      <c r="AS46" s="100"/>
    </row>
    <row r="47" spans="1:45" ht="15" thickBot="1" x14ac:dyDescent="0.35">
      <c r="C47" s="68"/>
      <c r="D47" s="68"/>
      <c r="E47" s="68"/>
      <c r="F47" s="68"/>
      <c r="G47" s="68"/>
      <c r="H47" s="68"/>
      <c r="I47" s="68"/>
      <c r="K47" s="106"/>
      <c r="O47" s="68"/>
      <c r="P47" s="68"/>
      <c r="Q47" s="68"/>
      <c r="R47" s="68"/>
      <c r="S47" s="68"/>
      <c r="T47" s="68"/>
      <c r="U47" s="68"/>
      <c r="V47" s="106"/>
      <c r="W47" s="106"/>
      <c r="Z47" s="68"/>
      <c r="AA47" s="68"/>
      <c r="AB47" s="68"/>
      <c r="AC47" s="68"/>
      <c r="AD47" s="68"/>
      <c r="AE47" s="68"/>
      <c r="AF47" s="68"/>
      <c r="AG47" s="107"/>
      <c r="AH47" s="106"/>
      <c r="AK47" s="68"/>
      <c r="AL47" s="68"/>
      <c r="AM47" s="68"/>
      <c r="AN47" s="68"/>
      <c r="AO47" s="68"/>
      <c r="AP47" s="68"/>
      <c r="AQ47" s="68"/>
      <c r="AS47" s="106"/>
    </row>
    <row r="48" spans="1:45" x14ac:dyDescent="0.3">
      <c r="B48" s="75" t="s">
        <v>15</v>
      </c>
      <c r="C48" s="76">
        <f>$O$2-F48</f>
        <v>16</v>
      </c>
      <c r="D48" s="96">
        <v>3</v>
      </c>
      <c r="E48" s="97">
        <v>717.51828024680503</v>
      </c>
      <c r="F48" s="98">
        <v>15</v>
      </c>
      <c r="G48" s="99">
        <v>2</v>
      </c>
      <c r="H48" s="79">
        <f>MAX(($Q$2-E48)/$Q$2, 0)</f>
        <v>8.4798111930095621E-2</v>
      </c>
      <c r="I48" s="97">
        <v>17.744002870999999</v>
      </c>
      <c r="K48" s="81">
        <f>(E48-E50)/E50</f>
        <v>7.0644016126444428E-2</v>
      </c>
      <c r="N48" s="75" t="s">
        <v>15</v>
      </c>
      <c r="O48" s="76">
        <f>$O$2-R48</f>
        <v>22</v>
      </c>
      <c r="P48" s="96">
        <v>4</v>
      </c>
      <c r="Q48" s="97">
        <v>702.96337137702903</v>
      </c>
      <c r="R48" s="98">
        <v>9</v>
      </c>
      <c r="S48" s="99">
        <v>1</v>
      </c>
      <c r="T48" s="79">
        <f>MAX(($Q$2-Q48)/$Q$2, 0)</f>
        <v>0.10336304671297317</v>
      </c>
      <c r="U48" s="97">
        <v>10.603216786000001</v>
      </c>
      <c r="V48" s="100"/>
      <c r="W48" s="81">
        <f>(Q48-Q50)/Q50</f>
        <v>1.4679157115395318E-2</v>
      </c>
      <c r="Y48" s="75" t="s">
        <v>15</v>
      </c>
      <c r="Z48" s="76">
        <f>$O$2-AC48</f>
        <v>24</v>
      </c>
      <c r="AA48" s="96">
        <v>4</v>
      </c>
      <c r="AB48" s="97">
        <v>766.78282543524494</v>
      </c>
      <c r="AC48" s="98">
        <v>7</v>
      </c>
      <c r="AD48" s="99">
        <v>1</v>
      </c>
      <c r="AE48" s="79">
        <f>MAX(($Q$2-AB48)/$Q$2, 0)</f>
        <v>2.1960681842799815E-2</v>
      </c>
      <c r="AF48" s="97">
        <v>9.3621904659999995</v>
      </c>
      <c r="AG48" s="101"/>
      <c r="AH48" s="81">
        <f>(AB48-AB50)/AB50</f>
        <v>1.446521748028824E-2</v>
      </c>
      <c r="AJ48" s="75" t="s">
        <v>15</v>
      </c>
      <c r="AK48" s="76">
        <f>$O$2-AN48</f>
        <v>31</v>
      </c>
      <c r="AL48" s="96"/>
      <c r="AM48" s="97"/>
      <c r="AN48" s="98"/>
      <c r="AO48" s="99"/>
      <c r="AP48" s="79">
        <f>MAX(($Q$2-AM48)/$Q$2, 0)</f>
        <v>1</v>
      </c>
      <c r="AQ48" s="97"/>
      <c r="AS48" s="81" t="e">
        <f>(AM48-AM50)/AM50</f>
        <v>#DIV/0!</v>
      </c>
    </row>
    <row r="49" spans="1:45" x14ac:dyDescent="0.3">
      <c r="B49" s="84" t="s">
        <v>16</v>
      </c>
      <c r="C49" s="85">
        <f>$O$2-F49</f>
        <v>19</v>
      </c>
      <c r="D49" s="100">
        <v>4</v>
      </c>
      <c r="E49" s="102">
        <v>670.17446456457401</v>
      </c>
      <c r="F49" s="103">
        <v>12</v>
      </c>
      <c r="G49" s="104">
        <v>1</v>
      </c>
      <c r="H49" s="88">
        <f>MAX(($Q$2-E49)/$Q$2, 0)</f>
        <v>0.14518563193294132</v>
      </c>
      <c r="I49" s="102">
        <v>149.51297988300001</v>
      </c>
      <c r="J49" s="68">
        <v>158</v>
      </c>
      <c r="K49" s="81">
        <f>(E49-E50)/E50</f>
        <v>0</v>
      </c>
      <c r="N49" s="84" t="s">
        <v>16</v>
      </c>
      <c r="O49" s="85">
        <f>$O$2-R49</f>
        <v>22</v>
      </c>
      <c r="P49" s="100">
        <v>4</v>
      </c>
      <c r="Q49" s="102">
        <v>692.79374317243798</v>
      </c>
      <c r="R49" s="103">
        <v>9</v>
      </c>
      <c r="S49" s="104">
        <v>1</v>
      </c>
      <c r="T49" s="88">
        <f>MAX(($Q$2-Q49)/$Q$2, 0)</f>
        <v>0.11633451125964543</v>
      </c>
      <c r="U49" s="102">
        <v>110.666567708</v>
      </c>
      <c r="V49" s="100">
        <v>112</v>
      </c>
      <c r="W49" s="81">
        <f>(Q49-Q50)/Q50</f>
        <v>0</v>
      </c>
      <c r="Y49" s="84" t="s">
        <v>16</v>
      </c>
      <c r="Z49" s="85">
        <f>$O$2-AC49</f>
        <v>23</v>
      </c>
      <c r="AA49" s="100">
        <v>4</v>
      </c>
      <c r="AB49" s="102">
        <v>755.84930091518299</v>
      </c>
      <c r="AC49" s="103">
        <v>8</v>
      </c>
      <c r="AD49" s="104">
        <v>1</v>
      </c>
      <c r="AE49" s="88">
        <f>MAX(($Q$2-AB49)/$Q$2, 0)</f>
        <v>3.5906503934715568E-2</v>
      </c>
      <c r="AF49" s="102">
        <v>214.08330223799999</v>
      </c>
      <c r="AG49" s="101">
        <v>111</v>
      </c>
      <c r="AH49" s="81">
        <f>(AB49-AB50)/AB50</f>
        <v>0</v>
      </c>
      <c r="AJ49" s="84" t="s">
        <v>16</v>
      </c>
      <c r="AK49" s="85">
        <f>$O$2-AN49</f>
        <v>31</v>
      </c>
      <c r="AL49" s="100"/>
      <c r="AM49" s="102"/>
      <c r="AN49" s="103"/>
      <c r="AO49" s="104"/>
      <c r="AP49" s="88">
        <f>MAX(($Q$2-AM49)/$Q$2, 0)</f>
        <v>1</v>
      </c>
      <c r="AQ49" s="102"/>
      <c r="AS49" s="81" t="e">
        <f>(AM49-AM50)/AM50</f>
        <v>#DIV/0!</v>
      </c>
    </row>
    <row r="50" spans="1:45" ht="15" thickBot="1" x14ac:dyDescent="0.35">
      <c r="A50" s="105" t="s">
        <v>31</v>
      </c>
      <c r="B50" s="90" t="s">
        <v>17</v>
      </c>
      <c r="C50" s="91">
        <f>$O$2-F50</f>
        <v>19</v>
      </c>
      <c r="D50" s="60">
        <v>4</v>
      </c>
      <c r="E50" s="61">
        <v>670.17446456457401</v>
      </c>
      <c r="F50" s="62">
        <v>12</v>
      </c>
      <c r="G50" s="63">
        <v>1</v>
      </c>
      <c r="H50" s="94">
        <f>MAX(($Q$2-E50)/$Q$2,0)</f>
        <v>0.14518563193294132</v>
      </c>
      <c r="I50" s="61">
        <v>303750.92657735798</v>
      </c>
      <c r="K50" s="100"/>
      <c r="N50" s="90" t="s">
        <v>17</v>
      </c>
      <c r="O50" s="91">
        <f>$O$2-R50</f>
        <v>22</v>
      </c>
      <c r="P50" s="60">
        <v>4</v>
      </c>
      <c r="Q50" s="61">
        <v>692.79374317243798</v>
      </c>
      <c r="R50" s="62">
        <v>9</v>
      </c>
      <c r="S50" s="63">
        <v>1</v>
      </c>
      <c r="T50" s="94">
        <f>MAX(($Q$2-Q50)/$Q$2,0)</f>
        <v>0.11633451125964543</v>
      </c>
      <c r="U50" s="61"/>
      <c r="V50" s="100"/>
      <c r="W50" s="100"/>
      <c r="Y50" s="90" t="s">
        <v>17</v>
      </c>
      <c r="Z50" s="91">
        <f>$O$2-AC50</f>
        <v>23</v>
      </c>
      <c r="AA50" s="60">
        <v>4</v>
      </c>
      <c r="AB50" s="61">
        <v>755.84930091518299</v>
      </c>
      <c r="AC50" s="62">
        <v>8</v>
      </c>
      <c r="AD50" s="63">
        <v>1</v>
      </c>
      <c r="AE50" s="94">
        <f>MAX(($Q$2-AB50)/$Q$2,0)</f>
        <v>3.5906503934715568E-2</v>
      </c>
      <c r="AF50" s="61">
        <v>62545.604321266001</v>
      </c>
      <c r="AG50" s="101"/>
      <c r="AH50" s="100"/>
      <c r="AJ50" s="90" t="s">
        <v>17</v>
      </c>
      <c r="AK50" s="91">
        <f>$O$2-AN50</f>
        <v>31</v>
      </c>
      <c r="AL50" s="60"/>
      <c r="AM50" s="61"/>
      <c r="AN50" s="62"/>
      <c r="AO50" s="63"/>
      <c r="AP50" s="94">
        <f>MAX(($Q$2-AM50)/$Q$2,0)</f>
        <v>1</v>
      </c>
      <c r="AQ50" s="61"/>
      <c r="AS50" s="100"/>
    </row>
    <row r="51" spans="1:45" ht="15" thickBot="1" x14ac:dyDescent="0.35">
      <c r="C51" s="68"/>
      <c r="D51" s="68"/>
      <c r="E51" s="68"/>
      <c r="F51" s="68"/>
      <c r="G51" s="68"/>
      <c r="H51" s="68"/>
      <c r="I51" s="68"/>
      <c r="K51" s="106"/>
      <c r="O51" s="68"/>
      <c r="P51" s="68"/>
      <c r="Q51" s="68"/>
      <c r="R51" s="68"/>
      <c r="S51" s="68"/>
      <c r="T51" s="68"/>
      <c r="U51" s="68"/>
      <c r="V51" s="106"/>
      <c r="W51" s="106"/>
      <c r="Z51" s="68"/>
      <c r="AA51" s="68"/>
      <c r="AB51" s="68"/>
      <c r="AC51" s="68"/>
      <c r="AD51" s="68"/>
      <c r="AE51" s="68"/>
      <c r="AF51" s="68"/>
      <c r="AG51" s="107"/>
      <c r="AH51" s="106"/>
      <c r="AK51" s="68"/>
      <c r="AL51" s="68"/>
      <c r="AM51" s="68"/>
      <c r="AN51" s="68"/>
      <c r="AO51" s="68"/>
      <c r="AP51" s="68"/>
      <c r="AQ51" s="68"/>
      <c r="AS51" s="106"/>
    </row>
    <row r="52" spans="1:45" x14ac:dyDescent="0.3">
      <c r="B52" s="75" t="s">
        <v>15</v>
      </c>
      <c r="C52" s="76">
        <f>$O$2-F52</f>
        <v>17</v>
      </c>
      <c r="D52" s="96">
        <v>3</v>
      </c>
      <c r="E52" s="97">
        <v>681.88631062680997</v>
      </c>
      <c r="F52" s="98">
        <v>14</v>
      </c>
      <c r="G52" s="99">
        <v>2</v>
      </c>
      <c r="H52" s="79">
        <f>MAX(($Q$2-E52)/$Q$2, 0)</f>
        <v>0.13024705277192605</v>
      </c>
      <c r="I52" s="97">
        <v>14.060991512999999</v>
      </c>
      <c r="K52" s="81">
        <f>(E52-E54)/E54</f>
        <v>3.391384907986851E-2</v>
      </c>
      <c r="N52" s="75" t="s">
        <v>15</v>
      </c>
      <c r="O52" s="76">
        <f>$O$2-R52</f>
        <v>19</v>
      </c>
      <c r="P52" s="96">
        <v>4</v>
      </c>
      <c r="Q52" s="97">
        <v>716.57787603068596</v>
      </c>
      <c r="R52" s="98">
        <v>12</v>
      </c>
      <c r="S52" s="99">
        <v>1</v>
      </c>
      <c r="T52" s="79">
        <f>MAX(($Q$2-Q52)/$Q$2, 0)</f>
        <v>8.5997607103716886E-2</v>
      </c>
      <c r="U52" s="97">
        <v>2.102323052</v>
      </c>
      <c r="V52" s="100"/>
      <c r="W52" s="81">
        <f>(Q52-Q54)/Q54</f>
        <v>2.1660277026076102E-2</v>
      </c>
      <c r="Y52" s="75" t="s">
        <v>15</v>
      </c>
      <c r="Z52" s="76">
        <f>$O$2-AC52</f>
        <v>20</v>
      </c>
      <c r="AA52" s="96">
        <v>4</v>
      </c>
      <c r="AB52" s="97">
        <v>728.31652451213097</v>
      </c>
      <c r="AC52" s="98">
        <v>11</v>
      </c>
      <c r="AD52" s="99">
        <v>1</v>
      </c>
      <c r="AE52" s="79">
        <f>MAX(($Q$2-AB52)/$Q$2, 0)</f>
        <v>7.1024841183506424E-2</v>
      </c>
      <c r="AF52" s="97">
        <v>7.7381012250000003</v>
      </c>
      <c r="AG52" s="101"/>
      <c r="AH52" s="81">
        <f>(AB52-AB54)/AB54</f>
        <v>0.10216820394309342</v>
      </c>
      <c r="AJ52" s="75" t="s">
        <v>15</v>
      </c>
      <c r="AK52" s="76">
        <f>$O$2-AN52</f>
        <v>31</v>
      </c>
      <c r="AL52" s="96"/>
      <c r="AM52" s="97"/>
      <c r="AN52" s="98"/>
      <c r="AO52" s="99"/>
      <c r="AP52" s="79">
        <f>MAX(($Q$2-AM52)/$Q$2, 0)</f>
        <v>1</v>
      </c>
      <c r="AQ52" s="97"/>
      <c r="AS52" s="81" t="e">
        <f>(AM52-AM54)/AM54</f>
        <v>#DIV/0!</v>
      </c>
    </row>
    <row r="53" spans="1:45" x14ac:dyDescent="0.3">
      <c r="B53" s="84" t="s">
        <v>16</v>
      </c>
      <c r="C53" s="85">
        <f>$O$2-F53</f>
        <v>20</v>
      </c>
      <c r="D53" s="100">
        <v>4</v>
      </c>
      <c r="E53" s="102">
        <v>659.51946695912295</v>
      </c>
      <c r="F53" s="103">
        <v>11</v>
      </c>
      <c r="G53" s="104">
        <v>1</v>
      </c>
      <c r="H53" s="88">
        <f>MAX(($Q$2-E53)/$Q$2, 0)</f>
        <v>0.15877619010315949</v>
      </c>
      <c r="I53" s="102">
        <v>171.040824391</v>
      </c>
      <c r="J53" s="68">
        <v>172</v>
      </c>
      <c r="K53" s="81">
        <f>(E53-E54)/E54</f>
        <v>0</v>
      </c>
      <c r="N53" s="84" t="s">
        <v>16</v>
      </c>
      <c r="O53" s="85">
        <f>$O$2-R53</f>
        <v>19</v>
      </c>
      <c r="P53" s="100">
        <v>4</v>
      </c>
      <c r="Q53" s="102">
        <v>701.38566815630099</v>
      </c>
      <c r="R53" s="103">
        <v>12</v>
      </c>
      <c r="S53" s="104">
        <v>1</v>
      </c>
      <c r="T53" s="88">
        <f>MAX(($Q$2-Q53)/$Q$2, 0)</f>
        <v>0.10537542327002425</v>
      </c>
      <c r="U53" s="102">
        <v>109.98240897700001</v>
      </c>
      <c r="V53" s="100">
        <v>109</v>
      </c>
      <c r="W53" s="81">
        <f>(Q53-Q54)/Q54</f>
        <v>0</v>
      </c>
      <c r="Y53" s="84" t="s">
        <v>16</v>
      </c>
      <c r="Z53" s="85">
        <f>$O$2-AC53</f>
        <v>21</v>
      </c>
      <c r="AA53" s="100">
        <v>4</v>
      </c>
      <c r="AB53" s="102">
        <v>660.80342538146294</v>
      </c>
      <c r="AC53" s="103">
        <v>10</v>
      </c>
      <c r="AD53" s="104">
        <v>1</v>
      </c>
      <c r="AE53" s="88">
        <f>MAX(($Q$2-AB53)/$Q$2, 0)</f>
        <v>0.15713848803384828</v>
      </c>
      <c r="AF53" s="102">
        <v>255.870997668</v>
      </c>
      <c r="AG53" s="101">
        <v>253</v>
      </c>
      <c r="AH53" s="81">
        <f>(AB53-AB54)/AB54</f>
        <v>0</v>
      </c>
      <c r="AJ53" s="84" t="s">
        <v>16</v>
      </c>
      <c r="AK53" s="85">
        <f>$O$2-AN53</f>
        <v>31</v>
      </c>
      <c r="AL53" s="100"/>
      <c r="AM53" s="102"/>
      <c r="AN53" s="103"/>
      <c r="AO53" s="104"/>
      <c r="AP53" s="88">
        <f>MAX(($Q$2-AM53)/$Q$2, 0)</f>
        <v>1</v>
      </c>
      <c r="AQ53" s="102"/>
      <c r="AS53" s="81" t="e">
        <f>(AM53-AM54)/AM54</f>
        <v>#DIV/0!</v>
      </c>
    </row>
    <row r="54" spans="1:45" ht="15" thickBot="1" x14ac:dyDescent="0.35">
      <c r="A54" s="105" t="s">
        <v>32</v>
      </c>
      <c r="B54" s="90" t="s">
        <v>17</v>
      </c>
      <c r="C54" s="91">
        <f>$O$2-F54</f>
        <v>20</v>
      </c>
      <c r="D54" s="60">
        <v>4</v>
      </c>
      <c r="E54" s="61">
        <v>659.51946695912295</v>
      </c>
      <c r="F54" s="62">
        <v>11</v>
      </c>
      <c r="G54" s="63">
        <v>1</v>
      </c>
      <c r="H54" s="94">
        <f>MAX(($Q$2-E54)/$Q$2,0)</f>
        <v>0.15877619010315949</v>
      </c>
      <c r="I54" s="61">
        <v>178326.46059719301</v>
      </c>
      <c r="K54" s="100"/>
      <c r="N54" s="90" t="s">
        <v>17</v>
      </c>
      <c r="O54" s="91">
        <f>$O$2-R54</f>
        <v>19</v>
      </c>
      <c r="P54" s="60">
        <v>4</v>
      </c>
      <c r="Q54" s="61">
        <v>701.38566815630099</v>
      </c>
      <c r="R54" s="62">
        <v>12</v>
      </c>
      <c r="S54" s="63">
        <v>1</v>
      </c>
      <c r="T54" s="94">
        <f>MAX(($Q$2-Q54)/$Q$2,0)</f>
        <v>0.10537542327002425</v>
      </c>
      <c r="U54" s="61"/>
      <c r="V54" s="100"/>
      <c r="W54" s="100"/>
      <c r="Y54" s="90" t="s">
        <v>17</v>
      </c>
      <c r="Z54" s="91">
        <f>$O$2-AC54</f>
        <v>21</v>
      </c>
      <c r="AA54" s="60">
        <v>4</v>
      </c>
      <c r="AB54" s="61">
        <v>660.80342538146294</v>
      </c>
      <c r="AC54" s="62">
        <v>10</v>
      </c>
      <c r="AD54" s="63">
        <v>1</v>
      </c>
      <c r="AE54" s="94">
        <f>MAX(($Q$2-AB54)/$Q$2,0)</f>
        <v>0.15713848803384828</v>
      </c>
      <c r="AF54" s="61">
        <v>31474.118081021999</v>
      </c>
      <c r="AG54" s="101"/>
      <c r="AH54" s="100"/>
      <c r="AJ54" s="90" t="s">
        <v>17</v>
      </c>
      <c r="AK54" s="91">
        <f>$O$2-AN54</f>
        <v>31</v>
      </c>
      <c r="AL54" s="60"/>
      <c r="AM54" s="61"/>
      <c r="AN54" s="62"/>
      <c r="AO54" s="63"/>
      <c r="AP54" s="94">
        <f>MAX(($Q$2-AM54)/$Q$2,0)</f>
        <v>1</v>
      </c>
      <c r="AQ54" s="61"/>
      <c r="AS54" s="100"/>
    </row>
    <row r="55" spans="1:45" ht="15" thickBot="1" x14ac:dyDescent="0.35">
      <c r="C55" s="68"/>
      <c r="D55" s="68"/>
      <c r="E55" s="68"/>
      <c r="F55" s="68"/>
      <c r="G55" s="68"/>
      <c r="H55" s="68"/>
      <c r="I55" s="68"/>
      <c r="K55" s="106"/>
      <c r="O55" s="68"/>
      <c r="P55" s="68"/>
      <c r="Q55" s="68"/>
      <c r="R55" s="68"/>
      <c r="S55" s="68"/>
      <c r="T55" s="68"/>
      <c r="U55" s="68"/>
      <c r="V55" s="106"/>
      <c r="W55" s="106"/>
      <c r="Z55" s="68"/>
      <c r="AA55" s="68"/>
      <c r="AB55" s="68"/>
      <c r="AC55" s="68"/>
      <c r="AD55" s="68"/>
      <c r="AE55" s="68"/>
      <c r="AF55" s="68"/>
      <c r="AG55" s="107"/>
      <c r="AH55" s="106"/>
      <c r="AK55" s="68"/>
      <c r="AL55" s="68"/>
      <c r="AM55" s="68"/>
      <c r="AN55" s="68"/>
      <c r="AO55" s="68"/>
      <c r="AP55" s="68"/>
      <c r="AQ55" s="68"/>
      <c r="AS55" s="106"/>
    </row>
    <row r="56" spans="1:45" x14ac:dyDescent="0.3">
      <c r="B56" s="75" t="s">
        <v>15</v>
      </c>
      <c r="C56" s="76">
        <f>$O$2-F56</f>
        <v>15</v>
      </c>
      <c r="D56" s="96">
        <v>3</v>
      </c>
      <c r="E56" s="97">
        <v>662.31092057908802</v>
      </c>
      <c r="F56" s="98">
        <v>16</v>
      </c>
      <c r="G56" s="99">
        <v>2</v>
      </c>
      <c r="H56" s="79">
        <f>MAX(($Q$2-E56)/$Q$2, 0)</f>
        <v>0.15521566252667343</v>
      </c>
      <c r="I56" s="97">
        <v>3.3212766409999999</v>
      </c>
      <c r="K56" s="81">
        <f>(E56-E58)/E58</f>
        <v>2.1598523526924152E-2</v>
      </c>
      <c r="N56" s="75" t="s">
        <v>15</v>
      </c>
      <c r="O56" s="76">
        <f>$O$2-R56</f>
        <v>23</v>
      </c>
      <c r="P56" s="96">
        <v>4</v>
      </c>
      <c r="Q56" s="97">
        <v>774.51887199999999</v>
      </c>
      <c r="R56" s="98">
        <v>8</v>
      </c>
      <c r="S56" s="99">
        <v>1</v>
      </c>
      <c r="T56" s="79">
        <f>MAX(($Q$2-Q56)/$Q$2, 0)</f>
        <v>1.2093275510204098E-2</v>
      </c>
      <c r="U56" s="97">
        <v>6.8690924510000002</v>
      </c>
      <c r="V56" s="100"/>
      <c r="W56" s="81">
        <f>(Q56-Q58)/Q58</f>
        <v>1.0791152446146006E-3</v>
      </c>
      <c r="Y56" s="75" t="s">
        <v>15</v>
      </c>
      <c r="Z56" s="76">
        <f>$O$2-AC56</f>
        <v>24</v>
      </c>
      <c r="AA56" s="96">
        <v>4</v>
      </c>
      <c r="AB56" s="97">
        <v>760.31829005528903</v>
      </c>
      <c r="AC56" s="98">
        <v>7</v>
      </c>
      <c r="AD56" s="99">
        <v>1</v>
      </c>
      <c r="AE56" s="79">
        <f>MAX(($Q$2-AB56)/$Q$2, 0)</f>
        <v>3.0206262684580324E-2</v>
      </c>
      <c r="AF56" s="97">
        <v>13.114250966</v>
      </c>
      <c r="AG56" s="101"/>
      <c r="AH56" s="81">
        <f>(AB56-AB58)/AB58</f>
        <v>1.2607224328802706E-2</v>
      </c>
      <c r="AJ56" s="75" t="s">
        <v>15</v>
      </c>
      <c r="AK56" s="76">
        <f>$O$2-AN56</f>
        <v>31</v>
      </c>
      <c r="AL56" s="96"/>
      <c r="AM56" s="97"/>
      <c r="AN56" s="98"/>
      <c r="AO56" s="99"/>
      <c r="AP56" s="79">
        <f>MAX(($Q$2-AM56)/$Q$2, 0)</f>
        <v>1</v>
      </c>
      <c r="AQ56" s="97"/>
      <c r="AS56" s="81" t="e">
        <f>(AM56-AM58)/AM58</f>
        <v>#DIV/0!</v>
      </c>
    </row>
    <row r="57" spans="1:45" x14ac:dyDescent="0.3">
      <c r="B57" s="84" t="s">
        <v>16</v>
      </c>
      <c r="C57" s="85">
        <f>$O$2-F57</f>
        <v>19</v>
      </c>
      <c r="D57" s="100">
        <v>4</v>
      </c>
      <c r="E57" s="102">
        <v>648.30841600333702</v>
      </c>
      <c r="F57" s="103">
        <v>12</v>
      </c>
      <c r="G57" s="104">
        <v>1</v>
      </c>
      <c r="H57" s="88">
        <f>MAX(($Q$2-E57)/$Q$2, 0)</f>
        <v>0.17307599999574361</v>
      </c>
      <c r="I57" s="102">
        <v>170.51736332300001</v>
      </c>
      <c r="J57" s="68">
        <v>159</v>
      </c>
      <c r="K57" s="81">
        <f>(E57-E58)/E58</f>
        <v>0</v>
      </c>
      <c r="N57" s="84" t="s">
        <v>16</v>
      </c>
      <c r="O57" s="85">
        <f>$O$2-R57</f>
        <v>23</v>
      </c>
      <c r="P57" s="100">
        <v>4</v>
      </c>
      <c r="Q57" s="102">
        <v>773.68397782501495</v>
      </c>
      <c r="R57" s="103">
        <v>8</v>
      </c>
      <c r="S57" s="104">
        <v>1</v>
      </c>
      <c r="T57" s="88">
        <f>MAX(($Q$2-Q57)/$Q$2, 0)</f>
        <v>1.315819154972583E-2</v>
      </c>
      <c r="U57" s="102">
        <v>125.184013412</v>
      </c>
      <c r="V57" s="100">
        <v>106</v>
      </c>
      <c r="W57" s="81">
        <f>(Q57-Q58)/Q58</f>
        <v>0</v>
      </c>
      <c r="Y57" s="84" t="s">
        <v>16</v>
      </c>
      <c r="Z57" s="85">
        <f>$O$2-AC57</f>
        <v>23</v>
      </c>
      <c r="AA57" s="100">
        <v>4</v>
      </c>
      <c r="AB57" s="102">
        <v>750.85212882937799</v>
      </c>
      <c r="AC57" s="103">
        <v>8</v>
      </c>
      <c r="AD57" s="104">
        <v>1</v>
      </c>
      <c r="AE57" s="88">
        <f>MAX(($Q$2-AB57)/$Q$2, 0)</f>
        <v>4.2280447921711747E-2</v>
      </c>
      <c r="AF57" s="102">
        <v>168.84622182499999</v>
      </c>
      <c r="AG57" s="101">
        <v>120</v>
      </c>
      <c r="AH57" s="81">
        <f>(AB57-AB58)/AB58</f>
        <v>0</v>
      </c>
      <c r="AJ57" s="84" t="s">
        <v>16</v>
      </c>
      <c r="AK57" s="85">
        <f>$O$2-AN57</f>
        <v>31</v>
      </c>
      <c r="AL57" s="100"/>
      <c r="AM57" s="102"/>
      <c r="AN57" s="103"/>
      <c r="AO57" s="104"/>
      <c r="AP57" s="88">
        <f>MAX(($Q$2-AM57)/$Q$2, 0)</f>
        <v>1</v>
      </c>
      <c r="AQ57" s="102"/>
      <c r="AS57" s="81" t="e">
        <f>(AM57-AM58)/AM58</f>
        <v>#DIV/0!</v>
      </c>
    </row>
    <row r="58" spans="1:45" ht="15" thickBot="1" x14ac:dyDescent="0.35">
      <c r="A58" s="105" t="s">
        <v>33</v>
      </c>
      <c r="B58" s="90" t="s">
        <v>17</v>
      </c>
      <c r="C58" s="91">
        <f>$O$2-F58</f>
        <v>19</v>
      </c>
      <c r="D58" s="60">
        <v>4</v>
      </c>
      <c r="E58" s="61">
        <v>648.30841600333702</v>
      </c>
      <c r="F58" s="62">
        <v>12</v>
      </c>
      <c r="G58" s="63">
        <v>1</v>
      </c>
      <c r="H58" s="94">
        <f>MAX(($Q$2-E58)/$Q$2,0)</f>
        <v>0.17307599999574361</v>
      </c>
      <c r="I58" s="61">
        <v>207135.71097509301</v>
      </c>
      <c r="K58" s="100"/>
      <c r="N58" s="90" t="s">
        <v>17</v>
      </c>
      <c r="O58" s="91">
        <f>$O$2-R58</f>
        <v>23</v>
      </c>
      <c r="P58" s="60">
        <v>4</v>
      </c>
      <c r="Q58" s="61">
        <v>773.68397782501495</v>
      </c>
      <c r="R58" s="62">
        <v>8</v>
      </c>
      <c r="S58" s="63">
        <v>1</v>
      </c>
      <c r="T58" s="94">
        <f>MAX(($Q$2-Q58)/$Q$2,0)</f>
        <v>1.315819154972583E-2</v>
      </c>
      <c r="U58" s="61"/>
      <c r="V58" s="100"/>
      <c r="W58" s="100"/>
      <c r="Y58" s="90" t="s">
        <v>17</v>
      </c>
      <c r="Z58" s="91">
        <f>$O$2-AC58</f>
        <v>23</v>
      </c>
      <c r="AA58" s="60">
        <v>4</v>
      </c>
      <c r="AB58" s="61">
        <v>750.85212882937799</v>
      </c>
      <c r="AC58" s="62">
        <v>8</v>
      </c>
      <c r="AD58" s="63">
        <v>1</v>
      </c>
      <c r="AE58" s="94">
        <f>MAX(($Q$2-AB58)/$Q$2,0)</f>
        <v>4.2280447921711747E-2</v>
      </c>
      <c r="AF58" s="61">
        <v>5923.3973095519996</v>
      </c>
      <c r="AG58" s="101"/>
      <c r="AH58" s="100"/>
      <c r="AJ58" s="90" t="s">
        <v>17</v>
      </c>
      <c r="AK58" s="91">
        <f>$O$2-AN58</f>
        <v>31</v>
      </c>
      <c r="AL58" s="60"/>
      <c r="AM58" s="61"/>
      <c r="AN58" s="62"/>
      <c r="AO58" s="63"/>
      <c r="AP58" s="94">
        <f>MAX(($Q$2-AM58)/$Q$2,0)</f>
        <v>1</v>
      </c>
      <c r="AQ58" s="61"/>
      <c r="AS58" s="100"/>
    </row>
    <row r="61" spans="1:45" ht="15" thickBot="1" x14ac:dyDescent="0.35">
      <c r="B61" s="12"/>
      <c r="C61" s="278" t="s">
        <v>34</v>
      </c>
      <c r="D61" s="278"/>
      <c r="E61" s="278"/>
      <c r="F61" s="278"/>
      <c r="G61" s="278"/>
      <c r="H61" s="278"/>
      <c r="I61" s="278"/>
      <c r="N61" s="12"/>
      <c r="O61" s="278" t="s">
        <v>35</v>
      </c>
      <c r="P61" s="278"/>
      <c r="Q61" s="278"/>
      <c r="R61" s="278"/>
      <c r="S61" s="278"/>
      <c r="T61" s="278"/>
      <c r="U61" s="278"/>
      <c r="V61" s="14"/>
      <c r="W61" s="14"/>
      <c r="Y61" s="12"/>
      <c r="Z61" s="278" t="s">
        <v>36</v>
      </c>
      <c r="AA61" s="278"/>
      <c r="AB61" s="278"/>
      <c r="AC61" s="278"/>
      <c r="AD61" s="278"/>
      <c r="AE61" s="278"/>
      <c r="AF61" s="278"/>
      <c r="AG61" s="15"/>
      <c r="AH61" s="15"/>
      <c r="AJ61" s="12"/>
      <c r="AK61" s="278" t="s">
        <v>37</v>
      </c>
      <c r="AL61" s="278"/>
      <c r="AM61" s="278"/>
      <c r="AN61" s="278"/>
      <c r="AO61" s="278"/>
      <c r="AP61" s="278"/>
      <c r="AQ61" s="278"/>
    </row>
    <row r="62" spans="1:45" ht="15" thickBot="1" x14ac:dyDescent="0.35">
      <c r="B62" s="74" t="s">
        <v>5</v>
      </c>
      <c r="C62" s="276" t="s">
        <v>6</v>
      </c>
      <c r="D62" s="279"/>
      <c r="E62" s="277"/>
      <c r="F62" s="276" t="s">
        <v>7</v>
      </c>
      <c r="G62" s="277"/>
      <c r="H62" s="276" t="s">
        <v>8</v>
      </c>
      <c r="I62" s="277"/>
      <c r="N62" s="74" t="s">
        <v>5</v>
      </c>
      <c r="O62" s="276" t="s">
        <v>6</v>
      </c>
      <c r="P62" s="279"/>
      <c r="Q62" s="277"/>
      <c r="R62" s="276" t="s">
        <v>7</v>
      </c>
      <c r="S62" s="277"/>
      <c r="T62" s="276" t="s">
        <v>8</v>
      </c>
      <c r="U62" s="277"/>
      <c r="V62" s="14"/>
      <c r="W62" s="14"/>
      <c r="Y62" s="74" t="s">
        <v>5</v>
      </c>
      <c r="Z62" s="276" t="s">
        <v>6</v>
      </c>
      <c r="AA62" s="279"/>
      <c r="AB62" s="277"/>
      <c r="AC62" s="276" t="s">
        <v>7</v>
      </c>
      <c r="AD62" s="277"/>
      <c r="AE62" s="276" t="s">
        <v>8</v>
      </c>
      <c r="AF62" s="277"/>
      <c r="AG62" s="15"/>
      <c r="AH62" s="15"/>
      <c r="AJ62" s="74" t="s">
        <v>5</v>
      </c>
      <c r="AK62" s="276" t="s">
        <v>6</v>
      </c>
      <c r="AL62" s="279"/>
      <c r="AM62" s="277"/>
      <c r="AN62" s="276" t="s">
        <v>7</v>
      </c>
      <c r="AO62" s="277"/>
      <c r="AP62" s="276" t="s">
        <v>8</v>
      </c>
      <c r="AQ62" s="277"/>
    </row>
    <row r="63" spans="1:45" ht="29.4" thickBot="1" x14ac:dyDescent="0.35">
      <c r="B63" s="17" t="s">
        <v>9</v>
      </c>
      <c r="C63" s="8" t="s">
        <v>10</v>
      </c>
      <c r="D63" s="9" t="s">
        <v>11</v>
      </c>
      <c r="E63" s="10" t="s">
        <v>12</v>
      </c>
      <c r="F63" s="8" t="s">
        <v>10</v>
      </c>
      <c r="G63" s="10" t="s">
        <v>11</v>
      </c>
      <c r="H63" s="8" t="s">
        <v>8</v>
      </c>
      <c r="I63" s="18" t="s">
        <v>13</v>
      </c>
      <c r="N63" s="17" t="s">
        <v>9</v>
      </c>
      <c r="O63" s="8" t="s">
        <v>10</v>
      </c>
      <c r="P63" s="9" t="s">
        <v>11</v>
      </c>
      <c r="Q63" s="10" t="s">
        <v>12</v>
      </c>
      <c r="R63" s="8" t="s">
        <v>10</v>
      </c>
      <c r="S63" s="10" t="s">
        <v>11</v>
      </c>
      <c r="T63" s="8" t="s">
        <v>8</v>
      </c>
      <c r="U63" s="18" t="s">
        <v>13</v>
      </c>
      <c r="V63" s="19"/>
      <c r="W63" s="19"/>
      <c r="Y63" s="17" t="s">
        <v>9</v>
      </c>
      <c r="Z63" s="8" t="s">
        <v>10</v>
      </c>
      <c r="AA63" s="9" t="s">
        <v>11</v>
      </c>
      <c r="AB63" s="10" t="s">
        <v>12</v>
      </c>
      <c r="AC63" s="8" t="s">
        <v>10</v>
      </c>
      <c r="AD63" s="10" t="s">
        <v>11</v>
      </c>
      <c r="AE63" s="8" t="s">
        <v>8</v>
      </c>
      <c r="AF63" s="18" t="s">
        <v>13</v>
      </c>
      <c r="AG63" s="20"/>
      <c r="AH63" s="20"/>
      <c r="AJ63" s="17" t="s">
        <v>9</v>
      </c>
      <c r="AK63" s="8" t="s">
        <v>10</v>
      </c>
      <c r="AL63" s="9" t="s">
        <v>11</v>
      </c>
      <c r="AM63" s="10" t="s">
        <v>12</v>
      </c>
      <c r="AN63" s="8" t="s">
        <v>10</v>
      </c>
      <c r="AO63" s="10" t="s">
        <v>11</v>
      </c>
      <c r="AP63" s="8" t="s">
        <v>8</v>
      </c>
      <c r="AQ63" s="18" t="s">
        <v>13</v>
      </c>
    </row>
    <row r="64" spans="1:45" x14ac:dyDescent="0.3">
      <c r="B64" s="75" t="s">
        <v>15</v>
      </c>
      <c r="C64" s="76">
        <f>AVERAGE(C69,C73,C77,C81,C85)</f>
        <v>17</v>
      </c>
      <c r="D64" s="77">
        <f t="shared" ref="D64:I66" si="8">AVERAGE(D69,D73,D77,D81,D85)</f>
        <v>3.4</v>
      </c>
      <c r="E64" s="78">
        <f t="shared" si="8"/>
        <v>680.89904152148642</v>
      </c>
      <c r="F64" s="76">
        <f>AVERAGE(F69,F73,F77,F81,F85)</f>
        <v>14</v>
      </c>
      <c r="G64" s="78">
        <f>AVERAGE(G69,G73,G77,G81,G85)</f>
        <v>1.6</v>
      </c>
      <c r="H64" s="76">
        <f>AVERAGE(H69,H73,H77,H81,H85)</f>
        <v>0.13150632458994085</v>
      </c>
      <c r="I64" s="78">
        <f>AVERAGE(I69,I73,I77,I81,I85)</f>
        <v>9.0653445355999995</v>
      </c>
      <c r="K64" s="81">
        <f>AVERAGE(K69,K73,K77,K81,K85)</f>
        <v>3.7867610433325573E-2</v>
      </c>
      <c r="N64" s="75" t="s">
        <v>15</v>
      </c>
      <c r="O64" s="76">
        <f>AVERAGE(O69,O73,O77,O81,O85)</f>
        <v>21.2</v>
      </c>
      <c r="P64" s="77">
        <f t="shared" ref="P64:U66" si="9">AVERAGE(P69,P73,P77,P81,P85)</f>
        <v>4</v>
      </c>
      <c r="Q64" s="78">
        <f t="shared" si="9"/>
        <v>739.04238491952583</v>
      </c>
      <c r="R64" s="76">
        <f>AVERAGE(R69,R73,R77,R81,R85)</f>
        <v>9.8000000000000007</v>
      </c>
      <c r="S64" s="78">
        <f>AVERAGE(S69,S73,S77,S81,S85)</f>
        <v>1</v>
      </c>
      <c r="T64" s="79">
        <f>AVERAGE(T69,T73,T77,T81,T85)</f>
        <v>5.7343896786319112E-2</v>
      </c>
      <c r="U64" s="80">
        <f>AVERAGE(U69,U73,U77,U81,U85)</f>
        <v>10.0597850708</v>
      </c>
      <c r="V64" s="82"/>
      <c r="W64" s="81">
        <f>AVERAGE(W69,W73,W77,W81,W85)</f>
        <v>1.9969298828773692E-2</v>
      </c>
      <c r="Y64" s="75" t="s">
        <v>15</v>
      </c>
      <c r="Z64" s="76">
        <f>AVERAGE(Z69,Z73,Z77,Z81,Z85)</f>
        <v>23</v>
      </c>
      <c r="AA64" s="77">
        <f t="shared" ref="AA64:AF66" si="10">AVERAGE(AA69,AA73,AA77,AA81,AA85)</f>
        <v>4</v>
      </c>
      <c r="AB64" s="78">
        <f t="shared" si="10"/>
        <v>737.29195754854697</v>
      </c>
      <c r="AC64" s="76">
        <f>AVERAGE(AC69,AC73,AC77,AC81,AC85)</f>
        <v>8</v>
      </c>
      <c r="AD64" s="78">
        <f>AVERAGE(AD69,AD73,AD77,AD81,AD85)</f>
        <v>1</v>
      </c>
      <c r="AE64" s="79">
        <f>AVERAGE(AE69,AE73,AE77,AE81,AE85)</f>
        <v>5.9576584759506349E-2</v>
      </c>
      <c r="AF64" s="80">
        <f>AVERAGE(AF69,AF73,AF77,AF81,AF85)</f>
        <v>6.4885476327999996</v>
      </c>
      <c r="AG64" s="83"/>
      <c r="AH64" s="81">
        <f>AVERAGE(AH69,AH73,AH77,AH81,AH85)</f>
        <v>4.9722646844978721E-2</v>
      </c>
      <c r="AJ64" s="75" t="s">
        <v>15</v>
      </c>
      <c r="AK64" s="76">
        <f>AVERAGE(AK69,AK73,AK77,AK81,AK85)</f>
        <v>31</v>
      </c>
      <c r="AL64" s="77" t="e">
        <f t="shared" ref="AL64:AQ66" si="11">AVERAGE(AL69,AL73,AL77,AL81,AL85)</f>
        <v>#DIV/0!</v>
      </c>
      <c r="AM64" s="78" t="e">
        <f t="shared" si="11"/>
        <v>#DIV/0!</v>
      </c>
      <c r="AN64" s="76" t="e">
        <f>AVERAGE(AN69,AN73,AN77,AN81,AN85)</f>
        <v>#DIV/0!</v>
      </c>
      <c r="AO64" s="78" t="e">
        <f>AVERAGE(AO69,AO73,AO77,AO81,AO85)</f>
        <v>#DIV/0!</v>
      </c>
      <c r="AP64" s="76">
        <f>AVERAGE(AP69,AP73,AP77,AP81,AP85)</f>
        <v>1</v>
      </c>
      <c r="AQ64" s="78" t="e">
        <f>AVERAGE(AQ69,AQ73,AQ77,AQ81,AQ85)</f>
        <v>#DIV/0!</v>
      </c>
      <c r="AS64" s="81" t="e">
        <f>AVERAGE(AS69,AS73,AS77,AS81,AS85)</f>
        <v>#DIV/0!</v>
      </c>
    </row>
    <row r="65" spans="1:45" x14ac:dyDescent="0.3">
      <c r="B65" s="84" t="s">
        <v>16</v>
      </c>
      <c r="C65" s="85">
        <f>AVERAGE(C70,C74,C78,C82,C86)</f>
        <v>18</v>
      </c>
      <c r="D65" s="86">
        <f t="shared" si="8"/>
        <v>3.8</v>
      </c>
      <c r="E65" s="87">
        <f t="shared" si="8"/>
        <v>656.21412253359983</v>
      </c>
      <c r="F65" s="85">
        <f t="shared" si="8"/>
        <v>13</v>
      </c>
      <c r="G65" s="87">
        <f t="shared" si="8"/>
        <v>1.2</v>
      </c>
      <c r="H65" s="85">
        <f t="shared" si="8"/>
        <v>0.16299219064591858</v>
      </c>
      <c r="I65" s="87">
        <f t="shared" si="8"/>
        <v>128.82765552079999</v>
      </c>
      <c r="K65" s="81">
        <f>AVERAGE(K70,K74,K78,K82,K86)</f>
        <v>9.9343990178336157E-4</v>
      </c>
      <c r="N65" s="84" t="s">
        <v>16</v>
      </c>
      <c r="O65" s="85">
        <f>AVERAGE(O70,O74,O78,O82,O86)</f>
        <v>20.8</v>
      </c>
      <c r="P65" s="86">
        <f t="shared" si="9"/>
        <v>4</v>
      </c>
      <c r="Q65" s="87">
        <f t="shared" si="9"/>
        <v>725.89673479132307</v>
      </c>
      <c r="R65" s="85">
        <f t="shared" si="9"/>
        <v>10.199999999999999</v>
      </c>
      <c r="S65" s="87">
        <f t="shared" si="9"/>
        <v>1</v>
      </c>
      <c r="T65" s="88">
        <f t="shared" si="9"/>
        <v>7.4111307664128795E-2</v>
      </c>
      <c r="U65" s="89">
        <f t="shared" si="9"/>
        <v>142.89562544419999</v>
      </c>
      <c r="V65" s="82"/>
      <c r="W65" s="81">
        <f>AVERAGE(W70,W74,W78,W82,W86)</f>
        <v>1.3291944280609523E-3</v>
      </c>
      <c r="Y65" s="84" t="s">
        <v>16</v>
      </c>
      <c r="Z65" s="85">
        <f>AVERAGE(Z70,Z74,Z78,Z82,Z86)</f>
        <v>22.4</v>
      </c>
      <c r="AA65" s="86">
        <f t="shared" si="10"/>
        <v>4</v>
      </c>
      <c r="AB65" s="87">
        <f t="shared" si="10"/>
        <v>703.21826062026321</v>
      </c>
      <c r="AC65" s="85">
        <f t="shared" si="10"/>
        <v>8.6</v>
      </c>
      <c r="AD65" s="87">
        <f t="shared" si="10"/>
        <v>1</v>
      </c>
      <c r="AE65" s="88">
        <f t="shared" si="10"/>
        <v>0.10303793288231733</v>
      </c>
      <c r="AF65" s="89">
        <f t="shared" si="10"/>
        <v>215.07347818459999</v>
      </c>
      <c r="AG65" s="83"/>
      <c r="AH65" s="81">
        <f>AVERAGE(AH70,AH74,AH78,AH82,AH86)</f>
        <v>2.9152351357065765E-4</v>
      </c>
      <c r="AJ65" s="84" t="s">
        <v>16</v>
      </c>
      <c r="AK65" s="85">
        <f>AVERAGE(AK70,AK74,AK78,AK82,AK86)</f>
        <v>31</v>
      </c>
      <c r="AL65" s="86" t="e">
        <f t="shared" si="11"/>
        <v>#DIV/0!</v>
      </c>
      <c r="AM65" s="87" t="e">
        <f t="shared" si="11"/>
        <v>#DIV/0!</v>
      </c>
      <c r="AN65" s="85" t="e">
        <f t="shared" si="11"/>
        <v>#DIV/0!</v>
      </c>
      <c r="AO65" s="87" t="e">
        <f t="shared" si="11"/>
        <v>#DIV/0!</v>
      </c>
      <c r="AP65" s="85">
        <f t="shared" si="11"/>
        <v>1</v>
      </c>
      <c r="AQ65" s="87" t="e">
        <f t="shared" si="11"/>
        <v>#DIV/0!</v>
      </c>
      <c r="AS65" s="81" t="e">
        <f>AVERAGE(AS70,AS74,AS78,AS82,AS86)</f>
        <v>#DIV/0!</v>
      </c>
    </row>
    <row r="66" spans="1:45" ht="15" thickBot="1" x14ac:dyDescent="0.35">
      <c r="B66" s="90" t="s">
        <v>17</v>
      </c>
      <c r="C66" s="91">
        <f>AVERAGE(C71,C75,C79,C83,C87)</f>
        <v>18</v>
      </c>
      <c r="D66" s="92">
        <f t="shared" si="8"/>
        <v>3.8</v>
      </c>
      <c r="E66" s="93">
        <f t="shared" si="8"/>
        <v>655.54976896658127</v>
      </c>
      <c r="F66" s="91">
        <f t="shared" si="8"/>
        <v>13</v>
      </c>
      <c r="G66" s="93">
        <f t="shared" si="8"/>
        <v>1.2</v>
      </c>
      <c r="H66" s="91">
        <f t="shared" si="8"/>
        <v>0.16383958039976884</v>
      </c>
      <c r="I66" s="95">
        <f t="shared" si="8"/>
        <v>226476.101806436</v>
      </c>
      <c r="K66" s="82"/>
      <c r="N66" s="90" t="s">
        <v>17</v>
      </c>
      <c r="O66" s="91">
        <f>AVERAGE(O71,O75,O79,O83,O87)</f>
        <v>20.6</v>
      </c>
      <c r="P66" s="92">
        <f t="shared" si="9"/>
        <v>4</v>
      </c>
      <c r="Q66" s="93">
        <f t="shared" si="9"/>
        <v>725.00369934987123</v>
      </c>
      <c r="R66" s="91">
        <f t="shared" si="9"/>
        <v>10.4</v>
      </c>
      <c r="S66" s="93">
        <f t="shared" si="9"/>
        <v>1</v>
      </c>
      <c r="T66" s="94">
        <f t="shared" si="9"/>
        <v>7.5250383482307143E-2</v>
      </c>
      <c r="U66" s="95">
        <f t="shared" si="9"/>
        <v>157446.13123109101</v>
      </c>
      <c r="V66" s="82"/>
      <c r="W66" s="82"/>
      <c r="Y66" s="90" t="s">
        <v>17</v>
      </c>
      <c r="Z66" s="91">
        <f>AVERAGE(Z71,Z75,Z79,Z83,Z87)</f>
        <v>22.8</v>
      </c>
      <c r="AA66" s="92">
        <f t="shared" si="10"/>
        <v>4</v>
      </c>
      <c r="AB66" s="93">
        <f t="shared" si="10"/>
        <v>703.01252154613462</v>
      </c>
      <c r="AC66" s="91">
        <f t="shared" si="10"/>
        <v>8.1999999999999993</v>
      </c>
      <c r="AD66" s="93">
        <f t="shared" si="10"/>
        <v>1</v>
      </c>
      <c r="AE66" s="94">
        <f t="shared" si="10"/>
        <v>0.10330035517074665</v>
      </c>
      <c r="AF66" s="95">
        <f t="shared" si="10"/>
        <v>68036.523757275994</v>
      </c>
      <c r="AG66" s="83"/>
      <c r="AH66" s="82"/>
      <c r="AJ66" s="90" t="s">
        <v>17</v>
      </c>
      <c r="AK66" s="91">
        <f>AVERAGE(AK71,AK75,AK79,AK83,AK87)</f>
        <v>31</v>
      </c>
      <c r="AL66" s="92" t="e">
        <f t="shared" si="11"/>
        <v>#DIV/0!</v>
      </c>
      <c r="AM66" s="93" t="e">
        <f t="shared" si="11"/>
        <v>#DIV/0!</v>
      </c>
      <c r="AN66" s="91" t="e">
        <f t="shared" si="11"/>
        <v>#DIV/0!</v>
      </c>
      <c r="AO66" s="93" t="e">
        <f t="shared" si="11"/>
        <v>#DIV/0!</v>
      </c>
      <c r="AP66" s="91">
        <f t="shared" si="11"/>
        <v>1</v>
      </c>
      <c r="AQ66" s="95" t="e">
        <f t="shared" si="11"/>
        <v>#DIV/0!</v>
      </c>
      <c r="AS66" s="82"/>
    </row>
    <row r="67" spans="1:45" x14ac:dyDescent="0.3">
      <c r="K67" s="69"/>
      <c r="AH67" s="69"/>
      <c r="AS67" s="69"/>
    </row>
    <row r="68" spans="1:45" ht="15" thickBot="1" x14ac:dyDescent="0.35">
      <c r="K68" s="69"/>
      <c r="AH68" s="69"/>
      <c r="AS68" s="69"/>
    </row>
    <row r="69" spans="1:45" x14ac:dyDescent="0.3">
      <c r="B69" s="75" t="s">
        <v>15</v>
      </c>
      <c r="C69" s="76">
        <f>$O$2-F69</f>
        <v>14</v>
      </c>
      <c r="D69" s="96">
        <v>3</v>
      </c>
      <c r="E69" s="97">
        <v>594.50027640052804</v>
      </c>
      <c r="F69" s="98">
        <v>17</v>
      </c>
      <c r="G69" s="99">
        <v>2</v>
      </c>
      <c r="H69" s="79">
        <f>MAX(($Q$2-E69)/$Q$2, 0)</f>
        <v>0.24170883112177546</v>
      </c>
      <c r="I69" s="97">
        <v>3.906482317</v>
      </c>
      <c r="K69" s="81">
        <f>(E69-E71)/E71</f>
        <v>4.7679053707923346E-3</v>
      </c>
      <c r="N69" s="75" t="s">
        <v>15</v>
      </c>
      <c r="O69" s="76">
        <f>$O$2-R69</f>
        <v>21</v>
      </c>
      <c r="P69" s="96">
        <v>4</v>
      </c>
      <c r="Q69" s="97">
        <v>744.16077976014606</v>
      </c>
      <c r="R69" s="98">
        <v>10</v>
      </c>
      <c r="S69" s="99">
        <v>1</v>
      </c>
      <c r="T69" s="79">
        <f>MAX(($Q$2-Q69)/$Q$2, 0)</f>
        <v>5.0815331938589212E-2</v>
      </c>
      <c r="U69" s="97">
        <v>19.154396454</v>
      </c>
      <c r="V69" s="100"/>
      <c r="W69" s="81">
        <f>(Q69-Q71)/Q71</f>
        <v>1.6953460871666146E-2</v>
      </c>
      <c r="Y69" s="75" t="s">
        <v>15</v>
      </c>
      <c r="Z69" s="76">
        <f>$O$2-AC69</f>
        <v>24</v>
      </c>
      <c r="AA69" s="96">
        <v>4</v>
      </c>
      <c r="AB69" s="97">
        <v>742.33590184557795</v>
      </c>
      <c r="AC69" s="98">
        <v>7</v>
      </c>
      <c r="AD69" s="99">
        <v>1</v>
      </c>
      <c r="AE69" s="79">
        <f>MAX(($Q$2-AB69)/$Q$2, 0)</f>
        <v>5.3142982339824042E-2</v>
      </c>
      <c r="AF69" s="97">
        <v>10.212961775</v>
      </c>
      <c r="AG69" s="101"/>
      <c r="AH69" s="81">
        <f>(AB69-AB71)/AB71</f>
        <v>5.1858385541352865E-2</v>
      </c>
      <c r="AJ69" s="75" t="s">
        <v>15</v>
      </c>
      <c r="AK69" s="76">
        <f>$O$2-AN69</f>
        <v>31</v>
      </c>
      <c r="AL69" s="96"/>
      <c r="AM69" s="97"/>
      <c r="AN69" s="98"/>
      <c r="AO69" s="99"/>
      <c r="AP69" s="79">
        <f>MAX(($Q$2-AM69)/$Q$2, 0)</f>
        <v>1</v>
      </c>
      <c r="AQ69" s="97"/>
      <c r="AS69" s="81" t="e">
        <f>(AM69-AM71)/AM71</f>
        <v>#DIV/0!</v>
      </c>
    </row>
    <row r="70" spans="1:45" x14ac:dyDescent="0.3">
      <c r="B70" s="84" t="s">
        <v>16</v>
      </c>
      <c r="C70" s="85">
        <f>$O$2-F70</f>
        <v>14</v>
      </c>
      <c r="D70" s="100">
        <v>3</v>
      </c>
      <c r="E70" s="102">
        <v>591.67920593675603</v>
      </c>
      <c r="F70" s="103">
        <v>17</v>
      </c>
      <c r="G70" s="104">
        <v>2</v>
      </c>
      <c r="H70" s="88">
        <f>MAX(($Q$2-E70)/$Q$2, 0)</f>
        <v>0.24530713528474996</v>
      </c>
      <c r="I70" s="102">
        <v>74.499463387000006</v>
      </c>
      <c r="J70" s="68">
        <v>109</v>
      </c>
      <c r="K70" s="81">
        <f>(E70-E71)/E71</f>
        <v>0</v>
      </c>
      <c r="N70" s="84" t="s">
        <v>16</v>
      </c>
      <c r="O70" s="85">
        <f>$O$2-R70</f>
        <v>21</v>
      </c>
      <c r="P70" s="100">
        <v>4</v>
      </c>
      <c r="Q70" s="102">
        <v>731.75503180767203</v>
      </c>
      <c r="R70" s="103">
        <v>10</v>
      </c>
      <c r="S70" s="104">
        <v>1</v>
      </c>
      <c r="T70" s="88">
        <f>MAX(($Q$2-Q70)/$Q$2, 0)</f>
        <v>6.6638990041234664E-2</v>
      </c>
      <c r="U70" s="102">
        <v>158.26327160899999</v>
      </c>
      <c r="V70" s="100">
        <v>140</v>
      </c>
      <c r="W70" s="81">
        <f>(Q70-Q71)/Q71</f>
        <v>4.3467652466305836E-8</v>
      </c>
      <c r="Y70" s="84" t="s">
        <v>16</v>
      </c>
      <c r="Z70" s="85">
        <f>$O$2-AC70</f>
        <v>22</v>
      </c>
      <c r="AA70" s="100">
        <v>4</v>
      </c>
      <c r="AB70" s="102">
        <v>706.76619012239496</v>
      </c>
      <c r="AC70" s="103">
        <v>9</v>
      </c>
      <c r="AD70" s="104">
        <v>1</v>
      </c>
      <c r="AE70" s="88">
        <f>MAX(($Q$2-AB70)/$Q$2, 0)</f>
        <v>9.8512512598986024E-2</v>
      </c>
      <c r="AF70" s="102">
        <v>184.41097095500001</v>
      </c>
      <c r="AG70" s="101">
        <v>125</v>
      </c>
      <c r="AH70" s="81">
        <f>(AB70-AB71)/AB71</f>
        <v>1.4576175678518565E-3</v>
      </c>
      <c r="AJ70" s="84" t="s">
        <v>16</v>
      </c>
      <c r="AK70" s="85">
        <f>$O$2-AN70</f>
        <v>31</v>
      </c>
      <c r="AL70" s="100"/>
      <c r="AM70" s="102"/>
      <c r="AN70" s="103"/>
      <c r="AO70" s="104"/>
      <c r="AP70" s="88">
        <f>MAX(($Q$2-AM70)/$Q$2, 0)</f>
        <v>1</v>
      </c>
      <c r="AQ70" s="102"/>
      <c r="AS70" s="81" t="e">
        <f>(AM70-AM71)/AM71</f>
        <v>#DIV/0!</v>
      </c>
    </row>
    <row r="71" spans="1:45" ht="15" thickBot="1" x14ac:dyDescent="0.35">
      <c r="A71" s="105" t="s">
        <v>38</v>
      </c>
      <c r="B71" s="90" t="s">
        <v>17</v>
      </c>
      <c r="C71" s="91">
        <f>$O$2-F71</f>
        <v>14</v>
      </c>
      <c r="D71" s="60">
        <v>3</v>
      </c>
      <c r="E71" s="61">
        <v>591.67920593675603</v>
      </c>
      <c r="F71" s="62">
        <v>17</v>
      </c>
      <c r="G71" s="63">
        <v>2</v>
      </c>
      <c r="H71" s="94">
        <f>MAX(($Q$2-E71)/$Q$2,0)</f>
        <v>0.24530713528474996</v>
      </c>
      <c r="I71" s="61"/>
      <c r="K71" s="81"/>
      <c r="N71" s="90" t="s">
        <v>17</v>
      </c>
      <c r="O71" s="91">
        <f>$O$2-R71</f>
        <v>21</v>
      </c>
      <c r="P71" s="60">
        <v>4</v>
      </c>
      <c r="Q71" s="61">
        <v>731.755</v>
      </c>
      <c r="R71" s="62">
        <v>10</v>
      </c>
      <c r="S71" s="63">
        <v>1</v>
      </c>
      <c r="T71" s="94">
        <f>MAX(($Q$2-Q71)/$Q$2,0)</f>
        <v>6.6639030612244909E-2</v>
      </c>
      <c r="U71" s="61"/>
      <c r="V71" s="100"/>
      <c r="W71" s="81"/>
      <c r="Y71" s="90" t="s">
        <v>17</v>
      </c>
      <c r="Z71" s="91">
        <f>$O$2-AC71</f>
        <v>24</v>
      </c>
      <c r="AA71" s="60">
        <v>4</v>
      </c>
      <c r="AB71" s="61">
        <v>705.73749475175305</v>
      </c>
      <c r="AC71" s="62">
        <v>7</v>
      </c>
      <c r="AD71" s="63">
        <v>1</v>
      </c>
      <c r="AE71" s="94">
        <f>MAX(($Q$2-AB71)/$Q$2,0)</f>
        <v>9.9824624041131321E-2</v>
      </c>
      <c r="AF71" s="61">
        <v>6147.7187000000004</v>
      </c>
      <c r="AG71" s="101"/>
      <c r="AH71" s="81"/>
      <c r="AJ71" s="90" t="s">
        <v>17</v>
      </c>
      <c r="AK71" s="91">
        <f>$O$2-AN71</f>
        <v>31</v>
      </c>
      <c r="AL71" s="60"/>
      <c r="AM71" s="61"/>
      <c r="AN71" s="62"/>
      <c r="AO71" s="63"/>
      <c r="AP71" s="94">
        <f>MAX(($Q$2-AM71)/$Q$2,0)</f>
        <v>1</v>
      </c>
      <c r="AQ71" s="61"/>
      <c r="AS71" s="81"/>
    </row>
    <row r="72" spans="1:45" ht="15" thickBot="1" x14ac:dyDescent="0.35">
      <c r="C72" s="68"/>
      <c r="D72" s="68"/>
      <c r="E72" s="68"/>
      <c r="F72" s="68"/>
      <c r="G72" s="68"/>
      <c r="H72" s="68"/>
      <c r="I72" s="68"/>
      <c r="K72" s="106"/>
      <c r="O72" s="68"/>
      <c r="P72" s="68"/>
      <c r="Q72" s="68"/>
      <c r="R72" s="68"/>
      <c r="S72" s="68"/>
      <c r="T72" s="68"/>
      <c r="U72" s="68"/>
      <c r="V72" s="106"/>
      <c r="W72" s="106"/>
      <c r="Z72" s="68"/>
      <c r="AA72" s="68"/>
      <c r="AB72" s="68"/>
      <c r="AC72" s="68"/>
      <c r="AD72" s="68"/>
      <c r="AE72" s="68"/>
      <c r="AF72" s="68"/>
      <c r="AG72" s="107"/>
      <c r="AH72" s="106"/>
      <c r="AK72" s="68"/>
      <c r="AL72" s="68"/>
      <c r="AM72" s="68"/>
      <c r="AN72" s="68"/>
      <c r="AO72" s="68"/>
      <c r="AP72" s="68"/>
      <c r="AQ72" s="68"/>
      <c r="AS72" s="106"/>
    </row>
    <row r="73" spans="1:45" x14ac:dyDescent="0.3">
      <c r="B73" s="75" t="s">
        <v>15</v>
      </c>
      <c r="C73" s="76">
        <f>$O$2-F73</f>
        <v>17</v>
      </c>
      <c r="D73" s="96">
        <v>3</v>
      </c>
      <c r="E73" s="97">
        <v>725.07781495168297</v>
      </c>
      <c r="F73" s="98">
        <v>14</v>
      </c>
      <c r="G73" s="99">
        <v>2</v>
      </c>
      <c r="H73" s="79">
        <f>MAX(($Q$2-E73)/$Q$2, 0)</f>
        <v>7.515584827591458E-2</v>
      </c>
      <c r="I73" s="97">
        <v>8.6452253510000006</v>
      </c>
      <c r="K73" s="81">
        <f>(E73-E75)/E75</f>
        <v>4.7925224063039402E-2</v>
      </c>
      <c r="N73" s="75" t="s">
        <v>15</v>
      </c>
      <c r="O73" s="76">
        <f>$O$2-R73</f>
        <v>21</v>
      </c>
      <c r="P73" s="96">
        <v>4</v>
      </c>
      <c r="Q73" s="97">
        <v>749.33645381496297</v>
      </c>
      <c r="R73" s="98">
        <v>10</v>
      </c>
      <c r="S73" s="99">
        <v>1</v>
      </c>
      <c r="T73" s="79">
        <f>MAX(($Q$2-Q73)/$Q$2, 0)</f>
        <v>4.421370686866969E-2</v>
      </c>
      <c r="U73" s="97">
        <v>3.456533173</v>
      </c>
      <c r="V73" s="100"/>
      <c r="W73" s="81">
        <f>(Q73-Q75)/Q75</f>
        <v>2.662771957416649E-3</v>
      </c>
      <c r="Y73" s="75" t="s">
        <v>15</v>
      </c>
      <c r="Z73" s="76">
        <f>$O$2-AC73</f>
        <v>22</v>
      </c>
      <c r="AA73" s="96">
        <v>4</v>
      </c>
      <c r="AB73" s="97">
        <v>720.98757417850004</v>
      </c>
      <c r="AC73" s="98">
        <v>9</v>
      </c>
      <c r="AD73" s="99">
        <v>1</v>
      </c>
      <c r="AE73" s="79">
        <f>MAX(($Q$2-AB73)/$Q$2, 0)</f>
        <v>8.0372992119260148E-2</v>
      </c>
      <c r="AF73" s="97">
        <v>3.4857526249999999</v>
      </c>
      <c r="AG73" s="101"/>
      <c r="AH73" s="81">
        <f>(AB73-AB75)/AB75</f>
        <v>7.3816069973106177E-2</v>
      </c>
      <c r="AJ73" s="75" t="s">
        <v>15</v>
      </c>
      <c r="AK73" s="76">
        <f>$O$2-AN73</f>
        <v>31</v>
      </c>
      <c r="AL73" s="96"/>
      <c r="AM73" s="97"/>
      <c r="AN73" s="98"/>
      <c r="AO73" s="99"/>
      <c r="AP73" s="79">
        <f>MAX(($Q$2-AM73)/$Q$2, 0)</f>
        <v>1</v>
      </c>
      <c r="AQ73" s="97"/>
      <c r="AS73" s="81" t="e">
        <f>(AM73-AM75)/AM75</f>
        <v>#DIV/0!</v>
      </c>
    </row>
    <row r="74" spans="1:45" x14ac:dyDescent="0.3">
      <c r="B74" s="84" t="s">
        <v>16</v>
      </c>
      <c r="C74" s="85">
        <f>$O$2-F74</f>
        <v>21</v>
      </c>
      <c r="D74" s="100">
        <v>4</v>
      </c>
      <c r="E74" s="102">
        <v>691.917513103077</v>
      </c>
      <c r="F74" s="103">
        <v>10</v>
      </c>
      <c r="G74" s="104">
        <v>1</v>
      </c>
      <c r="H74" s="88">
        <f>MAX(($Q$2-E74)/$Q$2, 0)</f>
        <v>0.11745215165423852</v>
      </c>
      <c r="I74" s="102">
        <v>108.406518604</v>
      </c>
      <c r="J74" s="68">
        <v>134</v>
      </c>
      <c r="K74" s="81">
        <f>(E74-E75)/E75</f>
        <v>0</v>
      </c>
      <c r="N74" s="84" t="s">
        <v>16</v>
      </c>
      <c r="O74" s="85">
        <f>$O$2-R74</f>
        <v>20</v>
      </c>
      <c r="P74" s="100">
        <v>4</v>
      </c>
      <c r="Q74" s="102">
        <v>747.34644067027102</v>
      </c>
      <c r="R74" s="103">
        <v>11</v>
      </c>
      <c r="S74" s="104">
        <v>1</v>
      </c>
      <c r="T74" s="88">
        <f>MAX(($Q$2-Q74)/$Q$2, 0)</f>
        <v>4.6751988940980836E-2</v>
      </c>
      <c r="U74" s="102">
        <v>131.93978677199999</v>
      </c>
      <c r="V74" s="100">
        <v>102</v>
      </c>
      <c r="W74" s="81">
        <f>(Q74-Q75)/Q75</f>
        <v>0</v>
      </c>
      <c r="Y74" s="84" t="s">
        <v>16</v>
      </c>
      <c r="Z74" s="85">
        <f>$O$2-AC74</f>
        <v>22</v>
      </c>
      <c r="AA74" s="100">
        <v>4</v>
      </c>
      <c r="AB74" s="102">
        <v>671.42557681834398</v>
      </c>
      <c r="AC74" s="103">
        <v>9</v>
      </c>
      <c r="AD74" s="104">
        <v>1</v>
      </c>
      <c r="AE74" s="88">
        <f>MAX(($Q$2-AB74)/$Q$2, 0)</f>
        <v>0.14358982548680616</v>
      </c>
      <c r="AF74" s="102">
        <v>179.226614256</v>
      </c>
      <c r="AG74" s="101">
        <v>107</v>
      </c>
      <c r="AH74" s="81">
        <f>(AB74-AB75)/AB75</f>
        <v>0</v>
      </c>
      <c r="AJ74" s="84" t="s">
        <v>16</v>
      </c>
      <c r="AK74" s="85">
        <f>$O$2-AN74</f>
        <v>31</v>
      </c>
      <c r="AL74" s="100"/>
      <c r="AM74" s="102"/>
      <c r="AN74" s="103"/>
      <c r="AO74" s="104"/>
      <c r="AP74" s="88">
        <f>MAX(($Q$2-AM74)/$Q$2, 0)</f>
        <v>1</v>
      </c>
      <c r="AQ74" s="102"/>
      <c r="AS74" s="81" t="e">
        <f>(AM74-AM75)/AM75</f>
        <v>#DIV/0!</v>
      </c>
    </row>
    <row r="75" spans="1:45" ht="15" thickBot="1" x14ac:dyDescent="0.35">
      <c r="A75" s="105" t="s">
        <v>39</v>
      </c>
      <c r="B75" s="90" t="s">
        <v>17</v>
      </c>
      <c r="C75" s="91">
        <f>$O$2-F75</f>
        <v>21</v>
      </c>
      <c r="D75" s="60">
        <v>4</v>
      </c>
      <c r="E75" s="61">
        <v>691.917513103077</v>
      </c>
      <c r="F75" s="62">
        <v>10</v>
      </c>
      <c r="G75" s="63">
        <v>1</v>
      </c>
      <c r="H75" s="94">
        <f>MAX(($Q$2-E75)/$Q$2,0)</f>
        <v>0.11745215165423852</v>
      </c>
      <c r="I75" s="61">
        <v>281642.89311162999</v>
      </c>
      <c r="K75" s="100"/>
      <c r="N75" s="90" t="s">
        <v>17</v>
      </c>
      <c r="O75" s="91">
        <f>$O$2-R75</f>
        <v>20</v>
      </c>
      <c r="P75" s="60">
        <v>4</v>
      </c>
      <c r="Q75" s="61">
        <v>747.34644067027102</v>
      </c>
      <c r="R75" s="62">
        <v>11</v>
      </c>
      <c r="S75" s="63">
        <v>1</v>
      </c>
      <c r="T75" s="94">
        <f>MAX(($Q$2-Q75)/$Q$2,0)</f>
        <v>4.6751988940980836E-2</v>
      </c>
      <c r="U75" s="61"/>
      <c r="V75" s="100"/>
      <c r="W75" s="100"/>
      <c r="Y75" s="90" t="s">
        <v>17</v>
      </c>
      <c r="Z75" s="91">
        <f>$O$2-AC75</f>
        <v>22</v>
      </c>
      <c r="AA75" s="60">
        <v>4</v>
      </c>
      <c r="AB75" s="61">
        <v>671.42557681834398</v>
      </c>
      <c r="AC75" s="62">
        <v>9</v>
      </c>
      <c r="AD75" s="63">
        <v>1</v>
      </c>
      <c r="AE75" s="94">
        <f>MAX(($Q$2-AB75)/$Q$2,0)</f>
        <v>0.14358982548680616</v>
      </c>
      <c r="AF75" s="61">
        <v>102640.27167364</v>
      </c>
      <c r="AG75" s="101"/>
      <c r="AH75" s="100"/>
      <c r="AJ75" s="90" t="s">
        <v>17</v>
      </c>
      <c r="AK75" s="91">
        <f>$O$2-AN75</f>
        <v>31</v>
      </c>
      <c r="AL75" s="60"/>
      <c r="AM75" s="61"/>
      <c r="AN75" s="62"/>
      <c r="AO75" s="63"/>
      <c r="AP75" s="94">
        <f>MAX(($Q$2-AM75)/$Q$2,0)</f>
        <v>1</v>
      </c>
      <c r="AQ75" s="61"/>
      <c r="AS75" s="100"/>
    </row>
    <row r="76" spans="1:45" ht="15" thickBot="1" x14ac:dyDescent="0.35">
      <c r="C76" s="68"/>
      <c r="D76" s="68"/>
      <c r="E76" s="68"/>
      <c r="F76" s="68"/>
      <c r="G76" s="68"/>
      <c r="H76" s="68"/>
      <c r="I76" s="68"/>
      <c r="K76" s="106"/>
      <c r="O76" s="68"/>
      <c r="P76" s="68"/>
      <c r="Q76" s="68"/>
      <c r="R76" s="68"/>
      <c r="S76" s="68"/>
      <c r="T76" s="68"/>
      <c r="U76" s="68"/>
      <c r="V76" s="106"/>
      <c r="W76" s="106"/>
      <c r="Z76" s="68"/>
      <c r="AA76" s="68"/>
      <c r="AB76" s="68"/>
      <c r="AC76" s="68"/>
      <c r="AD76" s="68"/>
      <c r="AE76" s="68"/>
      <c r="AF76" s="68"/>
      <c r="AG76" s="107"/>
      <c r="AH76" s="106"/>
      <c r="AK76" s="68"/>
      <c r="AL76" s="68"/>
      <c r="AM76" s="68"/>
      <c r="AN76" s="68"/>
      <c r="AO76" s="68"/>
      <c r="AP76" s="68"/>
      <c r="AQ76" s="68"/>
      <c r="AS76" s="106"/>
    </row>
    <row r="77" spans="1:45" x14ac:dyDescent="0.3">
      <c r="B77" s="75" t="s">
        <v>15</v>
      </c>
      <c r="C77" s="76">
        <f>$O$2-F77</f>
        <v>15</v>
      </c>
      <c r="D77" s="96">
        <v>3</v>
      </c>
      <c r="E77" s="97">
        <v>695.76478039820995</v>
      </c>
      <c r="F77" s="98">
        <v>16</v>
      </c>
      <c r="G77" s="99">
        <v>2</v>
      </c>
      <c r="H77" s="79">
        <f>MAX(($Q$2-E77)/$Q$2, 0)</f>
        <v>0.1125449229614669</v>
      </c>
      <c r="I77" s="97">
        <v>3.1042668080000002</v>
      </c>
      <c r="K77" s="81">
        <f>(E77-E79)/E79</f>
        <v>4.0410602753308093E-2</v>
      </c>
      <c r="N77" s="75" t="s">
        <v>15</v>
      </c>
      <c r="O77" s="76">
        <f>$O$2-R77</f>
        <v>20</v>
      </c>
      <c r="P77" s="96">
        <v>4</v>
      </c>
      <c r="Q77" s="97">
        <v>731.66820179566696</v>
      </c>
      <c r="R77" s="98">
        <v>11</v>
      </c>
      <c r="S77" s="99">
        <v>1</v>
      </c>
      <c r="T77" s="79">
        <f>MAX(($Q$2-Q77)/$Q$2, 0)</f>
        <v>6.674974260756765E-2</v>
      </c>
      <c r="U77" s="97">
        <v>10.257865217000001</v>
      </c>
      <c r="V77" s="100"/>
      <c r="W77" s="81">
        <f>(Q77-Q79)/Q79</f>
        <v>3.2982108804510281E-2</v>
      </c>
      <c r="Y77" s="75" t="s">
        <v>15</v>
      </c>
      <c r="Z77" s="76">
        <f>$O$2-AC77</f>
        <v>23</v>
      </c>
      <c r="AA77" s="96">
        <v>4</v>
      </c>
      <c r="AB77" s="97">
        <v>754.57124824275104</v>
      </c>
      <c r="AC77" s="98">
        <v>8</v>
      </c>
      <c r="AD77" s="99">
        <v>1</v>
      </c>
      <c r="AE77" s="79">
        <f>MAX(($Q$2-AB77)/$Q$2, 0)</f>
        <v>3.7536673159756326E-2</v>
      </c>
      <c r="AF77" s="97">
        <v>6.7730822489999998</v>
      </c>
      <c r="AG77" s="101"/>
      <c r="AH77" s="81">
        <f>(AB77-AB79)/AB79</f>
        <v>2.495995322935823E-3</v>
      </c>
      <c r="AJ77" s="75" t="s">
        <v>15</v>
      </c>
      <c r="AK77" s="76">
        <f>$O$2-AN77</f>
        <v>31</v>
      </c>
      <c r="AL77" s="96"/>
      <c r="AM77" s="97"/>
      <c r="AN77" s="98"/>
      <c r="AO77" s="99"/>
      <c r="AP77" s="79">
        <f>MAX(($Q$2-AM77)/$Q$2, 0)</f>
        <v>1</v>
      </c>
      <c r="AQ77" s="97"/>
      <c r="AS77" s="81" t="e">
        <f>(AM77-AM79)/AM79</f>
        <v>#DIV/0!</v>
      </c>
    </row>
    <row r="78" spans="1:45" x14ac:dyDescent="0.3">
      <c r="B78" s="84" t="s">
        <v>16</v>
      </c>
      <c r="C78" s="85">
        <f>$O$2-F78</f>
        <v>19</v>
      </c>
      <c r="D78" s="100">
        <v>4</v>
      </c>
      <c r="E78" s="102">
        <v>672.06233867987396</v>
      </c>
      <c r="F78" s="103">
        <v>12</v>
      </c>
      <c r="G78" s="104">
        <v>1</v>
      </c>
      <c r="H78" s="88">
        <f>MAX(($Q$2-E78)/$Q$2, 0)</f>
        <v>0.14277762923485465</v>
      </c>
      <c r="I78" s="102">
        <v>163.14538259700001</v>
      </c>
      <c r="J78" s="68">
        <v>118</v>
      </c>
      <c r="K78" s="81">
        <f>(E78-E79)/E79</f>
        <v>4.9671995089168074E-3</v>
      </c>
      <c r="N78" s="84" t="s">
        <v>16</v>
      </c>
      <c r="O78" s="85">
        <f>$O$2-R78</f>
        <v>20</v>
      </c>
      <c r="P78" s="100">
        <v>4</v>
      </c>
      <c r="Q78" s="102">
        <v>708.30675145229804</v>
      </c>
      <c r="R78" s="103">
        <v>11</v>
      </c>
      <c r="S78" s="104">
        <v>1</v>
      </c>
      <c r="T78" s="88">
        <f>MAX(($Q$2-Q78)/$Q$2, 0)</f>
        <v>9.6547510902681072E-2</v>
      </c>
      <c r="U78" s="102">
        <v>109.019511171</v>
      </c>
      <c r="V78" s="100">
        <v>102</v>
      </c>
      <c r="W78" s="81">
        <f>(Q78-Q79)/Q79</f>
        <v>0</v>
      </c>
      <c r="Y78" s="84" t="s">
        <v>16</v>
      </c>
      <c r="Z78" s="85">
        <f>$O$2-AC78</f>
        <v>23</v>
      </c>
      <c r="AA78" s="100">
        <v>4</v>
      </c>
      <c r="AB78" s="102">
        <v>752.692531205254</v>
      </c>
      <c r="AC78" s="103">
        <v>8</v>
      </c>
      <c r="AD78" s="104">
        <v>1</v>
      </c>
      <c r="AE78" s="88">
        <f>MAX(($Q$2-AB78)/$Q$2, 0)</f>
        <v>3.9932995911665818E-2</v>
      </c>
      <c r="AF78" s="102">
        <v>153.34229948999999</v>
      </c>
      <c r="AG78" s="101">
        <v>103</v>
      </c>
      <c r="AH78" s="81">
        <f>(AB78-AB79)/AB79</f>
        <v>0</v>
      </c>
      <c r="AJ78" s="84" t="s">
        <v>16</v>
      </c>
      <c r="AK78" s="85">
        <f>$O$2-AN78</f>
        <v>31</v>
      </c>
      <c r="AL78" s="100"/>
      <c r="AM78" s="102"/>
      <c r="AN78" s="103"/>
      <c r="AO78" s="104"/>
      <c r="AP78" s="88">
        <f>MAX(($Q$2-AM78)/$Q$2, 0)</f>
        <v>1</v>
      </c>
      <c r="AQ78" s="102"/>
      <c r="AS78" s="81" t="e">
        <f>(AM78-AM79)/AM79</f>
        <v>#DIV/0!</v>
      </c>
    </row>
    <row r="79" spans="1:45" ht="15" thickBot="1" x14ac:dyDescent="0.35">
      <c r="A79" s="105" t="s">
        <v>40</v>
      </c>
      <c r="B79" s="90" t="s">
        <v>17</v>
      </c>
      <c r="C79" s="91">
        <f>$O$2-F79</f>
        <v>19</v>
      </c>
      <c r="D79" s="60">
        <v>4</v>
      </c>
      <c r="E79" s="61">
        <v>668.74057084478102</v>
      </c>
      <c r="F79" s="62">
        <v>12</v>
      </c>
      <c r="G79" s="63">
        <v>1</v>
      </c>
      <c r="H79" s="94">
        <f>MAX(($Q$2-E79)/$Q$2,0)</f>
        <v>0.14701457800410583</v>
      </c>
      <c r="I79" s="61"/>
      <c r="K79" s="100"/>
      <c r="N79" s="90" t="s">
        <v>17</v>
      </c>
      <c r="O79" s="91">
        <f>$O$2-R79</f>
        <v>20</v>
      </c>
      <c r="P79" s="60">
        <v>4</v>
      </c>
      <c r="Q79" s="61">
        <v>708.30675145229804</v>
      </c>
      <c r="R79" s="62">
        <v>11</v>
      </c>
      <c r="S79" s="63">
        <v>1</v>
      </c>
      <c r="T79" s="94">
        <f>MAX(($Q$2-Q79)/$Q$2,0)</f>
        <v>9.6547510902681072E-2</v>
      </c>
      <c r="U79" s="61"/>
      <c r="V79" s="100"/>
      <c r="W79" s="100"/>
      <c r="Y79" s="90" t="s">
        <v>17</v>
      </c>
      <c r="Z79" s="91">
        <f>$O$2-AC79</f>
        <v>23</v>
      </c>
      <c r="AA79" s="60">
        <v>4</v>
      </c>
      <c r="AB79" s="61">
        <v>752.692531205254</v>
      </c>
      <c r="AC79" s="62">
        <v>8</v>
      </c>
      <c r="AD79" s="63">
        <v>1</v>
      </c>
      <c r="AE79" s="94">
        <f>MAX(($Q$2-AB79)/$Q$2,0)</f>
        <v>3.9932995911665818E-2</v>
      </c>
      <c r="AF79" s="61">
        <v>160140.798074411</v>
      </c>
      <c r="AG79" s="101"/>
      <c r="AH79" s="100"/>
      <c r="AJ79" s="90" t="s">
        <v>17</v>
      </c>
      <c r="AK79" s="91">
        <f>$O$2-AN79</f>
        <v>31</v>
      </c>
      <c r="AL79" s="60"/>
      <c r="AM79" s="61"/>
      <c r="AN79" s="62"/>
      <c r="AO79" s="63"/>
      <c r="AP79" s="94">
        <f>MAX(($Q$2-AM79)/$Q$2,0)</f>
        <v>1</v>
      </c>
      <c r="AQ79" s="61"/>
      <c r="AS79" s="100"/>
    </row>
    <row r="80" spans="1:45" ht="15" thickBot="1" x14ac:dyDescent="0.35">
      <c r="C80" s="68"/>
      <c r="D80" s="68"/>
      <c r="E80" s="68"/>
      <c r="F80" s="68"/>
      <c r="G80" s="68"/>
      <c r="H80" s="68"/>
      <c r="I80" s="68"/>
      <c r="K80" s="106"/>
      <c r="O80" s="68"/>
      <c r="P80" s="68"/>
      <c r="Q80" s="68"/>
      <c r="R80" s="68"/>
      <c r="S80" s="68"/>
      <c r="T80" s="68"/>
      <c r="U80" s="68"/>
      <c r="V80" s="106"/>
      <c r="W80" s="106"/>
      <c r="Z80" s="68"/>
      <c r="AA80" s="68"/>
      <c r="AB80" s="68"/>
      <c r="AC80" s="68"/>
      <c r="AD80" s="68"/>
      <c r="AE80" s="68"/>
      <c r="AF80" s="68"/>
      <c r="AG80" s="107"/>
      <c r="AH80" s="106"/>
      <c r="AK80" s="68"/>
      <c r="AL80" s="68"/>
      <c r="AM80" s="68"/>
      <c r="AN80" s="68"/>
      <c r="AO80" s="68"/>
      <c r="AP80" s="68"/>
      <c r="AQ80" s="68"/>
      <c r="AS80" s="106"/>
    </row>
    <row r="81" spans="1:45" x14ac:dyDescent="0.3">
      <c r="B81" s="75" t="s">
        <v>15</v>
      </c>
      <c r="C81" s="76">
        <f>$O$2-F81</f>
        <v>20</v>
      </c>
      <c r="D81" s="96">
        <v>4</v>
      </c>
      <c r="E81" s="97">
        <v>701.04960863962594</v>
      </c>
      <c r="F81" s="98">
        <v>11</v>
      </c>
      <c r="G81" s="99">
        <v>1</v>
      </c>
      <c r="H81" s="79">
        <f>MAX(($Q$2-E81)/$Q$2, 0)</f>
        <v>0.10580407061272201</v>
      </c>
      <c r="I81" s="97">
        <v>9.1322212779999994</v>
      </c>
      <c r="K81" s="81">
        <f>(E81-E83)/E83</f>
        <v>6.0138898971828031E-2</v>
      </c>
      <c r="N81" s="75" t="s">
        <v>15</v>
      </c>
      <c r="O81" s="76">
        <f>$O$2-R81</f>
        <v>22</v>
      </c>
      <c r="P81" s="96">
        <v>4</v>
      </c>
      <c r="Q81" s="97">
        <v>698.65429157452604</v>
      </c>
      <c r="R81" s="98">
        <v>9</v>
      </c>
      <c r="S81" s="99">
        <v>1</v>
      </c>
      <c r="T81" s="79">
        <f>MAX(($Q$2-Q81)/$Q$2, 0)</f>
        <v>0.1088593219712678</v>
      </c>
      <c r="U81" s="97">
        <v>14.288873813</v>
      </c>
      <c r="V81" s="100"/>
      <c r="W81" s="81">
        <f>(Q81-Q83)/Q83</f>
        <v>3.9878027057330269E-2</v>
      </c>
      <c r="Y81" s="75" t="s">
        <v>15</v>
      </c>
      <c r="Z81" s="76">
        <f>$O$2-AC81</f>
        <v>23</v>
      </c>
      <c r="AA81" s="96">
        <v>4</v>
      </c>
      <c r="AB81" s="97">
        <v>711.91859503191904</v>
      </c>
      <c r="AC81" s="98">
        <v>8</v>
      </c>
      <c r="AD81" s="99">
        <v>1</v>
      </c>
      <c r="AE81" s="79">
        <f>MAX(($Q$2-AB81)/$Q$2, 0)</f>
        <v>9.1940567561327749E-2</v>
      </c>
      <c r="AF81" s="97">
        <v>8.4261115849999992</v>
      </c>
      <c r="AG81" s="101"/>
      <c r="AH81" s="81">
        <f>(AB81-AB83)/AB83</f>
        <v>6.1608563439528523E-2</v>
      </c>
      <c r="AJ81" s="75" t="s">
        <v>15</v>
      </c>
      <c r="AK81" s="76">
        <f>$O$2-AN81</f>
        <v>31</v>
      </c>
      <c r="AL81" s="96"/>
      <c r="AM81" s="97"/>
      <c r="AN81" s="98"/>
      <c r="AO81" s="99"/>
      <c r="AP81" s="79">
        <f>MAX(($Q$2-AM81)/$Q$2, 0)</f>
        <v>1</v>
      </c>
      <c r="AQ81" s="97"/>
      <c r="AS81" s="81" t="e">
        <f>(AM81-AM83)/AM83</f>
        <v>#DIV/0!</v>
      </c>
    </row>
    <row r="82" spans="1:45" x14ac:dyDescent="0.3">
      <c r="B82" s="84" t="s">
        <v>16</v>
      </c>
      <c r="C82" s="85">
        <f>$O$2-F82</f>
        <v>18</v>
      </c>
      <c r="D82" s="100">
        <v>4</v>
      </c>
      <c r="E82" s="102">
        <v>661.28090320951003</v>
      </c>
      <c r="F82" s="103">
        <v>13</v>
      </c>
      <c r="G82" s="104">
        <v>1</v>
      </c>
      <c r="H82" s="88">
        <f>MAX(($Q$2-E82)/$Q$2, 0)</f>
        <v>0.15652946019195149</v>
      </c>
      <c r="I82" s="102">
        <v>157.20889685700001</v>
      </c>
      <c r="J82" s="68">
        <v>104</v>
      </c>
      <c r="K82" s="81">
        <f>(E82-E83)/E83</f>
        <v>0</v>
      </c>
      <c r="N82" s="84" t="s">
        <v>16</v>
      </c>
      <c r="O82" s="85">
        <f>$O$2-R82</f>
        <v>21</v>
      </c>
      <c r="P82" s="100">
        <v>4</v>
      </c>
      <c r="Q82" s="102">
        <v>676.32691514155704</v>
      </c>
      <c r="R82" s="103">
        <v>10</v>
      </c>
      <c r="S82" s="104">
        <v>1</v>
      </c>
      <c r="T82" s="88">
        <f>MAX(($Q$2-Q82)/$Q$2, 0)</f>
        <v>0.13733811844189153</v>
      </c>
      <c r="U82" s="102">
        <v>162.722288988</v>
      </c>
      <c r="V82" s="100">
        <v>145</v>
      </c>
      <c r="W82" s="81">
        <f>(Q82-Q83)/Q83</f>
        <v>6.6459286726522956E-3</v>
      </c>
      <c r="Y82" s="84" t="s">
        <v>16</v>
      </c>
      <c r="Z82" s="85">
        <f>$O$2-AC82</f>
        <v>22</v>
      </c>
      <c r="AA82" s="100">
        <v>4</v>
      </c>
      <c r="AB82" s="102">
        <v>670.60366650148205</v>
      </c>
      <c r="AC82" s="103">
        <v>9</v>
      </c>
      <c r="AD82" s="104">
        <v>1</v>
      </c>
      <c r="AE82" s="88">
        <f>MAX(($Q$2-AB82)/$Q$2, 0)</f>
        <v>0.1446381804828035</v>
      </c>
      <c r="AF82" s="102">
        <v>296.21908041199998</v>
      </c>
      <c r="AG82" s="101">
        <v>207</v>
      </c>
      <c r="AH82" s="81">
        <f>(AB82-AB83)/AB83</f>
        <v>0</v>
      </c>
      <c r="AJ82" s="84" t="s">
        <v>16</v>
      </c>
      <c r="AK82" s="85">
        <f>$O$2-AN82</f>
        <v>31</v>
      </c>
      <c r="AL82" s="100"/>
      <c r="AM82" s="102"/>
      <c r="AN82" s="103"/>
      <c r="AO82" s="104"/>
      <c r="AP82" s="88">
        <f>MAX(($Q$2-AM82)/$Q$2, 0)</f>
        <v>1</v>
      </c>
      <c r="AQ82" s="102"/>
      <c r="AS82" s="81" t="e">
        <f>(AM82-AM83)/AM83</f>
        <v>#DIV/0!</v>
      </c>
    </row>
    <row r="83" spans="1:45" ht="15" thickBot="1" x14ac:dyDescent="0.35">
      <c r="A83" s="105" t="s">
        <v>19</v>
      </c>
      <c r="B83" s="90" t="s">
        <v>17</v>
      </c>
      <c r="C83" s="91">
        <f>$O$2-F83</f>
        <v>18</v>
      </c>
      <c r="D83" s="60">
        <v>4</v>
      </c>
      <c r="E83" s="61">
        <v>661.28090320951003</v>
      </c>
      <c r="F83" s="62">
        <v>13</v>
      </c>
      <c r="G83" s="63">
        <v>1</v>
      </c>
      <c r="H83" s="94">
        <f>MAX(($Q$2-E83)/$Q$2,0)</f>
        <v>0.15652946019195149</v>
      </c>
      <c r="I83" s="61">
        <v>87803.284714423004</v>
      </c>
      <c r="K83" s="100"/>
      <c r="N83" s="90" t="s">
        <v>17</v>
      </c>
      <c r="O83" s="91">
        <f>$O$2-R83</f>
        <v>20</v>
      </c>
      <c r="P83" s="60">
        <v>4</v>
      </c>
      <c r="Q83" s="61">
        <v>671.86176974196997</v>
      </c>
      <c r="R83" s="62">
        <v>11</v>
      </c>
      <c r="S83" s="63">
        <v>1</v>
      </c>
      <c r="T83" s="94">
        <f>MAX(($Q$2-Q83)/$Q$2,0)</f>
        <v>0.143033456961773</v>
      </c>
      <c r="U83" s="61">
        <v>157446.13123109101</v>
      </c>
      <c r="V83" s="100"/>
      <c r="W83" s="100"/>
      <c r="Y83" s="90" t="s">
        <v>17</v>
      </c>
      <c r="Z83" s="91">
        <f>$O$2-AC83</f>
        <v>22</v>
      </c>
      <c r="AA83" s="60">
        <v>4</v>
      </c>
      <c r="AB83" s="61">
        <v>670.60366650148205</v>
      </c>
      <c r="AC83" s="62">
        <v>9</v>
      </c>
      <c r="AD83" s="63">
        <v>1</v>
      </c>
      <c r="AE83" s="94">
        <f>MAX(($Q$2-AB83)/$Q$2,0)</f>
        <v>0.1446381804828035</v>
      </c>
      <c r="AF83" s="61">
        <v>3217.3065810530002</v>
      </c>
      <c r="AG83" s="101"/>
      <c r="AH83" s="100"/>
      <c r="AJ83" s="90" t="s">
        <v>17</v>
      </c>
      <c r="AK83" s="91">
        <f>$O$2-AN83</f>
        <v>31</v>
      </c>
      <c r="AL83" s="60"/>
      <c r="AM83" s="61"/>
      <c r="AN83" s="62"/>
      <c r="AO83" s="63"/>
      <c r="AP83" s="94">
        <f>MAX(($Q$2-AM83)/$Q$2,0)</f>
        <v>1</v>
      </c>
      <c r="AQ83" s="61"/>
      <c r="AS83" s="100"/>
    </row>
    <row r="84" spans="1:45" ht="15" thickBot="1" x14ac:dyDescent="0.35">
      <c r="A84" s="105"/>
      <c r="C84" s="68"/>
      <c r="D84" s="68"/>
      <c r="E84" s="68"/>
      <c r="F84" s="68"/>
      <c r="G84" s="68"/>
      <c r="H84" s="68"/>
      <c r="I84" s="68"/>
      <c r="K84" s="106"/>
      <c r="O84" s="68"/>
      <c r="P84" s="68"/>
      <c r="Q84" s="68"/>
      <c r="R84" s="68"/>
      <c r="S84" s="68"/>
      <c r="T84" s="68"/>
      <c r="U84" s="68"/>
      <c r="V84" s="106"/>
      <c r="W84" s="106"/>
      <c r="Z84" s="68"/>
      <c r="AA84" s="68"/>
      <c r="AB84" s="68"/>
      <c r="AC84" s="68"/>
      <c r="AD84" s="68"/>
      <c r="AE84" s="68"/>
      <c r="AF84" s="68"/>
      <c r="AG84" s="107"/>
      <c r="AH84" s="106"/>
      <c r="AK84" s="68"/>
      <c r="AL84" s="68"/>
      <c r="AM84" s="68"/>
      <c r="AN84" s="68"/>
      <c r="AO84" s="68"/>
      <c r="AP84" s="68"/>
      <c r="AQ84" s="68"/>
      <c r="AS84" s="106"/>
    </row>
    <row r="85" spans="1:45" x14ac:dyDescent="0.3">
      <c r="B85" s="75" t="s">
        <v>15</v>
      </c>
      <c r="C85" s="76">
        <f>$O$2-F85</f>
        <v>19</v>
      </c>
      <c r="D85" s="96">
        <v>4</v>
      </c>
      <c r="E85" s="97">
        <v>688.102727217385</v>
      </c>
      <c r="F85" s="98">
        <v>12</v>
      </c>
      <c r="G85" s="99">
        <v>1</v>
      </c>
      <c r="H85" s="79">
        <f>MAX(($Q$2-E85)/$Q$2, 0)</f>
        <v>0.12231794997782526</v>
      </c>
      <c r="I85" s="97">
        <v>20.538526923999999</v>
      </c>
      <c r="K85" s="81">
        <f>(E85-E87)/E87</f>
        <v>3.609542100766E-2</v>
      </c>
      <c r="N85" s="75" t="s">
        <v>15</v>
      </c>
      <c r="O85" s="76">
        <f>$O$2-R85</f>
        <v>22</v>
      </c>
      <c r="P85" s="96">
        <v>4</v>
      </c>
      <c r="Q85" s="97">
        <v>771.39219765232701</v>
      </c>
      <c r="R85" s="98">
        <v>9</v>
      </c>
      <c r="S85" s="99">
        <v>1</v>
      </c>
      <c r="T85" s="79">
        <f>MAX(($Q$2-Q85)/$Q$2, 0)</f>
        <v>1.6081380545501258E-2</v>
      </c>
      <c r="U85" s="97">
        <v>3.1412566970000002</v>
      </c>
      <c r="V85" s="100"/>
      <c r="W85" s="81">
        <f>(Q85-Q87)/Q87</f>
        <v>7.370125452945118E-3</v>
      </c>
      <c r="Y85" s="75" t="s">
        <v>15</v>
      </c>
      <c r="Z85" s="76">
        <f>$O$2-AC85</f>
        <v>23</v>
      </c>
      <c r="AA85" s="96">
        <v>4</v>
      </c>
      <c r="AB85" s="97">
        <v>756.64646844398703</v>
      </c>
      <c r="AC85" s="98">
        <v>8</v>
      </c>
      <c r="AD85" s="99">
        <v>1</v>
      </c>
      <c r="AE85" s="79">
        <f>MAX(($Q$2-AB85)/$Q$2, 0)</f>
        <v>3.4889708617363478E-2</v>
      </c>
      <c r="AF85" s="97">
        <v>3.5448299300000001</v>
      </c>
      <c r="AG85" s="101"/>
      <c r="AH85" s="81">
        <f>(AB85-AB87)/AB87</f>
        <v>5.8834219947970189E-2</v>
      </c>
      <c r="AJ85" s="75" t="s">
        <v>15</v>
      </c>
      <c r="AK85" s="76">
        <f>$O$2-AN85</f>
        <v>31</v>
      </c>
      <c r="AL85" s="96"/>
      <c r="AM85" s="97"/>
      <c r="AN85" s="98"/>
      <c r="AO85" s="99"/>
      <c r="AP85" s="79">
        <f>MAX(($Q$2-AM85)/$Q$2, 0)</f>
        <v>1</v>
      </c>
      <c r="AQ85" s="97"/>
      <c r="AS85" s="81" t="e">
        <f>(AM85-AM87)/AM87</f>
        <v>#DIV/0!</v>
      </c>
    </row>
    <row r="86" spans="1:45" x14ac:dyDescent="0.3">
      <c r="B86" s="84" t="s">
        <v>16</v>
      </c>
      <c r="C86" s="85">
        <f>$O$2-F86</f>
        <v>18</v>
      </c>
      <c r="D86" s="100">
        <v>4</v>
      </c>
      <c r="E86" s="102">
        <v>664.13065173878203</v>
      </c>
      <c r="F86" s="103">
        <v>13</v>
      </c>
      <c r="G86" s="104">
        <v>1</v>
      </c>
      <c r="H86" s="88">
        <f>MAX(($Q$2-E86)/$Q$2, 0)</f>
        <v>0.15289457686379843</v>
      </c>
      <c r="I86" s="102">
        <v>140.878016159</v>
      </c>
      <c r="J86" s="68">
        <v>123</v>
      </c>
      <c r="K86" s="81">
        <f>(E86-E87)/E87</f>
        <v>0</v>
      </c>
      <c r="N86" s="84" t="s">
        <v>16</v>
      </c>
      <c r="O86" s="85">
        <f>$O$2-R86</f>
        <v>22</v>
      </c>
      <c r="P86" s="100">
        <v>4</v>
      </c>
      <c r="Q86" s="102">
        <v>765.74853488481699</v>
      </c>
      <c r="R86" s="103">
        <v>9</v>
      </c>
      <c r="S86" s="104">
        <v>1</v>
      </c>
      <c r="T86" s="88">
        <f>MAX(($Q$2-Q86)/$Q$2, 0)</f>
        <v>2.3279929993855881E-2</v>
      </c>
      <c r="U86" s="102">
        <v>152.53326868100001</v>
      </c>
      <c r="V86" s="100">
        <v>102</v>
      </c>
      <c r="W86" s="81">
        <f>(Q86-Q87)/Q87</f>
        <v>0</v>
      </c>
      <c r="Y86" s="84" t="s">
        <v>16</v>
      </c>
      <c r="Z86" s="85">
        <f>$O$2-AC86</f>
        <v>23</v>
      </c>
      <c r="AA86" s="100">
        <v>4</v>
      </c>
      <c r="AB86" s="102">
        <v>714.60333845384105</v>
      </c>
      <c r="AC86" s="103">
        <v>8</v>
      </c>
      <c r="AD86" s="104">
        <v>1</v>
      </c>
      <c r="AE86" s="88">
        <f>MAX(($Q$2-AB86)/$Q$2, 0)</f>
        <v>8.85161499313252E-2</v>
      </c>
      <c r="AF86" s="102">
        <v>262.16842580999997</v>
      </c>
      <c r="AG86" s="101">
        <v>110</v>
      </c>
      <c r="AH86" s="81">
        <f>(AB86-AB87)/AB87</f>
        <v>1.431817463529296E-15</v>
      </c>
      <c r="AJ86" s="84" t="s">
        <v>16</v>
      </c>
      <c r="AK86" s="85">
        <f>$O$2-AN86</f>
        <v>31</v>
      </c>
      <c r="AL86" s="100"/>
      <c r="AM86" s="102"/>
      <c r="AN86" s="103"/>
      <c r="AO86" s="104"/>
      <c r="AP86" s="88">
        <f>MAX(($Q$2-AM86)/$Q$2, 0)</f>
        <v>1</v>
      </c>
      <c r="AQ86" s="102"/>
      <c r="AS86" s="81" t="e">
        <f>(AM86-AM87)/AM87</f>
        <v>#DIV/0!</v>
      </c>
    </row>
    <row r="87" spans="1:45" ht="15" thickBot="1" x14ac:dyDescent="0.35">
      <c r="A87" s="105" t="s">
        <v>41</v>
      </c>
      <c r="B87" s="90" t="s">
        <v>17</v>
      </c>
      <c r="C87" s="91">
        <f>$O$2-F87</f>
        <v>18</v>
      </c>
      <c r="D87" s="60">
        <v>4</v>
      </c>
      <c r="E87" s="61">
        <v>664.13065173878203</v>
      </c>
      <c r="F87" s="62">
        <v>13</v>
      </c>
      <c r="G87" s="63">
        <v>1</v>
      </c>
      <c r="H87" s="94">
        <f>MAX(($Q$2-E87)/$Q$2,0)</f>
        <v>0.15289457686379843</v>
      </c>
      <c r="I87" s="61">
        <v>309982.12759325502</v>
      </c>
      <c r="K87" s="100"/>
      <c r="N87" s="90" t="s">
        <v>17</v>
      </c>
      <c r="O87" s="91">
        <f>$O$2-R87</f>
        <v>22</v>
      </c>
      <c r="P87" s="60">
        <v>4</v>
      </c>
      <c r="Q87" s="61">
        <v>765.74853488481699</v>
      </c>
      <c r="R87" s="62">
        <v>9</v>
      </c>
      <c r="S87" s="63">
        <v>1</v>
      </c>
      <c r="T87" s="94">
        <f>MAX(($Q$2-Q87)/$Q$2,0)</f>
        <v>2.3279929993855881E-2</v>
      </c>
      <c r="U87" s="61"/>
      <c r="V87" s="100"/>
      <c r="W87" s="100"/>
      <c r="Y87" s="90" t="s">
        <v>17</v>
      </c>
      <c r="Z87" s="91">
        <f>$O$2-AC87</f>
        <v>23</v>
      </c>
      <c r="AA87" s="60">
        <v>4</v>
      </c>
      <c r="AB87" s="61">
        <v>714.60333845384002</v>
      </c>
      <c r="AC87" s="62">
        <v>8</v>
      </c>
      <c r="AD87" s="63">
        <v>1</v>
      </c>
      <c r="AE87" s="94">
        <f>MAX(($Q$2-AB87)/$Q$2,0)</f>
        <v>8.8516149931326504E-2</v>
      </c>
      <c r="AF87" s="61"/>
      <c r="AG87" s="101"/>
      <c r="AH87" s="100"/>
      <c r="AJ87" s="90" t="s">
        <v>17</v>
      </c>
      <c r="AK87" s="91">
        <f>$O$2-AN87</f>
        <v>31</v>
      </c>
      <c r="AL87" s="60"/>
      <c r="AM87" s="61"/>
      <c r="AN87" s="62"/>
      <c r="AO87" s="63"/>
      <c r="AP87" s="94">
        <f>MAX(($Q$2-AM87)/$Q$2,0)</f>
        <v>1</v>
      </c>
      <c r="AQ87" s="61"/>
      <c r="AS87" s="100"/>
    </row>
  </sheetData>
  <mergeCells count="48">
    <mergeCell ref="AP4:AQ4"/>
    <mergeCell ref="C3:I3"/>
    <mergeCell ref="O3:U3"/>
    <mergeCell ref="Z3:AF3"/>
    <mergeCell ref="AK3:AQ3"/>
    <mergeCell ref="C4:E4"/>
    <mergeCell ref="F4:G4"/>
    <mergeCell ref="H4:I4"/>
    <mergeCell ref="O4:Q4"/>
    <mergeCell ref="R4:S4"/>
    <mergeCell ref="T4:U4"/>
    <mergeCell ref="Z4:AB4"/>
    <mergeCell ref="AC4:AD4"/>
    <mergeCell ref="AE4:AF4"/>
    <mergeCell ref="AK4:AM4"/>
    <mergeCell ref="AN4:AO4"/>
    <mergeCell ref="AP33:AQ33"/>
    <mergeCell ref="C32:I32"/>
    <mergeCell ref="O32:U32"/>
    <mergeCell ref="Z32:AF32"/>
    <mergeCell ref="AK32:AQ32"/>
    <mergeCell ref="C33:E33"/>
    <mergeCell ref="F33:G33"/>
    <mergeCell ref="H33:I33"/>
    <mergeCell ref="O33:Q33"/>
    <mergeCell ref="R33:S33"/>
    <mergeCell ref="T33:U33"/>
    <mergeCell ref="Z33:AB33"/>
    <mergeCell ref="AC33:AD33"/>
    <mergeCell ref="AE33:AF33"/>
    <mergeCell ref="AK33:AM33"/>
    <mergeCell ref="AN33:AO33"/>
    <mergeCell ref="AP62:AQ62"/>
    <mergeCell ref="C61:I61"/>
    <mergeCell ref="O61:U61"/>
    <mergeCell ref="Z61:AF61"/>
    <mergeCell ref="AK61:AQ61"/>
    <mergeCell ref="C62:E62"/>
    <mergeCell ref="F62:G62"/>
    <mergeCell ref="H62:I62"/>
    <mergeCell ref="O62:Q62"/>
    <mergeCell ref="R62:S62"/>
    <mergeCell ref="T62:U62"/>
    <mergeCell ref="Z62:AB62"/>
    <mergeCell ref="AC62:AD62"/>
    <mergeCell ref="AE62:AF62"/>
    <mergeCell ref="AK62:AM62"/>
    <mergeCell ref="AN62:AO62"/>
  </mergeCells>
  <conditionalFormatting sqref="AB13">
    <cfRule type="expression" dxfId="12" priority="3">
      <formula>AB13=MIN($AB$11:$AB$13)</formula>
    </cfRule>
  </conditionalFormatting>
  <conditionalFormatting sqref="AB21">
    <cfRule type="expression" dxfId="11" priority="2">
      <formula>$AB$19=MIN($AB$19:$AB$21)</formula>
    </cfRule>
  </conditionalFormatting>
  <conditionalFormatting sqref="AB25">
    <cfRule type="expression" dxfId="10" priority="1">
      <formula>$AB$19=MIN($AB$19:$AB$21)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zoomScale="90" zoomScaleNormal="90" workbookViewId="0">
      <selection activeCell="E16" sqref="E16"/>
    </sheetView>
  </sheetViews>
  <sheetFormatPr defaultRowHeight="14.4" x14ac:dyDescent="0.3"/>
  <cols>
    <col min="1" max="3" width="8.88671875" style="3"/>
    <col min="4" max="4" width="22" style="3" bestFit="1" customWidth="1"/>
    <col min="5" max="16384" width="8.88671875" style="3"/>
  </cols>
  <sheetData>
    <row r="2" spans="2:12" x14ac:dyDescent="0.3">
      <c r="B2" s="110" t="s">
        <v>42</v>
      </c>
      <c r="C2" s="111"/>
      <c r="D2" s="280" t="s">
        <v>43</v>
      </c>
      <c r="E2" s="112" t="s">
        <v>44</v>
      </c>
      <c r="F2" s="113"/>
      <c r="G2" s="113"/>
      <c r="H2" s="113"/>
      <c r="I2" s="113"/>
      <c r="J2" s="114"/>
    </row>
    <row r="3" spans="2:12" x14ac:dyDescent="0.3">
      <c r="B3" s="115" t="s">
        <v>45</v>
      </c>
      <c r="C3" s="115" t="s">
        <v>46</v>
      </c>
      <c r="D3" s="280"/>
      <c r="E3" s="116" t="s">
        <v>47</v>
      </c>
      <c r="F3" s="115" t="s">
        <v>48</v>
      </c>
      <c r="G3" s="115" t="s">
        <v>49</v>
      </c>
      <c r="H3" s="115" t="s">
        <v>50</v>
      </c>
      <c r="I3" s="115" t="s">
        <v>51</v>
      </c>
      <c r="J3" s="115" t="s">
        <v>52</v>
      </c>
    </row>
    <row r="4" spans="2:12" ht="18" customHeight="1" x14ac:dyDescent="0.3">
      <c r="B4" s="117">
        <v>0.2</v>
      </c>
      <c r="C4" s="118">
        <v>2.5</v>
      </c>
      <c r="D4" s="119" t="s">
        <v>53</v>
      </c>
      <c r="E4" s="120">
        <f>'[2]Benchmarking-32'!D4</f>
        <v>1.9112220198540204E-2</v>
      </c>
      <c r="F4" s="120">
        <f>'[2]Benchmarking-32'!E4</f>
        <v>6.317214320363676E-2</v>
      </c>
      <c r="G4" s="120">
        <f>'[2]Benchmarking-32'!F4</f>
        <v>5.0632201694712164E-2</v>
      </c>
      <c r="H4" s="120">
        <f>'[2]Benchmarking-32'!G4</f>
        <v>8.1558137742491262E-3</v>
      </c>
      <c r="I4" s="120">
        <f>'[2]Benchmarking-32'!H4</f>
        <v>4.975040354025277E-3</v>
      </c>
      <c r="J4" s="120">
        <f>'[2]Benchmarking-32'!I4</f>
        <v>5.2391248318819543E-3</v>
      </c>
      <c r="K4" s="121">
        <f>MAX(E4:G4)</f>
        <v>6.317214320363676E-2</v>
      </c>
      <c r="L4" s="121">
        <f>MAX(H4:J4)</f>
        <v>8.1558137742491262E-3</v>
      </c>
    </row>
    <row r="5" spans="2:12" ht="18" customHeight="1" x14ac:dyDescent="0.3">
      <c r="B5" s="117"/>
      <c r="C5" s="118"/>
      <c r="D5" s="119" t="s">
        <v>54</v>
      </c>
      <c r="E5" s="120">
        <f>'[2]Benchmarking-32'!J4</f>
        <v>4.5026829397259521E-2</v>
      </c>
      <c r="F5" s="120">
        <f>'[2]Benchmarking-32'!K4</f>
        <v>0.10343223199921961</v>
      </c>
      <c r="G5" s="120">
        <f>'[2]Benchmarking-32'!L4</f>
        <v>9.3582554855590055E-2</v>
      </c>
      <c r="H5" s="120">
        <f>'[2]Benchmarking-32'!M4</f>
        <v>1.7457692841455149E-2</v>
      </c>
      <c r="I5" s="120">
        <f>'[2]Benchmarking-32'!N4</f>
        <v>1.318672204560112E-2</v>
      </c>
      <c r="J5" s="120">
        <f>'[2]Benchmarking-32'!O4</f>
        <v>1.4349467573711994E-2</v>
      </c>
      <c r="K5" s="121">
        <f>MAX(E5:G5)</f>
        <v>0.10343223199921961</v>
      </c>
      <c r="L5" s="121">
        <f t="shared" ref="L5:L29" si="0">MAX(H5:J5)</f>
        <v>1.7457692841455149E-2</v>
      </c>
    </row>
    <row r="6" spans="2:12" ht="18" customHeight="1" x14ac:dyDescent="0.3">
      <c r="B6" s="117"/>
      <c r="C6" s="118"/>
      <c r="D6" s="115" t="s">
        <v>55</v>
      </c>
      <c r="E6" s="119">
        <f>'[2]Benchmarking-32'!P4</f>
        <v>0</v>
      </c>
      <c r="F6" s="119">
        <f>'[2]Benchmarking-32'!Q4</f>
        <v>0</v>
      </c>
      <c r="G6" s="119">
        <f>'[2]Benchmarking-32'!R4</f>
        <v>0</v>
      </c>
      <c r="H6" s="119">
        <f>'[2]Benchmarking-32'!S4</f>
        <v>0</v>
      </c>
      <c r="I6" s="119">
        <f>'[2]Benchmarking-32'!T4</f>
        <v>3</v>
      </c>
      <c r="J6" s="119">
        <f>'[2]Benchmarking-32'!U4</f>
        <v>1</v>
      </c>
      <c r="K6" s="121"/>
      <c r="L6" s="121"/>
    </row>
    <row r="7" spans="2:12" ht="18" customHeight="1" x14ac:dyDescent="0.3">
      <c r="B7" s="117">
        <v>0.2</v>
      </c>
      <c r="C7" s="118">
        <v>5</v>
      </c>
      <c r="D7" s="119" t="s">
        <v>53</v>
      </c>
      <c r="E7" s="120">
        <f>'[2]Benchmarking-32'!D5</f>
        <v>1.4892259726921032E-2</v>
      </c>
      <c r="F7" s="120">
        <f>'[2]Benchmarking-32'!E5</f>
        <v>1.6491645352649107E-2</v>
      </c>
      <c r="G7" s="120">
        <f>'[2]Benchmarking-32'!F5</f>
        <v>1.8684726524581273E-2</v>
      </c>
      <c r="H7" s="120">
        <f>'[2]Benchmarking-32'!G5</f>
        <v>6.3674134259212765E-4</v>
      </c>
      <c r="I7" s="120">
        <f>'[2]Benchmarking-32'!H5</f>
        <v>6.8827330552606841E-4</v>
      </c>
      <c r="J7" s="120">
        <f>'[2]Benchmarking-32'!I5</f>
        <v>2.9052511532918708E-7</v>
      </c>
      <c r="K7" s="121">
        <f t="shared" ref="K7:K29" si="1">MAX(E7:G7)</f>
        <v>1.8684726524581273E-2</v>
      </c>
      <c r="L7" s="121">
        <f t="shared" si="0"/>
        <v>6.8827330552606841E-4</v>
      </c>
    </row>
    <row r="8" spans="2:12" ht="18" customHeight="1" x14ac:dyDescent="0.3">
      <c r="B8" s="117"/>
      <c r="C8" s="118"/>
      <c r="D8" s="119" t="s">
        <v>54</v>
      </c>
      <c r="E8" s="120">
        <f>'[2]Benchmarking-32'!J5</f>
        <v>3.78076710133868E-2</v>
      </c>
      <c r="F8" s="120">
        <f>'[2]Benchmarking-32'!K5</f>
        <v>2.9788797697634855E-2</v>
      </c>
      <c r="G8" s="120">
        <f>'[2]Benchmarking-32'!L5</f>
        <v>3.2196046839559914E-2</v>
      </c>
      <c r="H8" s="120">
        <f>'[2]Benchmarking-32'!M5</f>
        <v>3.1822556695158513E-3</v>
      </c>
      <c r="I8" s="120">
        <f>'[2]Benchmarking-32'!N5</f>
        <v>3.1823393525225695E-3</v>
      </c>
      <c r="J8" s="120">
        <f>'[2]Benchmarking-32'!O5</f>
        <v>1.2819200383654837E-6</v>
      </c>
      <c r="K8" s="121">
        <f t="shared" si="1"/>
        <v>3.78076710133868E-2</v>
      </c>
      <c r="L8" s="121">
        <f t="shared" si="0"/>
        <v>3.1823393525225695E-3</v>
      </c>
    </row>
    <row r="9" spans="2:12" ht="18" customHeight="1" x14ac:dyDescent="0.3">
      <c r="B9" s="117"/>
      <c r="C9" s="118"/>
      <c r="D9" s="115" t="s">
        <v>55</v>
      </c>
      <c r="E9" s="119">
        <f>'[2]Benchmarking-32'!P5</f>
        <v>0</v>
      </c>
      <c r="F9" s="119">
        <f>'[2]Benchmarking-32'!Q5</f>
        <v>0</v>
      </c>
      <c r="G9" s="119">
        <f>'[2]Benchmarking-32'!R5</f>
        <v>0</v>
      </c>
      <c r="H9" s="119">
        <f>'[2]Benchmarking-32'!S5</f>
        <v>4</v>
      </c>
      <c r="I9" s="119">
        <f>'[2]Benchmarking-32'!T5</f>
        <v>3</v>
      </c>
      <c r="J9" s="119">
        <f>'[2]Benchmarking-32'!U5</f>
        <v>5</v>
      </c>
      <c r="K9" s="121"/>
      <c r="L9" s="121"/>
    </row>
    <row r="10" spans="2:12" ht="18" customHeight="1" x14ac:dyDescent="0.3">
      <c r="B10" s="117">
        <v>0.2</v>
      </c>
      <c r="C10" s="118">
        <v>10</v>
      </c>
      <c r="D10" s="119" t="s">
        <v>53</v>
      </c>
      <c r="E10" s="120">
        <f>'[2]Benchmarking-32'!D6</f>
        <v>1.049907596790663E-2</v>
      </c>
      <c r="F10" s="120">
        <f>'[2]Benchmarking-32'!E6</f>
        <v>2.1021097633629842E-2</v>
      </c>
      <c r="G10" s="120">
        <f>'[2]Benchmarking-32'!F6</f>
        <v>2.1786802281534751E-2</v>
      </c>
      <c r="H10" s="120">
        <f>'[2]Benchmarking-32'!G6</f>
        <v>1.276918078572116E-8</v>
      </c>
      <c r="I10" s="120">
        <f>'[2]Benchmarking-32'!H6</f>
        <v>1.5469220065657746E-4</v>
      </c>
      <c r="J10" s="120">
        <f>'[2]Benchmarking-32'!I6</f>
        <v>-6.0179323379161613E-8</v>
      </c>
      <c r="K10" s="121">
        <f t="shared" si="1"/>
        <v>2.1786802281534751E-2</v>
      </c>
      <c r="L10" s="121">
        <f t="shared" si="0"/>
        <v>1.5469220065657746E-4</v>
      </c>
    </row>
    <row r="11" spans="2:12" ht="18" customHeight="1" x14ac:dyDescent="0.3">
      <c r="B11" s="117"/>
      <c r="C11" s="118"/>
      <c r="D11" s="119" t="s">
        <v>54</v>
      </c>
      <c r="E11" s="120">
        <f>'[2]Benchmarking-32'!J6</f>
        <v>4.2929279466120143E-2</v>
      </c>
      <c r="F11" s="120">
        <f>'[2]Benchmarking-32'!K6</f>
        <v>4.6793081812657601E-2</v>
      </c>
      <c r="G11" s="120">
        <f>'[2]Benchmarking-32'!L6</f>
        <v>4.0968290153857508E-2</v>
      </c>
      <c r="H11" s="120">
        <f>'[2]Benchmarking-32'!M6</f>
        <v>7.2442386112719973E-8</v>
      </c>
      <c r="I11" s="120">
        <f>'[2]Benchmarking-32'!N6</f>
        <v>7.7338855970506806E-4</v>
      </c>
      <c r="J11" s="120">
        <f>'[2]Benchmarking-32'!O6</f>
        <v>7.2443577819115427E-8</v>
      </c>
      <c r="K11" s="121">
        <f t="shared" si="1"/>
        <v>4.6793081812657601E-2</v>
      </c>
      <c r="L11" s="121">
        <f t="shared" si="0"/>
        <v>7.7338855970506806E-4</v>
      </c>
    </row>
    <row r="12" spans="2:12" ht="18" customHeight="1" x14ac:dyDescent="0.3">
      <c r="B12" s="117"/>
      <c r="C12" s="118"/>
      <c r="D12" s="115" t="s">
        <v>55</v>
      </c>
      <c r="E12" s="119">
        <f>'[2]Benchmarking-32'!P6</f>
        <v>1</v>
      </c>
      <c r="F12" s="119">
        <f>'[2]Benchmarking-32'!Q6</f>
        <v>0</v>
      </c>
      <c r="G12" s="119">
        <f>'[2]Benchmarking-32'!R6</f>
        <v>0</v>
      </c>
      <c r="H12" s="119">
        <f>'[2]Benchmarking-32'!S6</f>
        <v>5</v>
      </c>
      <c r="I12" s="119">
        <f>'[2]Benchmarking-32'!T6</f>
        <v>4</v>
      </c>
      <c r="J12" s="119">
        <f>'[2]Benchmarking-32'!U6</f>
        <v>5</v>
      </c>
      <c r="K12" s="121"/>
      <c r="L12" s="121"/>
    </row>
    <row r="13" spans="2:12" ht="18" customHeight="1" x14ac:dyDescent="0.3">
      <c r="B13" s="117">
        <v>0.3</v>
      </c>
      <c r="C13" s="118">
        <v>2.5</v>
      </c>
      <c r="D13" s="119" t="s">
        <v>53</v>
      </c>
      <c r="E13" s="120">
        <f>'[2]Benchmarking-32'!D7</f>
        <v>1.4908441538741067E-2</v>
      </c>
      <c r="F13" s="120">
        <f>'[2]Benchmarking-32'!E7</f>
        <v>3.4985825096497655E-2</v>
      </c>
      <c r="G13" s="120">
        <f>'[2]Benchmarking-32'!F7</f>
        <v>4.3216380973557456E-2</v>
      </c>
      <c r="H13" s="120">
        <f>'[2]Benchmarking-32'!G7</f>
        <v>0</v>
      </c>
      <c r="I13" s="120">
        <f>'[2]Benchmarking-32'!H7</f>
        <v>8.161684079542609E-4</v>
      </c>
      <c r="J13" s="120">
        <f>'[2]Benchmarking-32'!I7</f>
        <v>3.0532807235952056E-4</v>
      </c>
      <c r="K13" s="121">
        <f t="shared" si="1"/>
        <v>4.3216380973557456E-2</v>
      </c>
      <c r="L13" s="121">
        <f t="shared" si="0"/>
        <v>8.161684079542609E-4</v>
      </c>
    </row>
    <row r="14" spans="2:12" ht="18" customHeight="1" x14ac:dyDescent="0.3">
      <c r="B14" s="117"/>
      <c r="C14" s="118"/>
      <c r="D14" s="119" t="s">
        <v>54</v>
      </c>
      <c r="E14" s="120">
        <f>'[2]Benchmarking-32'!J7</f>
        <v>2.5864417601821774E-2</v>
      </c>
      <c r="F14" s="120">
        <f>'[2]Benchmarking-32'!K7</f>
        <v>7.0644016126444428E-2</v>
      </c>
      <c r="G14" s="120">
        <f>'[2]Benchmarking-32'!L7</f>
        <v>7.0644016126444428E-2</v>
      </c>
      <c r="H14" s="120">
        <f>'[2]Benchmarking-32'!M7</f>
        <v>0</v>
      </c>
      <c r="I14" s="120">
        <f>'[2]Benchmarking-32'!N7</f>
        <v>3.2646736318170436E-3</v>
      </c>
      <c r="J14" s="120">
        <f>'[2]Benchmarking-32'!O7</f>
        <v>1.2213122894380822E-3</v>
      </c>
      <c r="K14" s="121">
        <f t="shared" si="1"/>
        <v>7.0644016126444428E-2</v>
      </c>
      <c r="L14" s="121">
        <f t="shared" si="0"/>
        <v>3.2646736318170436E-3</v>
      </c>
    </row>
    <row r="15" spans="2:12" ht="18" customHeight="1" x14ac:dyDescent="0.3">
      <c r="B15" s="117"/>
      <c r="C15" s="118"/>
      <c r="D15" s="115" t="s">
        <v>55</v>
      </c>
      <c r="E15" s="119">
        <f>'[2]Benchmarking-32'!P7</f>
        <v>0</v>
      </c>
      <c r="F15" s="119">
        <f>'[2]Benchmarking-32'!Q7</f>
        <v>0</v>
      </c>
      <c r="G15" s="119">
        <f>'[2]Benchmarking-32'!R7</f>
        <v>0</v>
      </c>
      <c r="H15" s="119">
        <f>'[2]Benchmarking-32'!S7</f>
        <v>4</v>
      </c>
      <c r="I15" s="119">
        <f>'[2]Benchmarking-32'!T7</f>
        <v>3</v>
      </c>
      <c r="J15" s="119">
        <f>'[2]Benchmarking-32'!U7</f>
        <v>3</v>
      </c>
      <c r="K15" s="121"/>
      <c r="L15" s="121"/>
    </row>
    <row r="16" spans="2:12" ht="18" customHeight="1" x14ac:dyDescent="0.3">
      <c r="B16" s="117">
        <v>0.3</v>
      </c>
      <c r="C16" s="118">
        <v>5</v>
      </c>
      <c r="D16" s="119" t="s">
        <v>53</v>
      </c>
      <c r="E16" s="120">
        <f>'[2]Benchmarking-32'!D8</f>
        <v>1.8625469297960461E-2</v>
      </c>
      <c r="F16" s="120">
        <f>'[2]Benchmarking-32'!E8</f>
        <v>1.542683149070082E-2</v>
      </c>
      <c r="G16" s="120">
        <f>'[2]Benchmarking-32'!F8</f>
        <v>2.2594208318994894E-2</v>
      </c>
      <c r="H16" s="120">
        <f>'[2]Benchmarking-32'!G8</f>
        <v>4.47165008683073E-4</v>
      </c>
      <c r="I16" s="120">
        <f>'[2]Benchmarking-32'!H8</f>
        <v>2.3732878466347125E-12</v>
      </c>
      <c r="J16" s="120">
        <f>'[2]Benchmarking-32'!I8</f>
        <v>4.4716733517123863E-4</v>
      </c>
      <c r="K16" s="121">
        <f t="shared" si="1"/>
        <v>2.2594208318994894E-2</v>
      </c>
      <c r="L16" s="121">
        <f t="shared" si="0"/>
        <v>4.4716733517123863E-4</v>
      </c>
    </row>
    <row r="17" spans="2:12" ht="18" customHeight="1" x14ac:dyDescent="0.3">
      <c r="B17" s="117"/>
      <c r="C17" s="118"/>
      <c r="D17" s="119" t="s">
        <v>54</v>
      </c>
      <c r="E17" s="120">
        <f>'[2]Benchmarking-32'!J8</f>
        <v>5.2078429089654273E-2</v>
      </c>
      <c r="F17" s="120">
        <f>'[2]Benchmarking-32'!K8</f>
        <v>3.6456811507650573E-2</v>
      </c>
      <c r="G17" s="120">
        <f>'[2]Benchmarking-32'!L8</f>
        <v>4.6862945483160959E-2</v>
      </c>
      <c r="H17" s="120">
        <f>'[2]Benchmarking-32'!M8</f>
        <v>2.2358366758576521E-3</v>
      </c>
      <c r="I17" s="120">
        <f>'[2]Benchmarking-32'!N8</f>
        <v>1.1866439233173563E-11</v>
      </c>
      <c r="J17" s="120">
        <f>'[2]Benchmarking-32'!O8</f>
        <v>2.2358366758576521E-3</v>
      </c>
      <c r="K17" s="121">
        <f t="shared" si="1"/>
        <v>5.2078429089654273E-2</v>
      </c>
      <c r="L17" s="121">
        <f t="shared" si="0"/>
        <v>2.2358366758576521E-3</v>
      </c>
    </row>
    <row r="18" spans="2:12" ht="18" customHeight="1" x14ac:dyDescent="0.3">
      <c r="B18" s="117"/>
      <c r="C18" s="118"/>
      <c r="D18" s="115" t="s">
        <v>55</v>
      </c>
      <c r="E18" s="119">
        <f>'[2]Benchmarking-32'!P8</f>
        <v>0</v>
      </c>
      <c r="F18" s="119">
        <f>'[2]Benchmarking-32'!Q8</f>
        <v>0</v>
      </c>
      <c r="G18" s="119">
        <f>'[2]Benchmarking-32'!R8</f>
        <v>1</v>
      </c>
      <c r="H18" s="119">
        <f>'[2]Benchmarking-32'!S8</f>
        <v>4</v>
      </c>
      <c r="I18" s="119">
        <f>'[2]Benchmarking-32'!T8</f>
        <v>5</v>
      </c>
      <c r="J18" s="119">
        <f>'[2]Benchmarking-32'!U8</f>
        <v>4</v>
      </c>
      <c r="K18" s="121"/>
      <c r="L18" s="121"/>
    </row>
    <row r="19" spans="2:12" ht="18" customHeight="1" x14ac:dyDescent="0.3">
      <c r="B19" s="117">
        <v>0.3</v>
      </c>
      <c r="C19" s="118">
        <v>10</v>
      </c>
      <c r="D19" s="119" t="s">
        <v>53</v>
      </c>
      <c r="E19" s="120">
        <f>'[2]Benchmarking-32'!D9</f>
        <v>2.2804803864349184E-2</v>
      </c>
      <c r="F19" s="120">
        <f>'[2]Benchmarking-32'!E9</f>
        <v>6.0177934118646768E-2</v>
      </c>
      <c r="G19" s="120">
        <f>'[2]Benchmarking-32'!F9</f>
        <v>3.7300643562369673E-2</v>
      </c>
      <c r="H19" s="120">
        <f>'[2]Benchmarking-32'!G9</f>
        <v>1.9956640889770576E-8</v>
      </c>
      <c r="I19" s="120">
        <f>'[2]Benchmarking-32'!H9</f>
        <v>3.9594290408184272E-3</v>
      </c>
      <c r="J19" s="120">
        <f>'[2]Benchmarking-32'!I9</f>
        <v>4.8313515659208298E-4</v>
      </c>
      <c r="K19" s="121">
        <f t="shared" si="1"/>
        <v>6.0177934118646768E-2</v>
      </c>
      <c r="L19" s="121">
        <f t="shared" si="0"/>
        <v>3.9594290408184272E-3</v>
      </c>
    </row>
    <row r="20" spans="2:12" ht="18" customHeight="1" x14ac:dyDescent="0.3">
      <c r="B20" s="117"/>
      <c r="C20" s="118"/>
      <c r="D20" s="119" t="s">
        <v>54</v>
      </c>
      <c r="E20" s="120">
        <f>'[2]Benchmarking-32'!J9</f>
        <v>5.8232472590377379E-2</v>
      </c>
      <c r="F20" s="120">
        <f>'[2]Benchmarking-32'!K9</f>
        <v>0.11147109072240272</v>
      </c>
      <c r="G20" s="120">
        <f>'[2]Benchmarking-32'!L9</f>
        <v>8.969928732639533E-2</v>
      </c>
      <c r="H20" s="120">
        <f>'[2]Benchmarking-32'!M9</f>
        <v>8.9181182703274735E-8</v>
      </c>
      <c r="I20" s="120">
        <f>'[2]Benchmarking-32'!N9</f>
        <v>1.5837716163273709E-2</v>
      </c>
      <c r="J20" s="120">
        <f>'[2]Benchmarking-32'!O9</f>
        <v>1.9324514451856286E-3</v>
      </c>
      <c r="K20" s="121">
        <f t="shared" si="1"/>
        <v>0.11147109072240272</v>
      </c>
      <c r="L20" s="121">
        <f t="shared" si="0"/>
        <v>1.5837716163273709E-2</v>
      </c>
    </row>
    <row r="21" spans="2:12" ht="18" customHeight="1" x14ac:dyDescent="0.3">
      <c r="B21" s="117"/>
      <c r="C21" s="118"/>
      <c r="D21" s="115" t="s">
        <v>55</v>
      </c>
      <c r="E21" s="119">
        <f>'[2]Benchmarking-32'!P9</f>
        <v>0</v>
      </c>
      <c r="F21" s="119">
        <f>'[2]Benchmarking-32'!Q9</f>
        <v>0</v>
      </c>
      <c r="G21" s="119">
        <f>'[2]Benchmarking-32'!R9</f>
        <v>0</v>
      </c>
      <c r="H21" s="119">
        <f>'[2]Benchmarking-32'!S9</f>
        <v>4</v>
      </c>
      <c r="I21" s="119">
        <f>'[2]Benchmarking-32'!T9</f>
        <v>3</v>
      </c>
      <c r="J21" s="119">
        <f>'[2]Benchmarking-32'!U9</f>
        <v>3</v>
      </c>
      <c r="K21" s="121"/>
      <c r="L21" s="121"/>
    </row>
    <row r="22" spans="2:12" ht="18" customHeight="1" x14ac:dyDescent="0.3">
      <c r="B22" s="117">
        <v>0.4</v>
      </c>
      <c r="C22" s="118">
        <v>2.5</v>
      </c>
      <c r="D22" s="119" t="s">
        <v>53</v>
      </c>
      <c r="E22" s="120">
        <f>'[2]Benchmarking-32'!D10</f>
        <v>1.5395922872150223E-2</v>
      </c>
      <c r="F22" s="120">
        <f>'[2]Benchmarking-32'!E10</f>
        <v>3.7867610433325573E-2</v>
      </c>
      <c r="G22" s="120">
        <f>'[2]Benchmarking-32'!F10</f>
        <v>3.9314690058539839E-2</v>
      </c>
      <c r="H22" s="120">
        <f>'[2]Benchmarking-32'!G10</f>
        <v>1.9650815147305638E-3</v>
      </c>
      <c r="I22" s="120">
        <f>'[2]Benchmarking-32'!H10</f>
        <v>9.9343990178336157E-4</v>
      </c>
      <c r="J22" s="120">
        <f>'[2]Benchmarking-32'!I10</f>
        <v>7.9762160549021966E-5</v>
      </c>
      <c r="K22" s="121">
        <f t="shared" si="1"/>
        <v>3.9314690058539839E-2</v>
      </c>
      <c r="L22" s="121">
        <f t="shared" si="0"/>
        <v>1.9650815147305638E-3</v>
      </c>
    </row>
    <row r="23" spans="2:12" ht="18" customHeight="1" x14ac:dyDescent="0.3">
      <c r="B23" s="117"/>
      <c r="C23" s="118"/>
      <c r="D23" s="119" t="s">
        <v>54</v>
      </c>
      <c r="E23" s="120">
        <f>'[2]Benchmarking-32'!J10</f>
        <v>2.5864417601821774E-2</v>
      </c>
      <c r="F23" s="120">
        <f>'[2]Benchmarking-32'!K10</f>
        <v>6.0138898971828031E-2</v>
      </c>
      <c r="G23" s="120">
        <f>'[2]Benchmarking-32'!L10</f>
        <v>9.0969813776193245E-2</v>
      </c>
      <c r="H23" s="120">
        <f>'[2]Benchmarking-32'!M10</f>
        <v>9.8254075736528192E-3</v>
      </c>
      <c r="I23" s="120">
        <f>'[2]Benchmarking-32'!N10</f>
        <v>4.9671995089168074E-3</v>
      </c>
      <c r="J23" s="120">
        <f>'[2]Benchmarking-32'!O10</f>
        <v>3.9881080274510984E-4</v>
      </c>
      <c r="K23" s="121">
        <f t="shared" si="1"/>
        <v>9.0969813776193245E-2</v>
      </c>
      <c r="L23" s="121">
        <f t="shared" si="0"/>
        <v>9.8254075736528192E-3</v>
      </c>
    </row>
    <row r="24" spans="2:12" ht="18" customHeight="1" x14ac:dyDescent="0.3">
      <c r="B24" s="117"/>
      <c r="C24" s="118"/>
      <c r="D24" s="115" t="s">
        <v>55</v>
      </c>
      <c r="E24" s="119">
        <f>'[2]Benchmarking-32'!P10</f>
        <v>1</v>
      </c>
      <c r="F24" s="119">
        <f>'[2]Benchmarking-32'!Q10</f>
        <v>0</v>
      </c>
      <c r="G24" s="119">
        <f>'[2]Benchmarking-32'!R10</f>
        <v>0</v>
      </c>
      <c r="H24" s="119">
        <f>'[2]Benchmarking-32'!S10</f>
        <v>4</v>
      </c>
      <c r="I24" s="119">
        <f>'[2]Benchmarking-32'!T10</f>
        <v>4</v>
      </c>
      <c r="J24" s="119">
        <f>'[2]Benchmarking-32'!U10</f>
        <v>4</v>
      </c>
      <c r="K24" s="121"/>
      <c r="L24" s="121"/>
    </row>
    <row r="25" spans="2:12" ht="18" customHeight="1" x14ac:dyDescent="0.3">
      <c r="B25" s="117">
        <v>0.4</v>
      </c>
      <c r="C25" s="118">
        <v>5</v>
      </c>
      <c r="D25" s="119" t="s">
        <v>53</v>
      </c>
      <c r="E25" s="120">
        <f>'[2]Benchmarking-32'!D11</f>
        <v>1.0559280199225531E-2</v>
      </c>
      <c r="F25" s="120">
        <f>'[2]Benchmarking-32'!E11</f>
        <v>1.9969298828773692E-2</v>
      </c>
      <c r="G25" s="120">
        <f>'[2]Benchmarking-32'!F11</f>
        <v>1.5092687236851837E-2</v>
      </c>
      <c r="H25" s="120">
        <f>'[2]Benchmarking-32'!G11</f>
        <v>5.9240418896854571E-4</v>
      </c>
      <c r="I25" s="120">
        <f>'[2]Benchmarking-32'!H11</f>
        <v>1.3291944280609523E-3</v>
      </c>
      <c r="J25" s="120">
        <f>'[2]Benchmarking-32'!I11</f>
        <v>1.3842283198446542E-3</v>
      </c>
      <c r="K25" s="121">
        <f t="shared" si="1"/>
        <v>1.9969298828773692E-2</v>
      </c>
      <c r="L25" s="121">
        <f t="shared" si="0"/>
        <v>1.3842283198446542E-3</v>
      </c>
    </row>
    <row r="26" spans="2:12" ht="18" customHeight="1" x14ac:dyDescent="0.3">
      <c r="B26" s="117"/>
      <c r="C26" s="118"/>
      <c r="D26" s="119" t="s">
        <v>54</v>
      </c>
      <c r="E26" s="120">
        <f>'[2]Benchmarking-32'!J11</f>
        <v>1.9954441064832296E-2</v>
      </c>
      <c r="F26" s="120">
        <f>'[2]Benchmarking-32'!K11</f>
        <v>3.9878027057330269E-2</v>
      </c>
      <c r="G26" s="120">
        <f>'[2]Benchmarking-32'!L11</f>
        <v>5.5308646705222321E-2</v>
      </c>
      <c r="H26" s="120">
        <f>'[2]Benchmarking-32'!M11</f>
        <v>2.9619787857275153E-3</v>
      </c>
      <c r="I26" s="120">
        <f>'[2]Benchmarking-32'!N11</f>
        <v>6.6459286726522956E-3</v>
      </c>
      <c r="J26" s="120">
        <f>'[2]Benchmarking-32'!O11</f>
        <v>6.9210981315708043E-3</v>
      </c>
      <c r="K26" s="121">
        <f t="shared" si="1"/>
        <v>5.5308646705222321E-2</v>
      </c>
      <c r="L26" s="121">
        <f t="shared" si="0"/>
        <v>6.9210981315708043E-3</v>
      </c>
    </row>
    <row r="27" spans="2:12" ht="18" customHeight="1" x14ac:dyDescent="0.3">
      <c r="B27" s="117"/>
      <c r="C27" s="118"/>
      <c r="D27" s="115" t="s">
        <v>55</v>
      </c>
      <c r="E27" s="119">
        <f>'[2]Benchmarking-32'!P11</f>
        <v>0</v>
      </c>
      <c r="F27" s="119">
        <f>'[2]Benchmarking-32'!Q11</f>
        <v>0</v>
      </c>
      <c r="G27" s="119">
        <f>'[2]Benchmarking-32'!R11</f>
        <v>2</v>
      </c>
      <c r="H27" s="119">
        <f>'[2]Benchmarking-32'!S11</f>
        <v>4</v>
      </c>
      <c r="I27" s="119">
        <f>'[2]Benchmarking-32'!T11</f>
        <v>4</v>
      </c>
      <c r="J27" s="119">
        <f>'[2]Benchmarking-32'!U11</f>
        <v>4</v>
      </c>
      <c r="K27" s="121"/>
      <c r="L27" s="121"/>
    </row>
    <row r="28" spans="2:12" ht="18" customHeight="1" x14ac:dyDescent="0.3">
      <c r="B28" s="117">
        <v>0.4</v>
      </c>
      <c r="C28" s="118">
        <v>10</v>
      </c>
      <c r="D28" s="119" t="s">
        <v>53</v>
      </c>
      <c r="E28" s="120">
        <f>'[2]Benchmarking-32'!D12</f>
        <v>3.3425132226750601E-2</v>
      </c>
      <c r="F28" s="120">
        <f>'[2]Benchmarking-32'!E12</f>
        <v>4.9722646844978721E-2</v>
      </c>
      <c r="G28" s="120">
        <f>'[2]Benchmarking-32'!F12</f>
        <v>6.2108998858243891E-2</v>
      </c>
      <c r="H28" s="120">
        <f>'[2]Benchmarking-32'!G12</f>
        <v>-1.6062450130286749E-11</v>
      </c>
      <c r="I28" s="120">
        <f>'[2]Benchmarking-32'!H12</f>
        <v>2.9152351357065765E-4</v>
      </c>
      <c r="J28" s="120">
        <f>'[2]Benchmarking-32'!I12</f>
        <v>2.6589320645480737E-5</v>
      </c>
      <c r="K28" s="121">
        <f t="shared" si="1"/>
        <v>6.2108998858243891E-2</v>
      </c>
      <c r="L28" s="121">
        <f t="shared" si="0"/>
        <v>2.9152351357065765E-4</v>
      </c>
    </row>
    <row r="29" spans="2:12" ht="18" customHeight="1" x14ac:dyDescent="0.3">
      <c r="B29" s="117"/>
      <c r="C29" s="118"/>
      <c r="D29" s="119" t="s">
        <v>54</v>
      </c>
      <c r="E29" s="120">
        <f>'[2]Benchmarking-32'!J12</f>
        <v>7.6581941896395195E-2</v>
      </c>
      <c r="F29" s="120">
        <f>'[2]Benchmarking-32'!K12</f>
        <v>7.3816069973106177E-2</v>
      </c>
      <c r="G29" s="120">
        <f>'[2]Benchmarking-32'!L12</f>
        <v>0.12134949621860901</v>
      </c>
      <c r="H29" s="120">
        <f>'[2]Benchmarking-32'!M12</f>
        <v>0</v>
      </c>
      <c r="I29" s="120">
        <f>'[2]Benchmarking-32'!N12</f>
        <v>1.4576175678518565E-3</v>
      </c>
      <c r="J29" s="120">
        <f>'[2]Benchmarking-32'!O12</f>
        <v>1.3294660322597186E-4</v>
      </c>
      <c r="K29" s="121">
        <f t="shared" si="1"/>
        <v>0.12134949621860901</v>
      </c>
      <c r="L29" s="121">
        <f t="shared" si="0"/>
        <v>1.4576175678518565E-3</v>
      </c>
    </row>
    <row r="30" spans="2:12" ht="18" customHeight="1" x14ac:dyDescent="0.3">
      <c r="B30" s="117"/>
      <c r="C30" s="118"/>
      <c r="D30" s="115" t="s">
        <v>55</v>
      </c>
      <c r="E30" s="119">
        <f>'[2]Benchmarking-32'!P12</f>
        <v>0</v>
      </c>
      <c r="F30" s="119">
        <f>'[2]Benchmarking-32'!Q12</f>
        <v>0</v>
      </c>
      <c r="G30" s="119">
        <f>'[2]Benchmarking-32'!R12</f>
        <v>0</v>
      </c>
      <c r="H30" s="119">
        <f>'[2]Benchmarking-32'!S12</f>
        <v>5</v>
      </c>
      <c r="I30" s="119">
        <f>'[2]Benchmarking-32'!T12</f>
        <v>4</v>
      </c>
      <c r="J30" s="119">
        <f>'[2]Benchmarking-32'!U12</f>
        <v>4</v>
      </c>
      <c r="K30" s="121"/>
    </row>
    <row r="31" spans="2:12" ht="18" customHeight="1" x14ac:dyDescent="0.3">
      <c r="B31" s="118" t="s">
        <v>56</v>
      </c>
      <c r="C31" s="118"/>
      <c r="D31" s="119" t="s">
        <v>53</v>
      </c>
      <c r="E31" s="120">
        <f t="shared" ref="E31:J33" si="2">AVERAGE(E28,E25,E22,E19,E16,E13,E10,E7,E4)</f>
        <v>1.7802511765838327E-2</v>
      </c>
      <c r="F31" s="120">
        <f t="shared" si="2"/>
        <v>3.542611477809321E-2</v>
      </c>
      <c r="G31" s="120">
        <f t="shared" si="2"/>
        <v>3.4525704389931758E-2</v>
      </c>
      <c r="H31" s="120">
        <f t="shared" si="2"/>
        <v>1.3108042821091846E-3</v>
      </c>
      <c r="I31" s="120">
        <f t="shared" si="2"/>
        <v>1.467529017196541E-3</v>
      </c>
      <c r="J31" s="122">
        <f t="shared" si="2"/>
        <v>8.8506283809287802E-4</v>
      </c>
      <c r="K31" s="121">
        <f>MAX(K4,K7,K10,K13,K16,K19,K22,K25,K28)</f>
        <v>6.317214320363676E-2</v>
      </c>
      <c r="L31" s="121">
        <f>MAX(L4,L7,L10,L13,L16,L19,L22,L25,L28)</f>
        <v>8.1558137742491262E-3</v>
      </c>
    </row>
    <row r="32" spans="2:12" ht="18" customHeight="1" x14ac:dyDescent="0.3">
      <c r="B32" s="118"/>
      <c r="C32" s="118"/>
      <c r="D32" s="119" t="s">
        <v>54</v>
      </c>
      <c r="E32" s="120">
        <f t="shared" si="2"/>
        <v>4.2704433302407682E-2</v>
      </c>
      <c r="F32" s="120">
        <f t="shared" si="2"/>
        <v>6.3602113985363806E-2</v>
      </c>
      <c r="G32" s="120">
        <f t="shared" si="2"/>
        <v>7.1286788609448093E-2</v>
      </c>
      <c r="H32" s="120">
        <f t="shared" si="2"/>
        <v>3.9625925744197557E-3</v>
      </c>
      <c r="I32" s="120">
        <f t="shared" si="2"/>
        <v>5.4795095015785457E-3</v>
      </c>
      <c r="J32" s="122">
        <f t="shared" si="2"/>
        <v>3.021475320594603E-3</v>
      </c>
      <c r="K32" s="121">
        <f>MAX(K5,K8,K11,K14,K17,K20,K23,K26,K29)</f>
        <v>0.12134949621860901</v>
      </c>
      <c r="L32" s="121">
        <f>MAX(L5,L8,L11,L14,L17,L20,L23,L26,L29)</f>
        <v>1.7457692841455149E-2</v>
      </c>
    </row>
    <row r="33" spans="2:16" ht="18" customHeight="1" x14ac:dyDescent="0.3">
      <c r="B33" s="118"/>
      <c r="C33" s="118"/>
      <c r="D33" s="115" t="s">
        <v>55</v>
      </c>
      <c r="E33" s="123">
        <f t="shared" si="2"/>
        <v>0.22222222222222221</v>
      </c>
      <c r="F33" s="123">
        <f t="shared" si="2"/>
        <v>0</v>
      </c>
      <c r="G33" s="123">
        <f t="shared" si="2"/>
        <v>0.33333333333333331</v>
      </c>
      <c r="H33" s="124">
        <f t="shared" si="2"/>
        <v>3.7777777777777777</v>
      </c>
      <c r="I33" s="123">
        <f t="shared" si="2"/>
        <v>3.6666666666666665</v>
      </c>
      <c r="J33" s="123">
        <f t="shared" si="2"/>
        <v>3.6666666666666665</v>
      </c>
    </row>
    <row r="34" spans="2:16" x14ac:dyDescent="0.3">
      <c r="J34" s="3" t="s">
        <v>57</v>
      </c>
      <c r="K34" s="121">
        <f>MIN(K4,K7,K10,K13,K16,K19,K22,K25,K28)</f>
        <v>1.8684726524581273E-2</v>
      </c>
      <c r="L34" s="121">
        <f>MIN(L4,L7,L10,L13,L16,L19,L22,L25,L28)</f>
        <v>1.5469220065657746E-4</v>
      </c>
    </row>
    <row r="35" spans="2:16" x14ac:dyDescent="0.3">
      <c r="K35" s="121">
        <f>MIN(K5,K8,K11,K14,K17,K20,K23,K26,K29)</f>
        <v>3.78076710133868E-2</v>
      </c>
      <c r="L35" s="121">
        <f>MIN(L5,L8,L11,L14,L17,L20,L23,L26,L29)</f>
        <v>7.7338855970506806E-4</v>
      </c>
    </row>
    <row r="36" spans="2:16" x14ac:dyDescent="0.3">
      <c r="P36" s="3">
        <v>11.7</v>
      </c>
    </row>
    <row r="37" spans="2:16" x14ac:dyDescent="0.3">
      <c r="H37" s="3">
        <f>3.7/5</f>
        <v>0.74</v>
      </c>
      <c r="P37" s="3">
        <v>11.1</v>
      </c>
    </row>
    <row r="38" spans="2:16" x14ac:dyDescent="0.3">
      <c r="P38" s="3">
        <v>10.199999999999999</v>
      </c>
    </row>
    <row r="39" spans="2:16" x14ac:dyDescent="0.3">
      <c r="P39" s="3">
        <v>14.4</v>
      </c>
    </row>
    <row r="40" spans="2:16" x14ac:dyDescent="0.3">
      <c r="P40" s="3">
        <v>6.2</v>
      </c>
    </row>
    <row r="41" spans="2:16" x14ac:dyDescent="0.3">
      <c r="P41" s="3">
        <v>9.5</v>
      </c>
    </row>
    <row r="42" spans="2:16" x14ac:dyDescent="0.3">
      <c r="P42" s="3">
        <v>7.8</v>
      </c>
    </row>
  </sheetData>
  <mergeCells count="1">
    <mergeCell ref="D2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topLeftCell="D1" zoomScale="70" zoomScaleNormal="70" workbookViewId="0">
      <selection activeCell="G7" sqref="G7"/>
    </sheetView>
  </sheetViews>
  <sheetFormatPr defaultRowHeight="14.4" x14ac:dyDescent="0.3"/>
  <cols>
    <col min="1" max="1" width="9.6640625" style="3" bestFit="1" customWidth="1"/>
    <col min="2" max="2" width="8" style="3" bestFit="1" customWidth="1"/>
    <col min="3" max="3" width="15.21875" style="3" bestFit="1" customWidth="1"/>
    <col min="4" max="4" width="7.88671875" style="3" bestFit="1" customWidth="1"/>
    <col min="5" max="5" width="6" style="3" bestFit="1" customWidth="1"/>
    <col min="6" max="6" width="7.5546875" style="3" bestFit="1" customWidth="1"/>
    <col min="7" max="7" width="12" style="3" bestFit="1" customWidth="1"/>
    <col min="8" max="8" width="7.88671875" style="3" bestFit="1" customWidth="1"/>
    <col min="9" max="9" width="8.21875" style="3" bestFit="1" customWidth="1"/>
    <col min="10" max="10" width="6" style="3" bestFit="1" customWidth="1"/>
    <col min="11" max="11" width="7.88671875" style="3" bestFit="1" customWidth="1"/>
    <col min="12" max="12" width="12" style="3" bestFit="1" customWidth="1"/>
    <col min="13" max="13" width="5" style="3" bestFit="1" customWidth="1"/>
    <col min="14" max="14" width="5.33203125" style="3" customWidth="1"/>
    <col min="15" max="15" width="4.5546875" style="3" bestFit="1" customWidth="1"/>
    <col min="16" max="16" width="8" style="3" bestFit="1" customWidth="1"/>
    <col min="17" max="17" width="15.21875" style="3" bestFit="1" customWidth="1"/>
    <col min="18" max="18" width="7.88671875" style="3" bestFit="1" customWidth="1"/>
    <col min="19" max="19" width="6" style="3" bestFit="1" customWidth="1"/>
    <col min="20" max="20" width="8" style="3" bestFit="1" customWidth="1"/>
    <col min="21" max="21" width="12" style="3" bestFit="1" customWidth="1"/>
    <col min="22" max="22" width="7.88671875" style="3" bestFit="1" customWidth="1"/>
    <col min="23" max="23" width="6.5546875" style="3" bestFit="1" customWidth="1"/>
    <col min="24" max="24" width="6" style="3" bestFit="1" customWidth="1"/>
    <col min="25" max="25" width="7.88671875" style="3" bestFit="1" customWidth="1"/>
    <col min="26" max="26" width="12" style="3" bestFit="1" customWidth="1"/>
    <col min="27" max="27" width="5" style="3" bestFit="1" customWidth="1"/>
    <col min="28" max="28" width="11" style="3" bestFit="1" customWidth="1"/>
    <col min="29" max="29" width="5" style="68" customWidth="1"/>
    <col min="30" max="30" width="8" style="3" bestFit="1" customWidth="1"/>
    <col min="31" max="31" width="15.21875" style="3" bestFit="1" customWidth="1"/>
    <col min="32" max="32" width="7.88671875" style="3" bestFit="1" customWidth="1"/>
    <col min="33" max="33" width="6" style="3" bestFit="1" customWidth="1"/>
    <col min="34" max="34" width="8" style="3" bestFit="1" customWidth="1"/>
    <col min="35" max="35" width="12" style="3" bestFit="1" customWidth="1"/>
    <col min="36" max="36" width="7.88671875" style="3" bestFit="1" customWidth="1"/>
    <col min="37" max="37" width="6.5546875" style="3" bestFit="1" customWidth="1"/>
    <col min="38" max="38" width="6" style="3" bestFit="1" customWidth="1"/>
    <col min="39" max="39" width="7.88671875" style="3" bestFit="1" customWidth="1"/>
    <col min="40" max="40" width="12" style="3" bestFit="1" customWidth="1"/>
    <col min="41" max="41" width="5" style="3" bestFit="1" customWidth="1"/>
    <col min="42" max="42" width="13.77734375" style="68" bestFit="1" customWidth="1"/>
    <col min="43" max="43" width="8" style="3" bestFit="1" customWidth="1"/>
    <col min="44" max="44" width="15.21875" style="3" bestFit="1" customWidth="1"/>
    <col min="45" max="45" width="7.88671875" style="3" bestFit="1" customWidth="1"/>
    <col min="46" max="46" width="6" style="3" bestFit="1" customWidth="1"/>
    <col min="47" max="47" width="6.5546875" style="3" bestFit="1" customWidth="1"/>
    <col min="48" max="48" width="12" style="3" bestFit="1" customWidth="1"/>
    <col min="49" max="49" width="7.88671875" style="3" bestFit="1" customWidth="1"/>
    <col min="50" max="50" width="5.5546875" style="3" bestFit="1" customWidth="1"/>
    <col min="51" max="51" width="6" style="3" bestFit="1" customWidth="1"/>
    <col min="52" max="52" width="7.88671875" style="3" bestFit="1" customWidth="1"/>
    <col min="53" max="53" width="12" style="3" bestFit="1" customWidth="1"/>
    <col min="54" max="54" width="5" style="3" bestFit="1" customWidth="1"/>
    <col min="55" max="55" width="5" style="68" customWidth="1"/>
    <col min="56" max="56" width="8" style="3" bestFit="1" customWidth="1"/>
    <col min="57" max="57" width="15.21875" style="3" bestFit="1" customWidth="1"/>
    <col min="58" max="58" width="7.88671875" style="3" bestFit="1" customWidth="1"/>
    <col min="59" max="59" width="6" style="3" bestFit="1" customWidth="1"/>
    <col min="60" max="60" width="6.5546875" style="3" bestFit="1" customWidth="1"/>
    <col min="61" max="61" width="12" style="3" bestFit="1" customWidth="1"/>
    <col min="62" max="62" width="7.88671875" style="3" bestFit="1" customWidth="1"/>
    <col min="63" max="63" width="5.5546875" style="3" bestFit="1" customWidth="1"/>
    <col min="64" max="64" width="6" style="3" bestFit="1" customWidth="1"/>
    <col min="65" max="65" width="8" style="3" bestFit="1" customWidth="1"/>
    <col min="66" max="66" width="12" style="3" bestFit="1" customWidth="1"/>
    <col min="67" max="67" width="5" style="3" bestFit="1" customWidth="1"/>
    <col min="68" max="68" width="5" style="68" customWidth="1"/>
    <col min="69" max="69" width="8" style="3" bestFit="1" customWidth="1"/>
    <col min="70" max="70" width="15.21875" style="3" bestFit="1" customWidth="1"/>
    <col min="71" max="71" width="7.88671875" style="3" bestFit="1" customWidth="1"/>
    <col min="72" max="72" width="6" style="3" bestFit="1" customWidth="1"/>
    <col min="73" max="73" width="6.5546875" style="3" bestFit="1" customWidth="1"/>
    <col min="74" max="74" width="12" style="3" bestFit="1" customWidth="1"/>
    <col min="75" max="75" width="7.88671875" style="3" bestFit="1" customWidth="1"/>
    <col min="76" max="76" width="5.5546875" style="3" bestFit="1" customWidth="1"/>
    <col min="77" max="77" width="6" style="3" bestFit="1" customWidth="1"/>
    <col min="78" max="78" width="7.88671875" style="3" bestFit="1" customWidth="1"/>
    <col min="79" max="79" width="12" style="3" bestFit="1" customWidth="1"/>
    <col min="80" max="80" width="5" style="3" bestFit="1" customWidth="1"/>
    <col min="81" max="81" width="3" style="68" bestFit="1" customWidth="1"/>
    <col min="82" max="82" width="8" style="3" bestFit="1" customWidth="1"/>
    <col min="83" max="83" width="15.21875" style="3" bestFit="1" customWidth="1"/>
    <col min="84" max="84" width="7.88671875" style="3" bestFit="1" customWidth="1"/>
    <col min="85" max="85" width="6" style="3" bestFit="1" customWidth="1"/>
    <col min="86" max="86" width="8" style="3" bestFit="1" customWidth="1"/>
    <col min="87" max="87" width="12" style="3" bestFit="1" customWidth="1"/>
    <col min="88" max="88" width="7.88671875" style="3" bestFit="1" customWidth="1"/>
    <col min="89" max="89" width="5.5546875" style="3" bestFit="1" customWidth="1"/>
    <col min="90" max="90" width="6" style="3" bestFit="1" customWidth="1"/>
    <col min="91" max="91" width="7.88671875" style="3" bestFit="1" customWidth="1"/>
    <col min="92" max="92" width="12" style="3" bestFit="1" customWidth="1"/>
    <col min="93" max="93" width="5" style="3" bestFit="1" customWidth="1"/>
    <col min="94" max="94" width="12" style="3" bestFit="1" customWidth="1"/>
    <col min="95" max="16384" width="8.88671875" style="3"/>
  </cols>
  <sheetData>
    <row r="1" spans="1:94" ht="15" thickBot="1" x14ac:dyDescent="0.35">
      <c r="M1" s="56"/>
    </row>
    <row r="2" spans="1:94" ht="15" thickBot="1" x14ac:dyDescent="0.35">
      <c r="C2" s="139" t="s">
        <v>0</v>
      </c>
      <c r="D2" s="8">
        <v>47</v>
      </c>
      <c r="E2" s="9">
        <v>7</v>
      </c>
      <c r="F2" s="9"/>
      <c r="G2" s="10">
        <v>1073</v>
      </c>
      <c r="H2" s="140">
        <v>59.816385714952702</v>
      </c>
      <c r="I2" s="31"/>
      <c r="J2" s="31"/>
      <c r="K2" s="31"/>
      <c r="L2" s="31"/>
      <c r="M2" s="14"/>
      <c r="Q2" s="139" t="s">
        <v>0</v>
      </c>
      <c r="R2" s="8">
        <v>63</v>
      </c>
      <c r="S2" s="9">
        <v>9</v>
      </c>
      <c r="T2" s="9"/>
      <c r="U2" s="10">
        <v>1401</v>
      </c>
      <c r="V2" s="140">
        <v>58.796258384356399</v>
      </c>
      <c r="W2" s="141"/>
      <c r="X2" s="31"/>
      <c r="Y2" s="31"/>
      <c r="Z2" s="31"/>
      <c r="AA2" s="14"/>
      <c r="AE2" s="139" t="s">
        <v>0</v>
      </c>
      <c r="AF2" s="8">
        <v>79</v>
      </c>
      <c r="AG2" s="9">
        <v>10</v>
      </c>
      <c r="AH2" s="9"/>
      <c r="AI2" s="10">
        <v>1764</v>
      </c>
      <c r="AJ2" s="140">
        <v>68.943817706883607</v>
      </c>
      <c r="AK2" s="141"/>
      <c r="AL2" s="31"/>
      <c r="AM2" s="31"/>
      <c r="AN2" s="31"/>
      <c r="AO2" s="14"/>
      <c r="AR2" s="139" t="s">
        <v>0</v>
      </c>
      <c r="AS2" s="8">
        <v>100</v>
      </c>
      <c r="AT2" s="9"/>
      <c r="AU2" s="9"/>
      <c r="AV2" s="10">
        <v>826.14</v>
      </c>
      <c r="AW2" s="140">
        <v>45.915683595041898</v>
      </c>
      <c r="AX2" s="141"/>
      <c r="AY2" s="31"/>
      <c r="AZ2" s="31"/>
      <c r="BA2" s="31"/>
      <c r="BB2" s="14"/>
      <c r="BE2" s="139" t="s">
        <v>0</v>
      </c>
      <c r="BF2" s="8">
        <v>120</v>
      </c>
      <c r="BG2" s="9">
        <v>7</v>
      </c>
      <c r="BH2" s="9"/>
      <c r="BI2" s="10">
        <v>1042.1099999999999</v>
      </c>
      <c r="BJ2" s="140">
        <v>57.489129407219203</v>
      </c>
      <c r="BK2" s="141"/>
      <c r="BL2" s="31"/>
      <c r="BM2" s="31"/>
      <c r="BN2" s="31"/>
      <c r="BO2" s="14"/>
      <c r="BR2" s="139" t="s">
        <v>0</v>
      </c>
      <c r="BS2" s="8">
        <v>150</v>
      </c>
      <c r="BT2" s="9">
        <v>12</v>
      </c>
      <c r="BU2" s="9"/>
      <c r="BV2" s="10">
        <v>1028.42</v>
      </c>
      <c r="BW2" s="140">
        <v>45.915683595041898</v>
      </c>
      <c r="BX2" s="141"/>
      <c r="BY2" s="31"/>
      <c r="BZ2" s="31"/>
      <c r="CA2" s="31"/>
      <c r="CB2" s="14"/>
      <c r="CE2" s="139" t="s">
        <v>0</v>
      </c>
      <c r="CF2" s="8">
        <v>199</v>
      </c>
      <c r="CG2" s="9">
        <v>16</v>
      </c>
      <c r="CH2" s="9"/>
      <c r="CI2" s="10">
        <v>1291.29</v>
      </c>
      <c r="CJ2" s="140">
        <v>45.915683595041898</v>
      </c>
      <c r="CK2" s="141"/>
      <c r="CL2" s="31"/>
      <c r="CM2" s="31"/>
      <c r="CN2" s="31"/>
      <c r="CO2" s="14"/>
    </row>
    <row r="3" spans="1:94" ht="15" thickBot="1" x14ac:dyDescent="0.35">
      <c r="C3" s="31"/>
      <c r="D3" s="278" t="s">
        <v>27</v>
      </c>
      <c r="E3" s="278"/>
      <c r="F3" s="278"/>
      <c r="G3" s="278"/>
      <c r="H3" s="278"/>
      <c r="I3" s="278"/>
      <c r="J3" s="278"/>
      <c r="K3" s="278"/>
      <c r="L3" s="278"/>
      <c r="M3" s="14"/>
      <c r="Q3" s="31"/>
      <c r="R3" s="278" t="s">
        <v>27</v>
      </c>
      <c r="S3" s="278"/>
      <c r="T3" s="278"/>
      <c r="U3" s="278"/>
      <c r="V3" s="278"/>
      <c r="W3" s="278"/>
      <c r="X3" s="278"/>
      <c r="Y3" s="278"/>
      <c r="Z3" s="278"/>
      <c r="AA3" s="14"/>
      <c r="AE3" s="31"/>
      <c r="AF3" s="278" t="s">
        <v>27</v>
      </c>
      <c r="AG3" s="278"/>
      <c r="AH3" s="278"/>
      <c r="AI3" s="278"/>
      <c r="AJ3" s="278"/>
      <c r="AK3" s="278"/>
      <c r="AL3" s="278"/>
      <c r="AM3" s="278"/>
      <c r="AN3" s="278"/>
      <c r="AO3" s="14"/>
      <c r="AR3" s="31"/>
      <c r="AS3" s="278" t="s">
        <v>27</v>
      </c>
      <c r="AT3" s="278"/>
      <c r="AU3" s="278"/>
      <c r="AV3" s="278"/>
      <c r="AW3" s="278"/>
      <c r="AX3" s="278"/>
      <c r="AY3" s="278"/>
      <c r="AZ3" s="278"/>
      <c r="BA3" s="278"/>
      <c r="BB3" s="14"/>
      <c r="BE3" s="31"/>
      <c r="BF3" s="278" t="s">
        <v>27</v>
      </c>
      <c r="BG3" s="278"/>
      <c r="BH3" s="278"/>
      <c r="BI3" s="278"/>
      <c r="BJ3" s="278"/>
      <c r="BK3" s="278"/>
      <c r="BL3" s="278"/>
      <c r="BM3" s="278"/>
      <c r="BN3" s="278"/>
      <c r="BO3" s="14"/>
      <c r="BR3" s="31"/>
      <c r="BS3" s="278" t="s">
        <v>27</v>
      </c>
      <c r="BT3" s="278"/>
      <c r="BU3" s="278"/>
      <c r="BV3" s="278"/>
      <c r="BW3" s="278"/>
      <c r="BX3" s="278"/>
      <c r="BY3" s="278"/>
      <c r="BZ3" s="278"/>
      <c r="CA3" s="278"/>
      <c r="CB3" s="14"/>
      <c r="CE3" s="31"/>
      <c r="CF3" s="278" t="s">
        <v>27</v>
      </c>
      <c r="CG3" s="278"/>
      <c r="CH3" s="278"/>
      <c r="CI3" s="278"/>
      <c r="CJ3" s="278"/>
      <c r="CK3" s="278"/>
      <c r="CL3" s="278"/>
      <c r="CM3" s="278"/>
      <c r="CN3" s="278"/>
      <c r="CO3" s="14"/>
    </row>
    <row r="4" spans="1:94" ht="15" thickBot="1" x14ac:dyDescent="0.35">
      <c r="C4" s="142" t="s">
        <v>5</v>
      </c>
      <c r="D4" s="276" t="s">
        <v>6</v>
      </c>
      <c r="E4" s="279"/>
      <c r="F4" s="279"/>
      <c r="G4" s="277"/>
      <c r="H4" s="276" t="s">
        <v>7</v>
      </c>
      <c r="I4" s="279"/>
      <c r="J4" s="277"/>
      <c r="K4" s="276" t="s">
        <v>8</v>
      </c>
      <c r="L4" s="277"/>
      <c r="M4" s="14"/>
      <c r="Q4" s="142" t="s">
        <v>5</v>
      </c>
      <c r="R4" s="276" t="s">
        <v>6</v>
      </c>
      <c r="S4" s="279"/>
      <c r="T4" s="279"/>
      <c r="U4" s="277"/>
      <c r="V4" s="276" t="s">
        <v>7</v>
      </c>
      <c r="W4" s="279"/>
      <c r="X4" s="277"/>
      <c r="Y4" s="276" t="s">
        <v>8</v>
      </c>
      <c r="Z4" s="277"/>
      <c r="AA4" s="14"/>
      <c r="AE4" s="142" t="s">
        <v>5</v>
      </c>
      <c r="AF4" s="276" t="s">
        <v>6</v>
      </c>
      <c r="AG4" s="279"/>
      <c r="AH4" s="279"/>
      <c r="AI4" s="277"/>
      <c r="AJ4" s="276" t="s">
        <v>7</v>
      </c>
      <c r="AK4" s="279"/>
      <c r="AL4" s="277"/>
      <c r="AM4" s="276" t="s">
        <v>8</v>
      </c>
      <c r="AN4" s="277"/>
      <c r="AO4" s="14"/>
      <c r="AR4" s="142" t="s">
        <v>5</v>
      </c>
      <c r="AS4" s="276" t="s">
        <v>6</v>
      </c>
      <c r="AT4" s="279"/>
      <c r="AU4" s="279"/>
      <c r="AV4" s="277"/>
      <c r="AW4" s="276" t="s">
        <v>7</v>
      </c>
      <c r="AX4" s="279"/>
      <c r="AY4" s="277"/>
      <c r="AZ4" s="276" t="s">
        <v>8</v>
      </c>
      <c r="BA4" s="277"/>
      <c r="BB4" s="14"/>
      <c r="BE4" s="142" t="s">
        <v>5</v>
      </c>
      <c r="BF4" s="276" t="s">
        <v>6</v>
      </c>
      <c r="BG4" s="279"/>
      <c r="BH4" s="279"/>
      <c r="BI4" s="277"/>
      <c r="BJ4" s="276" t="s">
        <v>7</v>
      </c>
      <c r="BK4" s="279"/>
      <c r="BL4" s="277"/>
      <c r="BM4" s="276" t="s">
        <v>8</v>
      </c>
      <c r="BN4" s="277"/>
      <c r="BO4" s="14"/>
      <c r="BR4" s="142" t="s">
        <v>5</v>
      </c>
      <c r="BS4" s="276" t="s">
        <v>6</v>
      </c>
      <c r="BT4" s="279"/>
      <c r="BU4" s="279"/>
      <c r="BV4" s="277"/>
      <c r="BW4" s="276" t="s">
        <v>7</v>
      </c>
      <c r="BX4" s="279"/>
      <c r="BY4" s="277"/>
      <c r="BZ4" s="276" t="s">
        <v>8</v>
      </c>
      <c r="CA4" s="277"/>
      <c r="CB4" s="14"/>
      <c r="CE4" s="142" t="s">
        <v>5</v>
      </c>
      <c r="CF4" s="276" t="s">
        <v>6</v>
      </c>
      <c r="CG4" s="279"/>
      <c r="CH4" s="279"/>
      <c r="CI4" s="277"/>
      <c r="CJ4" s="276" t="s">
        <v>7</v>
      </c>
      <c r="CK4" s="279"/>
      <c r="CL4" s="277"/>
      <c r="CM4" s="276" t="s">
        <v>8</v>
      </c>
      <c r="CN4" s="277"/>
      <c r="CO4" s="14"/>
    </row>
    <row r="5" spans="1:94" ht="31.2" customHeight="1" thickBot="1" x14ac:dyDescent="0.35">
      <c r="A5" s="143" t="s">
        <v>61</v>
      </c>
      <c r="C5" s="17" t="s">
        <v>9</v>
      </c>
      <c r="D5" s="8" t="s">
        <v>10</v>
      </c>
      <c r="E5" s="9" t="s">
        <v>11</v>
      </c>
      <c r="F5" s="9"/>
      <c r="G5" s="10" t="s">
        <v>12</v>
      </c>
      <c r="H5" s="8" t="s">
        <v>10</v>
      </c>
      <c r="I5" s="9" t="s">
        <v>12</v>
      </c>
      <c r="J5" s="10" t="s">
        <v>11</v>
      </c>
      <c r="K5" s="8" t="s">
        <v>8</v>
      </c>
      <c r="L5" s="18" t="s">
        <v>13</v>
      </c>
      <c r="M5" s="19"/>
      <c r="Q5" s="17" t="s">
        <v>9</v>
      </c>
      <c r="R5" s="8" t="s">
        <v>10</v>
      </c>
      <c r="S5" s="9" t="s">
        <v>11</v>
      </c>
      <c r="T5" s="9"/>
      <c r="U5" s="10" t="s">
        <v>12</v>
      </c>
      <c r="V5" s="8" t="s">
        <v>10</v>
      </c>
      <c r="W5" s="9"/>
      <c r="X5" s="10" t="s">
        <v>11</v>
      </c>
      <c r="Y5" s="8" t="s">
        <v>8</v>
      </c>
      <c r="Z5" s="18" t="s">
        <v>13</v>
      </c>
      <c r="AA5" s="19"/>
      <c r="AE5" s="17" t="s">
        <v>9</v>
      </c>
      <c r="AF5" s="8" t="s">
        <v>10</v>
      </c>
      <c r="AG5" s="9" t="s">
        <v>11</v>
      </c>
      <c r="AH5" s="9"/>
      <c r="AI5" s="10" t="s">
        <v>12</v>
      </c>
      <c r="AJ5" s="8" t="s">
        <v>10</v>
      </c>
      <c r="AK5" s="9"/>
      <c r="AL5" s="10" t="s">
        <v>11</v>
      </c>
      <c r="AM5" s="8" t="s">
        <v>8</v>
      </c>
      <c r="AN5" s="18" t="s">
        <v>13</v>
      </c>
      <c r="AO5" s="19"/>
      <c r="AP5" s="125" t="s">
        <v>58</v>
      </c>
      <c r="AR5" s="17" t="s">
        <v>9</v>
      </c>
      <c r="AS5" s="8" t="s">
        <v>10</v>
      </c>
      <c r="AT5" s="9" t="s">
        <v>11</v>
      </c>
      <c r="AU5" s="9"/>
      <c r="AV5" s="10" t="s">
        <v>12</v>
      </c>
      <c r="AW5" s="8" t="s">
        <v>10</v>
      </c>
      <c r="AX5" s="9"/>
      <c r="AY5" s="10" t="s">
        <v>11</v>
      </c>
      <c r="AZ5" s="8" t="s">
        <v>8</v>
      </c>
      <c r="BA5" s="18" t="s">
        <v>13</v>
      </c>
      <c r="BB5" s="19"/>
      <c r="BE5" s="17" t="s">
        <v>9</v>
      </c>
      <c r="BF5" s="8" t="s">
        <v>10</v>
      </c>
      <c r="BG5" s="9" t="s">
        <v>11</v>
      </c>
      <c r="BH5" s="9"/>
      <c r="BI5" s="10" t="s">
        <v>12</v>
      </c>
      <c r="BJ5" s="8" t="s">
        <v>10</v>
      </c>
      <c r="BK5" s="9"/>
      <c r="BL5" s="10" t="s">
        <v>11</v>
      </c>
      <c r="BM5" s="8" t="s">
        <v>8</v>
      </c>
      <c r="BN5" s="18" t="s">
        <v>13</v>
      </c>
      <c r="BO5" s="19"/>
      <c r="BR5" s="17" t="s">
        <v>9</v>
      </c>
      <c r="BS5" s="8" t="s">
        <v>10</v>
      </c>
      <c r="BT5" s="9" t="s">
        <v>11</v>
      </c>
      <c r="BU5" s="9"/>
      <c r="BV5" s="10" t="s">
        <v>12</v>
      </c>
      <c r="BW5" s="8" t="s">
        <v>10</v>
      </c>
      <c r="BX5" s="9"/>
      <c r="BY5" s="10" t="s">
        <v>11</v>
      </c>
      <c r="BZ5" s="8" t="s">
        <v>8</v>
      </c>
      <c r="CA5" s="18" t="s">
        <v>13</v>
      </c>
      <c r="CB5" s="19"/>
      <c r="CE5" s="17" t="s">
        <v>9</v>
      </c>
      <c r="CF5" s="8" t="s">
        <v>10</v>
      </c>
      <c r="CG5" s="9" t="s">
        <v>11</v>
      </c>
      <c r="CH5" s="9"/>
      <c r="CI5" s="10" t="s">
        <v>12</v>
      </c>
      <c r="CJ5" s="8" t="s">
        <v>10</v>
      </c>
      <c r="CK5" s="9"/>
      <c r="CL5" s="10" t="s">
        <v>11</v>
      </c>
      <c r="CM5" s="8" t="s">
        <v>8</v>
      </c>
      <c r="CN5" s="18" t="s">
        <v>13</v>
      </c>
      <c r="CO5" s="19"/>
    </row>
    <row r="6" spans="1:94" ht="15" thickBot="1" x14ac:dyDescent="0.35">
      <c r="A6" s="3">
        <f>AVERAGE(A9,A12,A15,A18,A21)</f>
        <v>11.2</v>
      </c>
      <c r="C6" s="144" t="s">
        <v>59</v>
      </c>
      <c r="D6" s="126">
        <f t="shared" ref="D6:L6" si="0">AVERAGE(D9,D12,D15,D18,D21)</f>
        <v>33.799999999999997</v>
      </c>
      <c r="E6" s="126">
        <f t="shared" si="0"/>
        <v>6</v>
      </c>
      <c r="F6" s="127">
        <f t="shared" si="0"/>
        <v>912.5224346376375</v>
      </c>
      <c r="G6" s="24">
        <f t="shared" si="0"/>
        <v>972.33882035259035</v>
      </c>
      <c r="H6" s="126">
        <f t="shared" si="0"/>
        <v>13.2</v>
      </c>
      <c r="I6" s="128">
        <f t="shared" si="0"/>
        <v>59.816385714952709</v>
      </c>
      <c r="J6" s="24">
        <f t="shared" si="0"/>
        <v>1</v>
      </c>
      <c r="K6" s="25">
        <f t="shared" si="0"/>
        <v>9.3812842169067809E-2</v>
      </c>
      <c r="L6" s="24">
        <f t="shared" si="0"/>
        <v>6.4907327530000005</v>
      </c>
      <c r="M6" s="14"/>
      <c r="O6" s="129">
        <f>AVERAGE(O9,O12,O15,O18,O21)</f>
        <v>14.4</v>
      </c>
      <c r="Q6" s="144" t="s">
        <v>59</v>
      </c>
      <c r="R6" s="126">
        <f t="shared" ref="R6:Z6" si="1">AVERAGE(R9,R12,R15,R18,R21)</f>
        <v>44.8</v>
      </c>
      <c r="S6" s="126">
        <f t="shared" si="1"/>
        <v>7.6</v>
      </c>
      <c r="T6" s="126">
        <f t="shared" si="1"/>
        <v>1183.0226323426273</v>
      </c>
      <c r="U6" s="24">
        <f t="shared" si="1"/>
        <v>1265.3373940807262</v>
      </c>
      <c r="V6" s="126">
        <f t="shared" si="1"/>
        <v>18.2</v>
      </c>
      <c r="W6" s="128">
        <f t="shared" si="1"/>
        <v>82.314761738098952</v>
      </c>
      <c r="X6" s="24">
        <f t="shared" si="1"/>
        <v>1.4</v>
      </c>
      <c r="Y6" s="25">
        <f t="shared" si="1"/>
        <v>9.6832695160081375E-2</v>
      </c>
      <c r="Z6" s="24">
        <f t="shared" si="1"/>
        <v>11.513844521399999</v>
      </c>
      <c r="AA6" s="14"/>
      <c r="AC6" s="68">
        <f>AVERAGE(AC9,AC12,AC15,AC18,AC21)</f>
        <v>18.399999999999999</v>
      </c>
      <c r="AE6" s="144" t="s">
        <v>59</v>
      </c>
      <c r="AF6" s="126">
        <f t="shared" ref="AF6:AN6" si="2">AVERAGE(AF9,AF12,AF15,AF18,AF21)</f>
        <v>55.4</v>
      </c>
      <c r="AG6" s="126">
        <f t="shared" si="2"/>
        <v>9</v>
      </c>
      <c r="AH6" s="126">
        <f t="shared" si="2"/>
        <v>1543.468370492626</v>
      </c>
      <c r="AI6" s="24">
        <f t="shared" si="2"/>
        <v>1612.4121881995102</v>
      </c>
      <c r="AJ6" s="126">
        <f t="shared" si="2"/>
        <v>23.6</v>
      </c>
      <c r="AK6" s="128">
        <f t="shared" si="2"/>
        <v>68.943817706883607</v>
      </c>
      <c r="AL6" s="24">
        <f t="shared" si="2"/>
        <v>1</v>
      </c>
      <c r="AM6" s="25">
        <f t="shared" si="2"/>
        <v>8.5934133673747165E-2</v>
      </c>
      <c r="AN6" s="24">
        <f t="shared" si="2"/>
        <v>17.746909725000002</v>
      </c>
      <c r="AO6" s="14"/>
      <c r="AP6" s="68">
        <f>AVERAGE(AP9,AP12,AP15,AP18,AP21)</f>
        <v>21.8</v>
      </c>
      <c r="AR6" s="144" t="s">
        <v>59</v>
      </c>
      <c r="AS6" s="126">
        <f t="shared" ref="AS6:BA6" si="3">AVERAGE(AS9,AS12,AS15,AS18,AS21)</f>
        <v>68.599999999999994</v>
      </c>
      <c r="AT6" s="126">
        <f t="shared" si="3"/>
        <v>6.8</v>
      </c>
      <c r="AU6" s="126">
        <f t="shared" si="3"/>
        <v>664.05365405775672</v>
      </c>
      <c r="AV6" s="24">
        <f t="shared" si="3"/>
        <v>719.15247437180699</v>
      </c>
      <c r="AW6" s="126">
        <f t="shared" si="3"/>
        <v>31.4</v>
      </c>
      <c r="AX6" s="128">
        <f t="shared" si="3"/>
        <v>55.098820314050272</v>
      </c>
      <c r="AY6" s="24">
        <f t="shared" si="3"/>
        <v>1.2</v>
      </c>
      <c r="AZ6" s="25">
        <f t="shared" si="3"/>
        <v>0.12950289978477375</v>
      </c>
      <c r="BA6" s="24">
        <f t="shared" si="3"/>
        <v>23.655688533799999</v>
      </c>
      <c r="BB6" s="14"/>
      <c r="BC6" s="68">
        <f>AVERAGE(BC9,BC12,BC15,BC18,BC21)</f>
        <v>26.2</v>
      </c>
      <c r="BE6" s="144" t="s">
        <v>59</v>
      </c>
      <c r="BF6" s="126">
        <f t="shared" ref="BF6:BN6" si="4">AVERAGE(BF9,BF12,BF15,BF18,BF21)</f>
        <v>108.6</v>
      </c>
      <c r="BG6" s="126">
        <f t="shared" si="4"/>
        <v>6</v>
      </c>
      <c r="BH6" s="126">
        <f t="shared" si="4"/>
        <v>373.0290984575289</v>
      </c>
      <c r="BI6" s="24">
        <f t="shared" si="4"/>
        <v>990.06187555104157</v>
      </c>
      <c r="BJ6" s="126">
        <f t="shared" si="4"/>
        <v>28.5</v>
      </c>
      <c r="BK6" s="126">
        <f t="shared" si="4"/>
        <v>22.995651762887682</v>
      </c>
      <c r="BL6" s="24">
        <f t="shared" si="4"/>
        <v>1</v>
      </c>
      <c r="BM6" s="25">
        <f t="shared" si="4"/>
        <v>0.61997797716132019</v>
      </c>
      <c r="BN6" s="24">
        <f t="shared" si="4"/>
        <v>58.737327537500001</v>
      </c>
      <c r="BO6" s="14"/>
      <c r="BP6" s="68">
        <f>AVERAGE(BP9,BP12,BP15,BP18,BP21)</f>
        <v>32.200000000000003</v>
      </c>
      <c r="BR6" s="144" t="s">
        <v>59</v>
      </c>
      <c r="BS6" s="126">
        <f t="shared" ref="BS6:CA6" si="5">AVERAGE(BS9,BS12,BS15,BS18,BS21)</f>
        <v>109.4</v>
      </c>
      <c r="BT6" s="126">
        <f t="shared" si="5"/>
        <v>10.4</v>
      </c>
      <c r="BU6" s="126">
        <f t="shared" si="5"/>
        <v>878.02859070547822</v>
      </c>
      <c r="BV6" s="24">
        <f t="shared" si="5"/>
        <v>951.49368445754533</v>
      </c>
      <c r="BW6" s="126">
        <f t="shared" si="5"/>
        <v>40.6</v>
      </c>
      <c r="BX6" s="126">
        <f t="shared" si="5"/>
        <v>73.465093752067034</v>
      </c>
      <c r="BY6" s="24">
        <f t="shared" si="5"/>
        <v>1.6</v>
      </c>
      <c r="BZ6" s="25">
        <f t="shared" si="5"/>
        <v>7.480048573778679E-2</v>
      </c>
      <c r="CA6" s="24">
        <f t="shared" si="5"/>
        <v>136.3931071662</v>
      </c>
      <c r="CB6" s="14"/>
      <c r="CC6" s="68">
        <f>AVERAGE(CC9,CC12,CC15,CC18,CC21)</f>
        <v>43</v>
      </c>
      <c r="CE6" s="144" t="s">
        <v>59</v>
      </c>
      <c r="CF6" s="126">
        <f t="shared" ref="CF6:CN6" si="6">AVERAGE(CF9,CF12,CF15,CF18,CF21)</f>
        <v>150</v>
      </c>
      <c r="CG6" s="126">
        <f t="shared" si="6"/>
        <v>15.2</v>
      </c>
      <c r="CH6" s="126">
        <f t="shared" si="6"/>
        <v>1128.2127454903207</v>
      </c>
      <c r="CI6" s="24">
        <f t="shared" si="6"/>
        <v>1210.860975961396</v>
      </c>
      <c r="CJ6" s="126">
        <f t="shared" si="6"/>
        <v>49</v>
      </c>
      <c r="CK6" s="126">
        <f t="shared" si="6"/>
        <v>82.648230471075408</v>
      </c>
      <c r="CL6" s="24">
        <f t="shared" si="6"/>
        <v>1.8</v>
      </c>
      <c r="CM6" s="25">
        <f t="shared" si="6"/>
        <v>6.2285794855225382E-2</v>
      </c>
      <c r="CN6" s="24">
        <f t="shared" si="6"/>
        <v>282.87875392400002</v>
      </c>
      <c r="CO6" s="14"/>
    </row>
    <row r="7" spans="1:94" x14ac:dyDescent="0.3">
      <c r="C7" s="145" t="s">
        <v>60</v>
      </c>
      <c r="D7" s="130">
        <f t="shared" ref="D7:L7" si="7">AVERAGE(D10,D13,D16,D19,D22)</f>
        <v>35</v>
      </c>
      <c r="E7" s="130">
        <f t="shared" si="7"/>
        <v>6</v>
      </c>
      <c r="F7" s="131">
        <f t="shared" si="7"/>
        <v>887.94698411217701</v>
      </c>
      <c r="G7" s="32">
        <f t="shared" si="7"/>
        <v>947.76336982712985</v>
      </c>
      <c r="H7" s="130">
        <f t="shared" si="7"/>
        <v>12</v>
      </c>
      <c r="I7" s="132">
        <f t="shared" si="7"/>
        <v>59.816385714952709</v>
      </c>
      <c r="J7" s="32">
        <f t="shared" si="7"/>
        <v>1</v>
      </c>
      <c r="K7" s="33">
        <f t="shared" si="7"/>
        <v>0.11671633753296384</v>
      </c>
      <c r="L7" s="32">
        <f t="shared" si="7"/>
        <v>225.69190200839998</v>
      </c>
      <c r="M7" s="133">
        <f>(G6-G7)/G6</f>
        <v>2.5274575087466861E-2</v>
      </c>
      <c r="Q7" s="145" t="s">
        <v>60</v>
      </c>
      <c r="R7" s="130">
        <f t="shared" ref="R7:Z7" si="8">AVERAGE(R10,R13,R16,R19,R22)</f>
        <v>45.2</v>
      </c>
      <c r="S7" s="130">
        <f t="shared" si="8"/>
        <v>7.4</v>
      </c>
      <c r="T7" s="126">
        <f t="shared" si="8"/>
        <v>1152.0617616685138</v>
      </c>
      <c r="U7" s="32">
        <f t="shared" si="8"/>
        <v>1246.1357750834841</v>
      </c>
      <c r="V7" s="130">
        <f t="shared" si="8"/>
        <v>17.8</v>
      </c>
      <c r="W7" s="132">
        <f t="shared" si="8"/>
        <v>94.074013414970239</v>
      </c>
      <c r="X7" s="32">
        <f t="shared" si="8"/>
        <v>1.6</v>
      </c>
      <c r="Y7" s="33">
        <f t="shared" si="8"/>
        <v>0.11053834754926192</v>
      </c>
      <c r="Z7" s="32">
        <f t="shared" si="8"/>
        <v>1019.8480501586</v>
      </c>
      <c r="AA7" s="133">
        <f>(U6-U7)/U6</f>
        <v>1.5175098030823781E-2</v>
      </c>
      <c r="AB7" s="3">
        <f>Z7/60</f>
        <v>16.997467502643335</v>
      </c>
      <c r="AE7" s="145" t="s">
        <v>60</v>
      </c>
      <c r="AF7" s="130">
        <f t="shared" ref="AF7:AN7" si="9">AVERAGE(AF10,AF13,AF16,AF19,AF22)</f>
        <v>56</v>
      </c>
      <c r="AG7" s="130">
        <f t="shared" si="9"/>
        <v>8.6</v>
      </c>
      <c r="AH7" s="126">
        <f t="shared" si="9"/>
        <v>1488.4567237796086</v>
      </c>
      <c r="AI7" s="32">
        <f t="shared" si="9"/>
        <v>1584.9780685692458</v>
      </c>
      <c r="AJ7" s="130">
        <f t="shared" si="9"/>
        <v>23</v>
      </c>
      <c r="AK7" s="132">
        <f t="shared" si="9"/>
        <v>96.521344789637027</v>
      </c>
      <c r="AL7" s="32">
        <f t="shared" si="9"/>
        <v>1.4</v>
      </c>
      <c r="AM7" s="33">
        <f t="shared" si="9"/>
        <v>0.10148635568636852</v>
      </c>
      <c r="AN7" s="32">
        <f t="shared" si="9"/>
        <v>1680.7072213803999</v>
      </c>
      <c r="AO7" s="133">
        <f>(AI6-AI7)/AI6</f>
        <v>1.7014334071053204E-2</v>
      </c>
      <c r="AR7" s="145" t="s">
        <v>60</v>
      </c>
      <c r="AS7" s="130">
        <f t="shared" ref="AS7:BA7" si="10">AVERAGE(AS10,AS13,AS16,AS19,AS22)</f>
        <v>70.599999999999994</v>
      </c>
      <c r="AT7" s="130">
        <f t="shared" si="10"/>
        <v>6.8</v>
      </c>
      <c r="AU7" s="126">
        <f t="shared" si="10"/>
        <v>651.8497284893441</v>
      </c>
      <c r="AV7" s="34">
        <f t="shared" si="10"/>
        <v>706.94854880339437</v>
      </c>
      <c r="AW7" s="130">
        <f t="shared" si="10"/>
        <v>29.4</v>
      </c>
      <c r="AX7" s="132">
        <f t="shared" si="10"/>
        <v>55.098820314050272</v>
      </c>
      <c r="AY7" s="32">
        <f t="shared" si="10"/>
        <v>1.2</v>
      </c>
      <c r="AZ7" s="33">
        <f t="shared" si="10"/>
        <v>0.14427512430896167</v>
      </c>
      <c r="BA7" s="34">
        <f t="shared" si="10"/>
        <v>3012.7765432843998</v>
      </c>
      <c r="BB7" s="133">
        <f>(AV6-AV7)/AV6</f>
        <v>1.6969872180545537E-2</v>
      </c>
      <c r="BE7" s="145" t="s">
        <v>60</v>
      </c>
      <c r="BF7" s="130">
        <f t="shared" ref="BF7:BN7" si="11">AVERAGE(BF10,BF13,BF16,BF19,BF22)</f>
        <v>95.2</v>
      </c>
      <c r="BG7" s="130">
        <f t="shared" si="11"/>
        <v>6</v>
      </c>
      <c r="BH7" s="126">
        <f t="shared" si="11"/>
        <v>919.57758628442093</v>
      </c>
      <c r="BI7" s="32">
        <f t="shared" si="11"/>
        <v>977.06671569164007</v>
      </c>
      <c r="BJ7" s="130">
        <f t="shared" si="11"/>
        <v>24.8</v>
      </c>
      <c r="BK7" s="126">
        <f t="shared" si="11"/>
        <v>57.48912940721921</v>
      </c>
      <c r="BL7" s="32">
        <f t="shared" si="11"/>
        <v>1</v>
      </c>
      <c r="BM7" s="33">
        <f t="shared" si="11"/>
        <v>6.2414989116657257E-2</v>
      </c>
      <c r="BN7" s="32">
        <f t="shared" si="11"/>
        <v>6595.8803510859989</v>
      </c>
      <c r="BO7" s="133">
        <f>(BI6-BI7)/BI6</f>
        <v>1.3125603742865812E-2</v>
      </c>
      <c r="BR7" s="145" t="s">
        <v>60</v>
      </c>
      <c r="BS7" s="130">
        <f t="shared" ref="BS7:CA7" si="12">AVERAGE(BS10,BS13,BS16,BS19,BS22)</f>
        <v>108.4</v>
      </c>
      <c r="BT7" s="130">
        <f t="shared" si="12"/>
        <v>10</v>
      </c>
      <c r="BU7" s="126">
        <f t="shared" si="12"/>
        <v>839.4371153633731</v>
      </c>
      <c r="BV7" s="32">
        <f t="shared" si="12"/>
        <v>931.26848255345681</v>
      </c>
      <c r="BW7" s="130">
        <f t="shared" si="12"/>
        <v>41.6</v>
      </c>
      <c r="BX7" s="126">
        <f t="shared" si="12"/>
        <v>91.831367190083796</v>
      </c>
      <c r="BY7" s="32">
        <f t="shared" si="12"/>
        <v>2</v>
      </c>
      <c r="BZ7" s="33">
        <f t="shared" si="12"/>
        <v>9.4466771792208706E-2</v>
      </c>
      <c r="CA7" s="32">
        <f t="shared" si="12"/>
        <v>12448.4828471166</v>
      </c>
      <c r="CB7" s="133">
        <f>(BV6-BV7)/BV6</f>
        <v>2.1256265001505587E-2</v>
      </c>
      <c r="CE7" s="145" t="s">
        <v>60</v>
      </c>
      <c r="CF7" s="130">
        <f t="shared" ref="CF7:CN7" si="13">AVERAGE(CF10,CF13,CF16,CF19,CF22)</f>
        <v>151.80000000000001</v>
      </c>
      <c r="CG7" s="130">
        <f t="shared" si="13"/>
        <v>15</v>
      </c>
      <c r="CH7" s="126">
        <f t="shared" si="13"/>
        <v>1098.9446463424583</v>
      </c>
      <c r="CI7" s="32">
        <f t="shared" si="13"/>
        <v>1190.776013532542</v>
      </c>
      <c r="CJ7" s="130">
        <f t="shared" si="13"/>
        <v>47.2</v>
      </c>
      <c r="CK7" s="126">
        <f t="shared" si="13"/>
        <v>91.831367190083796</v>
      </c>
      <c r="CL7" s="32">
        <f t="shared" si="13"/>
        <v>2</v>
      </c>
      <c r="CM7" s="33">
        <f t="shared" si="13"/>
        <v>7.7839978988033603E-2</v>
      </c>
      <c r="CN7" s="32">
        <f t="shared" si="13"/>
        <v>10243.723854158001</v>
      </c>
      <c r="CO7" s="133">
        <f>(CI6-CI7)/CI6</f>
        <v>1.6587339775242935E-2</v>
      </c>
    </row>
    <row r="8" spans="1:94" ht="15" thickBot="1" x14ac:dyDescent="0.35">
      <c r="B8" s="3" t="s">
        <v>18</v>
      </c>
      <c r="M8" s="56"/>
      <c r="P8" s="3" t="s">
        <v>18</v>
      </c>
      <c r="AA8" s="56"/>
      <c r="AD8" s="3" t="s">
        <v>18</v>
      </c>
      <c r="AO8" s="56"/>
      <c r="AQ8" s="3" t="s">
        <v>18</v>
      </c>
      <c r="BB8" s="56"/>
      <c r="BD8" s="3" t="s">
        <v>18</v>
      </c>
      <c r="BO8" s="56"/>
      <c r="BQ8" s="3" t="s">
        <v>18</v>
      </c>
      <c r="CB8" s="56"/>
      <c r="CD8" s="3" t="s">
        <v>18</v>
      </c>
      <c r="CO8" s="56"/>
    </row>
    <row r="9" spans="1:94" x14ac:dyDescent="0.3">
      <c r="A9" s="3">
        <v>11</v>
      </c>
      <c r="B9" s="3">
        <v>1</v>
      </c>
      <c r="C9" s="144" t="s">
        <v>59</v>
      </c>
      <c r="D9" s="22">
        <f t="shared" ref="D9:D10" si="14">$D$2-H9</f>
        <v>35</v>
      </c>
      <c r="E9" s="41">
        <v>6</v>
      </c>
      <c r="F9" s="134">
        <f t="shared" ref="F9:F10" si="15">G9-I9</f>
        <v>940.85486335370729</v>
      </c>
      <c r="G9" s="42">
        <v>1000.67124906866</v>
      </c>
      <c r="H9" s="43">
        <v>12</v>
      </c>
      <c r="I9" s="134">
        <f t="shared" ref="I9:I10" si="16">$H$2*J9</f>
        <v>59.816385714952702</v>
      </c>
      <c r="J9" s="44">
        <v>1</v>
      </c>
      <c r="K9" s="25">
        <f t="shared" ref="K9:K10" si="17">MAX(($G$2-G9)/$G$2, 0)</f>
        <v>6.7407969181118341E-2</v>
      </c>
      <c r="L9" s="42">
        <v>6.9813820819999997</v>
      </c>
      <c r="M9" s="14"/>
      <c r="O9" s="3">
        <v>15</v>
      </c>
      <c r="P9" s="3">
        <v>1</v>
      </c>
      <c r="Q9" s="144" t="s">
        <v>59</v>
      </c>
      <c r="R9" s="135">
        <f t="shared" ref="R9:R10" si="18">$R$2-V9</f>
        <v>48</v>
      </c>
      <c r="S9" s="41">
        <v>8</v>
      </c>
      <c r="T9" s="134">
        <f t="shared" ref="T9:T10" si="19">U9-W9</f>
        <v>1210.5954206847437</v>
      </c>
      <c r="U9" s="42">
        <v>1269.3916790691001</v>
      </c>
      <c r="V9" s="43">
        <v>15</v>
      </c>
      <c r="W9" s="134">
        <f t="shared" ref="W9:W10" si="20">$V$2*X9</f>
        <v>58.796258384356399</v>
      </c>
      <c r="X9" s="44">
        <v>1</v>
      </c>
      <c r="Y9" s="25">
        <f t="shared" ref="Y9:Y10" si="21">MAX(($U$2-U9)/$U$2, 0)</f>
        <v>9.3938844347537423E-2</v>
      </c>
      <c r="Z9" s="42">
        <v>5.3882939570000001</v>
      </c>
      <c r="AA9" s="14"/>
      <c r="AC9" s="68">
        <v>18</v>
      </c>
      <c r="AD9" s="3">
        <v>1</v>
      </c>
      <c r="AE9" s="144" t="s">
        <v>59</v>
      </c>
      <c r="AF9" s="135">
        <f t="shared" ref="AF9:AF10" si="22">$AF$2-AJ9</f>
        <v>55</v>
      </c>
      <c r="AG9" s="41">
        <v>9</v>
      </c>
      <c r="AH9" s="134">
        <f t="shared" ref="AH9:AH10" si="23">AI9-AK9</f>
        <v>1527.7822445645763</v>
      </c>
      <c r="AI9" s="42">
        <v>1596.72606227146</v>
      </c>
      <c r="AJ9" s="43">
        <v>24</v>
      </c>
      <c r="AK9" s="134">
        <f t="shared" ref="AK9:AK10" si="24">$AJ$2*AL9</f>
        <v>68.943817706883607</v>
      </c>
      <c r="AL9" s="44">
        <v>1</v>
      </c>
      <c r="AM9" s="25">
        <f t="shared" ref="AM9:AM10" si="25">MAX(($AI$2-AI9)/$AI$2, 0)</f>
        <v>9.482649531096371E-2</v>
      </c>
      <c r="AN9" s="42">
        <v>16.448383997000001</v>
      </c>
      <c r="AO9" s="14"/>
      <c r="AP9" s="68">
        <v>21</v>
      </c>
      <c r="AQ9" s="3">
        <v>1</v>
      </c>
      <c r="AR9" s="144" t="s">
        <v>59</v>
      </c>
      <c r="AS9" s="135">
        <f t="shared" ref="AS9:AS10" si="26">$AS$2-AW9</f>
        <v>71</v>
      </c>
      <c r="AT9" s="41">
        <v>7</v>
      </c>
      <c r="AU9" s="134">
        <f t="shared" ref="AU9:AU10" si="27">AV9-AX9</f>
        <v>684.67489973747013</v>
      </c>
      <c r="AV9" s="42">
        <v>730.59058333251198</v>
      </c>
      <c r="AW9" s="43">
        <v>29</v>
      </c>
      <c r="AX9" s="134">
        <f t="shared" ref="AX9:AX10" si="28">$AW$2*AY9</f>
        <v>45.915683595041898</v>
      </c>
      <c r="AY9" s="44">
        <v>1</v>
      </c>
      <c r="AZ9" s="25">
        <f t="shared" ref="AZ9:AZ10" si="29">MAX(($AV$2-AV9)/$AV$2, 0)</f>
        <v>0.11565765689530588</v>
      </c>
      <c r="BA9" s="42">
        <v>36.387341831999997</v>
      </c>
      <c r="BB9" s="14"/>
      <c r="BC9" s="68">
        <v>26</v>
      </c>
      <c r="BD9" s="3">
        <v>1</v>
      </c>
      <c r="BE9" s="144" t="s">
        <v>59</v>
      </c>
      <c r="BF9" s="135">
        <f t="shared" ref="BF9:BF10" si="30">$BF$2-BJ9</f>
        <v>120</v>
      </c>
      <c r="BG9" s="41"/>
      <c r="BH9" s="134">
        <f t="shared" ref="BH9:BH10" si="31">BI9-BK9</f>
        <v>0</v>
      </c>
      <c r="BI9" s="42"/>
      <c r="BJ9" s="43"/>
      <c r="BK9" s="134">
        <f t="shared" ref="BK9:BK10" si="32">$BJ$2*BL9</f>
        <v>0</v>
      </c>
      <c r="BL9" s="44"/>
      <c r="BM9" s="25">
        <f t="shared" ref="BM9:BM10" si="33">MAX(($BI$2-BI9)/$BI$2, 0)</f>
        <v>1</v>
      </c>
      <c r="BN9" s="42"/>
      <c r="BO9" s="14"/>
      <c r="BP9" s="68">
        <v>33</v>
      </c>
      <c r="BQ9" s="3">
        <v>1</v>
      </c>
      <c r="BR9" s="144" t="s">
        <v>59</v>
      </c>
      <c r="BS9" s="135">
        <f t="shared" ref="BS9:BS10" si="34">$BS$2-BW9</f>
        <v>118</v>
      </c>
      <c r="BT9" s="41">
        <v>11</v>
      </c>
      <c r="BU9" s="134">
        <f t="shared" ref="BU9:BU10" si="35">BV9-BX9</f>
        <v>906.9222532330981</v>
      </c>
      <c r="BV9" s="42">
        <v>952.83793682813996</v>
      </c>
      <c r="BW9" s="43">
        <v>32</v>
      </c>
      <c r="BX9" s="134">
        <f t="shared" ref="BX9:BX10" si="36">$BW$2*BY9</f>
        <v>45.915683595041898</v>
      </c>
      <c r="BY9" s="44">
        <v>1</v>
      </c>
      <c r="BZ9" s="25">
        <f t="shared" ref="BZ9:BZ10" si="37">MAX(($BV$2-BV9)/$BV$2, 0)</f>
        <v>7.3493381275996292E-2</v>
      </c>
      <c r="CA9" s="42">
        <v>70.044406938999998</v>
      </c>
      <c r="CB9" s="14"/>
      <c r="CC9" s="68">
        <v>44</v>
      </c>
      <c r="CD9" s="3">
        <v>1</v>
      </c>
      <c r="CE9" s="144" t="s">
        <v>59</v>
      </c>
      <c r="CF9" s="135">
        <f t="shared" ref="CF9:CF10" si="38">$CF$2-CJ9</f>
        <v>145</v>
      </c>
      <c r="CG9" s="41">
        <v>15</v>
      </c>
      <c r="CH9" s="134">
        <f t="shared" ref="CH9:CH10" si="39">CI9-CK9</f>
        <v>1122.9609048149764</v>
      </c>
      <c r="CI9" s="42">
        <v>1214.7922720050601</v>
      </c>
      <c r="CJ9" s="43">
        <v>54</v>
      </c>
      <c r="CK9" s="134">
        <f t="shared" ref="CK9:CK10" si="40">$CJ$2*CL9</f>
        <v>91.831367190083796</v>
      </c>
      <c r="CL9" s="44">
        <v>2</v>
      </c>
      <c r="CM9" s="25">
        <f t="shared" ref="CM9:CM10" si="41">MAX(($CI$2-CI9)/$CI$2, 0)</f>
        <v>5.9241323014148528E-2</v>
      </c>
      <c r="CN9" s="42">
        <v>476.46135527600001</v>
      </c>
      <c r="CO9" s="14"/>
    </row>
    <row r="10" spans="1:94" x14ac:dyDescent="0.3">
      <c r="C10" s="145" t="s">
        <v>60</v>
      </c>
      <c r="D10" s="30">
        <f t="shared" si="14"/>
        <v>35</v>
      </c>
      <c r="E10" s="45">
        <v>6</v>
      </c>
      <c r="F10" s="136">
        <f t="shared" si="15"/>
        <v>927.0685295759813</v>
      </c>
      <c r="G10" s="47">
        <v>986.88491529093403</v>
      </c>
      <c r="H10" s="48">
        <v>12</v>
      </c>
      <c r="I10" s="136">
        <f t="shared" si="16"/>
        <v>59.816385714952702</v>
      </c>
      <c r="J10" s="49">
        <v>1</v>
      </c>
      <c r="K10" s="33">
        <f t="shared" si="17"/>
        <v>8.0256369719539575E-2</v>
      </c>
      <c r="L10" s="47">
        <v>165.13686555999999</v>
      </c>
      <c r="M10" s="45">
        <v>101</v>
      </c>
      <c r="Q10" s="145" t="s">
        <v>60</v>
      </c>
      <c r="R10" s="137">
        <f t="shared" si="18"/>
        <v>49</v>
      </c>
      <c r="S10" s="45">
        <v>8</v>
      </c>
      <c r="T10" s="136">
        <f t="shared" si="19"/>
        <v>1196.8681548400436</v>
      </c>
      <c r="U10" s="47">
        <v>1255.6644132244001</v>
      </c>
      <c r="V10" s="48">
        <v>14</v>
      </c>
      <c r="W10" s="136">
        <f t="shared" si="20"/>
        <v>58.796258384356399</v>
      </c>
      <c r="X10" s="49">
        <v>1</v>
      </c>
      <c r="Y10" s="33">
        <f t="shared" si="21"/>
        <v>0.10373703552862237</v>
      </c>
      <c r="Z10" s="47">
        <v>221.884258743</v>
      </c>
      <c r="AA10" s="45">
        <v>133</v>
      </c>
      <c r="AE10" s="145" t="s">
        <v>60</v>
      </c>
      <c r="AF10" s="137">
        <f t="shared" si="22"/>
        <v>54</v>
      </c>
      <c r="AG10" s="45">
        <v>8</v>
      </c>
      <c r="AH10" s="136">
        <f t="shared" si="23"/>
        <v>1399.3985682220527</v>
      </c>
      <c r="AI10" s="47">
        <v>1537.2862036358199</v>
      </c>
      <c r="AJ10" s="48">
        <v>25</v>
      </c>
      <c r="AK10" s="136">
        <f t="shared" si="24"/>
        <v>137.88763541376721</v>
      </c>
      <c r="AL10" s="49">
        <v>2</v>
      </c>
      <c r="AM10" s="33">
        <f t="shared" si="25"/>
        <v>0.12852256029715425</v>
      </c>
      <c r="AN10" s="47">
        <v>737.18754815099999</v>
      </c>
      <c r="AO10" s="45">
        <v>115</v>
      </c>
      <c r="AR10" s="145" t="s">
        <v>60</v>
      </c>
      <c r="AS10" s="137">
        <f t="shared" si="26"/>
        <v>72</v>
      </c>
      <c r="AT10" s="45">
        <v>7</v>
      </c>
      <c r="AU10" s="136">
        <f t="shared" si="27"/>
        <v>670.72332976574819</v>
      </c>
      <c r="AV10" s="47">
        <v>716.63901336079005</v>
      </c>
      <c r="AW10" s="48">
        <v>28</v>
      </c>
      <c r="AX10" s="136">
        <f t="shared" si="28"/>
        <v>45.915683595041898</v>
      </c>
      <c r="AY10" s="49">
        <v>1</v>
      </c>
      <c r="AZ10" s="33">
        <f t="shared" si="29"/>
        <v>0.1325453151272302</v>
      </c>
      <c r="BA10" s="47">
        <v>2462.9638601950001</v>
      </c>
      <c r="BB10" s="45">
        <v>117</v>
      </c>
      <c r="BE10" s="145" t="s">
        <v>60</v>
      </c>
      <c r="BF10" s="137">
        <f t="shared" si="30"/>
        <v>95</v>
      </c>
      <c r="BG10" s="45">
        <v>6</v>
      </c>
      <c r="BH10" s="136">
        <f t="shared" si="31"/>
        <v>908.42687975417971</v>
      </c>
      <c r="BI10" s="47">
        <v>965.91600916139896</v>
      </c>
      <c r="BJ10" s="48">
        <v>25</v>
      </c>
      <c r="BK10" s="136">
        <f t="shared" si="32"/>
        <v>57.489129407219203</v>
      </c>
      <c r="BL10" s="49">
        <v>1</v>
      </c>
      <c r="BM10" s="33">
        <f t="shared" si="33"/>
        <v>7.3115113412788424E-2</v>
      </c>
      <c r="BN10" s="47">
        <v>10661.696813453</v>
      </c>
      <c r="BO10" s="45">
        <v>151</v>
      </c>
      <c r="BR10" s="145" t="s">
        <v>60</v>
      </c>
      <c r="BS10" s="137">
        <f t="shared" si="34"/>
        <v>109</v>
      </c>
      <c r="BT10" s="45">
        <v>10</v>
      </c>
      <c r="BU10" s="136">
        <f t="shared" si="35"/>
        <v>841.91270961077214</v>
      </c>
      <c r="BV10" s="47">
        <v>933.74407680085596</v>
      </c>
      <c r="BW10" s="48">
        <v>41</v>
      </c>
      <c r="BX10" s="136">
        <f t="shared" si="36"/>
        <v>91.831367190083796</v>
      </c>
      <c r="BY10" s="49">
        <v>2</v>
      </c>
      <c r="BZ10" s="33">
        <f t="shared" si="37"/>
        <v>9.2059589660979074E-2</v>
      </c>
      <c r="CA10" s="47">
        <v>5162.7107202999996</v>
      </c>
      <c r="CB10" s="45">
        <v>142</v>
      </c>
      <c r="CE10" s="145" t="s">
        <v>60</v>
      </c>
      <c r="CF10" s="137">
        <f t="shared" si="38"/>
        <v>150</v>
      </c>
      <c r="CG10" s="45">
        <v>15</v>
      </c>
      <c r="CH10" s="136">
        <f t="shared" si="39"/>
        <v>1099.7213679278664</v>
      </c>
      <c r="CI10" s="47">
        <v>1191.5527351179501</v>
      </c>
      <c r="CJ10" s="48">
        <v>49</v>
      </c>
      <c r="CK10" s="136">
        <f t="shared" si="40"/>
        <v>91.831367190083796</v>
      </c>
      <c r="CL10" s="49">
        <v>2</v>
      </c>
      <c r="CM10" s="33">
        <f t="shared" si="41"/>
        <v>7.7238470740151235E-2</v>
      </c>
      <c r="CN10" s="47">
        <v>12540.435585285</v>
      </c>
      <c r="CO10" s="45"/>
      <c r="CP10" s="3">
        <f>CN10/3600</f>
        <v>3.4834543292458333</v>
      </c>
    </row>
    <row r="11" spans="1:94" ht="15" thickBot="1" x14ac:dyDescent="0.35"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1:94" x14ac:dyDescent="0.3">
      <c r="A12" s="3">
        <v>12</v>
      </c>
      <c r="B12" s="3">
        <v>2</v>
      </c>
      <c r="C12" s="144" t="s">
        <v>59</v>
      </c>
      <c r="D12" s="22">
        <f t="shared" ref="D12:D13" si="42">$D$2-H12</f>
        <v>33</v>
      </c>
      <c r="E12" s="41">
        <v>6</v>
      </c>
      <c r="F12" s="134">
        <f t="shared" ref="F12:F13" si="43">G12-I12</f>
        <v>881.2560324958913</v>
      </c>
      <c r="G12" s="138">
        <v>941.07241821084403</v>
      </c>
      <c r="H12" s="43">
        <v>14</v>
      </c>
      <c r="I12" s="134">
        <f t="shared" ref="I12:I13" si="44">$H$2*J12</f>
        <v>59.816385714952702</v>
      </c>
      <c r="J12" s="44">
        <v>1</v>
      </c>
      <c r="K12" s="25">
        <f t="shared" ref="K12:K13" si="45">MAX(($G$2-G12)/$G$2, 0)</f>
        <v>0.12295207995261506</v>
      </c>
      <c r="L12" s="42">
        <v>6.9577085089999997</v>
      </c>
      <c r="M12" s="14"/>
      <c r="O12" s="3">
        <v>14</v>
      </c>
      <c r="P12" s="3">
        <v>2</v>
      </c>
      <c r="Q12" s="144" t="s">
        <v>59</v>
      </c>
      <c r="R12" s="135">
        <f t="shared" ref="R12:R13" si="46">$R$2-V12</f>
        <v>45</v>
      </c>
      <c r="S12" s="41">
        <v>8</v>
      </c>
      <c r="T12" s="134">
        <f t="shared" ref="T12:T13" si="47">U12-W12</f>
        <v>1225.3511089738736</v>
      </c>
      <c r="U12" s="42">
        <v>1284.14736735823</v>
      </c>
      <c r="V12" s="43">
        <v>18</v>
      </c>
      <c r="W12" s="134">
        <f t="shared" ref="W12:W13" si="48">$V$2*X12</f>
        <v>58.796258384356399</v>
      </c>
      <c r="X12" s="44">
        <v>1</v>
      </c>
      <c r="Y12" s="25">
        <f t="shared" ref="Y12:Y13" si="49">MAX(($U$2-U12)/$U$2, 0)</f>
        <v>8.3406590036952194E-2</v>
      </c>
      <c r="Z12" s="42">
        <v>5.225123816</v>
      </c>
      <c r="AA12" s="14"/>
      <c r="AC12" s="68">
        <v>18</v>
      </c>
      <c r="AD12" s="3">
        <v>2</v>
      </c>
      <c r="AE12" s="144" t="s">
        <v>59</v>
      </c>
      <c r="AF12" s="135">
        <f t="shared" ref="AF12:AF13" si="50">$AF$2-AJ12</f>
        <v>54</v>
      </c>
      <c r="AG12" s="41">
        <v>9</v>
      </c>
      <c r="AH12" s="134">
        <f t="shared" ref="AH12:AH13" si="51">AI12-AK12</f>
        <v>1526.5163661183162</v>
      </c>
      <c r="AI12" s="42">
        <v>1595.4601838251999</v>
      </c>
      <c r="AJ12" s="43">
        <v>25</v>
      </c>
      <c r="AK12" s="134">
        <f t="shared" ref="AK12:AK13" si="52">$AJ$2*AL12</f>
        <v>68.943817706883607</v>
      </c>
      <c r="AL12" s="44">
        <v>1</v>
      </c>
      <c r="AM12" s="25">
        <f t="shared" ref="AM12:AM13" si="53">MAX(($AI$2-AI12)/$AI$2, 0)</f>
        <v>9.5544113477777817E-2</v>
      </c>
      <c r="AN12" s="42">
        <v>17.390719022999999</v>
      </c>
      <c r="AO12" s="14"/>
      <c r="AP12" s="68">
        <v>22</v>
      </c>
      <c r="AQ12" s="3">
        <v>2</v>
      </c>
      <c r="AR12" s="144" t="s">
        <v>59</v>
      </c>
      <c r="AS12" s="135">
        <f t="shared" ref="AS12:AS13" si="54">$AS$2-AW12</f>
        <v>70</v>
      </c>
      <c r="AT12" s="41">
        <v>7</v>
      </c>
      <c r="AU12" s="134">
        <f t="shared" ref="AU12:AU13" si="55">AV12-AX12</f>
        <v>664.01441373566013</v>
      </c>
      <c r="AV12" s="42">
        <v>709.93009733070198</v>
      </c>
      <c r="AW12" s="43">
        <v>30</v>
      </c>
      <c r="AX12" s="134">
        <f t="shared" ref="AX12:AX13" si="56">$AW$2*AY12</f>
        <v>45.915683595041898</v>
      </c>
      <c r="AY12" s="44">
        <v>1</v>
      </c>
      <c r="AZ12" s="25">
        <f t="shared" ref="AZ12:AZ13" si="57">MAX(($AV$2-AV12)/$AV$2, 0)</f>
        <v>0.14066611309136223</v>
      </c>
      <c r="BA12" s="42">
        <v>45.232658057999998</v>
      </c>
      <c r="BB12" s="14"/>
      <c r="BC12" s="68">
        <v>27</v>
      </c>
      <c r="BD12" s="3">
        <v>2</v>
      </c>
      <c r="BE12" s="144" t="s">
        <v>59</v>
      </c>
      <c r="BF12" s="135">
        <f t="shared" ref="BF12:BF13" si="58">$BF$2-BJ12</f>
        <v>120</v>
      </c>
      <c r="BG12" s="41"/>
      <c r="BH12" s="134">
        <f t="shared" ref="BH12:BH13" si="59">BI12-BK12</f>
        <v>0</v>
      </c>
      <c r="BI12" s="42"/>
      <c r="BJ12" s="43"/>
      <c r="BK12" s="134">
        <f t="shared" ref="BK12:BK13" si="60">$BJ$2*BL12</f>
        <v>0</v>
      </c>
      <c r="BL12" s="44"/>
      <c r="BM12" s="25">
        <f t="shared" ref="BM12:BM13" si="61">MAX(($BI$2-BI12)/$BI$2, 0)</f>
        <v>1</v>
      </c>
      <c r="BN12" s="42"/>
      <c r="BO12" s="14"/>
      <c r="BP12" s="68">
        <v>33</v>
      </c>
      <c r="BQ12" s="3">
        <v>2</v>
      </c>
      <c r="BR12" s="144" t="s">
        <v>59</v>
      </c>
      <c r="BS12" s="135">
        <f t="shared" ref="BS12:BS13" si="62">$BS$2-BW12</f>
        <v>106</v>
      </c>
      <c r="BT12" s="41">
        <v>10</v>
      </c>
      <c r="BU12" s="134">
        <f t="shared" ref="BU12:BU13" si="63">BV12-BX12</f>
        <v>860.97064554825113</v>
      </c>
      <c r="BV12" s="42">
        <v>952.80201273833495</v>
      </c>
      <c r="BW12" s="43">
        <v>44</v>
      </c>
      <c r="BX12" s="134">
        <f t="shared" ref="BX12:BX13" si="64">$BW$2*BY12</f>
        <v>91.831367190083796</v>
      </c>
      <c r="BY12" s="44">
        <v>2</v>
      </c>
      <c r="BZ12" s="25">
        <f t="shared" ref="BZ12:BZ13" si="65">MAX(($BV$2-BV12)/$BV$2, 0)</f>
        <v>7.3528312617087491E-2</v>
      </c>
      <c r="CA12" s="42">
        <v>92.312563061000006</v>
      </c>
      <c r="CB12" s="14"/>
      <c r="CC12" s="68">
        <v>42</v>
      </c>
      <c r="CD12" s="3">
        <v>2</v>
      </c>
      <c r="CE12" s="144" t="s">
        <v>59</v>
      </c>
      <c r="CF12" s="135">
        <f t="shared" ref="CF12:CF13" si="66">$CF$2-CJ12</f>
        <v>148</v>
      </c>
      <c r="CG12" s="41">
        <v>15</v>
      </c>
      <c r="CH12" s="134">
        <f t="shared" ref="CH12:CH13" si="67">CI12-CK12</f>
        <v>1112.1123434318063</v>
      </c>
      <c r="CI12" s="42">
        <v>1203.94371062189</v>
      </c>
      <c r="CJ12" s="43">
        <v>51</v>
      </c>
      <c r="CK12" s="134">
        <f t="shared" ref="CK12:CK13" si="68">$CJ$2*CL12</f>
        <v>91.831367190083796</v>
      </c>
      <c r="CL12" s="44">
        <v>2</v>
      </c>
      <c r="CM12" s="25">
        <f t="shared" ref="CM12:CM13" si="69">MAX(($CI$2-CI12)/$CI$2, 0)</f>
        <v>6.764265918431181E-2</v>
      </c>
      <c r="CN12" s="42">
        <v>170.37026374800001</v>
      </c>
      <c r="CO12" s="14"/>
    </row>
    <row r="13" spans="1:94" x14ac:dyDescent="0.3">
      <c r="C13" s="145" t="s">
        <v>60</v>
      </c>
      <c r="D13" s="30">
        <f t="shared" si="42"/>
        <v>35</v>
      </c>
      <c r="E13" s="45">
        <v>6</v>
      </c>
      <c r="F13" s="136">
        <f t="shared" si="43"/>
        <v>846.47354839687432</v>
      </c>
      <c r="G13" s="47">
        <v>906.28993411182705</v>
      </c>
      <c r="H13" s="48">
        <v>12</v>
      </c>
      <c r="I13" s="136">
        <f t="shared" si="44"/>
        <v>59.816385714952702</v>
      </c>
      <c r="J13" s="49">
        <v>1</v>
      </c>
      <c r="K13" s="33">
        <f t="shared" si="45"/>
        <v>0.15536818815300368</v>
      </c>
      <c r="L13" s="47">
        <v>284.09576311699999</v>
      </c>
      <c r="M13" s="45">
        <v>159</v>
      </c>
      <c r="Q13" s="145" t="s">
        <v>60</v>
      </c>
      <c r="R13" s="137">
        <f t="shared" si="46"/>
        <v>44</v>
      </c>
      <c r="S13" s="45">
        <v>7</v>
      </c>
      <c r="T13" s="136">
        <f t="shared" si="47"/>
        <v>1143.1182212120973</v>
      </c>
      <c r="U13" s="47">
        <v>1260.7107379808101</v>
      </c>
      <c r="V13" s="48">
        <v>19</v>
      </c>
      <c r="W13" s="136">
        <f t="shared" si="48"/>
        <v>117.5925167687128</v>
      </c>
      <c r="X13" s="49">
        <v>2</v>
      </c>
      <c r="Y13" s="33">
        <f t="shared" si="49"/>
        <v>0.10013509066323333</v>
      </c>
      <c r="Z13" s="47">
        <v>2840.5104702459998</v>
      </c>
      <c r="AA13" s="45">
        <v>179</v>
      </c>
      <c r="AE13" s="145" t="s">
        <v>60</v>
      </c>
      <c r="AF13" s="137">
        <f t="shared" si="50"/>
        <v>51</v>
      </c>
      <c r="AG13" s="45">
        <v>8</v>
      </c>
      <c r="AH13" s="136">
        <f t="shared" si="51"/>
        <v>1435.2314554866628</v>
      </c>
      <c r="AI13" s="47">
        <v>1573.1190909004299</v>
      </c>
      <c r="AJ13" s="48">
        <v>28</v>
      </c>
      <c r="AK13" s="136">
        <f t="shared" si="52"/>
        <v>137.88763541376721</v>
      </c>
      <c r="AL13" s="49">
        <v>2</v>
      </c>
      <c r="AM13" s="33">
        <f t="shared" si="53"/>
        <v>0.10820913214261343</v>
      </c>
      <c r="AN13" s="47">
        <v>2752.8110176740001</v>
      </c>
      <c r="AO13" s="45">
        <v>445</v>
      </c>
      <c r="AR13" s="145" t="s">
        <v>60</v>
      </c>
      <c r="AS13" s="137">
        <f t="shared" si="54"/>
        <v>71</v>
      </c>
      <c r="AT13" s="45">
        <v>7</v>
      </c>
      <c r="AU13" s="136">
        <f t="shared" si="55"/>
        <v>651.26860166628012</v>
      </c>
      <c r="AV13" s="47">
        <v>697.18428526132197</v>
      </c>
      <c r="AW13" s="48">
        <v>29</v>
      </c>
      <c r="AX13" s="136">
        <f t="shared" si="56"/>
        <v>45.915683595041898</v>
      </c>
      <c r="AY13" s="49">
        <v>1</v>
      </c>
      <c r="AZ13" s="33">
        <f t="shared" si="57"/>
        <v>0.15609426336780449</v>
      </c>
      <c r="BA13" s="47">
        <v>9510.6097602539994</v>
      </c>
      <c r="BB13" s="45">
        <v>272</v>
      </c>
      <c r="BE13" s="145" t="s">
        <v>60</v>
      </c>
      <c r="BF13" s="137">
        <f t="shared" si="58"/>
        <v>98</v>
      </c>
      <c r="BG13" s="45">
        <v>6</v>
      </c>
      <c r="BH13" s="136">
        <f t="shared" si="59"/>
        <v>921.01468799617874</v>
      </c>
      <c r="BI13" s="47">
        <v>978.50381740339799</v>
      </c>
      <c r="BJ13" s="48">
        <v>22</v>
      </c>
      <c r="BK13" s="136">
        <f t="shared" si="60"/>
        <v>57.489129407219203</v>
      </c>
      <c r="BL13" s="49">
        <v>1</v>
      </c>
      <c r="BM13" s="33">
        <f t="shared" si="61"/>
        <v>6.1035958388847546E-2</v>
      </c>
      <c r="BN13" s="47">
        <v>10247.5805</v>
      </c>
      <c r="BO13" s="45">
        <v>172</v>
      </c>
      <c r="BR13" s="145" t="s">
        <v>60</v>
      </c>
      <c r="BS13" s="137">
        <f t="shared" si="62"/>
        <v>106</v>
      </c>
      <c r="BT13" s="45">
        <v>10</v>
      </c>
      <c r="BU13" s="136">
        <f t="shared" si="63"/>
        <v>848.07092913541317</v>
      </c>
      <c r="BV13" s="47">
        <v>939.90229632549699</v>
      </c>
      <c r="BW13" s="48">
        <v>44</v>
      </c>
      <c r="BX13" s="136">
        <f t="shared" si="64"/>
        <v>91.831367190083796</v>
      </c>
      <c r="BY13" s="49">
        <v>2</v>
      </c>
      <c r="BZ13" s="33">
        <f t="shared" si="65"/>
        <v>8.6071550217326653E-2</v>
      </c>
      <c r="CA13" s="47">
        <v>8018.3993241750004</v>
      </c>
      <c r="CB13" s="45">
        <v>214</v>
      </c>
      <c r="CE13" s="145" t="s">
        <v>60</v>
      </c>
      <c r="CF13" s="137">
        <f t="shared" si="66"/>
        <v>152</v>
      </c>
      <c r="CG13" s="45">
        <v>15</v>
      </c>
      <c r="CH13" s="136">
        <f t="shared" si="67"/>
        <v>1095.9583596477762</v>
      </c>
      <c r="CI13" s="47">
        <v>1187.7897268378599</v>
      </c>
      <c r="CJ13" s="48">
        <v>47</v>
      </c>
      <c r="CK13" s="136">
        <f t="shared" si="68"/>
        <v>91.831367190083796</v>
      </c>
      <c r="CL13" s="49">
        <v>2</v>
      </c>
      <c r="CM13" s="33">
        <f t="shared" si="69"/>
        <v>8.0152617275855972E-2</v>
      </c>
      <c r="CN13" s="47">
        <v>10371.582046043</v>
      </c>
      <c r="CO13" s="45">
        <v>193</v>
      </c>
    </row>
    <row r="14" spans="1:94" ht="15" thickBot="1" x14ac:dyDescent="0.35"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</row>
    <row r="15" spans="1:94" x14ac:dyDescent="0.3">
      <c r="A15" s="3">
        <v>11</v>
      </c>
      <c r="B15" s="3">
        <v>3</v>
      </c>
      <c r="C15" s="144" t="s">
        <v>59</v>
      </c>
      <c r="D15" s="22">
        <f t="shared" ref="D15:D16" si="70">$D$2-H15</f>
        <v>33</v>
      </c>
      <c r="E15" s="41">
        <v>6</v>
      </c>
      <c r="F15" s="134">
        <f t="shared" ref="F15:F16" si="71">G15-I15</f>
        <v>912.35363677273631</v>
      </c>
      <c r="G15" s="42">
        <v>972.17002248768904</v>
      </c>
      <c r="H15" s="43">
        <v>14</v>
      </c>
      <c r="I15" s="134">
        <f t="shared" ref="I15:I16" si="72">$H$2*J15</f>
        <v>59.816385714952702</v>
      </c>
      <c r="J15" s="44">
        <v>1</v>
      </c>
      <c r="K15" s="25">
        <f t="shared" ref="K15:K16" si="73">MAX(($G$2-G15)/$G$2, 0)</f>
        <v>9.3970156115853645E-2</v>
      </c>
      <c r="L15" s="42">
        <v>5.8715285210000001</v>
      </c>
      <c r="M15" s="14"/>
      <c r="O15" s="3">
        <v>14</v>
      </c>
      <c r="P15" s="3">
        <v>3</v>
      </c>
      <c r="Q15" s="144" t="s">
        <v>59</v>
      </c>
      <c r="R15" s="135">
        <f t="shared" ref="R15:R16" si="74">$R$2-V15</f>
        <v>43</v>
      </c>
      <c r="S15" s="41">
        <v>7</v>
      </c>
      <c r="T15" s="134">
        <f t="shared" ref="T15:T16" si="75">U15-W15</f>
        <v>1135.4523862650371</v>
      </c>
      <c r="U15" s="42">
        <v>1253.04490303375</v>
      </c>
      <c r="V15" s="43">
        <v>20</v>
      </c>
      <c r="W15" s="134">
        <f t="shared" ref="W15:W16" si="76">$V$2*X15</f>
        <v>117.5925167687128</v>
      </c>
      <c r="X15" s="44">
        <v>2</v>
      </c>
      <c r="Y15" s="25">
        <f t="shared" ref="Y15:Y16" si="77">MAX(($U$2-U15)/$U$2, 0)</f>
        <v>0.10560677870538904</v>
      </c>
      <c r="Z15" s="42">
        <v>20.00303658</v>
      </c>
      <c r="AA15" s="14"/>
      <c r="AC15" s="68">
        <v>18</v>
      </c>
      <c r="AD15" s="3">
        <v>3</v>
      </c>
      <c r="AE15" s="144" t="s">
        <v>59</v>
      </c>
      <c r="AF15" s="135">
        <f t="shared" ref="AF15:AF16" si="78">$AF$2-AJ15</f>
        <v>56</v>
      </c>
      <c r="AG15" s="41">
        <v>9</v>
      </c>
      <c r="AH15" s="134">
        <f t="shared" ref="AH15:AH16" si="79">AI15-AK15</f>
        <v>1542.4593650590364</v>
      </c>
      <c r="AI15" s="42">
        <v>1611.4031827659201</v>
      </c>
      <c r="AJ15" s="43">
        <v>23</v>
      </c>
      <c r="AK15" s="134">
        <f t="shared" ref="AK15:AK16" si="80">$AJ$2*AL15</f>
        <v>68.943817706883607</v>
      </c>
      <c r="AL15" s="44">
        <v>1</v>
      </c>
      <c r="AM15" s="25">
        <f t="shared" ref="AM15:AM16" si="81">MAX(($AI$2-AI15)/$AI$2, 0)</f>
        <v>8.6506132218866175E-2</v>
      </c>
      <c r="AN15" s="42">
        <v>20.177615949</v>
      </c>
      <c r="AO15" s="14"/>
      <c r="AP15" s="68">
        <v>22</v>
      </c>
      <c r="AQ15" s="3">
        <v>3</v>
      </c>
      <c r="AR15" s="144" t="s">
        <v>59</v>
      </c>
      <c r="AS15" s="135">
        <f t="shared" ref="AS15:AS16" si="82">$AS$2-AW15</f>
        <v>69</v>
      </c>
      <c r="AT15" s="41">
        <v>7</v>
      </c>
      <c r="AU15" s="134">
        <f t="shared" ref="AU15:AU16" si="83">AV15-AX15</f>
        <v>680.4600625193732</v>
      </c>
      <c r="AV15" s="42">
        <v>726.37574611441505</v>
      </c>
      <c r="AW15" s="43">
        <v>31</v>
      </c>
      <c r="AX15" s="134">
        <f t="shared" ref="AX15:AX16" si="84">$AW$2*AY15</f>
        <v>45.915683595041898</v>
      </c>
      <c r="AY15" s="44">
        <v>1</v>
      </c>
      <c r="AZ15" s="25">
        <f t="shared" ref="AZ15:AZ16" si="85">MAX(($AV$2-AV15)/$AV$2, 0)</f>
        <v>0.120759500672507</v>
      </c>
      <c r="BA15" s="42">
        <v>13.32145581</v>
      </c>
      <c r="BB15" s="14"/>
      <c r="BC15" s="68">
        <v>26</v>
      </c>
      <c r="BD15" s="3">
        <v>3</v>
      </c>
      <c r="BE15" s="144" t="s">
        <v>59</v>
      </c>
      <c r="BF15" s="135">
        <f t="shared" ref="BF15:BF16" si="86">$BF$2-BJ15</f>
        <v>120</v>
      </c>
      <c r="BG15" s="41"/>
      <c r="BH15" s="134">
        <f t="shared" ref="BH15:BH16" si="87">BI15-BK15</f>
        <v>0</v>
      </c>
      <c r="BI15" s="42"/>
      <c r="BJ15" s="43"/>
      <c r="BK15" s="134">
        <f t="shared" ref="BK15:BK16" si="88">$BJ$2*BL15</f>
        <v>0</v>
      </c>
      <c r="BL15" s="44"/>
      <c r="BM15" s="25">
        <f t="shared" ref="BM15" si="89">MAX(($BI$2-BI15)/$BI$2, 0)</f>
        <v>1</v>
      </c>
      <c r="BN15" s="42"/>
      <c r="BO15" s="14"/>
      <c r="BP15" s="68">
        <v>31</v>
      </c>
      <c r="BQ15" s="3">
        <v>3</v>
      </c>
      <c r="BR15" s="144" t="s">
        <v>59</v>
      </c>
      <c r="BS15" s="135">
        <f t="shared" ref="BS15:BS16" si="90">$BS$2-BW15</f>
        <v>106</v>
      </c>
      <c r="BT15" s="41">
        <v>10</v>
      </c>
      <c r="BU15" s="134">
        <f t="shared" ref="BU15:BU16" si="91">BV15-BX15</f>
        <v>861.73074236012212</v>
      </c>
      <c r="BV15" s="42">
        <v>953.56210955020595</v>
      </c>
      <c r="BW15" s="43">
        <v>44</v>
      </c>
      <c r="BX15" s="134">
        <f t="shared" ref="BX15:BX16" si="92">$BW$2*BY15</f>
        <v>91.831367190083796</v>
      </c>
      <c r="BY15" s="44">
        <v>2</v>
      </c>
      <c r="BZ15" s="25">
        <f t="shared" ref="BZ15:BZ16" si="93">MAX(($BV$2-BV15)/$BV$2, 0)</f>
        <v>7.2789220794805737E-2</v>
      </c>
      <c r="CA15" s="42">
        <v>87.866590801000001</v>
      </c>
      <c r="CB15" s="14"/>
      <c r="CC15" s="68">
        <v>44</v>
      </c>
      <c r="CD15" s="3">
        <v>3</v>
      </c>
      <c r="CE15" s="144" t="s">
        <v>59</v>
      </c>
      <c r="CF15" s="135">
        <f t="shared" ref="CF15:CF16" si="94">$CF$2-CJ15</f>
        <v>146</v>
      </c>
      <c r="CG15" s="41">
        <v>15</v>
      </c>
      <c r="CH15" s="134">
        <f t="shared" ref="CH15:CH16" si="95">CI15-CK15</f>
        <v>1097.7769792982263</v>
      </c>
      <c r="CI15" s="42">
        <v>1189.60834648831</v>
      </c>
      <c r="CJ15" s="43">
        <v>53</v>
      </c>
      <c r="CK15" s="134">
        <f t="shared" ref="CK15:CK16" si="96">$CJ$2*CL15</f>
        <v>91.831367190083796</v>
      </c>
      <c r="CL15" s="44">
        <v>2</v>
      </c>
      <c r="CM15" s="25">
        <f t="shared" ref="CM15:CM16" si="97">MAX(($CI$2-CI15)/$CI$2, 0)</f>
        <v>7.8744242975388956E-2</v>
      </c>
      <c r="CN15" s="42">
        <v>268.567918109</v>
      </c>
      <c r="CO15" s="14"/>
    </row>
    <row r="16" spans="1:94" x14ac:dyDescent="0.3">
      <c r="C16" s="145" t="s">
        <v>60</v>
      </c>
      <c r="D16" s="30">
        <f t="shared" si="70"/>
        <v>36</v>
      </c>
      <c r="E16" s="45">
        <v>6</v>
      </c>
      <c r="F16" s="136">
        <f t="shared" si="71"/>
        <v>877.13992951867522</v>
      </c>
      <c r="G16" s="47">
        <v>936.95631523362795</v>
      </c>
      <c r="H16" s="48">
        <v>11</v>
      </c>
      <c r="I16" s="136">
        <f t="shared" si="72"/>
        <v>59.816385714952702</v>
      </c>
      <c r="J16" s="49">
        <v>1</v>
      </c>
      <c r="K16" s="33">
        <f t="shared" si="73"/>
        <v>0.12678814982886491</v>
      </c>
      <c r="L16" s="47">
        <v>380.688519525</v>
      </c>
      <c r="M16" s="45">
        <v>251</v>
      </c>
      <c r="Q16" s="145" t="s">
        <v>60</v>
      </c>
      <c r="R16" s="137">
        <f t="shared" si="74"/>
        <v>43</v>
      </c>
      <c r="S16" s="45">
        <v>7</v>
      </c>
      <c r="T16" s="136">
        <f t="shared" si="75"/>
        <v>1118.7248594438172</v>
      </c>
      <c r="U16" s="47">
        <v>1236.31737621253</v>
      </c>
      <c r="V16" s="48">
        <v>20</v>
      </c>
      <c r="W16" s="136">
        <f t="shared" si="76"/>
        <v>117.5925167687128</v>
      </c>
      <c r="X16" s="49">
        <v>2</v>
      </c>
      <c r="Y16" s="33">
        <f t="shared" si="77"/>
        <v>0.11754648378834404</v>
      </c>
      <c r="Z16" s="47">
        <v>883.84536200299999</v>
      </c>
      <c r="AA16" s="45">
        <v>227</v>
      </c>
      <c r="AE16" s="145" t="s">
        <v>60</v>
      </c>
      <c r="AF16" s="137">
        <f t="shared" si="78"/>
        <v>62</v>
      </c>
      <c r="AG16" s="45">
        <v>9</v>
      </c>
      <c r="AH16" s="136">
        <f t="shared" si="79"/>
        <v>1526.2716595004963</v>
      </c>
      <c r="AI16" s="47">
        <v>1595.21547720738</v>
      </c>
      <c r="AJ16" s="48">
        <v>17</v>
      </c>
      <c r="AK16" s="136">
        <f t="shared" si="80"/>
        <v>68.943817706883607</v>
      </c>
      <c r="AL16" s="49">
        <v>1</v>
      </c>
      <c r="AM16" s="33">
        <f t="shared" si="81"/>
        <v>9.5682836050238099E-2</v>
      </c>
      <c r="AN16" s="47">
        <v>2755.5022342779998</v>
      </c>
      <c r="AO16" s="45">
        <v>289</v>
      </c>
      <c r="AR16" s="145" t="s">
        <v>60</v>
      </c>
      <c r="AS16" s="137">
        <f t="shared" si="82"/>
        <v>70</v>
      </c>
      <c r="AT16" s="45">
        <v>7</v>
      </c>
      <c r="AU16" s="136">
        <f t="shared" si="83"/>
        <v>672.91950150302819</v>
      </c>
      <c r="AV16" s="47">
        <v>718.83518509807004</v>
      </c>
      <c r="AW16" s="48">
        <v>30</v>
      </c>
      <c r="AX16" s="136">
        <f t="shared" si="84"/>
        <v>45.915683595041898</v>
      </c>
      <c r="AY16" s="49">
        <v>1</v>
      </c>
      <c r="AZ16" s="33">
        <f t="shared" si="85"/>
        <v>0.12988696213950413</v>
      </c>
      <c r="BA16" s="47">
        <v>1313.9487076299999</v>
      </c>
      <c r="BB16" s="45">
        <v>206</v>
      </c>
      <c r="BE16" s="145" t="s">
        <v>60</v>
      </c>
      <c r="BF16" s="137">
        <f t="shared" si="86"/>
        <v>97</v>
      </c>
      <c r="BG16" s="45">
        <v>6</v>
      </c>
      <c r="BH16" s="136">
        <f t="shared" si="87"/>
        <v>913.70924037822078</v>
      </c>
      <c r="BI16" s="47">
        <v>971.19836978544004</v>
      </c>
      <c r="BJ16" s="48">
        <v>23</v>
      </c>
      <c r="BK16" s="136">
        <f t="shared" si="88"/>
        <v>57.489129407219203</v>
      </c>
      <c r="BL16" s="49">
        <v>1</v>
      </c>
      <c r="BM16" s="33">
        <f>MAX(($BI$2-BI16)/$BI$2, 0)</f>
        <v>6.8046204541324692E-2</v>
      </c>
      <c r="BN16" s="47">
        <v>10451.031457999999</v>
      </c>
      <c r="BO16" s="45">
        <v>103</v>
      </c>
      <c r="BR16" s="145" t="s">
        <v>60</v>
      </c>
      <c r="BS16" s="137">
        <f t="shared" si="90"/>
        <v>108</v>
      </c>
      <c r="BT16" s="45">
        <v>10</v>
      </c>
      <c r="BU16" s="136">
        <f t="shared" si="91"/>
        <v>851.29646464656616</v>
      </c>
      <c r="BV16" s="47">
        <v>943.12783183664999</v>
      </c>
      <c r="BW16" s="48">
        <v>42</v>
      </c>
      <c r="BX16" s="136">
        <f t="shared" si="92"/>
        <v>91.831367190083796</v>
      </c>
      <c r="BY16" s="49">
        <v>2</v>
      </c>
      <c r="BZ16" s="33">
        <f t="shared" si="93"/>
        <v>8.2935151167178853E-2</v>
      </c>
      <c r="CA16" s="47">
        <v>24526.209637477001</v>
      </c>
      <c r="CB16" s="45">
        <v>336</v>
      </c>
      <c r="CE16" s="145" t="s">
        <v>60</v>
      </c>
      <c r="CF16" s="137">
        <f t="shared" si="94"/>
        <v>151</v>
      </c>
      <c r="CG16" s="45">
        <v>15</v>
      </c>
      <c r="CH16" s="136">
        <f t="shared" si="95"/>
        <v>1085.5097790865564</v>
      </c>
      <c r="CI16" s="47">
        <v>1177.3411462766401</v>
      </c>
      <c r="CJ16" s="48">
        <v>48</v>
      </c>
      <c r="CK16" s="136">
        <f t="shared" si="96"/>
        <v>91.831367190083796</v>
      </c>
      <c r="CL16" s="49">
        <v>2</v>
      </c>
      <c r="CM16" s="33">
        <f t="shared" si="97"/>
        <v>8.8244200546244364E-2</v>
      </c>
      <c r="CN16" s="47">
        <v>6965.1895398890001</v>
      </c>
      <c r="CO16" s="45">
        <v>107</v>
      </c>
    </row>
    <row r="17" spans="1:93" ht="15" thickBot="1" x14ac:dyDescent="0.35"/>
    <row r="18" spans="1:93" x14ac:dyDescent="0.3">
      <c r="A18" s="3">
        <v>11</v>
      </c>
      <c r="B18" s="3">
        <v>4</v>
      </c>
      <c r="C18" s="144" t="s">
        <v>59</v>
      </c>
      <c r="D18" s="22">
        <f t="shared" ref="D18:D19" si="98">$D$2-H18</f>
        <v>34</v>
      </c>
      <c r="E18" s="41">
        <v>6</v>
      </c>
      <c r="F18" s="134">
        <f t="shared" ref="F18:F19" si="99">G18-I18</f>
        <v>895.38777685858429</v>
      </c>
      <c r="G18" s="138">
        <v>955.20416257353702</v>
      </c>
      <c r="H18" s="43">
        <v>13</v>
      </c>
      <c r="I18" s="134">
        <f t="shared" ref="I18:I19" si="100">$H$2*J18</f>
        <v>59.816385714952702</v>
      </c>
      <c r="J18" s="44">
        <v>1</v>
      </c>
      <c r="K18" s="25">
        <f t="shared" ref="K18:K19" si="101">MAX(($G$2-G18)/$G$2, 0)</f>
        <v>0.10978176833780334</v>
      </c>
      <c r="L18" s="42">
        <v>6.5308551479999997</v>
      </c>
      <c r="M18" s="14"/>
      <c r="O18" s="3">
        <v>15</v>
      </c>
      <c r="P18" s="3">
        <v>4</v>
      </c>
      <c r="Q18" s="144" t="s">
        <v>59</v>
      </c>
      <c r="R18" s="135">
        <f t="shared" ref="R18:R19" si="102">$R$2-V18</f>
        <v>40</v>
      </c>
      <c r="S18" s="41">
        <v>7</v>
      </c>
      <c r="T18" s="134">
        <f t="shared" ref="T18:T19" si="103">U18-W18</f>
        <v>1117.2341177376272</v>
      </c>
      <c r="U18" s="42">
        <v>1234.82663450634</v>
      </c>
      <c r="V18" s="43">
        <v>23</v>
      </c>
      <c r="W18" s="134">
        <f t="shared" ref="W18:W19" si="104">$V$2*X18</f>
        <v>117.5925167687128</v>
      </c>
      <c r="X18" s="44">
        <v>2</v>
      </c>
      <c r="Y18" s="25">
        <f t="shared" ref="Y18:Y19" si="105">MAX(($U$2-U18)/$U$2, 0)</f>
        <v>0.11861053925314773</v>
      </c>
      <c r="Z18" s="42">
        <v>15.831702706</v>
      </c>
      <c r="AA18" s="14"/>
      <c r="AC18" s="68">
        <v>19</v>
      </c>
      <c r="AD18" s="3">
        <v>4</v>
      </c>
      <c r="AE18" s="144" t="s">
        <v>59</v>
      </c>
      <c r="AF18" s="135">
        <f t="shared" ref="AF18:AF19" si="106">$AF$2-AJ18</f>
        <v>55</v>
      </c>
      <c r="AG18" s="41">
        <v>9</v>
      </c>
      <c r="AH18" s="134">
        <f t="shared" ref="AH18:AH19" si="107">AI18-AK18</f>
        <v>1538.0564116019664</v>
      </c>
      <c r="AI18" s="42">
        <v>1607.0002293088501</v>
      </c>
      <c r="AJ18" s="43">
        <v>24</v>
      </c>
      <c r="AK18" s="134">
        <f t="shared" ref="AK18:AK19" si="108">$AJ$2*AL18</f>
        <v>68.943817706883607</v>
      </c>
      <c r="AL18" s="44">
        <v>1</v>
      </c>
      <c r="AM18" s="25">
        <f t="shared" ref="AM18:AM19" si="109">MAX(($AI$2-AI18)/$AI$2, 0)</f>
        <v>8.9002137580016974E-2</v>
      </c>
      <c r="AN18" s="42">
        <v>15.181621595999999</v>
      </c>
      <c r="AO18" s="14"/>
      <c r="AP18" s="68">
        <v>22</v>
      </c>
      <c r="AQ18" s="3">
        <v>4</v>
      </c>
      <c r="AR18" s="144" t="s">
        <v>59</v>
      </c>
      <c r="AS18" s="135">
        <f t="shared" ref="AS18:AS19" si="110">$AS$2-AW18</f>
        <v>69</v>
      </c>
      <c r="AT18" s="41">
        <v>7</v>
      </c>
      <c r="AU18" s="134">
        <f t="shared" ref="AU18:AU19" si="111">AV18-AX18</f>
        <v>662.73548924877412</v>
      </c>
      <c r="AV18" s="42">
        <v>708.65117284381597</v>
      </c>
      <c r="AW18" s="43">
        <v>31</v>
      </c>
      <c r="AX18" s="134">
        <f t="shared" ref="AX18:AX19" si="112">$AW$2*AY18</f>
        <v>45.915683595041898</v>
      </c>
      <c r="AY18" s="44">
        <v>1</v>
      </c>
      <c r="AZ18" s="25">
        <f t="shared" ref="AZ18:AZ19" si="113">MAX(($AV$2-AV18)/$AV$2, 0)</f>
        <v>0.14221418543610528</v>
      </c>
      <c r="BA18" s="42">
        <v>12.551343863</v>
      </c>
      <c r="BB18" s="14"/>
      <c r="BC18" s="68">
        <v>26</v>
      </c>
      <c r="BD18" s="3">
        <v>4</v>
      </c>
      <c r="BE18" s="144" t="s">
        <v>59</v>
      </c>
      <c r="BF18" s="135">
        <f t="shared" ref="BF18:BF19" si="114">$BF$2-BJ18</f>
        <v>91</v>
      </c>
      <c r="BG18" s="41">
        <v>6</v>
      </c>
      <c r="BH18" s="134">
        <f t="shared" ref="BH18:BH19" si="115">BI18-BK18</f>
        <v>924.78984467379473</v>
      </c>
      <c r="BI18" s="42">
        <v>982.27897408101398</v>
      </c>
      <c r="BJ18" s="43">
        <v>29</v>
      </c>
      <c r="BK18" s="134">
        <f t="shared" ref="BK18:BK19" si="116">$BJ$2*BL18</f>
        <v>57.489129407219203</v>
      </c>
      <c r="BL18" s="44">
        <v>1</v>
      </c>
      <c r="BM18" s="25">
        <f t="shared" ref="BM18:BM19" si="117">MAX(($BI$2-BI18)/$BI$2, 0)</f>
        <v>5.7413349760568388E-2</v>
      </c>
      <c r="BN18" s="42">
        <v>63.082104936</v>
      </c>
      <c r="BO18" s="14"/>
      <c r="BP18" s="68">
        <v>31</v>
      </c>
      <c r="BQ18" s="3">
        <v>4</v>
      </c>
      <c r="BR18" s="144" t="s">
        <v>59</v>
      </c>
      <c r="BS18" s="135">
        <f t="shared" ref="BS18:BS19" si="118">$BS$2-BW18</f>
        <v>115</v>
      </c>
      <c r="BT18" s="41">
        <v>11</v>
      </c>
      <c r="BU18" s="134">
        <f t="shared" ref="BU18:BU19" si="119">BV18-BX18</f>
        <v>918.0004265707621</v>
      </c>
      <c r="BV18" s="42">
        <v>963.91611016580396</v>
      </c>
      <c r="BW18" s="43">
        <v>35</v>
      </c>
      <c r="BX18" s="134">
        <f t="shared" ref="BX18:BX19" si="120">$BW$2*BY18</f>
        <v>45.915683595041898</v>
      </c>
      <c r="BY18" s="44">
        <v>1</v>
      </c>
      <c r="BZ18" s="25">
        <f t="shared" ref="BZ18:BZ19" si="121">MAX(($BV$2-BV18)/$BV$2, 0)</f>
        <v>6.2721349092973791E-2</v>
      </c>
      <c r="CA18" s="42">
        <v>245.97386453799999</v>
      </c>
      <c r="CB18" s="14"/>
      <c r="CC18" s="68">
        <v>41</v>
      </c>
      <c r="CD18" s="3">
        <v>4</v>
      </c>
      <c r="CE18" s="144" t="s">
        <v>59</v>
      </c>
      <c r="CF18" s="135">
        <f t="shared" ref="CF18:CF19" si="122">$CF$2-CJ18</f>
        <v>164</v>
      </c>
      <c r="CG18" s="41">
        <v>16</v>
      </c>
      <c r="CH18" s="134">
        <f t="shared" ref="CH18:CH19" si="123">CI18-CK18</f>
        <v>1200.443082890878</v>
      </c>
      <c r="CI18" s="42">
        <v>1246.3587664859199</v>
      </c>
      <c r="CJ18" s="43">
        <v>35</v>
      </c>
      <c r="CK18" s="134">
        <f t="shared" ref="CK18:CK19" si="124">$CJ$2*CL18</f>
        <v>45.915683595041898</v>
      </c>
      <c r="CL18" s="44">
        <v>1</v>
      </c>
      <c r="CM18" s="25">
        <f t="shared" ref="CM18:CM19" si="125">MAX(($CI$2-CI18)/$CI$2, 0)</f>
        <v>3.4795617958847412E-2</v>
      </c>
      <c r="CN18" s="42">
        <v>242.381597911</v>
      </c>
      <c r="CO18" s="14"/>
    </row>
    <row r="19" spans="1:93" x14ac:dyDescent="0.3">
      <c r="C19" s="145" t="s">
        <v>60</v>
      </c>
      <c r="D19" s="30">
        <f t="shared" si="98"/>
        <v>34</v>
      </c>
      <c r="E19" s="45">
        <v>6</v>
      </c>
      <c r="F19" s="136">
        <f t="shared" si="99"/>
        <v>890.37528872909922</v>
      </c>
      <c r="G19" s="47">
        <v>950.19167444405196</v>
      </c>
      <c r="H19" s="48">
        <v>13</v>
      </c>
      <c r="I19" s="136">
        <f t="shared" si="100"/>
        <v>59.816385714952702</v>
      </c>
      <c r="J19" s="49">
        <v>1</v>
      </c>
      <c r="K19" s="33">
        <f t="shared" si="101"/>
        <v>0.11445323910153592</v>
      </c>
      <c r="L19" s="47">
        <v>165.470373854</v>
      </c>
      <c r="M19" s="45">
        <v>101</v>
      </c>
      <c r="Q19" s="145" t="s">
        <v>60</v>
      </c>
      <c r="R19" s="137">
        <f t="shared" si="102"/>
        <v>41</v>
      </c>
      <c r="S19" s="45">
        <v>7</v>
      </c>
      <c r="T19" s="136">
        <f t="shared" si="103"/>
        <v>1094.4220025253071</v>
      </c>
      <c r="U19" s="47">
        <v>1212.0145192940199</v>
      </c>
      <c r="V19" s="48">
        <v>22</v>
      </c>
      <c r="W19" s="136">
        <f t="shared" si="104"/>
        <v>117.5925167687128</v>
      </c>
      <c r="X19" s="49">
        <v>2</v>
      </c>
      <c r="Y19" s="33">
        <f t="shared" si="105"/>
        <v>0.13489327673517493</v>
      </c>
      <c r="Z19" s="47">
        <v>608.53856878700003</v>
      </c>
      <c r="AA19" s="45">
        <v>148</v>
      </c>
      <c r="AE19" s="145" t="s">
        <v>60</v>
      </c>
      <c r="AF19" s="137">
        <f t="shared" si="106"/>
        <v>55</v>
      </c>
      <c r="AG19" s="45">
        <v>9</v>
      </c>
      <c r="AH19" s="136">
        <f t="shared" si="107"/>
        <v>1526.5419659389363</v>
      </c>
      <c r="AI19" s="47">
        <v>1595.48578364582</v>
      </c>
      <c r="AJ19" s="48">
        <v>24</v>
      </c>
      <c r="AK19" s="136">
        <f t="shared" si="108"/>
        <v>68.943817706883607</v>
      </c>
      <c r="AL19" s="49">
        <v>1</v>
      </c>
      <c r="AM19" s="33">
        <f t="shared" si="109"/>
        <v>9.5529601107811793E-2</v>
      </c>
      <c r="AN19" s="47">
        <v>778.562487584</v>
      </c>
      <c r="AO19" s="45">
        <v>101</v>
      </c>
      <c r="AR19" s="145" t="s">
        <v>60</v>
      </c>
      <c r="AS19" s="137">
        <f t="shared" si="110"/>
        <v>74</v>
      </c>
      <c r="AT19" s="45">
        <v>7</v>
      </c>
      <c r="AU19" s="136">
        <f t="shared" si="111"/>
        <v>650.01317949684312</v>
      </c>
      <c r="AV19" s="47">
        <v>695.92886309188498</v>
      </c>
      <c r="AW19" s="48">
        <v>26</v>
      </c>
      <c r="AX19" s="136">
        <f t="shared" si="112"/>
        <v>45.915683595041898</v>
      </c>
      <c r="AY19" s="49">
        <v>1</v>
      </c>
      <c r="AZ19" s="33">
        <f t="shared" si="113"/>
        <v>0.1576138873654768</v>
      </c>
      <c r="BA19" s="47">
        <v>1054.806583068</v>
      </c>
      <c r="BB19" s="45">
        <v>160</v>
      </c>
      <c r="BE19" s="145" t="s">
        <v>60</v>
      </c>
      <c r="BF19" s="137">
        <f t="shared" si="114"/>
        <v>91</v>
      </c>
      <c r="BG19" s="45">
        <v>6</v>
      </c>
      <c r="BH19" s="136">
        <f t="shared" si="115"/>
        <v>922.76202421078176</v>
      </c>
      <c r="BI19" s="47">
        <v>980.25115361800101</v>
      </c>
      <c r="BJ19" s="48">
        <v>29</v>
      </c>
      <c r="BK19" s="136">
        <f t="shared" si="116"/>
        <v>57.489129407219203</v>
      </c>
      <c r="BL19" s="49">
        <v>1</v>
      </c>
      <c r="BM19" s="33">
        <f t="shared" si="117"/>
        <v>5.9359229238754925E-2</v>
      </c>
      <c r="BN19" s="47">
        <v>818.32419144899995</v>
      </c>
      <c r="BO19" s="45">
        <v>101</v>
      </c>
      <c r="BR19" s="145" t="s">
        <v>60</v>
      </c>
      <c r="BS19" s="137">
        <f t="shared" si="118"/>
        <v>112</v>
      </c>
      <c r="BT19" s="45">
        <v>10</v>
      </c>
      <c r="BU19" s="136">
        <f t="shared" si="119"/>
        <v>845.38260195387818</v>
      </c>
      <c r="BV19" s="47">
        <v>937.213969143962</v>
      </c>
      <c r="BW19" s="48">
        <v>38</v>
      </c>
      <c r="BX19" s="136">
        <f t="shared" si="120"/>
        <v>91.831367190083796</v>
      </c>
      <c r="BY19" s="49">
        <v>2</v>
      </c>
      <c r="BZ19" s="33">
        <f t="shared" si="121"/>
        <v>8.8685586488047752E-2</v>
      </c>
      <c r="CA19" s="47">
        <v>16726.213312735999</v>
      </c>
      <c r="CB19" s="45">
        <v>205</v>
      </c>
      <c r="CE19" s="145" t="s">
        <v>60</v>
      </c>
      <c r="CF19" s="137">
        <f t="shared" si="122"/>
        <v>154</v>
      </c>
      <c r="CG19" s="45">
        <v>15</v>
      </c>
      <c r="CH19" s="136">
        <f t="shared" si="123"/>
        <v>1116.2072757042963</v>
      </c>
      <c r="CI19" s="47">
        <v>1208.03864289438</v>
      </c>
      <c r="CJ19" s="48">
        <v>45</v>
      </c>
      <c r="CK19" s="136">
        <f t="shared" si="124"/>
        <v>91.831367190083796</v>
      </c>
      <c r="CL19" s="49">
        <v>2</v>
      </c>
      <c r="CM19" s="33">
        <f t="shared" si="125"/>
        <v>6.4471464276514137E-2</v>
      </c>
      <c r="CN19" s="47">
        <v>9453.7349590129998</v>
      </c>
      <c r="CO19" s="45">
        <v>135</v>
      </c>
    </row>
    <row r="20" spans="1:93" ht="15" thickBot="1" x14ac:dyDescent="0.35"/>
    <row r="21" spans="1:93" x14ac:dyDescent="0.3">
      <c r="A21" s="3">
        <v>11</v>
      </c>
      <c r="B21" s="3">
        <v>5</v>
      </c>
      <c r="C21" s="144" t="s">
        <v>59</v>
      </c>
      <c r="D21" s="22">
        <f t="shared" ref="D21:D22" si="126">$D$2-H21</f>
        <v>34</v>
      </c>
      <c r="E21" s="41">
        <v>6</v>
      </c>
      <c r="F21" s="134">
        <f t="shared" ref="F21:F22" si="127">G21-I21</f>
        <v>932.75986370726832</v>
      </c>
      <c r="G21" s="42">
        <v>992.57624942222105</v>
      </c>
      <c r="H21" s="43">
        <v>13</v>
      </c>
      <c r="I21" s="134">
        <f t="shared" ref="I21:I22" si="128">$H$2*J21</f>
        <v>59.816385714952702</v>
      </c>
      <c r="J21" s="44">
        <v>1</v>
      </c>
      <c r="K21" s="25">
        <f t="shared" ref="K21:K22" si="129">MAX(($G$2-G21)/$G$2, 0)</f>
        <v>7.4952237257948695E-2</v>
      </c>
      <c r="L21" s="42">
        <v>6.1121895049999999</v>
      </c>
      <c r="M21" s="14"/>
      <c r="O21" s="3">
        <v>14</v>
      </c>
      <c r="P21" s="3">
        <v>5</v>
      </c>
      <c r="Q21" s="144" t="s">
        <v>59</v>
      </c>
      <c r="R21" s="135">
        <f t="shared" ref="R21:R22" si="130">$R$2-V21</f>
        <v>48</v>
      </c>
      <c r="S21" s="41">
        <v>8</v>
      </c>
      <c r="T21" s="134">
        <f t="shared" ref="T21:T22" si="131">U21-W21</f>
        <v>1226.4801280518536</v>
      </c>
      <c r="U21" s="42">
        <v>1285.27638643621</v>
      </c>
      <c r="V21" s="43">
        <v>15</v>
      </c>
      <c r="W21" s="134">
        <f t="shared" ref="W21:W22" si="132">$V$2*X21</f>
        <v>58.796258384356399</v>
      </c>
      <c r="X21" s="44">
        <v>1</v>
      </c>
      <c r="Y21" s="25">
        <f t="shared" ref="Y21:Y22" si="133">MAX(($U$2-U21)/$U$2, 0)</f>
        <v>8.2600723457380426E-2</v>
      </c>
      <c r="Z21" s="42">
        <v>11.121065548000001</v>
      </c>
      <c r="AA21" s="14"/>
      <c r="AC21" s="68">
        <v>19</v>
      </c>
      <c r="AD21" s="3">
        <v>5</v>
      </c>
      <c r="AE21" s="144" t="s">
        <v>59</v>
      </c>
      <c r="AF21" s="135">
        <f t="shared" ref="AF21:AF22" si="134">$AF$2-AJ21</f>
        <v>57</v>
      </c>
      <c r="AG21" s="41">
        <v>9</v>
      </c>
      <c r="AH21" s="134">
        <f t="shared" ref="AH21:AH22" si="135">AI21-AK21</f>
        <v>1582.5274651192362</v>
      </c>
      <c r="AI21" s="42">
        <v>1651.4712828261199</v>
      </c>
      <c r="AJ21" s="43">
        <v>22</v>
      </c>
      <c r="AK21" s="134">
        <f t="shared" ref="AK21:AK22" si="136">$AJ$2*AL21</f>
        <v>68.943817706883607</v>
      </c>
      <c r="AL21" s="44">
        <v>1</v>
      </c>
      <c r="AM21" s="25">
        <f t="shared" ref="AM21:AM22" si="137">MAX(($AI$2-AI21)/$AI$2, 0)</f>
        <v>6.379178978111115E-2</v>
      </c>
      <c r="AN21" s="42">
        <v>19.53620806</v>
      </c>
      <c r="AO21" s="14"/>
      <c r="AP21" s="68">
        <v>22</v>
      </c>
      <c r="AQ21" s="3">
        <v>5</v>
      </c>
      <c r="AR21" s="144" t="s">
        <v>59</v>
      </c>
      <c r="AS21" s="135">
        <f t="shared" ref="AS21:AS22" si="138">$AS$2-AW21</f>
        <v>64</v>
      </c>
      <c r="AT21" s="41">
        <v>6</v>
      </c>
      <c r="AU21" s="134">
        <f t="shared" ref="AU21:AU22" si="139">AV21-AX21</f>
        <v>628.38340504750613</v>
      </c>
      <c r="AV21" s="42">
        <v>720.21477223758995</v>
      </c>
      <c r="AW21" s="43">
        <v>36</v>
      </c>
      <c r="AX21" s="134">
        <f t="shared" ref="AX21:AX22" si="140">$AW$2*AY21</f>
        <v>91.831367190083796</v>
      </c>
      <c r="AY21" s="44">
        <v>2</v>
      </c>
      <c r="AZ21" s="25">
        <f t="shared" ref="AZ21:AZ22" si="141">MAX(($AV$2-AV21)/$AV$2, 0)</f>
        <v>0.12821704282858842</v>
      </c>
      <c r="BA21" s="42">
        <v>10.785643106</v>
      </c>
      <c r="BB21" s="14"/>
      <c r="BC21" s="68">
        <v>26</v>
      </c>
      <c r="BD21" s="3">
        <v>5</v>
      </c>
      <c r="BE21" s="144" t="s">
        <v>59</v>
      </c>
      <c r="BF21" s="135">
        <f t="shared" ref="BF21:BF22" si="142">$BF$2-BJ21</f>
        <v>92</v>
      </c>
      <c r="BG21" s="41">
        <v>6</v>
      </c>
      <c r="BH21" s="134">
        <f t="shared" ref="BH21:BH22" si="143">BI21-BK21</f>
        <v>940.35564761384978</v>
      </c>
      <c r="BI21" s="42">
        <v>997.84477702106904</v>
      </c>
      <c r="BJ21" s="43">
        <v>28</v>
      </c>
      <c r="BK21" s="134">
        <f t="shared" ref="BK21:BK22" si="144">$BJ$2*BL21</f>
        <v>57.489129407219203</v>
      </c>
      <c r="BL21" s="44">
        <v>1</v>
      </c>
      <c r="BM21" s="25">
        <f t="shared" ref="BM21:BM22" si="145">MAX(($BI$2-BI21)/$BI$2, 0)</f>
        <v>4.2476536046032444E-2</v>
      </c>
      <c r="BN21" s="42">
        <v>54.392550139000001</v>
      </c>
      <c r="BO21" s="14"/>
      <c r="BP21" s="68">
        <v>33</v>
      </c>
      <c r="BQ21" s="3">
        <v>5</v>
      </c>
      <c r="BR21" s="144" t="s">
        <v>59</v>
      </c>
      <c r="BS21" s="135">
        <f t="shared" ref="BS21:BS22" si="146">$BS$2-BW21</f>
        <v>102</v>
      </c>
      <c r="BT21" s="41">
        <v>10</v>
      </c>
      <c r="BU21" s="134">
        <f t="shared" ref="BU21:BU22" si="147">BV21-BX21</f>
        <v>842.51888581515823</v>
      </c>
      <c r="BV21" s="42">
        <v>934.35025300524205</v>
      </c>
      <c r="BW21" s="43">
        <v>48</v>
      </c>
      <c r="BX21" s="134">
        <f t="shared" ref="BX21:BX22" si="148">$BW$2*BY21</f>
        <v>91.831367190083796</v>
      </c>
      <c r="BY21" s="44">
        <v>2</v>
      </c>
      <c r="BZ21" s="25">
        <f t="shared" ref="BZ21:BZ22" si="149">MAX(($BV$2-BV21)/$BV$2, 0)</f>
        <v>9.1470164908070639E-2</v>
      </c>
      <c r="CA21" s="42">
        <v>185.76811049200001</v>
      </c>
      <c r="CB21" s="14"/>
      <c r="CC21" s="68">
        <v>44</v>
      </c>
      <c r="CD21" s="3">
        <v>5</v>
      </c>
      <c r="CE21" s="144" t="s">
        <v>59</v>
      </c>
      <c r="CF21" s="135">
        <f t="shared" ref="CF21:CF22" si="150">$CF$2-CJ21</f>
        <v>147</v>
      </c>
      <c r="CG21" s="41">
        <v>15</v>
      </c>
      <c r="CH21" s="134">
        <f t="shared" ref="CH21:CH22" si="151">CI21-CK21</f>
        <v>1107.7704170157162</v>
      </c>
      <c r="CI21" s="42">
        <v>1199.6017842058</v>
      </c>
      <c r="CJ21" s="43">
        <v>52</v>
      </c>
      <c r="CK21" s="134">
        <f t="shared" ref="CK21:CK22" si="152">$CJ$2*CL21</f>
        <v>91.831367190083796</v>
      </c>
      <c r="CL21" s="44">
        <v>2</v>
      </c>
      <c r="CM21" s="25">
        <f t="shared" ref="CM21:CM22" si="153">MAX(($CI$2-CI21)/$CI$2, 0)</f>
        <v>7.1005131143430225E-2</v>
      </c>
      <c r="CN21" s="42">
        <v>256.612634576</v>
      </c>
      <c r="CO21" s="14"/>
    </row>
    <row r="22" spans="1:93" x14ac:dyDescent="0.3">
      <c r="C22" s="145" t="s">
        <v>60</v>
      </c>
      <c r="D22" s="30">
        <f t="shared" si="126"/>
        <v>35</v>
      </c>
      <c r="E22" s="45">
        <v>6</v>
      </c>
      <c r="F22" s="136">
        <f t="shared" si="127"/>
        <v>898.67762434025531</v>
      </c>
      <c r="G22" s="47">
        <v>958.49401005520804</v>
      </c>
      <c r="H22" s="48">
        <v>12</v>
      </c>
      <c r="I22" s="136">
        <f t="shared" si="128"/>
        <v>59.816385714952702</v>
      </c>
      <c r="J22" s="49">
        <v>1</v>
      </c>
      <c r="K22" s="33">
        <f t="shared" si="129"/>
        <v>0.10671574086187509</v>
      </c>
      <c r="L22" s="47">
        <v>133.06798798599999</v>
      </c>
      <c r="M22" s="45">
        <v>148</v>
      </c>
      <c r="Q22" s="145" t="s">
        <v>60</v>
      </c>
      <c r="R22" s="137">
        <f t="shared" si="130"/>
        <v>49</v>
      </c>
      <c r="S22" s="45">
        <v>8</v>
      </c>
      <c r="T22" s="136">
        <f t="shared" si="131"/>
        <v>1207.1755703213037</v>
      </c>
      <c r="U22" s="47">
        <v>1265.9718287056601</v>
      </c>
      <c r="V22" s="48">
        <v>14</v>
      </c>
      <c r="W22" s="136">
        <f t="shared" si="132"/>
        <v>58.796258384356399</v>
      </c>
      <c r="X22" s="49">
        <v>1</v>
      </c>
      <c r="Y22" s="33">
        <f t="shared" si="133"/>
        <v>9.6379851030934993E-2</v>
      </c>
      <c r="Z22" s="47">
        <v>544.46159101399996</v>
      </c>
      <c r="AA22" s="45">
        <v>123</v>
      </c>
      <c r="AE22" s="145" t="s">
        <v>60</v>
      </c>
      <c r="AF22" s="137">
        <f t="shared" si="134"/>
        <v>58</v>
      </c>
      <c r="AG22" s="45">
        <v>9</v>
      </c>
      <c r="AH22" s="136">
        <f t="shared" si="135"/>
        <v>1554.8399697498962</v>
      </c>
      <c r="AI22" s="47">
        <v>1623.7837874567799</v>
      </c>
      <c r="AJ22" s="48">
        <v>21</v>
      </c>
      <c r="AK22" s="136">
        <f t="shared" si="136"/>
        <v>68.943817706883607</v>
      </c>
      <c r="AL22" s="49">
        <v>1</v>
      </c>
      <c r="AM22" s="33">
        <f t="shared" si="137"/>
        <v>7.9487648834024996E-2</v>
      </c>
      <c r="AN22" s="47">
        <v>1379.4728192150001</v>
      </c>
      <c r="AO22" s="45">
        <v>192</v>
      </c>
      <c r="AR22" s="145" t="s">
        <v>60</v>
      </c>
      <c r="AS22" s="137">
        <f t="shared" si="138"/>
        <v>66</v>
      </c>
      <c r="AT22" s="45">
        <v>6</v>
      </c>
      <c r="AU22" s="136">
        <f t="shared" si="139"/>
        <v>614.32403001482112</v>
      </c>
      <c r="AV22" s="47">
        <v>706.15539720490494</v>
      </c>
      <c r="AW22" s="48">
        <v>34</v>
      </c>
      <c r="AX22" s="136">
        <f t="shared" si="140"/>
        <v>91.831367190083796</v>
      </c>
      <c r="AY22" s="49">
        <v>2</v>
      </c>
      <c r="AZ22" s="33">
        <f t="shared" si="141"/>
        <v>0.1452351935447927</v>
      </c>
      <c r="BA22" s="47">
        <v>721.55380527499995</v>
      </c>
      <c r="BB22" s="45">
        <v>107</v>
      </c>
      <c r="BE22" s="145" t="s">
        <v>60</v>
      </c>
      <c r="BF22" s="137">
        <f t="shared" si="142"/>
        <v>95</v>
      </c>
      <c r="BG22" s="45">
        <v>6</v>
      </c>
      <c r="BH22" s="136">
        <f t="shared" si="143"/>
        <v>931.97509908274378</v>
      </c>
      <c r="BI22" s="47">
        <v>989.46422848996303</v>
      </c>
      <c r="BJ22" s="48">
        <v>25</v>
      </c>
      <c r="BK22" s="136">
        <f t="shared" si="144"/>
        <v>57.489129407219203</v>
      </c>
      <c r="BL22" s="49">
        <v>1</v>
      </c>
      <c r="BM22" s="33">
        <f t="shared" si="145"/>
        <v>5.0518440001570727E-2</v>
      </c>
      <c r="BN22" s="47">
        <v>800.76879252799995</v>
      </c>
      <c r="BO22" s="45">
        <v>107</v>
      </c>
      <c r="BR22" s="145" t="s">
        <v>60</v>
      </c>
      <c r="BS22" s="137">
        <f t="shared" si="146"/>
        <v>107</v>
      </c>
      <c r="BT22" s="45">
        <v>10</v>
      </c>
      <c r="BU22" s="136">
        <f t="shared" si="147"/>
        <v>810.52287147023515</v>
      </c>
      <c r="BV22" s="47">
        <v>902.35423866031897</v>
      </c>
      <c r="BW22" s="48">
        <v>43</v>
      </c>
      <c r="BX22" s="136">
        <f t="shared" si="148"/>
        <v>91.831367190083796</v>
      </c>
      <c r="BY22" s="49">
        <v>2</v>
      </c>
      <c r="BZ22" s="33">
        <f t="shared" si="149"/>
        <v>0.12258198142751123</v>
      </c>
      <c r="CA22" s="47">
        <v>7808.8812408949998</v>
      </c>
      <c r="CB22" s="45"/>
      <c r="CE22" s="145" t="s">
        <v>60</v>
      </c>
      <c r="CF22" s="137">
        <f t="shared" si="150"/>
        <v>152</v>
      </c>
      <c r="CG22" s="45">
        <v>15</v>
      </c>
      <c r="CH22" s="136">
        <f t="shared" si="151"/>
        <v>1097.3264493457964</v>
      </c>
      <c r="CI22" s="47">
        <v>1189.1578165358801</v>
      </c>
      <c r="CJ22" s="48">
        <v>47</v>
      </c>
      <c r="CK22" s="136">
        <f t="shared" si="152"/>
        <v>91.831367190083796</v>
      </c>
      <c r="CL22" s="49">
        <v>2</v>
      </c>
      <c r="CM22" s="33">
        <f t="shared" si="153"/>
        <v>7.9093142101402364E-2</v>
      </c>
      <c r="CN22" s="47">
        <v>11887.677140559999</v>
      </c>
      <c r="CO22" s="45">
        <v>195</v>
      </c>
    </row>
  </sheetData>
  <mergeCells count="28">
    <mergeCell ref="CF3:CN3"/>
    <mergeCell ref="D4:G4"/>
    <mergeCell ref="H4:J4"/>
    <mergeCell ref="K4:L4"/>
    <mergeCell ref="R4:U4"/>
    <mergeCell ref="V4:X4"/>
    <mergeCell ref="Y4:Z4"/>
    <mergeCell ref="AF4:AI4"/>
    <mergeCell ref="AJ4:AL4"/>
    <mergeCell ref="AM4:AN4"/>
    <mergeCell ref="D3:L3"/>
    <mergeCell ref="R3:Z3"/>
    <mergeCell ref="AF3:AN3"/>
    <mergeCell ref="AS3:BA3"/>
    <mergeCell ref="BF3:BN3"/>
    <mergeCell ref="BS3:CA3"/>
    <mergeCell ref="CM4:CN4"/>
    <mergeCell ref="AS4:AV4"/>
    <mergeCell ref="AW4:AY4"/>
    <mergeCell ref="AZ4:BA4"/>
    <mergeCell ref="BF4:BI4"/>
    <mergeCell ref="BJ4:BL4"/>
    <mergeCell ref="BM4:BN4"/>
    <mergeCell ref="BS4:BV4"/>
    <mergeCell ref="BW4:BY4"/>
    <mergeCell ref="BZ4:CA4"/>
    <mergeCell ref="CF4:CI4"/>
    <mergeCell ref="CJ4:CL4"/>
  </mergeCells>
  <conditionalFormatting sqref="G6">
    <cfRule type="expression" dxfId="9" priority="15">
      <formula>G6=MIN($G$6:$G$6)</formula>
    </cfRule>
  </conditionalFormatting>
  <conditionalFormatting sqref="U6">
    <cfRule type="expression" dxfId="8" priority="16">
      <formula>U5=MIN($U$6:$U$6)</formula>
    </cfRule>
  </conditionalFormatting>
  <conditionalFormatting sqref="AI6 AV6 BI6 BV6 CI6">
    <cfRule type="expression" dxfId="7" priority="17">
      <formula>AI5=MIN($AI$6:$AI$6)</formula>
    </cfRule>
  </conditionalFormatting>
  <conditionalFormatting sqref="G7">
    <cfRule type="expression" dxfId="6" priority="18">
      <formula>G7=MIN($G$7:$G$7)</formula>
    </cfRule>
  </conditionalFormatting>
  <conditionalFormatting sqref="U7">
    <cfRule type="expression" dxfId="5" priority="19">
      <formula>U7=MIN($U$7:$U$7)</formula>
    </cfRule>
  </conditionalFormatting>
  <conditionalFormatting sqref="AI7 AV7 BI7 BV7 CI7">
    <cfRule type="expression" dxfId="4" priority="20">
      <formula>AI7=MIN($AI$7:$AI$7)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U7" sqref="U7:U10"/>
    </sheetView>
  </sheetViews>
  <sheetFormatPr defaultRowHeight="14.4" x14ac:dyDescent="0.3"/>
  <cols>
    <col min="1" max="1" width="13.77734375" style="3" bestFit="1" customWidth="1"/>
    <col min="2" max="3" width="8.88671875" style="3"/>
    <col min="4" max="4" width="8.88671875" style="3" customWidth="1"/>
    <col min="5" max="6" width="8.88671875" style="3"/>
    <col min="7" max="7" width="13.88671875" style="3" customWidth="1"/>
    <col min="8" max="8" width="14.21875" style="3" customWidth="1"/>
    <col min="9" max="18" width="8.88671875" style="3"/>
    <col min="19" max="19" width="11" style="3" bestFit="1" customWidth="1"/>
    <col min="20" max="24" width="11" style="3" customWidth="1"/>
    <col min="25" max="16384" width="8.88671875" style="3"/>
  </cols>
  <sheetData>
    <row r="1" spans="1:24" x14ac:dyDescent="0.3">
      <c r="B1" s="1" t="s">
        <v>427</v>
      </c>
    </row>
    <row r="2" spans="1:24" x14ac:dyDescent="0.3">
      <c r="B2" s="1" t="s">
        <v>428</v>
      </c>
      <c r="C2" s="3">
        <v>5</v>
      </c>
    </row>
    <row r="3" spans="1:24" x14ac:dyDescent="0.3">
      <c r="B3" s="1" t="s">
        <v>429</v>
      </c>
      <c r="C3" s="199">
        <v>0.3</v>
      </c>
    </row>
    <row r="4" spans="1:24" ht="15" thickBot="1" x14ac:dyDescent="0.35">
      <c r="B4" s="286" t="s">
        <v>430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58"/>
      <c r="U4" s="265"/>
      <c r="V4" s="31"/>
    </row>
    <row r="5" spans="1:24" ht="15" thickBot="1" x14ac:dyDescent="0.35">
      <c r="B5" s="281" t="s">
        <v>18</v>
      </c>
      <c r="C5" s="282"/>
      <c r="D5" s="282"/>
      <c r="E5" s="283"/>
      <c r="F5" s="24"/>
      <c r="G5" s="284" t="s">
        <v>431</v>
      </c>
      <c r="H5" s="284" t="s">
        <v>432</v>
      </c>
      <c r="I5" s="282" t="s">
        <v>6</v>
      </c>
      <c r="J5" s="282"/>
      <c r="K5" s="282"/>
      <c r="L5" s="283"/>
      <c r="M5" s="281" t="s">
        <v>7</v>
      </c>
      <c r="N5" s="282"/>
      <c r="O5" s="283"/>
      <c r="P5" s="281" t="s">
        <v>8</v>
      </c>
      <c r="Q5" s="282"/>
      <c r="R5" s="282"/>
      <c r="S5" s="283"/>
      <c r="T5" s="258"/>
      <c r="U5" s="265"/>
      <c r="V5" s="31"/>
      <c r="W5" s="31" t="s">
        <v>433</v>
      </c>
      <c r="X5" s="31"/>
    </row>
    <row r="6" spans="1:24" ht="29.4" thickBot="1" x14ac:dyDescent="0.35">
      <c r="B6" s="8" t="s">
        <v>434</v>
      </c>
      <c r="C6" s="200" t="s">
        <v>75</v>
      </c>
      <c r="D6" s="200" t="s">
        <v>435</v>
      </c>
      <c r="E6" s="18" t="s">
        <v>436</v>
      </c>
      <c r="F6" s="201" t="s">
        <v>437</v>
      </c>
      <c r="G6" s="285"/>
      <c r="H6" s="285"/>
      <c r="I6" s="9" t="s">
        <v>10</v>
      </c>
      <c r="J6" s="9" t="s">
        <v>11</v>
      </c>
      <c r="K6" s="9"/>
      <c r="L6" s="10" t="s">
        <v>12</v>
      </c>
      <c r="M6" s="8" t="s">
        <v>10</v>
      </c>
      <c r="N6" s="9"/>
      <c r="O6" s="10" t="s">
        <v>11</v>
      </c>
      <c r="P6" s="267" t="s">
        <v>457</v>
      </c>
      <c r="Q6" s="200"/>
      <c r="R6" s="200" t="s">
        <v>458</v>
      </c>
      <c r="S6" s="10" t="s">
        <v>10</v>
      </c>
      <c r="T6" s="258"/>
      <c r="U6" s="265"/>
      <c r="V6" s="31"/>
      <c r="W6" s="31"/>
      <c r="X6" s="31"/>
    </row>
    <row r="7" spans="1:24" ht="15" thickBot="1" x14ac:dyDescent="0.35">
      <c r="A7" s="3" t="s">
        <v>456</v>
      </c>
      <c r="B7" s="30">
        <v>32</v>
      </c>
      <c r="C7" s="258">
        <v>5</v>
      </c>
      <c r="D7" s="258">
        <v>100</v>
      </c>
      <c r="E7" s="34">
        <v>784</v>
      </c>
      <c r="F7" s="34">
        <v>7.6</v>
      </c>
      <c r="G7" s="214">
        <v>64</v>
      </c>
      <c r="H7" s="141">
        <v>7.6</v>
      </c>
      <c r="I7" s="215">
        <v>21.6</v>
      </c>
      <c r="J7" s="216">
        <v>4</v>
      </c>
      <c r="K7" s="266">
        <v>666.07042230147863</v>
      </c>
      <c r="L7" s="264">
        <v>730.07042230147863</v>
      </c>
      <c r="M7" s="217">
        <v>9.4</v>
      </c>
      <c r="N7" s="141">
        <v>64</v>
      </c>
      <c r="O7" s="218">
        <v>1</v>
      </c>
      <c r="P7" s="271">
        <f>(E7-K7)/E7</f>
        <v>0.15042037971750175</v>
      </c>
      <c r="Q7" s="133">
        <f>(0-N7)/E7</f>
        <v>-8.1632653061224483E-2</v>
      </c>
      <c r="R7" s="268">
        <f>P7+Q7</f>
        <v>6.8787726656277262E-2</v>
      </c>
      <c r="S7" s="219">
        <f>M7/(B7-1)</f>
        <v>0.3032258064516129</v>
      </c>
      <c r="T7" s="275">
        <f>P7*$E$7</f>
        <v>117.92957769852137</v>
      </c>
      <c r="U7" s="275">
        <f>R7*$E$7</f>
        <v>53.929577698521371</v>
      </c>
      <c r="V7" s="212"/>
      <c r="W7" s="141"/>
      <c r="X7" s="213"/>
    </row>
    <row r="8" spans="1:24" x14ac:dyDescent="0.3">
      <c r="A8" s="3" t="s">
        <v>438</v>
      </c>
      <c r="B8" s="202">
        <v>48</v>
      </c>
      <c r="C8" s="203">
        <v>7</v>
      </c>
      <c r="D8" s="203">
        <v>100</v>
      </c>
      <c r="E8" s="204">
        <v>1073</v>
      </c>
      <c r="F8" s="204">
        <f>'[3]Savings-BigInstances'!A6</f>
        <v>11.2</v>
      </c>
      <c r="G8" s="205">
        <v>59.816385714952702</v>
      </c>
      <c r="H8" s="206">
        <f>'[3]Savings-BigInstances'!A6</f>
        <v>11.2</v>
      </c>
      <c r="I8" s="207">
        <f>'[3]Savings-BigInstances'!D9</f>
        <v>35</v>
      </c>
      <c r="J8" s="208">
        <f>'[3]Savings-BigInstances'!E9</f>
        <v>6</v>
      </c>
      <c r="K8" s="208">
        <f>'[3]Savings-BigInstances'!F9</f>
        <v>887.94698411217701</v>
      </c>
      <c r="L8" s="204">
        <f>'Savings-BigInstances'!G7</f>
        <v>947.76336982712985</v>
      </c>
      <c r="M8" s="209">
        <f>'[3]Savings-BigInstances'!H9</f>
        <v>12</v>
      </c>
      <c r="N8" s="206">
        <v>59.816385714952709</v>
      </c>
      <c r="O8" s="210">
        <f>'[3]Savings-BigInstances'!J9</f>
        <v>1</v>
      </c>
      <c r="P8" s="271">
        <f t="shared" ref="P8:P14" si="0">(E8-K8)/E8</f>
        <v>0.17246320213217428</v>
      </c>
      <c r="Q8" s="133">
        <f t="shared" ref="Q8:Q10" si="1">(0-N8)/E8</f>
        <v>-5.5746864599210355E-2</v>
      </c>
      <c r="R8" s="268">
        <f t="shared" ref="R8:R10" si="2">P8+Q8</f>
        <v>0.11671633753296393</v>
      </c>
      <c r="S8" s="211">
        <f t="shared" ref="S8:S14" si="3">M8/(B8-1)</f>
        <v>0.25531914893617019</v>
      </c>
      <c r="T8" s="275">
        <f t="shared" ref="T8:T14" si="4">P8*E8</f>
        <v>185.05301588782299</v>
      </c>
      <c r="U8" s="275">
        <f t="shared" ref="U8:U10" si="5">R8*$E$7</f>
        <v>91.50560862584372</v>
      </c>
      <c r="V8" s="212">
        <f>M8/F8</f>
        <v>1.0714285714285714</v>
      </c>
      <c r="W8" s="213">
        <f>'[3]Savings-BigInstances'!L9</f>
        <v>225.69190200839998</v>
      </c>
      <c r="X8" s="213">
        <f>W8/3600</f>
        <v>6.2692195002333334E-2</v>
      </c>
    </row>
    <row r="9" spans="1:24" x14ac:dyDescent="0.3">
      <c r="A9" s="3" t="s">
        <v>439</v>
      </c>
      <c r="B9" s="30">
        <v>64</v>
      </c>
      <c r="C9" s="31">
        <v>9</v>
      </c>
      <c r="D9" s="31">
        <v>100</v>
      </c>
      <c r="E9" s="34">
        <v>1401</v>
      </c>
      <c r="F9" s="34">
        <f>'[3]Savings-BigInstances'!O6</f>
        <v>14.4</v>
      </c>
      <c r="G9" s="214">
        <v>58.796258384356399</v>
      </c>
      <c r="H9" s="141">
        <f>'[3]Savings-BigInstances'!O6</f>
        <v>14.4</v>
      </c>
      <c r="I9" s="215">
        <f>'[3]Savings-BigInstances'!R9</f>
        <v>45.2</v>
      </c>
      <c r="J9" s="216">
        <f>'[3]Savings-BigInstances'!S9</f>
        <v>7.4</v>
      </c>
      <c r="K9" s="216">
        <f>'[3]Savings-BigInstances'!T9</f>
        <v>1152.0617616685138</v>
      </c>
      <c r="L9" s="34">
        <f>'Savings-BigInstances'!U7</f>
        <v>1246.1357750834841</v>
      </c>
      <c r="M9" s="217">
        <f>'[3]Savings-BigInstances'!V9</f>
        <v>17.8</v>
      </c>
      <c r="N9" s="141">
        <v>94.074013414970239</v>
      </c>
      <c r="O9" s="218">
        <f>'[3]Savings-BigInstances'!X9</f>
        <v>1.6</v>
      </c>
      <c r="P9" s="271">
        <f t="shared" si="0"/>
        <v>0.17768610873053978</v>
      </c>
      <c r="Q9" s="133">
        <f t="shared" si="1"/>
        <v>-6.7147761181277826E-2</v>
      </c>
      <c r="R9" s="268">
        <f t="shared" si="2"/>
        <v>0.11053834754926195</v>
      </c>
      <c r="S9" s="219">
        <f t="shared" si="3"/>
        <v>0.28253968253968254</v>
      </c>
      <c r="T9" s="275">
        <f t="shared" si="4"/>
        <v>248.93823833148622</v>
      </c>
      <c r="U9" s="275">
        <f t="shared" si="5"/>
        <v>86.662064478621375</v>
      </c>
      <c r="V9" s="212">
        <f t="shared" ref="V9:V14" si="6">M9/F9/B9</f>
        <v>1.9314236111111112E-2</v>
      </c>
      <c r="W9" s="141">
        <f>'[3]Savings-BigInstances'!Z9</f>
        <v>1019.8480501586</v>
      </c>
      <c r="X9" s="213">
        <f t="shared" ref="X9:X14" si="7">W9/3600</f>
        <v>0.28329112504405557</v>
      </c>
    </row>
    <row r="10" spans="1:24" x14ac:dyDescent="0.3">
      <c r="A10" s="3" t="s">
        <v>440</v>
      </c>
      <c r="B10" s="220">
        <v>80</v>
      </c>
      <c r="C10" s="221">
        <v>10</v>
      </c>
      <c r="D10" s="221">
        <v>100</v>
      </c>
      <c r="E10" s="222">
        <v>1764</v>
      </c>
      <c r="F10" s="222">
        <f>'[3]Savings-BigInstances'!AC6</f>
        <v>18.399999999999999</v>
      </c>
      <c r="G10" s="223">
        <v>68.943817706883607</v>
      </c>
      <c r="H10" s="213">
        <f>'[3]Savings-BigInstances'!AC6</f>
        <v>18.399999999999999</v>
      </c>
      <c r="I10" s="224">
        <f>'[3]Savings-BigInstances'!AF9</f>
        <v>56</v>
      </c>
      <c r="J10" s="225">
        <f>'[3]Savings-BigInstances'!AG9</f>
        <v>8.6</v>
      </c>
      <c r="K10" s="225">
        <f>'[3]Savings-BigInstances'!AH9</f>
        <v>1488.4567237796086</v>
      </c>
      <c r="L10" s="222">
        <f>'Savings-BigInstances'!AI7</f>
        <v>1584.9780685692458</v>
      </c>
      <c r="M10" s="226">
        <f>'[3]Savings-BigInstances'!AJ9</f>
        <v>23</v>
      </c>
      <c r="N10" s="213">
        <v>96.521344789637027</v>
      </c>
      <c r="O10" s="227">
        <f>'[3]Savings-BigInstances'!AL9</f>
        <v>1.4</v>
      </c>
      <c r="P10" s="271">
        <f t="shared" si="0"/>
        <v>0.15620367132675247</v>
      </c>
      <c r="Q10" s="133">
        <f t="shared" si="1"/>
        <v>-5.4717315640383804E-2</v>
      </c>
      <c r="R10" s="268">
        <f t="shared" si="2"/>
        <v>0.10148635568636867</v>
      </c>
      <c r="S10" s="228">
        <f t="shared" si="3"/>
        <v>0.29113924050632911</v>
      </c>
      <c r="T10" s="275">
        <f t="shared" si="4"/>
        <v>275.54327622039136</v>
      </c>
      <c r="U10" s="275">
        <f t="shared" si="5"/>
        <v>79.565302858113043</v>
      </c>
      <c r="V10" s="212">
        <f t="shared" si="6"/>
        <v>1.5625E-2</v>
      </c>
      <c r="W10" s="213">
        <f>'[3]Savings-BigInstances'!AN9</f>
        <v>1680.7072213803999</v>
      </c>
      <c r="X10" s="213">
        <f t="shared" si="7"/>
        <v>0.46686311705011108</v>
      </c>
    </row>
    <row r="11" spans="1:24" x14ac:dyDescent="0.3">
      <c r="A11" s="3" t="s">
        <v>441</v>
      </c>
      <c r="B11" s="30">
        <v>101</v>
      </c>
      <c r="C11" s="31">
        <v>8</v>
      </c>
      <c r="D11" s="31">
        <v>200</v>
      </c>
      <c r="E11" s="34">
        <v>826.14</v>
      </c>
      <c r="F11" s="34">
        <f>'[3]Savings-BigInstances'!AP6</f>
        <v>21.8</v>
      </c>
      <c r="G11" s="214">
        <v>45.915683595041898</v>
      </c>
      <c r="H11" s="141">
        <f>'[3]Savings-BigInstances'!AP6</f>
        <v>21.8</v>
      </c>
      <c r="I11" s="215">
        <f>'[3]Savings-BigInstances'!AS9</f>
        <v>70.599999999999994</v>
      </c>
      <c r="J11" s="216">
        <f>'[3]Savings-BigInstances'!AT9</f>
        <v>6.8</v>
      </c>
      <c r="K11" s="216">
        <f>'[3]Savings-BigInstances'!AU9</f>
        <v>651.8497284893441</v>
      </c>
      <c r="L11" s="218">
        <f>'[3]Savings-BigInstances'!AV9</f>
        <v>706.94854880339437</v>
      </c>
      <c r="M11" s="215">
        <f>'[3]Savings-BigInstances'!AW9</f>
        <v>29.4</v>
      </c>
      <c r="N11" s="141">
        <v>55.098820314050272</v>
      </c>
      <c r="O11" s="218">
        <f>'[3]Savings-BigInstances'!AY9</f>
        <v>1.2</v>
      </c>
      <c r="P11" s="271">
        <f t="shared" si="0"/>
        <v>0.21096941379264517</v>
      </c>
      <c r="Q11" s="133">
        <f t="shared" ref="Q11:Q14" si="8">(0-N11)/E11</f>
        <v>-6.6694289483683486E-2</v>
      </c>
      <c r="R11" s="268">
        <f>'[3]Savings-BigInstances'!AZ9</f>
        <v>0.14427512430896167</v>
      </c>
      <c r="S11" s="219">
        <f t="shared" si="3"/>
        <v>0.29399999999999998</v>
      </c>
      <c r="T11" s="275">
        <f t="shared" si="4"/>
        <v>174.29027151065588</v>
      </c>
      <c r="U11" s="275"/>
      <c r="V11" s="212">
        <f t="shared" si="6"/>
        <v>1.3352711417930783E-2</v>
      </c>
      <c r="W11" s="141">
        <f>'[3]Savings-BigInstances'!BA9</f>
        <v>3012.7765432843998</v>
      </c>
      <c r="X11" s="213">
        <f t="shared" si="7"/>
        <v>0.83688237313455549</v>
      </c>
    </row>
    <row r="12" spans="1:24" x14ac:dyDescent="0.3">
      <c r="A12" s="3" t="s">
        <v>442</v>
      </c>
      <c r="B12" s="220">
        <v>121</v>
      </c>
      <c r="C12" s="221">
        <v>7</v>
      </c>
      <c r="D12" s="221">
        <v>200</v>
      </c>
      <c r="E12" s="222">
        <v>1042.1099999999999</v>
      </c>
      <c r="F12" s="222">
        <f>'[3]Savings-BigInstances'!BC6</f>
        <v>26.2</v>
      </c>
      <c r="G12" s="223">
        <v>57.489129407219203</v>
      </c>
      <c r="H12" s="213">
        <f>'[3]Savings-BigInstances'!BC6</f>
        <v>26.2</v>
      </c>
      <c r="I12" s="224">
        <f>'[3]Savings-BigInstances'!BF9</f>
        <v>95.2</v>
      </c>
      <c r="J12" s="225">
        <f>'[3]Savings-BigInstances'!BG9</f>
        <v>6</v>
      </c>
      <c r="K12" s="225">
        <f>'[3]Savings-BigInstances'!BH9</f>
        <v>919.57758628442093</v>
      </c>
      <c r="L12" s="227">
        <f>'[3]Savings-BigInstances'!BI9</f>
        <v>977.06671569164007</v>
      </c>
      <c r="M12" s="224">
        <f>'[3]Savings-BigInstances'!BJ9</f>
        <v>24.8</v>
      </c>
      <c r="N12" s="213">
        <v>57.48912940721921</v>
      </c>
      <c r="O12" s="227">
        <f>'[3]Savings-BigInstances'!BL9</f>
        <v>1</v>
      </c>
      <c r="P12" s="271">
        <f t="shared" si="0"/>
        <v>0.11758107466157985</v>
      </c>
      <c r="Q12" s="133">
        <f t="shared" si="8"/>
        <v>-5.5166085544922527E-2</v>
      </c>
      <c r="R12" s="269">
        <f>'[3]Savings-BigInstances'!BM9</f>
        <v>6.2414989116657257E-2</v>
      </c>
      <c r="S12" s="228">
        <f t="shared" si="3"/>
        <v>0.20666666666666667</v>
      </c>
      <c r="T12" s="275">
        <f t="shared" si="4"/>
        <v>122.53241371557897</v>
      </c>
      <c r="U12" s="275"/>
      <c r="V12" s="212">
        <f t="shared" si="6"/>
        <v>7.8228502933568866E-3</v>
      </c>
      <c r="W12" s="213">
        <f>'[3]Savings-BigInstances'!BN9</f>
        <v>6595.8803510859989</v>
      </c>
      <c r="X12" s="213">
        <f t="shared" si="7"/>
        <v>1.8321889864127774</v>
      </c>
    </row>
    <row r="13" spans="1:24" x14ac:dyDescent="0.3">
      <c r="A13" s="3" t="s">
        <v>443</v>
      </c>
      <c r="B13" s="30">
        <v>151</v>
      </c>
      <c r="C13" s="31">
        <v>12</v>
      </c>
      <c r="D13" s="31">
        <v>200</v>
      </c>
      <c r="E13" s="34">
        <v>1028.42</v>
      </c>
      <c r="F13" s="34">
        <f>'[3]Savings-BigInstances'!BP6</f>
        <v>32.200000000000003</v>
      </c>
      <c r="G13" s="214">
        <v>45.915683595041898</v>
      </c>
      <c r="H13" s="141">
        <f>'[3]Savings-BigInstances'!BP6</f>
        <v>32.200000000000003</v>
      </c>
      <c r="I13" s="215">
        <f>'[3]Savings-BigInstances'!BS9</f>
        <v>108.4</v>
      </c>
      <c r="J13" s="216">
        <f>'[3]Savings-BigInstances'!BT9</f>
        <v>10</v>
      </c>
      <c r="K13" s="216">
        <f>'[3]Savings-BigInstances'!BU9</f>
        <v>839.4371153633731</v>
      </c>
      <c r="L13" s="218">
        <f>'[3]Savings-BigInstances'!BV9</f>
        <v>931.26848255345681</v>
      </c>
      <c r="M13" s="215">
        <f>'[3]Savings-BigInstances'!BW9</f>
        <v>41.6</v>
      </c>
      <c r="N13" s="141">
        <v>91.831367190083796</v>
      </c>
      <c r="O13" s="218">
        <f>'[3]Savings-BigInstances'!BY9</f>
        <v>2</v>
      </c>
      <c r="P13" s="271">
        <f t="shared" si="0"/>
        <v>0.18376041367984575</v>
      </c>
      <c r="Q13" s="133">
        <f t="shared" si="8"/>
        <v>-8.9293641887637137E-2</v>
      </c>
      <c r="R13" s="268">
        <f>'[3]Savings-BigInstances'!BZ9</f>
        <v>9.4466771792208706E-2</v>
      </c>
      <c r="S13" s="219">
        <f t="shared" si="3"/>
        <v>0.27733333333333332</v>
      </c>
      <c r="T13" s="275">
        <f t="shared" si="4"/>
        <v>188.98288463662698</v>
      </c>
      <c r="U13" s="275"/>
      <c r="V13" s="212">
        <f t="shared" si="6"/>
        <v>8.5557977870099958E-3</v>
      </c>
      <c r="W13" s="141">
        <f>'[3]Savings-BigInstances'!CA9</f>
        <v>12448.4828471166</v>
      </c>
      <c r="X13" s="213">
        <f t="shared" si="7"/>
        <v>3.4579119019768334</v>
      </c>
    </row>
    <row r="14" spans="1:24" ht="15" thickBot="1" x14ac:dyDescent="0.35">
      <c r="A14" s="3" t="s">
        <v>444</v>
      </c>
      <c r="B14" s="229">
        <v>200</v>
      </c>
      <c r="C14" s="230">
        <v>16</v>
      </c>
      <c r="D14" s="230">
        <v>200</v>
      </c>
      <c r="E14" s="231">
        <v>1291.29</v>
      </c>
      <c r="F14" s="231">
        <f>'[3]Savings-BigInstances'!CC6</f>
        <v>43</v>
      </c>
      <c r="G14" s="232">
        <v>45.915683595041898</v>
      </c>
      <c r="H14" s="233">
        <f>'[3]Savings-BigInstances'!CC6</f>
        <v>43</v>
      </c>
      <c r="I14" s="234">
        <f>'[3]Savings-BigInstances'!CF9</f>
        <v>151.80000000000001</v>
      </c>
      <c r="J14" s="235">
        <f>'[3]Savings-BigInstances'!CG9</f>
        <v>15</v>
      </c>
      <c r="K14" s="235">
        <f>'[3]Savings-BigInstances'!CH9</f>
        <v>1098.9446463424583</v>
      </c>
      <c r="L14" s="236">
        <f>'[3]Savings-BigInstances'!CI9</f>
        <v>1190.776013532542</v>
      </c>
      <c r="M14" s="234">
        <f>'[3]Savings-BigInstances'!CJ9</f>
        <v>47.2</v>
      </c>
      <c r="N14" s="233">
        <v>91.831367190083796</v>
      </c>
      <c r="O14" s="236">
        <f>'[3]Savings-BigInstances'!CL9</f>
        <v>2</v>
      </c>
      <c r="P14" s="271">
        <f t="shared" si="0"/>
        <v>0.14895596934657718</v>
      </c>
      <c r="Q14" s="133">
        <f t="shared" si="8"/>
        <v>-7.1115990358543629E-2</v>
      </c>
      <c r="R14" s="270">
        <f>'[3]Savings-BigInstances'!CM9</f>
        <v>7.7839978988033603E-2</v>
      </c>
      <c r="S14" s="237">
        <f t="shared" si="3"/>
        <v>0.23718592964824123</v>
      </c>
      <c r="T14" s="275">
        <f t="shared" si="4"/>
        <v>192.34535365754164</v>
      </c>
      <c r="U14" s="275"/>
      <c r="V14" s="212">
        <f t="shared" si="6"/>
        <v>5.4883720930232558E-3</v>
      </c>
      <c r="W14" s="213">
        <f>'[3]Savings-BigInstances'!CN9</f>
        <v>10243.723854158001</v>
      </c>
      <c r="X14" s="213">
        <f t="shared" si="7"/>
        <v>2.8454788483772226</v>
      </c>
    </row>
    <row r="16" spans="1:24" x14ac:dyDescent="0.3">
      <c r="S16" s="238">
        <f>+S12/25</f>
        <v>8.266666666666667E-3</v>
      </c>
      <c r="T16" s="238"/>
      <c r="U16" s="238"/>
      <c r="V16" s="238"/>
    </row>
    <row r="17" spans="1:22" ht="15" thickBot="1" x14ac:dyDescent="0.35">
      <c r="S17" s="238">
        <f>+S13/30</f>
        <v>9.244444444444444E-3</v>
      </c>
      <c r="T17" s="238"/>
      <c r="U17" s="238"/>
      <c r="V17" s="238"/>
    </row>
    <row r="18" spans="1:22" ht="15" customHeight="1" thickBot="1" x14ac:dyDescent="0.35">
      <c r="B18" s="281" t="s">
        <v>18</v>
      </c>
      <c r="C18" s="282"/>
      <c r="D18" s="282"/>
      <c r="E18" s="283"/>
      <c r="F18" s="24"/>
      <c r="G18" s="24"/>
      <c r="H18" s="284" t="s">
        <v>432</v>
      </c>
      <c r="I18" s="3" t="s">
        <v>8</v>
      </c>
    </row>
    <row r="19" spans="1:22" ht="29.4" thickBot="1" x14ac:dyDescent="0.35">
      <c r="B19" s="8" t="s">
        <v>434</v>
      </c>
      <c r="C19" s="200" t="s">
        <v>75</v>
      </c>
      <c r="D19" s="200" t="s">
        <v>435</v>
      </c>
      <c r="E19" s="18" t="s">
        <v>436</v>
      </c>
      <c r="F19" s="201"/>
      <c r="G19" s="201"/>
      <c r="H19" s="285"/>
      <c r="I19" s="3" t="s">
        <v>12</v>
      </c>
      <c r="J19" s="3" t="s">
        <v>10</v>
      </c>
    </row>
    <row r="20" spans="1:22" x14ac:dyDescent="0.3">
      <c r="B20" s="202">
        <v>48</v>
      </c>
      <c r="C20" s="203">
        <v>7</v>
      </c>
      <c r="D20" s="203">
        <v>100</v>
      </c>
      <c r="E20" s="204">
        <v>1073</v>
      </c>
      <c r="F20" s="204"/>
      <c r="G20" s="204"/>
      <c r="H20" s="204">
        <f>H8</f>
        <v>11.2</v>
      </c>
      <c r="I20" s="121">
        <f>R8</f>
        <v>0.11671633753296393</v>
      </c>
      <c r="J20" s="238">
        <f>M8/(B20-1)</f>
        <v>0.25531914893617019</v>
      </c>
      <c r="K20" s="238"/>
    </row>
    <row r="21" spans="1:22" x14ac:dyDescent="0.3">
      <c r="B21" s="30">
        <v>64</v>
      </c>
      <c r="C21" s="31">
        <v>9</v>
      </c>
      <c r="D21" s="31">
        <v>100</v>
      </c>
      <c r="E21" s="34">
        <v>1401</v>
      </c>
      <c r="F21" s="34"/>
      <c r="G21" s="34"/>
      <c r="H21" s="34">
        <f>H9</f>
        <v>14.4</v>
      </c>
      <c r="I21" s="121">
        <f>R9</f>
        <v>0.11053834754926195</v>
      </c>
      <c r="J21" s="238">
        <f>M9/(B21-1)</f>
        <v>0.28253968253968254</v>
      </c>
      <c r="K21" s="238"/>
    </row>
    <row r="22" spans="1:22" x14ac:dyDescent="0.3">
      <c r="B22" s="220">
        <v>80</v>
      </c>
      <c r="C22" s="221">
        <v>10</v>
      </c>
      <c r="D22" s="221">
        <v>100</v>
      </c>
      <c r="E22" s="222">
        <v>1764</v>
      </c>
      <c r="F22" s="222"/>
      <c r="G22" s="222"/>
      <c r="H22" s="222">
        <f>H10</f>
        <v>18.399999999999999</v>
      </c>
      <c r="I22" s="121">
        <f>R10</f>
        <v>0.10148635568636867</v>
      </c>
      <c r="J22" s="238">
        <f>M10/(B22-1)</f>
        <v>0.29113924050632911</v>
      </c>
      <c r="K22" s="238"/>
    </row>
    <row r="23" spans="1:22" ht="15" thickBot="1" x14ac:dyDescent="0.35">
      <c r="B23" s="36">
        <v>101</v>
      </c>
      <c r="C23" s="37">
        <v>8</v>
      </c>
      <c r="D23" s="37">
        <v>200</v>
      </c>
      <c r="E23" s="40">
        <v>826.14</v>
      </c>
      <c r="F23" s="40"/>
      <c r="G23" s="40"/>
      <c r="H23" s="40">
        <f>H11</f>
        <v>21.8</v>
      </c>
      <c r="I23" s="121">
        <f>R11</f>
        <v>0.14427512430896167</v>
      </c>
      <c r="J23" s="238">
        <f>M11/(B23-1)</f>
        <v>0.29399999999999998</v>
      </c>
      <c r="K23" s="238"/>
    </row>
    <row r="24" spans="1:22" x14ac:dyDescent="0.3">
      <c r="B24" s="220"/>
      <c r="C24" s="221"/>
      <c r="D24" s="221"/>
      <c r="E24" s="222"/>
      <c r="F24" s="213"/>
      <c r="G24" s="213"/>
      <c r="H24" s="213"/>
    </row>
    <row r="25" spans="1:22" x14ac:dyDescent="0.3">
      <c r="B25" s="30"/>
      <c r="C25" s="31"/>
      <c r="D25" s="31"/>
      <c r="E25" s="34"/>
      <c r="F25" s="141"/>
      <c r="G25" s="141"/>
      <c r="H25" s="141"/>
    </row>
    <row r="26" spans="1:22" ht="15" thickBot="1" x14ac:dyDescent="0.35">
      <c r="B26" s="229"/>
      <c r="C26" s="230"/>
      <c r="D26" s="230"/>
      <c r="E26" s="231"/>
      <c r="F26" s="233"/>
      <c r="G26" s="233"/>
      <c r="H26" s="233"/>
    </row>
    <row r="29" spans="1:22" ht="15" thickBot="1" x14ac:dyDescent="0.35"/>
    <row r="30" spans="1:22" ht="29.4" thickBot="1" x14ac:dyDescent="0.35">
      <c r="A30" s="3" t="s">
        <v>18</v>
      </c>
      <c r="B30" s="3" t="s">
        <v>445</v>
      </c>
      <c r="C30" s="239" t="s">
        <v>446</v>
      </c>
      <c r="D30" s="239" t="s">
        <v>447</v>
      </c>
      <c r="E30" s="240" t="s">
        <v>447</v>
      </c>
      <c r="F30" s="241"/>
      <c r="G30" s="242" t="s">
        <v>448</v>
      </c>
    </row>
    <row r="31" spans="1:22" ht="29.4" thickBot="1" x14ac:dyDescent="0.35">
      <c r="A31" s="3" t="s">
        <v>449</v>
      </c>
      <c r="B31" s="8" t="s">
        <v>434</v>
      </c>
      <c r="C31" s="200" t="s">
        <v>450</v>
      </c>
      <c r="D31" s="200" t="s">
        <v>435</v>
      </c>
      <c r="E31" s="18" t="s">
        <v>451</v>
      </c>
      <c r="F31" s="243"/>
      <c r="G31" s="242" t="s">
        <v>452</v>
      </c>
    </row>
    <row r="32" spans="1:22" x14ac:dyDescent="0.3">
      <c r="A32" s="3" t="s">
        <v>438</v>
      </c>
      <c r="B32" s="202">
        <v>48</v>
      </c>
      <c r="C32" s="203">
        <v>7</v>
      </c>
      <c r="D32" s="203">
        <v>100</v>
      </c>
      <c r="E32" s="204">
        <v>1073</v>
      </c>
      <c r="F32" s="204"/>
      <c r="G32" s="205">
        <v>59.816385714952702</v>
      </c>
    </row>
    <row r="33" spans="1:7" x14ac:dyDescent="0.3">
      <c r="A33" s="3" t="s">
        <v>439</v>
      </c>
      <c r="B33" s="30">
        <v>64</v>
      </c>
      <c r="C33" s="31">
        <v>9</v>
      </c>
      <c r="D33" s="31">
        <v>100</v>
      </c>
      <c r="E33" s="34">
        <v>1401</v>
      </c>
      <c r="F33" s="34"/>
      <c r="G33" s="214">
        <v>58.796258384356399</v>
      </c>
    </row>
    <row r="34" spans="1:7" x14ac:dyDescent="0.3">
      <c r="A34" s="3" t="s">
        <v>440</v>
      </c>
      <c r="B34" s="220">
        <v>80</v>
      </c>
      <c r="C34" s="221">
        <v>10</v>
      </c>
      <c r="D34" s="221">
        <v>100</v>
      </c>
      <c r="E34" s="222">
        <v>1764</v>
      </c>
      <c r="F34" s="222"/>
      <c r="G34" s="223">
        <v>68.943817706883607</v>
      </c>
    </row>
    <row r="35" spans="1:7" x14ac:dyDescent="0.3">
      <c r="A35" s="3" t="s">
        <v>441</v>
      </c>
      <c r="B35" s="30">
        <v>101</v>
      </c>
      <c r="C35" s="31">
        <v>8</v>
      </c>
      <c r="D35" s="31">
        <v>200</v>
      </c>
      <c r="E35" s="34">
        <v>826.14</v>
      </c>
      <c r="F35" s="34"/>
      <c r="G35" s="214">
        <v>45.915683595041898</v>
      </c>
    </row>
    <row r="36" spans="1:7" x14ac:dyDescent="0.3">
      <c r="A36" s="3" t="s">
        <v>442</v>
      </c>
      <c r="B36" s="220">
        <v>121</v>
      </c>
      <c r="C36" s="221">
        <v>7</v>
      </c>
      <c r="D36" s="221">
        <v>200</v>
      </c>
      <c r="E36" s="222">
        <v>1042.1099999999999</v>
      </c>
      <c r="F36" s="222"/>
      <c r="G36" s="223">
        <v>57.489129407219203</v>
      </c>
    </row>
    <row r="37" spans="1:7" x14ac:dyDescent="0.3">
      <c r="A37" s="3" t="s">
        <v>443</v>
      </c>
      <c r="B37" s="30">
        <v>151</v>
      </c>
      <c r="C37" s="31">
        <v>12</v>
      </c>
      <c r="D37" s="31">
        <v>200</v>
      </c>
      <c r="E37" s="34">
        <v>1028.42</v>
      </c>
      <c r="F37" s="34"/>
      <c r="G37" s="214">
        <v>45.915683595041898</v>
      </c>
    </row>
    <row r="38" spans="1:7" ht="15" thickBot="1" x14ac:dyDescent="0.35">
      <c r="A38" s="3" t="s">
        <v>444</v>
      </c>
      <c r="B38" s="229">
        <v>200</v>
      </c>
      <c r="C38" s="230">
        <v>16</v>
      </c>
      <c r="D38" s="230">
        <v>200</v>
      </c>
      <c r="E38" s="231">
        <v>1291.29</v>
      </c>
      <c r="F38" s="231"/>
      <c r="G38" s="232">
        <v>45.915683595041898</v>
      </c>
    </row>
  </sheetData>
  <mergeCells count="9">
    <mergeCell ref="B18:E18"/>
    <mergeCell ref="H18:H19"/>
    <mergeCell ref="B4:S4"/>
    <mergeCell ref="B5:E5"/>
    <mergeCell ref="G5:G6"/>
    <mergeCell ref="H5:H6"/>
    <mergeCell ref="I5:L5"/>
    <mergeCell ref="M5:O5"/>
    <mergeCell ref="P5:S5"/>
  </mergeCells>
  <conditionalFormatting sqref="L8">
    <cfRule type="expression" dxfId="3" priority="4">
      <formula>L8=MIN($E$13:$E$15)</formula>
    </cfRule>
  </conditionalFormatting>
  <conditionalFormatting sqref="L9">
    <cfRule type="expression" dxfId="2" priority="3">
      <formula>L9=MIN($E$13:$E$15)</formula>
    </cfRule>
  </conditionalFormatting>
  <conditionalFormatting sqref="L10">
    <cfRule type="expression" dxfId="1" priority="2">
      <formula>L10=MIN($E$13:$E$15)</formula>
    </cfRule>
  </conditionalFormatting>
  <conditionalFormatting sqref="L7">
    <cfRule type="expression" dxfId="0" priority="1">
      <formula>L7=MIN($E$13:$E$15)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90" zoomScaleNormal="90" workbookViewId="0">
      <selection activeCell="F25" sqref="F25"/>
    </sheetView>
  </sheetViews>
  <sheetFormatPr defaultRowHeight="14.4" x14ac:dyDescent="0.3"/>
  <cols>
    <col min="1" max="11" width="8.88671875" style="146"/>
    <col min="12" max="12" width="7.6640625" style="146" customWidth="1"/>
    <col min="13" max="16384" width="8.88671875" style="146"/>
  </cols>
  <sheetData>
    <row r="1" spans="1:11" ht="15" thickBot="1" x14ac:dyDescent="0.35">
      <c r="A1" s="146" t="s">
        <v>62</v>
      </c>
      <c r="B1" s="157"/>
      <c r="C1" s="146" t="s">
        <v>64</v>
      </c>
      <c r="D1" s="147">
        <v>0.3</v>
      </c>
      <c r="E1" s="146" t="s">
        <v>65</v>
      </c>
      <c r="F1" s="146">
        <v>5</v>
      </c>
    </row>
    <row r="2" spans="1:11" ht="15" thickBot="1" x14ac:dyDescent="0.35">
      <c r="A2" s="146" t="s">
        <v>63</v>
      </c>
      <c r="B2" s="278" t="s">
        <v>0</v>
      </c>
      <c r="C2" s="290"/>
      <c r="D2" s="8">
        <v>31</v>
      </c>
      <c r="E2" s="9">
        <v>5</v>
      </c>
      <c r="F2" s="9"/>
      <c r="G2" s="10">
        <v>784</v>
      </c>
    </row>
    <row r="3" spans="1:11" ht="15" thickBot="1" x14ac:dyDescent="0.35">
      <c r="D3" s="146" t="s">
        <v>64</v>
      </c>
      <c r="E3" s="147">
        <v>0.3</v>
      </c>
      <c r="F3" s="146" t="s">
        <v>65</v>
      </c>
      <c r="G3" s="146">
        <v>5</v>
      </c>
    </row>
    <row r="4" spans="1:11" x14ac:dyDescent="0.3">
      <c r="C4" s="276" t="s">
        <v>6</v>
      </c>
      <c r="D4" s="279"/>
      <c r="E4" s="279"/>
      <c r="F4" s="277"/>
      <c r="G4" s="276" t="s">
        <v>7</v>
      </c>
      <c r="H4" s="279"/>
      <c r="I4" s="277"/>
      <c r="J4" s="276" t="s">
        <v>8</v>
      </c>
      <c r="K4" s="277"/>
    </row>
    <row r="5" spans="1:11" x14ac:dyDescent="0.3">
      <c r="B5" s="148" t="s">
        <v>63</v>
      </c>
      <c r="C5" s="119" t="s">
        <v>10</v>
      </c>
      <c r="D5" s="119" t="s">
        <v>11</v>
      </c>
      <c r="E5" s="119"/>
      <c r="F5" s="119" t="s">
        <v>12</v>
      </c>
      <c r="G5" s="119" t="s">
        <v>10</v>
      </c>
      <c r="H5" s="119"/>
      <c r="I5" s="119" t="s">
        <v>11</v>
      </c>
      <c r="J5" s="119" t="s">
        <v>12</v>
      </c>
      <c r="K5" s="115" t="s">
        <v>66</v>
      </c>
    </row>
    <row r="6" spans="1:11" x14ac:dyDescent="0.3">
      <c r="B6" s="148">
        <v>0</v>
      </c>
      <c r="C6" s="149">
        <f>$D$2-G6</f>
        <v>20</v>
      </c>
      <c r="D6" s="148">
        <v>4</v>
      </c>
      <c r="E6" s="148">
        <f>F6-H6</f>
        <v>658.34796050244802</v>
      </c>
      <c r="F6" s="148">
        <v>658.34796050244802</v>
      </c>
      <c r="G6" s="148">
        <v>11</v>
      </c>
      <c r="H6" s="148">
        <f t="shared" ref="H6:H11" si="0">64*I6*B6</f>
        <v>0</v>
      </c>
      <c r="I6" s="148">
        <v>1</v>
      </c>
      <c r="J6" s="150">
        <f>(F6-$G$2)/$G$2</f>
        <v>-0.1602704585427959</v>
      </c>
      <c r="K6" s="150">
        <f>G6/($D$2-1)</f>
        <v>0.36666666666666664</v>
      </c>
    </row>
    <row r="7" spans="1:11" x14ac:dyDescent="0.3">
      <c r="B7" s="148">
        <v>0.5</v>
      </c>
      <c r="C7" s="149">
        <f t="shared" ref="C7:C12" si="1">$D$2-G7</f>
        <v>20</v>
      </c>
      <c r="D7" s="148">
        <v>4</v>
      </c>
      <c r="E7" s="148">
        <f t="shared" ref="E7:E12" si="2">F7-H7</f>
        <v>658.34893705004697</v>
      </c>
      <c r="F7" s="148">
        <v>690.34893705004697</v>
      </c>
      <c r="G7" s="148">
        <v>11</v>
      </c>
      <c r="H7" s="148">
        <f t="shared" si="0"/>
        <v>32</v>
      </c>
      <c r="I7" s="148">
        <v>1</v>
      </c>
      <c r="J7" s="150">
        <f t="shared" ref="J7:J12" si="3">(F7-$G$2)/$G$2</f>
        <v>-0.11945288641575641</v>
      </c>
      <c r="K7" s="150">
        <f t="shared" ref="K7:K12" si="4">G7/($D$2-1)</f>
        <v>0.36666666666666664</v>
      </c>
    </row>
    <row r="8" spans="1:11" x14ac:dyDescent="0.3">
      <c r="B8" s="148">
        <v>1</v>
      </c>
      <c r="C8" s="149">
        <f t="shared" si="1"/>
        <v>20</v>
      </c>
      <c r="D8" s="148">
        <v>4</v>
      </c>
      <c r="E8" s="148">
        <f t="shared" si="2"/>
        <v>658.34991359764695</v>
      </c>
      <c r="F8" s="148">
        <v>722.34991359764695</v>
      </c>
      <c r="G8" s="148">
        <v>11</v>
      </c>
      <c r="H8" s="148">
        <f t="shared" si="0"/>
        <v>64</v>
      </c>
      <c r="I8" s="148">
        <v>1</v>
      </c>
      <c r="J8" s="150">
        <f t="shared" si="3"/>
        <v>-7.8635314288715633E-2</v>
      </c>
      <c r="K8" s="150">
        <f t="shared" si="4"/>
        <v>0.36666666666666664</v>
      </c>
    </row>
    <row r="9" spans="1:11" x14ac:dyDescent="0.3">
      <c r="B9" s="148">
        <v>1.5</v>
      </c>
      <c r="C9" s="149">
        <f t="shared" si="1"/>
        <v>20</v>
      </c>
      <c r="D9" s="148">
        <v>4</v>
      </c>
      <c r="E9" s="148">
        <f t="shared" si="2"/>
        <v>658.35089014524601</v>
      </c>
      <c r="F9" s="148">
        <v>754.35089014524601</v>
      </c>
      <c r="G9" s="148">
        <v>11</v>
      </c>
      <c r="H9" s="148">
        <f t="shared" si="0"/>
        <v>96</v>
      </c>
      <c r="I9" s="148">
        <v>1</v>
      </c>
      <c r="J9" s="150">
        <f>(F9-$G$2)/$G$2</f>
        <v>-3.7817742161676007E-2</v>
      </c>
      <c r="K9" s="150">
        <f t="shared" si="4"/>
        <v>0.36666666666666664</v>
      </c>
    </row>
    <row r="10" spans="1:11" x14ac:dyDescent="0.3">
      <c r="B10" s="148">
        <v>2</v>
      </c>
      <c r="C10" s="149">
        <f t="shared" si="1"/>
        <v>20</v>
      </c>
      <c r="D10" s="148">
        <v>4</v>
      </c>
      <c r="E10" s="148">
        <f t="shared" si="2"/>
        <v>784</v>
      </c>
      <c r="F10" s="148">
        <v>784</v>
      </c>
      <c r="G10" s="148">
        <v>11</v>
      </c>
      <c r="H10" s="148">
        <f t="shared" si="0"/>
        <v>0</v>
      </c>
      <c r="I10" s="148">
        <v>0</v>
      </c>
      <c r="J10" s="150">
        <f t="shared" si="3"/>
        <v>0</v>
      </c>
      <c r="K10" s="150">
        <f t="shared" si="4"/>
        <v>0.36666666666666664</v>
      </c>
    </row>
    <row r="11" spans="1:11" x14ac:dyDescent="0.3">
      <c r="B11" s="148">
        <v>2.5</v>
      </c>
      <c r="C11" s="149">
        <f t="shared" si="1"/>
        <v>20</v>
      </c>
      <c r="D11" s="148">
        <v>4</v>
      </c>
      <c r="E11" s="148">
        <f t="shared" si="2"/>
        <v>784</v>
      </c>
      <c r="F11" s="148">
        <v>784</v>
      </c>
      <c r="G11" s="148">
        <v>11</v>
      </c>
      <c r="H11" s="148">
        <f t="shared" si="0"/>
        <v>0</v>
      </c>
      <c r="I11" s="148"/>
      <c r="J11" s="150">
        <f t="shared" si="3"/>
        <v>0</v>
      </c>
      <c r="K11" s="150">
        <f t="shared" si="4"/>
        <v>0.36666666666666664</v>
      </c>
    </row>
    <row r="12" spans="1:11" x14ac:dyDescent="0.3">
      <c r="B12" s="148">
        <v>3</v>
      </c>
      <c r="C12" s="149">
        <f t="shared" si="1"/>
        <v>20</v>
      </c>
      <c r="D12" s="148">
        <v>4</v>
      </c>
      <c r="E12" s="148">
        <f t="shared" si="2"/>
        <v>0</v>
      </c>
      <c r="F12" s="148"/>
      <c r="G12" s="148">
        <v>11</v>
      </c>
      <c r="H12" s="148">
        <v>0</v>
      </c>
      <c r="I12" s="148"/>
      <c r="J12" s="150">
        <f t="shared" si="3"/>
        <v>-1</v>
      </c>
      <c r="K12" s="150">
        <f t="shared" si="4"/>
        <v>0.36666666666666664</v>
      </c>
    </row>
    <row r="13" spans="1:11" ht="15" thickBot="1" x14ac:dyDescent="0.35"/>
    <row r="14" spans="1:11" ht="15" thickBot="1" x14ac:dyDescent="0.35">
      <c r="A14" s="146" t="s">
        <v>67</v>
      </c>
      <c r="B14" s="278" t="s">
        <v>0</v>
      </c>
      <c r="C14" s="290"/>
      <c r="D14" s="8">
        <v>11</v>
      </c>
      <c r="E14" s="9">
        <v>2</v>
      </c>
      <c r="F14" s="9"/>
      <c r="G14" s="151">
        <v>227.26324450877999</v>
      </c>
    </row>
    <row r="15" spans="1:11" x14ac:dyDescent="0.3">
      <c r="C15" s="276" t="s">
        <v>6</v>
      </c>
      <c r="D15" s="279"/>
      <c r="E15" s="279"/>
      <c r="F15" s="277"/>
      <c r="G15" s="276" t="s">
        <v>7</v>
      </c>
      <c r="H15" s="279"/>
      <c r="I15" s="277"/>
      <c r="J15" s="276" t="s">
        <v>8</v>
      </c>
      <c r="K15" s="277"/>
    </row>
    <row r="16" spans="1:11" x14ac:dyDescent="0.3">
      <c r="A16" s="151"/>
      <c r="B16" s="148" t="s">
        <v>63</v>
      </c>
      <c r="C16" s="119" t="s">
        <v>10</v>
      </c>
      <c r="D16" s="119" t="s">
        <v>11</v>
      </c>
      <c r="E16" s="119"/>
      <c r="F16" s="119" t="s">
        <v>12</v>
      </c>
      <c r="G16" s="119" t="s">
        <v>10</v>
      </c>
      <c r="H16" s="119"/>
      <c r="I16" s="119" t="s">
        <v>11</v>
      </c>
      <c r="J16" s="119" t="s">
        <v>12</v>
      </c>
      <c r="K16" s="115" t="s">
        <v>66</v>
      </c>
    </row>
    <row r="17" spans="2:13" x14ac:dyDescent="0.3">
      <c r="B17" s="148">
        <v>0</v>
      </c>
      <c r="C17" s="149">
        <f>$D$14-G17</f>
        <v>3</v>
      </c>
      <c r="D17" s="148">
        <v>1</v>
      </c>
      <c r="E17" s="148">
        <f>F17-H17</f>
        <v>116.63955843607999</v>
      </c>
      <c r="F17" s="148">
        <v>116.63955843607999</v>
      </c>
      <c r="G17" s="148">
        <v>8</v>
      </c>
      <c r="H17" s="148">
        <f>20.8*I17*B17</f>
        <v>0</v>
      </c>
      <c r="I17" s="148">
        <v>1</v>
      </c>
      <c r="J17" s="150">
        <f>(F17-$G$14)/$G$14</f>
        <v>-0.48676452856161795</v>
      </c>
      <c r="K17" s="150">
        <f>G17/($D$2-1)</f>
        <v>0.26666666666666666</v>
      </c>
    </row>
    <row r="18" spans="2:13" x14ac:dyDescent="0.3">
      <c r="B18" s="148">
        <v>0.5</v>
      </c>
      <c r="C18" s="149">
        <f t="shared" ref="C18:C23" si="5">$D$14-G18</f>
        <v>3</v>
      </c>
      <c r="D18" s="148">
        <v>1</v>
      </c>
      <c r="E18" s="148">
        <f t="shared" ref="E18:E23" si="6">F18-H18</f>
        <v>116.63955843607999</v>
      </c>
      <c r="F18" s="148">
        <v>127.03955843608</v>
      </c>
      <c r="G18" s="148">
        <v>8</v>
      </c>
      <c r="H18" s="148">
        <f t="shared" ref="H18:H23" si="7">20.8*I18*B18</f>
        <v>10.4</v>
      </c>
      <c r="I18" s="148">
        <v>1</v>
      </c>
      <c r="J18" s="150">
        <f t="shared" ref="J18:J23" si="8">(F18-$G$14)/$G$14</f>
        <v>-0.44100261918432654</v>
      </c>
      <c r="K18" s="150">
        <f t="shared" ref="K18:K23" si="9">G18/($D$2-1)</f>
        <v>0.26666666666666666</v>
      </c>
    </row>
    <row r="19" spans="2:13" x14ac:dyDescent="0.3">
      <c r="B19" s="148">
        <v>1</v>
      </c>
      <c r="C19" s="149">
        <f t="shared" si="5"/>
        <v>3</v>
      </c>
      <c r="D19" s="148">
        <v>1</v>
      </c>
      <c r="E19" s="148">
        <f t="shared" si="6"/>
        <v>116.63955843608001</v>
      </c>
      <c r="F19" s="148">
        <v>137.43955843608001</v>
      </c>
      <c r="G19" s="148">
        <v>8</v>
      </c>
      <c r="H19" s="148">
        <f t="shared" si="7"/>
        <v>20.8</v>
      </c>
      <c r="I19" s="148">
        <v>1</v>
      </c>
      <c r="J19" s="150">
        <f t="shared" si="8"/>
        <v>-0.39524070980703513</v>
      </c>
      <c r="K19" s="150">
        <f t="shared" si="9"/>
        <v>0.26666666666666666</v>
      </c>
    </row>
    <row r="20" spans="2:13" x14ac:dyDescent="0.3">
      <c r="B20" s="148">
        <v>1.5</v>
      </c>
      <c r="C20" s="149">
        <f t="shared" si="5"/>
        <v>3</v>
      </c>
      <c r="D20" s="148">
        <v>1</v>
      </c>
      <c r="E20" s="148">
        <f t="shared" si="6"/>
        <v>116.63955843608001</v>
      </c>
      <c r="F20" s="148">
        <v>147.83955843608001</v>
      </c>
      <c r="G20" s="148">
        <v>8</v>
      </c>
      <c r="H20" s="148">
        <f t="shared" si="7"/>
        <v>31.200000000000003</v>
      </c>
      <c r="I20" s="148">
        <v>1</v>
      </c>
      <c r="J20" s="150">
        <f t="shared" si="8"/>
        <v>-0.34947880042974377</v>
      </c>
      <c r="K20" s="150">
        <f t="shared" si="9"/>
        <v>0.26666666666666666</v>
      </c>
    </row>
    <row r="21" spans="2:13" x14ac:dyDescent="0.3">
      <c r="B21" s="148">
        <v>2</v>
      </c>
      <c r="C21" s="149">
        <f t="shared" si="5"/>
        <v>3</v>
      </c>
      <c r="D21" s="148">
        <v>1</v>
      </c>
      <c r="E21" s="148">
        <f t="shared" si="6"/>
        <v>116.63955843607999</v>
      </c>
      <c r="F21" s="148">
        <v>158.23955843607999</v>
      </c>
      <c r="G21" s="148">
        <v>8</v>
      </c>
      <c r="H21" s="148">
        <f t="shared" si="7"/>
        <v>41.6</v>
      </c>
      <c r="I21" s="148">
        <v>1</v>
      </c>
      <c r="J21" s="150">
        <f t="shared" si="8"/>
        <v>-0.30371689105245248</v>
      </c>
      <c r="K21" s="150">
        <f t="shared" si="9"/>
        <v>0.26666666666666666</v>
      </c>
    </row>
    <row r="22" spans="2:13" x14ac:dyDescent="0.3">
      <c r="B22" s="148">
        <v>2.5</v>
      </c>
      <c r="C22" s="149">
        <f t="shared" si="5"/>
        <v>3</v>
      </c>
      <c r="D22" s="148">
        <v>1</v>
      </c>
      <c r="E22" s="148">
        <f t="shared" si="6"/>
        <v>116.63955843607999</v>
      </c>
      <c r="F22" s="148">
        <v>168.63955843607999</v>
      </c>
      <c r="G22" s="148">
        <v>8</v>
      </c>
      <c r="H22" s="148">
        <f t="shared" si="7"/>
        <v>52</v>
      </c>
      <c r="I22" s="148">
        <v>1</v>
      </c>
      <c r="J22" s="150">
        <f t="shared" si="8"/>
        <v>-0.25795498167516107</v>
      </c>
      <c r="K22" s="150">
        <f t="shared" si="9"/>
        <v>0.26666666666666666</v>
      </c>
    </row>
    <row r="23" spans="2:13" x14ac:dyDescent="0.3">
      <c r="B23" s="148">
        <v>3</v>
      </c>
      <c r="C23" s="149">
        <f t="shared" si="5"/>
        <v>3</v>
      </c>
      <c r="D23" s="148">
        <v>1</v>
      </c>
      <c r="E23" s="148">
        <f t="shared" si="6"/>
        <v>116.63955843607999</v>
      </c>
      <c r="F23" s="148">
        <v>179.03955843608</v>
      </c>
      <c r="G23" s="148">
        <v>8</v>
      </c>
      <c r="H23" s="148">
        <f t="shared" si="7"/>
        <v>62.400000000000006</v>
      </c>
      <c r="I23" s="148">
        <v>1</v>
      </c>
      <c r="J23" s="150">
        <f t="shared" si="8"/>
        <v>-0.21219307229786968</v>
      </c>
      <c r="K23" s="150">
        <f t="shared" si="9"/>
        <v>0.26666666666666666</v>
      </c>
    </row>
    <row r="24" spans="2:13" x14ac:dyDescent="0.3">
      <c r="B24" s="152"/>
      <c r="C24" s="153"/>
      <c r="D24" s="152"/>
      <c r="E24" s="152"/>
      <c r="F24" s="152"/>
      <c r="G24" s="152"/>
      <c r="H24" s="152"/>
      <c r="I24" s="152"/>
      <c r="J24" s="154"/>
      <c r="K24" s="154"/>
    </row>
    <row r="25" spans="2:13" ht="15" thickBot="1" x14ac:dyDescent="0.35">
      <c r="C25" s="146" t="s">
        <v>64</v>
      </c>
      <c r="D25" s="147">
        <v>0.3</v>
      </c>
      <c r="E25" s="146" t="s">
        <v>65</v>
      </c>
      <c r="F25" s="146">
        <v>2.5</v>
      </c>
    </row>
    <row r="26" spans="2:13" x14ac:dyDescent="0.3">
      <c r="B26" s="148" t="s">
        <v>63</v>
      </c>
      <c r="C26" s="287" t="s">
        <v>6</v>
      </c>
      <c r="D26" s="288"/>
      <c r="E26" s="288"/>
      <c r="F26" s="289"/>
      <c r="G26" s="287" t="s">
        <v>7</v>
      </c>
      <c r="H26" s="288"/>
      <c r="I26" s="289"/>
      <c r="J26" s="287" t="s">
        <v>8</v>
      </c>
      <c r="K26" s="289"/>
    </row>
    <row r="27" spans="2:13" x14ac:dyDescent="0.3">
      <c r="B27" s="148" t="s">
        <v>63</v>
      </c>
      <c r="C27" s="119" t="s">
        <v>10</v>
      </c>
      <c r="D27" s="119" t="s">
        <v>11</v>
      </c>
      <c r="E27" s="119"/>
      <c r="F27" s="119" t="s">
        <v>12</v>
      </c>
      <c r="G27" s="119" t="s">
        <v>10</v>
      </c>
      <c r="H27" s="119"/>
      <c r="I27" s="119" t="s">
        <v>11</v>
      </c>
      <c r="J27" s="119" t="s">
        <v>12</v>
      </c>
      <c r="K27" s="115" t="s">
        <v>66</v>
      </c>
    </row>
    <row r="28" spans="2:13" x14ac:dyDescent="0.3">
      <c r="B28" s="148">
        <v>0</v>
      </c>
      <c r="C28" s="149">
        <f>$D$2-G28</f>
        <v>13</v>
      </c>
      <c r="D28" s="148">
        <v>2</v>
      </c>
      <c r="E28" s="148">
        <f>F28-H28</f>
        <v>431.61232263861501</v>
      </c>
      <c r="F28" s="148">
        <v>431.61232263861501</v>
      </c>
      <c r="G28" s="148">
        <v>18</v>
      </c>
      <c r="H28" s="148">
        <f t="shared" ref="H28:H33" si="10">64*I28*B28</f>
        <v>0</v>
      </c>
      <c r="I28" s="148">
        <v>3</v>
      </c>
      <c r="J28" s="150">
        <f t="shared" ref="J28:J34" si="11">(F28-$G$2)/$G$2</f>
        <v>-0.4494740782670727</v>
      </c>
      <c r="K28" s="150">
        <f>G28/($D$2-1)</f>
        <v>0.6</v>
      </c>
      <c r="L28" s="155">
        <f>+E28/$F$34</f>
        <v>0.55052592173292736</v>
      </c>
      <c r="M28" s="156">
        <f>+H28/$F$34</f>
        <v>0</v>
      </c>
    </row>
    <row r="29" spans="2:13" x14ac:dyDescent="0.3">
      <c r="B29" s="148">
        <v>0.5</v>
      </c>
      <c r="C29" s="149">
        <f t="shared" ref="C29:C34" si="12">$D$2-G29</f>
        <v>14</v>
      </c>
      <c r="D29" s="148">
        <v>3</v>
      </c>
      <c r="E29" s="148">
        <f t="shared" ref="E29:E34" si="13">F29-H29</f>
        <v>459.78960503288704</v>
      </c>
      <c r="F29" s="148">
        <v>523.78960503288704</v>
      </c>
      <c r="G29" s="148">
        <v>17</v>
      </c>
      <c r="H29" s="148">
        <f t="shared" si="10"/>
        <v>64</v>
      </c>
      <c r="I29" s="148">
        <v>2</v>
      </c>
      <c r="J29" s="150">
        <f t="shared" si="11"/>
        <v>-0.33190101398866451</v>
      </c>
      <c r="K29" s="150">
        <f t="shared" ref="K29:K34" si="14">G29/($D$2-1)</f>
        <v>0.56666666666666665</v>
      </c>
      <c r="L29" s="155">
        <f t="shared" ref="L29:L34" si="15">+E29/$F$34</f>
        <v>0.58646633295011097</v>
      </c>
      <c r="M29" s="156">
        <f t="shared" ref="M29:M34" si="16">+H29/$F$34</f>
        <v>8.1632653061224483E-2</v>
      </c>
    </row>
    <row r="30" spans="2:13" x14ac:dyDescent="0.3">
      <c r="B30" s="148">
        <v>1</v>
      </c>
      <c r="C30" s="149">
        <f t="shared" si="12"/>
        <v>14</v>
      </c>
      <c r="D30" s="148">
        <v>3</v>
      </c>
      <c r="E30" s="148">
        <f t="shared" si="13"/>
        <v>459.79155812808494</v>
      </c>
      <c r="F30" s="148">
        <v>587.79155812808494</v>
      </c>
      <c r="G30" s="148">
        <v>17</v>
      </c>
      <c r="H30" s="148">
        <f t="shared" si="10"/>
        <v>128</v>
      </c>
      <c r="I30" s="148">
        <v>2</v>
      </c>
      <c r="J30" s="150">
        <f t="shared" si="11"/>
        <v>-0.25026586973458553</v>
      </c>
      <c r="K30" s="150">
        <f t="shared" si="14"/>
        <v>0.56666666666666665</v>
      </c>
      <c r="L30" s="155">
        <f t="shared" si="15"/>
        <v>0.58646882414296553</v>
      </c>
      <c r="M30" s="156">
        <f t="shared" si="16"/>
        <v>0.16326530612244897</v>
      </c>
    </row>
    <row r="31" spans="2:13" x14ac:dyDescent="0.3">
      <c r="B31" s="148">
        <v>1.5</v>
      </c>
      <c r="C31" s="149">
        <f t="shared" si="12"/>
        <v>14</v>
      </c>
      <c r="D31" s="148">
        <v>3</v>
      </c>
      <c r="E31" s="148">
        <f t="shared" si="13"/>
        <v>459.79351122328399</v>
      </c>
      <c r="F31" s="148">
        <v>651.79351122328399</v>
      </c>
      <c r="G31" s="148">
        <v>17</v>
      </c>
      <c r="H31" s="148">
        <f t="shared" si="10"/>
        <v>192</v>
      </c>
      <c r="I31" s="148">
        <v>2</v>
      </c>
      <c r="J31" s="150">
        <f t="shared" si="11"/>
        <v>-0.16863072548050512</v>
      </c>
      <c r="K31" s="150">
        <f t="shared" si="14"/>
        <v>0.56666666666666665</v>
      </c>
      <c r="L31" s="155">
        <f t="shared" si="15"/>
        <v>0.58647131533582142</v>
      </c>
      <c r="M31" s="156">
        <f t="shared" si="16"/>
        <v>0.24489795918367346</v>
      </c>
    </row>
    <row r="32" spans="2:13" x14ac:dyDescent="0.3">
      <c r="B32" s="148">
        <v>2</v>
      </c>
      <c r="C32" s="149">
        <f t="shared" si="12"/>
        <v>14</v>
      </c>
      <c r="D32" s="148">
        <v>3</v>
      </c>
      <c r="E32" s="148">
        <f t="shared" si="13"/>
        <v>459.79546431848303</v>
      </c>
      <c r="F32" s="148">
        <v>715.79546431848303</v>
      </c>
      <c r="G32" s="148">
        <v>17</v>
      </c>
      <c r="H32" s="148">
        <f t="shared" si="10"/>
        <v>256</v>
      </c>
      <c r="I32" s="148">
        <v>2</v>
      </c>
      <c r="J32" s="150">
        <f t="shared" si="11"/>
        <v>-8.6995581226424715E-2</v>
      </c>
      <c r="K32" s="150">
        <f t="shared" si="14"/>
        <v>0.56666666666666665</v>
      </c>
      <c r="L32" s="155">
        <f t="shared" si="15"/>
        <v>0.58647380652867731</v>
      </c>
      <c r="M32" s="156">
        <f t="shared" si="16"/>
        <v>0.32653061224489793</v>
      </c>
    </row>
    <row r="33" spans="2:13" x14ac:dyDescent="0.3">
      <c r="B33" s="148">
        <v>2.5</v>
      </c>
      <c r="C33" s="149">
        <f t="shared" si="12"/>
        <v>20</v>
      </c>
      <c r="D33" s="148">
        <v>4</v>
      </c>
      <c r="E33" s="148">
        <f t="shared" si="13"/>
        <v>601.76671257314104</v>
      </c>
      <c r="F33" s="148">
        <v>761.76671257314104</v>
      </c>
      <c r="G33" s="148">
        <v>11</v>
      </c>
      <c r="H33" s="148">
        <f t="shared" si="10"/>
        <v>160</v>
      </c>
      <c r="I33" s="148">
        <v>1</v>
      </c>
      <c r="J33" s="150">
        <f t="shared" si="11"/>
        <v>-2.8358784983238475E-2</v>
      </c>
      <c r="K33" s="150">
        <f t="shared" si="14"/>
        <v>0.36666666666666664</v>
      </c>
      <c r="L33" s="155">
        <f t="shared" si="15"/>
        <v>0.76755958236370025</v>
      </c>
      <c r="M33" s="156">
        <f t="shared" si="16"/>
        <v>0.20408163265306123</v>
      </c>
    </row>
    <row r="34" spans="2:13" x14ac:dyDescent="0.3">
      <c r="B34" s="148">
        <v>3</v>
      </c>
      <c r="C34" s="149">
        <f t="shared" si="12"/>
        <v>31</v>
      </c>
      <c r="D34" s="148">
        <v>4</v>
      </c>
      <c r="E34" s="148">
        <f t="shared" si="13"/>
        <v>784</v>
      </c>
      <c r="F34" s="148">
        <v>784</v>
      </c>
      <c r="G34" s="148">
        <v>0</v>
      </c>
      <c r="H34" s="148">
        <v>0</v>
      </c>
      <c r="I34" s="148">
        <v>0</v>
      </c>
      <c r="J34" s="150">
        <f t="shared" si="11"/>
        <v>0</v>
      </c>
      <c r="K34" s="150">
        <f t="shared" si="14"/>
        <v>0</v>
      </c>
      <c r="L34" s="155">
        <f t="shared" si="15"/>
        <v>1</v>
      </c>
      <c r="M34" s="156">
        <f t="shared" si="16"/>
        <v>0</v>
      </c>
    </row>
  </sheetData>
  <mergeCells count="11">
    <mergeCell ref="C26:F26"/>
    <mergeCell ref="G26:I26"/>
    <mergeCell ref="J26:K26"/>
    <mergeCell ref="B2:C2"/>
    <mergeCell ref="C4:F4"/>
    <mergeCell ref="G4:I4"/>
    <mergeCell ref="J4:K4"/>
    <mergeCell ref="B14:C14"/>
    <mergeCell ref="C15:F15"/>
    <mergeCell ref="G15:I15"/>
    <mergeCell ref="J15:K1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>
      <selection activeCell="K9" sqref="K9"/>
    </sheetView>
  </sheetViews>
  <sheetFormatPr defaultRowHeight="14.4" x14ac:dyDescent="0.3"/>
  <cols>
    <col min="1" max="16384" width="8.88671875" style="2"/>
  </cols>
  <sheetData>
    <row r="2" spans="2:14" ht="14.4" customHeight="1" x14ac:dyDescent="0.3">
      <c r="B2" s="294" t="s">
        <v>68</v>
      </c>
      <c r="C2" s="294" t="s">
        <v>69</v>
      </c>
      <c r="D2" s="294" t="s">
        <v>70</v>
      </c>
      <c r="E2" s="296" t="s">
        <v>71</v>
      </c>
      <c r="F2" s="296" t="s">
        <v>72</v>
      </c>
      <c r="G2" s="112" t="s">
        <v>73</v>
      </c>
      <c r="H2" s="114"/>
      <c r="I2" s="291" t="s">
        <v>74</v>
      </c>
      <c r="J2" s="292"/>
      <c r="K2" s="292"/>
      <c r="L2" s="293"/>
      <c r="M2" s="2" t="s">
        <v>8</v>
      </c>
    </row>
    <row r="3" spans="2:14" ht="28.8" x14ac:dyDescent="0.3">
      <c r="B3" s="295"/>
      <c r="C3" s="295"/>
      <c r="D3" s="295"/>
      <c r="E3" s="297"/>
      <c r="F3" s="297"/>
      <c r="G3" s="119" t="s">
        <v>12</v>
      </c>
      <c r="H3" s="115" t="s">
        <v>75</v>
      </c>
      <c r="I3" s="119" t="s">
        <v>12</v>
      </c>
      <c r="J3" s="115" t="s">
        <v>76</v>
      </c>
      <c r="K3" s="119" t="s">
        <v>77</v>
      </c>
      <c r="L3" s="115" t="s">
        <v>78</v>
      </c>
      <c r="M3" s="2" t="s">
        <v>12</v>
      </c>
      <c r="N3" s="2" t="s">
        <v>79</v>
      </c>
    </row>
    <row r="4" spans="2:14" x14ac:dyDescent="0.3">
      <c r="B4" s="119">
        <v>1</v>
      </c>
      <c r="C4" s="119" t="s">
        <v>80</v>
      </c>
      <c r="D4" s="119" t="s">
        <v>81</v>
      </c>
      <c r="E4" s="119">
        <v>11</v>
      </c>
      <c r="F4" s="158">
        <v>10.4</v>
      </c>
      <c r="G4" s="158">
        <v>227.26324450877999</v>
      </c>
      <c r="H4" s="158">
        <v>2</v>
      </c>
      <c r="I4" s="158">
        <v>137.43955843608001</v>
      </c>
      <c r="J4" s="158">
        <v>8</v>
      </c>
      <c r="K4" s="158">
        <v>1</v>
      </c>
      <c r="L4" s="158">
        <v>1</v>
      </c>
      <c r="M4" s="159">
        <f>MAX(((G4-I4)/G4),0)</f>
        <v>0.39524070980703513</v>
      </c>
      <c r="N4" s="160">
        <f>J4/E4</f>
        <v>0.72727272727272729</v>
      </c>
    </row>
    <row r="5" spans="2:14" x14ac:dyDescent="0.3">
      <c r="B5" s="119">
        <v>2</v>
      </c>
      <c r="C5" s="119" t="s">
        <v>80</v>
      </c>
      <c r="D5" s="119" t="s">
        <v>81</v>
      </c>
      <c r="E5" s="119">
        <v>11</v>
      </c>
      <c r="F5" s="158">
        <v>10.4</v>
      </c>
      <c r="G5" s="119">
        <v>220.231971414745</v>
      </c>
      <c r="H5" s="119">
        <v>2</v>
      </c>
      <c r="I5" s="119">
        <v>142.53128216837499</v>
      </c>
      <c r="J5" s="119">
        <v>8</v>
      </c>
      <c r="K5" s="119">
        <v>1</v>
      </c>
      <c r="L5" s="119">
        <v>1</v>
      </c>
      <c r="M5" s="159">
        <f t="shared" ref="M5:M29" si="0">MAX(((G5-I5)/G5),0)</f>
        <v>0.35281293968005495</v>
      </c>
      <c r="N5" s="160">
        <f t="shared" ref="N5:N29" si="1">J5/E5</f>
        <v>0.72727272727272729</v>
      </c>
    </row>
    <row r="6" spans="2:14" x14ac:dyDescent="0.3">
      <c r="B6" s="119">
        <v>3</v>
      </c>
      <c r="C6" s="119" t="s">
        <v>80</v>
      </c>
      <c r="D6" s="119" t="s">
        <v>81</v>
      </c>
      <c r="E6" s="119">
        <v>11</v>
      </c>
      <c r="F6" s="158">
        <v>10.4</v>
      </c>
      <c r="G6" s="119">
        <v>220.231971414745</v>
      </c>
      <c r="H6" s="119">
        <v>2</v>
      </c>
      <c r="I6" s="119">
        <v>198.353936186082</v>
      </c>
      <c r="J6" s="119">
        <v>5</v>
      </c>
      <c r="K6" s="119">
        <v>2</v>
      </c>
      <c r="L6" s="119">
        <v>1</v>
      </c>
      <c r="M6" s="159">
        <f t="shared" si="0"/>
        <v>9.9340868122466564E-2</v>
      </c>
      <c r="N6" s="160">
        <f t="shared" si="1"/>
        <v>0.45454545454545453</v>
      </c>
    </row>
    <row r="7" spans="2:14" x14ac:dyDescent="0.3">
      <c r="B7" s="119">
        <v>4</v>
      </c>
      <c r="C7" s="119" t="s">
        <v>80</v>
      </c>
      <c r="D7" s="119" t="s">
        <v>81</v>
      </c>
      <c r="E7" s="119">
        <v>11</v>
      </c>
      <c r="F7" s="158">
        <v>10.4</v>
      </c>
      <c r="G7" s="119">
        <v>215.05934131699399</v>
      </c>
      <c r="H7" s="119">
        <v>2</v>
      </c>
      <c r="I7" s="119">
        <v>119.57162123123</v>
      </c>
      <c r="J7" s="119">
        <v>8</v>
      </c>
      <c r="K7" s="119">
        <v>1</v>
      </c>
      <c r="L7" s="119">
        <v>1</v>
      </c>
      <c r="M7" s="159">
        <f t="shared" si="0"/>
        <v>0.44400638215020216</v>
      </c>
      <c r="N7" s="160">
        <f t="shared" si="1"/>
        <v>0.72727272727272729</v>
      </c>
    </row>
    <row r="8" spans="2:14" x14ac:dyDescent="0.3">
      <c r="B8" s="119">
        <v>5</v>
      </c>
      <c r="C8" s="119" t="s">
        <v>80</v>
      </c>
      <c r="D8" s="119" t="s">
        <v>81</v>
      </c>
      <c r="E8" s="119">
        <v>11</v>
      </c>
      <c r="F8" s="158">
        <v>10.4</v>
      </c>
      <c r="G8" s="119">
        <v>220.231971414745</v>
      </c>
      <c r="H8" s="119">
        <v>2</v>
      </c>
      <c r="I8" s="119">
        <v>152.36388142896899</v>
      </c>
      <c r="J8" s="119">
        <v>6</v>
      </c>
      <c r="K8" s="119">
        <v>1</v>
      </c>
      <c r="L8" s="119">
        <v>1</v>
      </c>
      <c r="M8" s="159">
        <f t="shared" si="0"/>
        <v>0.30816638270001923</v>
      </c>
      <c r="N8" s="160">
        <f t="shared" si="1"/>
        <v>0.54545454545454541</v>
      </c>
    </row>
    <row r="9" spans="2:14" x14ac:dyDescent="0.3">
      <c r="B9" s="119">
        <v>6</v>
      </c>
      <c r="C9" s="119" t="s">
        <v>80</v>
      </c>
      <c r="D9" s="119" t="s">
        <v>81</v>
      </c>
      <c r="E9" s="119">
        <v>11</v>
      </c>
      <c r="F9" s="158">
        <v>10.4</v>
      </c>
      <c r="G9" s="119">
        <v>220.231971414745</v>
      </c>
      <c r="H9" s="119">
        <v>2</v>
      </c>
      <c r="I9" s="119">
        <v>150.509700212106</v>
      </c>
      <c r="J9" s="119">
        <v>7</v>
      </c>
      <c r="K9" s="119">
        <v>1</v>
      </c>
      <c r="L9" s="119">
        <v>1</v>
      </c>
      <c r="M9" s="159">
        <f t="shared" si="0"/>
        <v>0.31658560178502287</v>
      </c>
      <c r="N9" s="160">
        <f t="shared" si="1"/>
        <v>0.63636363636363635</v>
      </c>
    </row>
    <row r="10" spans="2:14" x14ac:dyDescent="0.3">
      <c r="B10" s="119">
        <v>7</v>
      </c>
      <c r="C10" s="119" t="s">
        <v>80</v>
      </c>
      <c r="D10" s="119" t="s">
        <v>81</v>
      </c>
      <c r="E10" s="119">
        <v>11</v>
      </c>
      <c r="F10" s="158">
        <v>10.4</v>
      </c>
      <c r="G10" s="119">
        <v>220.231971414745</v>
      </c>
      <c r="H10" s="119">
        <v>2</v>
      </c>
      <c r="I10" s="119">
        <v>192.78099042916</v>
      </c>
      <c r="J10" s="119">
        <v>6</v>
      </c>
      <c r="K10" s="119">
        <v>2</v>
      </c>
      <c r="L10" s="119">
        <v>1</v>
      </c>
      <c r="M10" s="159">
        <f t="shared" si="0"/>
        <v>0.12464575787631124</v>
      </c>
      <c r="N10" s="160">
        <f t="shared" si="1"/>
        <v>0.54545454545454541</v>
      </c>
    </row>
    <row r="11" spans="2:14" x14ac:dyDescent="0.3">
      <c r="B11" s="119">
        <v>8</v>
      </c>
      <c r="C11" s="119" t="s">
        <v>80</v>
      </c>
      <c r="D11" s="119" t="s">
        <v>81</v>
      </c>
      <c r="E11" s="119">
        <v>11</v>
      </c>
      <c r="F11" s="158">
        <v>10.4</v>
      </c>
      <c r="G11" s="119">
        <v>220.231971414745</v>
      </c>
      <c r="H11" s="119">
        <v>2</v>
      </c>
      <c r="I11" s="119">
        <v>65.866255895524006</v>
      </c>
      <c r="J11" s="119">
        <v>8</v>
      </c>
      <c r="K11" s="119">
        <v>1</v>
      </c>
      <c r="L11" s="119">
        <v>1</v>
      </c>
      <c r="M11" s="159">
        <f t="shared" si="0"/>
        <v>0.70092327888450201</v>
      </c>
      <c r="N11" s="160">
        <f t="shared" si="1"/>
        <v>0.72727272727272729</v>
      </c>
    </row>
    <row r="12" spans="2:14" x14ac:dyDescent="0.3">
      <c r="B12" s="119">
        <v>9</v>
      </c>
      <c r="C12" s="119" t="s">
        <v>80</v>
      </c>
      <c r="D12" s="119" t="s">
        <v>81</v>
      </c>
      <c r="E12" s="119">
        <v>11</v>
      </c>
      <c r="F12" s="158">
        <v>10.4</v>
      </c>
      <c r="G12" s="119">
        <v>220.231971414745</v>
      </c>
      <c r="H12" s="119">
        <v>2</v>
      </c>
      <c r="I12" s="119">
        <v>183.26585051983901</v>
      </c>
      <c r="J12" s="119">
        <v>4</v>
      </c>
      <c r="K12" s="119">
        <v>2</v>
      </c>
      <c r="L12" s="119">
        <v>1</v>
      </c>
      <c r="M12" s="159">
        <f t="shared" si="0"/>
        <v>0.16785083772097151</v>
      </c>
      <c r="N12" s="160">
        <f t="shared" si="1"/>
        <v>0.36363636363636365</v>
      </c>
    </row>
    <row r="13" spans="2:14" x14ac:dyDescent="0.3">
      <c r="B13" s="119">
        <v>10</v>
      </c>
      <c r="C13" s="119" t="s">
        <v>80</v>
      </c>
      <c r="D13" s="119" t="s">
        <v>81</v>
      </c>
      <c r="E13" s="119">
        <v>11</v>
      </c>
      <c r="F13" s="158">
        <v>10.4</v>
      </c>
      <c r="G13" s="119">
        <v>215.05934131699399</v>
      </c>
      <c r="H13" s="119">
        <v>2</v>
      </c>
      <c r="I13" s="119">
        <v>121.49660447500401</v>
      </c>
      <c r="J13" s="119">
        <v>7</v>
      </c>
      <c r="K13" s="119">
        <v>1</v>
      </c>
      <c r="L13" s="119">
        <v>1</v>
      </c>
      <c r="M13" s="159">
        <f t="shared" si="0"/>
        <v>0.4350554422282919</v>
      </c>
      <c r="N13" s="160">
        <f t="shared" si="1"/>
        <v>0.63636363636363635</v>
      </c>
    </row>
    <row r="14" spans="2:14" x14ac:dyDescent="0.3">
      <c r="B14" s="161">
        <v>11</v>
      </c>
      <c r="C14" s="161" t="s">
        <v>82</v>
      </c>
      <c r="D14" s="161" t="s">
        <v>83</v>
      </c>
      <c r="E14" s="161">
        <v>7</v>
      </c>
      <c r="F14" s="162">
        <v>38</v>
      </c>
      <c r="G14" s="161">
        <v>225.39874224480101</v>
      </c>
      <c r="H14" s="161">
        <v>2</v>
      </c>
      <c r="I14" s="161">
        <v>225.39874224480101</v>
      </c>
      <c r="J14" s="161">
        <v>0</v>
      </c>
      <c r="K14" s="161">
        <v>2</v>
      </c>
      <c r="L14" s="161">
        <v>0</v>
      </c>
      <c r="M14" s="159">
        <f t="shared" si="0"/>
        <v>0</v>
      </c>
      <c r="N14" s="160">
        <f t="shared" si="1"/>
        <v>0</v>
      </c>
    </row>
    <row r="15" spans="2:14" x14ac:dyDescent="0.3">
      <c r="B15" s="161">
        <v>12</v>
      </c>
      <c r="C15" s="161" t="s">
        <v>82</v>
      </c>
      <c r="D15" s="161" t="s">
        <v>83</v>
      </c>
      <c r="E15" s="161">
        <v>7</v>
      </c>
      <c r="F15" s="162">
        <v>38</v>
      </c>
      <c r="G15" s="161">
        <v>225.39874224480101</v>
      </c>
      <c r="H15" s="161">
        <v>2</v>
      </c>
      <c r="I15" s="161">
        <v>225.39874224480101</v>
      </c>
      <c r="J15" s="161">
        <v>0</v>
      </c>
      <c r="K15" s="161">
        <v>2</v>
      </c>
      <c r="L15" s="161">
        <v>0</v>
      </c>
      <c r="M15" s="159">
        <f t="shared" si="0"/>
        <v>0</v>
      </c>
      <c r="N15" s="160">
        <f t="shared" si="1"/>
        <v>0</v>
      </c>
    </row>
    <row r="16" spans="2:14" x14ac:dyDescent="0.3">
      <c r="B16" s="161">
        <v>13</v>
      </c>
      <c r="C16" s="161" t="s">
        <v>82</v>
      </c>
      <c r="D16" s="161" t="s">
        <v>83</v>
      </c>
      <c r="E16" s="161">
        <v>7</v>
      </c>
      <c r="F16" s="162">
        <v>38</v>
      </c>
      <c r="G16" s="161">
        <v>297.073698623582</v>
      </c>
      <c r="H16" s="161">
        <v>3</v>
      </c>
      <c r="I16" s="161">
        <v>297.073698623582</v>
      </c>
      <c r="J16" s="161">
        <v>0</v>
      </c>
      <c r="K16" s="161">
        <v>3</v>
      </c>
      <c r="L16" s="161">
        <v>0</v>
      </c>
      <c r="M16" s="159">
        <f t="shared" si="0"/>
        <v>0</v>
      </c>
      <c r="N16" s="160">
        <f t="shared" si="1"/>
        <v>0</v>
      </c>
    </row>
    <row r="17" spans="2:14" x14ac:dyDescent="0.3">
      <c r="B17" s="161">
        <v>14</v>
      </c>
      <c r="C17" s="161" t="s">
        <v>82</v>
      </c>
      <c r="D17" s="161" t="s">
        <v>83</v>
      </c>
      <c r="E17" s="161">
        <v>7</v>
      </c>
      <c r="F17" s="162">
        <v>38</v>
      </c>
      <c r="G17" s="161">
        <v>195.71641618177799</v>
      </c>
      <c r="H17" s="161">
        <v>2</v>
      </c>
      <c r="I17" s="161">
        <v>195.71641618177799</v>
      </c>
      <c r="J17" s="161">
        <v>0</v>
      </c>
      <c r="K17" s="161">
        <v>2</v>
      </c>
      <c r="L17" s="161">
        <v>0</v>
      </c>
      <c r="M17" s="159">
        <f t="shared" si="0"/>
        <v>0</v>
      </c>
      <c r="N17" s="160">
        <f t="shared" si="1"/>
        <v>0</v>
      </c>
    </row>
    <row r="18" spans="2:14" x14ac:dyDescent="0.3">
      <c r="B18" s="161">
        <v>15</v>
      </c>
      <c r="C18" s="161" t="s">
        <v>82</v>
      </c>
      <c r="D18" s="161" t="s">
        <v>83</v>
      </c>
      <c r="E18" s="161">
        <v>7</v>
      </c>
      <c r="F18" s="162">
        <v>38</v>
      </c>
      <c r="G18" s="161">
        <v>232.47140389527101</v>
      </c>
      <c r="H18" s="161">
        <v>2</v>
      </c>
      <c r="I18" s="161">
        <v>229.47292897587499</v>
      </c>
      <c r="J18" s="161">
        <v>4</v>
      </c>
      <c r="K18" s="161">
        <v>1</v>
      </c>
      <c r="L18" s="161">
        <v>1</v>
      </c>
      <c r="M18" s="163">
        <f t="shared" si="0"/>
        <v>1.289825272766382E-2</v>
      </c>
      <c r="N18" s="164">
        <f t="shared" si="1"/>
        <v>0.5714285714285714</v>
      </c>
    </row>
    <row r="19" spans="2:14" x14ac:dyDescent="0.3">
      <c r="B19" s="161">
        <v>16</v>
      </c>
      <c r="C19" s="161" t="s">
        <v>82</v>
      </c>
      <c r="D19" s="161" t="s">
        <v>83</v>
      </c>
      <c r="E19" s="161">
        <v>7</v>
      </c>
      <c r="F19" s="162">
        <v>38</v>
      </c>
      <c r="G19" s="161">
        <v>225.39874224480101</v>
      </c>
      <c r="H19" s="161">
        <v>2</v>
      </c>
      <c r="I19" s="161">
        <v>221.170243767979</v>
      </c>
      <c r="J19" s="161">
        <v>4</v>
      </c>
      <c r="K19" s="161">
        <v>1</v>
      </c>
      <c r="L19" s="161">
        <v>1</v>
      </c>
      <c r="M19" s="163">
        <f t="shared" si="0"/>
        <v>1.876008017928301E-2</v>
      </c>
      <c r="N19" s="164">
        <f t="shared" si="1"/>
        <v>0.5714285714285714</v>
      </c>
    </row>
    <row r="20" spans="2:14" x14ac:dyDescent="0.3">
      <c r="B20" s="161">
        <v>17</v>
      </c>
      <c r="C20" s="161" t="s">
        <v>82</v>
      </c>
      <c r="D20" s="161" t="s">
        <v>83</v>
      </c>
      <c r="E20" s="161">
        <v>7</v>
      </c>
      <c r="F20" s="162">
        <v>38</v>
      </c>
      <c r="G20" s="161">
        <v>339.93994789440501</v>
      </c>
      <c r="H20" s="161">
        <v>3</v>
      </c>
      <c r="I20" s="161">
        <v>339.93994789440501</v>
      </c>
      <c r="J20" s="161">
        <v>0</v>
      </c>
      <c r="K20" s="161">
        <v>3</v>
      </c>
      <c r="L20" s="161">
        <v>0</v>
      </c>
      <c r="M20" s="159">
        <f t="shared" si="0"/>
        <v>0</v>
      </c>
      <c r="N20" s="160">
        <f t="shared" si="1"/>
        <v>0</v>
      </c>
    </row>
    <row r="21" spans="2:14" x14ac:dyDescent="0.3">
      <c r="B21" s="161">
        <v>18</v>
      </c>
      <c r="C21" s="161" t="s">
        <v>82</v>
      </c>
      <c r="D21" s="161" t="s">
        <v>83</v>
      </c>
      <c r="E21" s="161">
        <v>7</v>
      </c>
      <c r="F21" s="162">
        <v>38</v>
      </c>
      <c r="G21" s="161">
        <v>187.93731497503299</v>
      </c>
      <c r="H21" s="161">
        <v>1</v>
      </c>
      <c r="I21" s="161">
        <v>187.93731497503299</v>
      </c>
      <c r="J21" s="161">
        <v>0</v>
      </c>
      <c r="K21" s="161">
        <v>1</v>
      </c>
      <c r="L21" s="161">
        <v>0</v>
      </c>
      <c r="M21" s="159">
        <f t="shared" si="0"/>
        <v>0</v>
      </c>
      <c r="N21" s="160">
        <f t="shared" si="1"/>
        <v>0</v>
      </c>
    </row>
    <row r="22" spans="2:14" x14ac:dyDescent="0.3">
      <c r="B22" s="161">
        <v>19</v>
      </c>
      <c r="C22" s="161" t="s">
        <v>82</v>
      </c>
      <c r="D22" s="161" t="s">
        <v>83</v>
      </c>
      <c r="E22" s="161">
        <v>7</v>
      </c>
      <c r="F22" s="162">
        <v>38</v>
      </c>
      <c r="G22" s="161">
        <v>232.47140389527101</v>
      </c>
      <c r="H22" s="161">
        <v>2</v>
      </c>
      <c r="I22" s="161">
        <v>229.47292897587499</v>
      </c>
      <c r="J22" s="161">
        <v>4</v>
      </c>
      <c r="K22" s="161">
        <v>1</v>
      </c>
      <c r="L22" s="161">
        <v>1</v>
      </c>
      <c r="M22" s="163">
        <f t="shared" si="0"/>
        <v>1.289825272766382E-2</v>
      </c>
      <c r="N22" s="164">
        <f t="shared" si="1"/>
        <v>0.5714285714285714</v>
      </c>
    </row>
    <row r="23" spans="2:14" x14ac:dyDescent="0.3">
      <c r="B23" s="161">
        <v>20</v>
      </c>
      <c r="C23" s="161" t="s">
        <v>82</v>
      </c>
      <c r="D23" s="161" t="s">
        <v>83</v>
      </c>
      <c r="E23" s="161">
        <v>7</v>
      </c>
      <c r="F23" s="162">
        <v>38</v>
      </c>
      <c r="G23" s="161">
        <v>225.39874224480101</v>
      </c>
      <c r="H23" s="161">
        <v>2</v>
      </c>
      <c r="I23" s="161">
        <v>221.16158659387199</v>
      </c>
      <c r="J23" s="161">
        <v>5</v>
      </c>
      <c r="K23" s="161">
        <v>1</v>
      </c>
      <c r="L23" s="161">
        <v>1</v>
      </c>
      <c r="M23" s="163">
        <f t="shared" si="0"/>
        <v>1.8798488441994662E-2</v>
      </c>
      <c r="N23" s="164">
        <f t="shared" si="1"/>
        <v>0.7142857142857143</v>
      </c>
    </row>
    <row r="24" spans="2:14" x14ac:dyDescent="0.3">
      <c r="B24" s="161">
        <v>21</v>
      </c>
      <c r="C24" s="161" t="s">
        <v>82</v>
      </c>
      <c r="D24" s="161" t="s">
        <v>83</v>
      </c>
      <c r="E24" s="161">
        <v>7</v>
      </c>
      <c r="F24" s="162">
        <v>38</v>
      </c>
      <c r="G24" s="161">
        <v>347.012609544876</v>
      </c>
      <c r="H24" s="161">
        <v>3</v>
      </c>
      <c r="I24" s="161">
        <v>347.012609544876</v>
      </c>
      <c r="J24" s="161">
        <v>0</v>
      </c>
      <c r="K24" s="161">
        <v>3</v>
      </c>
      <c r="L24" s="161">
        <v>0</v>
      </c>
      <c r="M24" s="159">
        <f t="shared" si="0"/>
        <v>0</v>
      </c>
      <c r="N24" s="160">
        <f t="shared" si="1"/>
        <v>0</v>
      </c>
    </row>
    <row r="25" spans="2:14" x14ac:dyDescent="0.3">
      <c r="B25" s="161">
        <v>22</v>
      </c>
      <c r="C25" s="161" t="s">
        <v>82</v>
      </c>
      <c r="D25" s="161" t="s">
        <v>83</v>
      </c>
      <c r="E25" s="161">
        <v>7</v>
      </c>
      <c r="F25" s="162">
        <v>38</v>
      </c>
      <c r="G25" s="161">
        <v>187.93731497503299</v>
      </c>
      <c r="H25" s="161">
        <v>1</v>
      </c>
      <c r="I25" s="161">
        <v>187.93731497503299</v>
      </c>
      <c r="J25" s="161">
        <v>0</v>
      </c>
      <c r="K25" s="161">
        <v>1</v>
      </c>
      <c r="L25" s="161">
        <v>0</v>
      </c>
      <c r="M25" s="159">
        <f t="shared" si="0"/>
        <v>0</v>
      </c>
      <c r="N25" s="160">
        <f t="shared" si="1"/>
        <v>0</v>
      </c>
    </row>
    <row r="26" spans="2:14" x14ac:dyDescent="0.3">
      <c r="B26" s="161">
        <v>23</v>
      </c>
      <c r="C26" s="161" t="s">
        <v>82</v>
      </c>
      <c r="D26" s="161" t="s">
        <v>83</v>
      </c>
      <c r="E26" s="161">
        <v>7</v>
      </c>
      <c r="F26" s="162">
        <v>38</v>
      </c>
      <c r="G26" s="161">
        <v>232.47140389527101</v>
      </c>
      <c r="H26" s="161">
        <v>2</v>
      </c>
      <c r="I26" s="161">
        <v>232.02463332279899</v>
      </c>
      <c r="J26" s="161">
        <v>3</v>
      </c>
      <c r="K26" s="161">
        <v>1</v>
      </c>
      <c r="L26" s="161">
        <v>1</v>
      </c>
      <c r="M26" s="163">
        <f t="shared" si="0"/>
        <v>1.9218302336802265E-3</v>
      </c>
      <c r="N26" s="164">
        <f t="shared" si="1"/>
        <v>0.42857142857142855</v>
      </c>
    </row>
    <row r="27" spans="2:14" x14ac:dyDescent="0.3">
      <c r="B27" s="161">
        <v>24</v>
      </c>
      <c r="C27" s="161" t="s">
        <v>82</v>
      </c>
      <c r="D27" s="161" t="s">
        <v>83</v>
      </c>
      <c r="E27" s="161">
        <v>7</v>
      </c>
      <c r="F27" s="162">
        <v>38</v>
      </c>
      <c r="G27" s="161">
        <v>225.39874224480101</v>
      </c>
      <c r="H27" s="161">
        <v>2</v>
      </c>
      <c r="I27" s="161">
        <v>221.16158659387199</v>
      </c>
      <c r="J27" s="161">
        <v>5</v>
      </c>
      <c r="K27" s="161">
        <v>1</v>
      </c>
      <c r="L27" s="161">
        <v>1</v>
      </c>
      <c r="M27" s="163">
        <f t="shared" si="0"/>
        <v>1.8798488441994662E-2</v>
      </c>
      <c r="N27" s="164">
        <f t="shared" si="1"/>
        <v>0.7142857142857143</v>
      </c>
    </row>
    <row r="28" spans="2:14" x14ac:dyDescent="0.3">
      <c r="B28" s="161">
        <v>25</v>
      </c>
      <c r="C28" s="161" t="s">
        <v>82</v>
      </c>
      <c r="D28" s="161" t="s">
        <v>83</v>
      </c>
      <c r="E28" s="161">
        <v>7</v>
      </c>
      <c r="F28" s="162">
        <v>38</v>
      </c>
      <c r="G28" s="161">
        <v>347.012609544876</v>
      </c>
      <c r="H28" s="161">
        <v>3</v>
      </c>
      <c r="I28" s="161">
        <v>347.012609544876</v>
      </c>
      <c r="J28" s="161">
        <v>0</v>
      </c>
      <c r="K28" s="161">
        <v>3</v>
      </c>
      <c r="L28" s="161">
        <v>0</v>
      </c>
      <c r="M28" s="159">
        <f t="shared" si="0"/>
        <v>0</v>
      </c>
      <c r="N28" s="160">
        <f t="shared" si="1"/>
        <v>0</v>
      </c>
    </row>
    <row r="29" spans="2:14" x14ac:dyDescent="0.3">
      <c r="B29" s="161">
        <v>26</v>
      </c>
      <c r="C29" s="161" t="s">
        <v>82</v>
      </c>
      <c r="D29" s="161" t="s">
        <v>83</v>
      </c>
      <c r="E29" s="161">
        <v>7</v>
      </c>
      <c r="F29" s="162">
        <v>38</v>
      </c>
      <c r="G29" s="161">
        <v>187.93731497503299</v>
      </c>
      <c r="H29" s="161">
        <v>1</v>
      </c>
      <c r="I29" s="161">
        <v>187.93731497503299</v>
      </c>
      <c r="J29" s="161">
        <v>0</v>
      </c>
      <c r="K29" s="161">
        <v>1</v>
      </c>
      <c r="L29" s="161">
        <v>0</v>
      </c>
      <c r="M29" s="159">
        <f t="shared" si="0"/>
        <v>0</v>
      </c>
      <c r="N29" s="160">
        <f t="shared" si="1"/>
        <v>0</v>
      </c>
    </row>
  </sheetData>
  <mergeCells count="6">
    <mergeCell ref="I2:L2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9"/>
  <sheetViews>
    <sheetView zoomScaleNormal="100" workbookViewId="0">
      <selection activeCell="Y20" sqref="Y20"/>
    </sheetView>
  </sheetViews>
  <sheetFormatPr defaultRowHeight="14.4" x14ac:dyDescent="0.3"/>
  <cols>
    <col min="1" max="1" width="5.6640625" style="244" bestFit="1" customWidth="1"/>
    <col min="2" max="2" width="4.109375" style="244" bestFit="1" customWidth="1"/>
    <col min="3" max="3" width="8.33203125" style="244" customWidth="1"/>
    <col min="4" max="4" width="6.33203125" style="244" bestFit="1" customWidth="1"/>
    <col min="5" max="5" width="2.33203125" style="244" bestFit="1" customWidth="1"/>
    <col min="6" max="6" width="6.44140625" style="244" bestFit="1" customWidth="1"/>
    <col min="7" max="7" width="2.33203125" style="244" bestFit="1" customWidth="1"/>
    <col min="8" max="8" width="5.88671875" style="244" bestFit="1" customWidth="1"/>
    <col min="9" max="9" width="6.109375" style="244" bestFit="1" customWidth="1"/>
    <col min="10" max="10" width="12.88671875" style="244" bestFit="1" customWidth="1"/>
    <col min="11" max="11" width="8.33203125" style="244" bestFit="1" customWidth="1"/>
    <col min="12" max="12" width="3" style="244" bestFit="1" customWidth="1"/>
    <col min="13" max="13" width="9.77734375" style="244" bestFit="1" customWidth="1"/>
    <col min="14" max="14" width="6.44140625" style="244" bestFit="1" customWidth="1"/>
    <col min="15" max="15" width="5.77734375" style="244" bestFit="1" customWidth="1"/>
    <col min="16" max="16" width="7.77734375" style="244" bestFit="1" customWidth="1"/>
    <col min="17" max="17" width="1.5546875" style="244" bestFit="1" customWidth="1"/>
    <col min="18" max="18" width="8.21875" style="244" bestFit="1" customWidth="1"/>
    <col min="19" max="19" width="9.33203125" style="244" bestFit="1" customWidth="1"/>
    <col min="20" max="20" width="12" style="244" bestFit="1" customWidth="1"/>
    <col min="21" max="21" width="3" style="244" bestFit="1" customWidth="1"/>
    <col min="22" max="22" width="18.21875" style="244" bestFit="1" customWidth="1"/>
    <col min="23" max="23" width="7.77734375" style="244" bestFit="1" customWidth="1"/>
    <col min="24" max="24" width="5" style="248" bestFit="1" customWidth="1"/>
    <col min="25" max="25" width="12" style="248" bestFit="1" customWidth="1"/>
    <col min="26" max="26" width="7.109375" style="248" bestFit="1" customWidth="1"/>
    <col min="27" max="27" width="6.6640625" style="248" bestFit="1" customWidth="1"/>
    <col min="28" max="28" width="6.77734375" style="248" bestFit="1" customWidth="1"/>
    <col min="29" max="29" width="8.88671875" style="244"/>
    <col min="30" max="30" width="5.88671875" style="244" bestFit="1" customWidth="1"/>
    <col min="31" max="31" width="7.109375" style="244" bestFit="1" customWidth="1"/>
    <col min="32" max="32" width="7.33203125" style="244" bestFit="1" customWidth="1"/>
    <col min="33" max="33" width="7.21875" style="244" bestFit="1" customWidth="1"/>
    <col min="34" max="34" width="7" style="244" bestFit="1" customWidth="1"/>
    <col min="35" max="35" width="6.77734375" style="244" bestFit="1" customWidth="1"/>
    <col min="36" max="16384" width="8.88671875" style="244"/>
  </cols>
  <sheetData>
    <row r="1" spans="1:35" x14ac:dyDescent="0.3">
      <c r="C1" s="247" t="s">
        <v>69</v>
      </c>
      <c r="M1" s="244" t="s">
        <v>70</v>
      </c>
      <c r="Z1" s="248" t="s">
        <v>84</v>
      </c>
      <c r="AA1" s="248" t="s">
        <v>85</v>
      </c>
      <c r="AB1" s="248" t="s">
        <v>86</v>
      </c>
      <c r="AF1" s="248" t="s">
        <v>87</v>
      </c>
      <c r="AG1" s="248" t="s">
        <v>88</v>
      </c>
      <c r="AH1" s="248" t="s">
        <v>89</v>
      </c>
      <c r="AI1" s="248" t="s">
        <v>90</v>
      </c>
    </row>
    <row r="2" spans="1:35" x14ac:dyDescent="0.3">
      <c r="C2" s="247" t="s">
        <v>91</v>
      </c>
      <c r="M2" s="244" t="s">
        <v>92</v>
      </c>
      <c r="R2" s="249">
        <f>493441/1000</f>
        <v>493.44099999999997</v>
      </c>
      <c r="S2" s="249">
        <f>6779427/1000</f>
        <v>6779.4269999999997</v>
      </c>
      <c r="Z2" s="248" t="s">
        <v>93</v>
      </c>
      <c r="AA2" s="248" t="s">
        <v>94</v>
      </c>
      <c r="AB2" s="248" t="s">
        <v>95</v>
      </c>
      <c r="AF2" s="166" t="s">
        <v>96</v>
      </c>
      <c r="AG2" s="166" t="s">
        <v>97</v>
      </c>
      <c r="AH2" s="166" t="s">
        <v>98</v>
      </c>
      <c r="AI2" s="166" t="s">
        <v>99</v>
      </c>
    </row>
    <row r="3" spans="1:35" ht="20.399999999999999" x14ac:dyDescent="0.3">
      <c r="A3" s="244" t="s">
        <v>100</v>
      </c>
      <c r="B3" s="244" t="s">
        <v>101</v>
      </c>
      <c r="D3" s="244" t="s">
        <v>102</v>
      </c>
      <c r="F3" s="278" t="s">
        <v>79</v>
      </c>
      <c r="G3" s="278"/>
      <c r="H3" s="278"/>
      <c r="I3" s="278"/>
      <c r="J3" s="167" t="s">
        <v>103</v>
      </c>
      <c r="K3" s="167"/>
      <c r="M3" s="245" t="s">
        <v>104</v>
      </c>
      <c r="N3" s="245" t="s">
        <v>105</v>
      </c>
      <c r="O3" s="245" t="s">
        <v>106</v>
      </c>
      <c r="P3" s="245" t="s">
        <v>107</v>
      </c>
      <c r="Q3" s="245"/>
      <c r="V3" s="244" t="s">
        <v>108</v>
      </c>
      <c r="W3" s="244" t="s">
        <v>109</v>
      </c>
      <c r="X3" s="248" t="s">
        <v>87</v>
      </c>
      <c r="Y3" s="166" t="s">
        <v>96</v>
      </c>
      <c r="Z3" s="248">
        <v>92.6</v>
      </c>
      <c r="AA3" s="248">
        <v>104</v>
      </c>
      <c r="AB3" s="248">
        <v>151</v>
      </c>
      <c r="AD3" s="248" t="s">
        <v>84</v>
      </c>
      <c r="AE3" s="248" t="s">
        <v>93</v>
      </c>
      <c r="AF3" s="244">
        <v>85.9</v>
      </c>
      <c r="AG3" s="248">
        <v>85.5</v>
      </c>
      <c r="AH3" s="248">
        <v>116</v>
      </c>
      <c r="AI3" s="248">
        <v>37.299999999999997</v>
      </c>
    </row>
    <row r="4" spans="1:35" x14ac:dyDescent="0.2">
      <c r="A4" s="244">
        <v>5</v>
      </c>
      <c r="B4" s="244">
        <v>1</v>
      </c>
      <c r="C4" s="244">
        <f t="shared" ref="C4:C14" si="0">COUNTIF($D$4:$D$14,D4)</f>
        <v>1</v>
      </c>
      <c r="D4" s="251" t="s">
        <v>110</v>
      </c>
      <c r="E4" s="169">
        <v>2</v>
      </c>
      <c r="F4" s="252" t="s">
        <v>111</v>
      </c>
      <c r="G4" s="252"/>
      <c r="I4" s="244">
        <v>0</v>
      </c>
      <c r="J4" s="253">
        <v>2</v>
      </c>
      <c r="K4" s="170" t="str">
        <f>I4&amp;" "&amp;I4&amp;" "&amp;E4&amp;" "&amp;J4</f>
        <v>0 0 2 2</v>
      </c>
      <c r="L4" s="244">
        <v>1</v>
      </c>
      <c r="M4" s="254">
        <v>1630</v>
      </c>
      <c r="N4" s="252" t="s">
        <v>111</v>
      </c>
      <c r="O4" s="246">
        <v>6</v>
      </c>
      <c r="P4" s="246" t="s">
        <v>112</v>
      </c>
      <c r="Q4" s="246">
        <f>IF(P4="NO",1,2)</f>
        <v>1</v>
      </c>
      <c r="R4" s="244">
        <f>VLOOKUP(M4,[4]Stores!$A$2:$G$1026,6,FALSE)/1000</f>
        <v>492.42099999999999</v>
      </c>
      <c r="S4" s="244">
        <f>VLOOKUP(M4,[4]Stores!$A$2:$G$1026,7,FALSE)/1000</f>
        <v>6829.0879999999997</v>
      </c>
      <c r="T4" s="244">
        <f>SQRT((R4-$R$2)^2+(S4-$S$2)^2)</f>
        <v>49.671473916122174</v>
      </c>
      <c r="U4" s="244">
        <v>2</v>
      </c>
      <c r="V4" s="244" t="str">
        <f>U4&amp;" "&amp;R4&amp;" "&amp;S4</f>
        <v>2 492.421 6829.088</v>
      </c>
      <c r="W4" s="244" t="str">
        <f>U4&amp;" "&amp;O4</f>
        <v>2 6</v>
      </c>
      <c r="X4" s="248" t="s">
        <v>88</v>
      </c>
      <c r="Y4" s="166" t="s">
        <v>97</v>
      </c>
      <c r="Z4" s="248">
        <v>84.7</v>
      </c>
      <c r="AA4" s="248">
        <v>53.6</v>
      </c>
      <c r="AB4" s="248">
        <v>10.4</v>
      </c>
      <c r="AD4" s="248" t="s">
        <v>85</v>
      </c>
      <c r="AE4" s="248" t="s">
        <v>94</v>
      </c>
      <c r="AF4" s="248">
        <v>105</v>
      </c>
      <c r="AG4" s="248">
        <v>53.8</v>
      </c>
      <c r="AH4" s="248">
        <v>77.7</v>
      </c>
      <c r="AI4" s="244">
        <v>56.5</v>
      </c>
    </row>
    <row r="5" spans="1:35" x14ac:dyDescent="0.2">
      <c r="A5" s="244">
        <v>5</v>
      </c>
      <c r="B5" s="244">
        <v>1</v>
      </c>
      <c r="C5" s="244">
        <f t="shared" si="0"/>
        <v>1</v>
      </c>
      <c r="D5" s="251" t="s">
        <v>113</v>
      </c>
      <c r="E5" s="169">
        <v>3</v>
      </c>
      <c r="F5" s="252" t="s">
        <v>114</v>
      </c>
      <c r="G5" s="252"/>
      <c r="I5" s="244">
        <v>1</v>
      </c>
      <c r="J5" s="253">
        <v>10</v>
      </c>
      <c r="K5" s="170" t="str">
        <f t="shared" ref="K5:K68" si="1">I5&amp;" "&amp;I5&amp;" "&amp;E5&amp;" "&amp;J5</f>
        <v>1 1 3 10</v>
      </c>
      <c r="M5" s="246">
        <v>1624</v>
      </c>
      <c r="N5" s="252" t="s">
        <v>114</v>
      </c>
      <c r="O5" s="246">
        <v>16</v>
      </c>
      <c r="P5" s="246" t="s">
        <v>112</v>
      </c>
      <c r="Q5" s="246">
        <f t="shared" ref="Q5:Q68" si="2">IF(P5="NO",1,2)</f>
        <v>1</v>
      </c>
      <c r="R5" s="244">
        <f>VLOOKUP(M5,[4]Stores!$A$2:$G$1026,6,FALSE)/1000</f>
        <v>477.73</v>
      </c>
      <c r="S5" s="244">
        <f>VLOOKUP(M5,[4]Stores!$A$2:$G$1026,7,FALSE)/1000</f>
        <v>6806.7910000000002</v>
      </c>
      <c r="T5" s="244">
        <f t="shared" ref="T5:T14" si="3">SQRT((R5-$R$2)^2+(S5-$S$2)^2)</f>
        <v>31.553510375234406</v>
      </c>
      <c r="U5" s="244">
        <v>3</v>
      </c>
      <c r="V5" s="244" t="str">
        <f t="shared" ref="V5:V68" si="4">U5&amp;" "&amp;R5&amp;" "&amp;S5</f>
        <v>3 477.73 6806.791</v>
      </c>
      <c r="W5" s="244" t="str">
        <f t="shared" ref="W5:W68" si="5">U5&amp;" "&amp;O5</f>
        <v>3 16</v>
      </c>
      <c r="X5" s="248" t="s">
        <v>89</v>
      </c>
      <c r="Y5" s="166" t="s">
        <v>98</v>
      </c>
      <c r="Z5" s="248">
        <v>116</v>
      </c>
      <c r="AA5" s="248">
        <v>77.5</v>
      </c>
      <c r="AB5" s="248">
        <v>86.7</v>
      </c>
      <c r="AD5" s="248" t="s">
        <v>86</v>
      </c>
      <c r="AE5" s="248" t="s">
        <v>95</v>
      </c>
      <c r="AF5" s="248">
        <v>150</v>
      </c>
      <c r="AG5" s="248">
        <v>10.4</v>
      </c>
      <c r="AH5" s="248">
        <v>86.7</v>
      </c>
      <c r="AI5" s="244">
        <v>80.7</v>
      </c>
    </row>
    <row r="6" spans="1:35" x14ac:dyDescent="0.2">
      <c r="A6" s="244">
        <v>5</v>
      </c>
      <c r="B6" s="244">
        <v>1</v>
      </c>
      <c r="C6" s="244">
        <f t="shared" si="0"/>
        <v>1</v>
      </c>
      <c r="D6" s="251" t="s">
        <v>115</v>
      </c>
      <c r="E6" s="169">
        <v>4</v>
      </c>
      <c r="F6" s="252" t="s">
        <v>116</v>
      </c>
      <c r="G6" s="252"/>
      <c r="I6" s="244">
        <v>2</v>
      </c>
      <c r="J6" s="253">
        <v>17</v>
      </c>
      <c r="K6" s="170" t="str">
        <f t="shared" si="1"/>
        <v>2 2 4 17</v>
      </c>
      <c r="M6" s="255">
        <v>1216</v>
      </c>
      <c r="N6" s="252" t="s">
        <v>116</v>
      </c>
      <c r="O6" s="246">
        <v>9</v>
      </c>
      <c r="P6" s="246" t="s">
        <v>117</v>
      </c>
      <c r="Q6" s="246">
        <f t="shared" si="2"/>
        <v>2</v>
      </c>
      <c r="R6" s="244">
        <f>VLOOKUP(M6,[4]Stores!$A$2:$G$1026,6,FALSE)/1000</f>
        <v>484.41800000000001</v>
      </c>
      <c r="S6" s="244">
        <f>VLOOKUP(M6,[4]Stores!$A$2:$G$1026,7,FALSE)/1000</f>
        <v>6809.1840000000002</v>
      </c>
      <c r="T6" s="244">
        <f t="shared" si="3"/>
        <v>31.094912413448444</v>
      </c>
      <c r="U6" s="244">
        <v>4</v>
      </c>
      <c r="V6" s="244" t="str">
        <f t="shared" si="4"/>
        <v>4 484.418 6809.184</v>
      </c>
      <c r="W6" s="244" t="str">
        <f t="shared" si="5"/>
        <v>4 9</v>
      </c>
      <c r="X6" s="248" t="s">
        <v>90</v>
      </c>
      <c r="Y6" s="166" t="s">
        <v>99</v>
      </c>
      <c r="Z6" s="248">
        <v>38</v>
      </c>
      <c r="AA6" s="248">
        <v>55</v>
      </c>
      <c r="AB6" s="248">
        <v>79.900000000000006</v>
      </c>
    </row>
    <row r="7" spans="1:35" x14ac:dyDescent="0.2">
      <c r="A7" s="244">
        <v>5</v>
      </c>
      <c r="B7" s="244">
        <v>1</v>
      </c>
      <c r="C7" s="244">
        <f t="shared" si="0"/>
        <v>1</v>
      </c>
      <c r="D7" s="251" t="s">
        <v>118</v>
      </c>
      <c r="E7" s="169">
        <v>5</v>
      </c>
      <c r="F7" s="252" t="s">
        <v>119</v>
      </c>
      <c r="G7" s="252"/>
      <c r="I7" s="244">
        <v>3</v>
      </c>
      <c r="J7" s="253">
        <v>13</v>
      </c>
      <c r="K7" s="170" t="str">
        <f t="shared" si="1"/>
        <v>3 3 5 13</v>
      </c>
      <c r="M7" s="254">
        <v>1196</v>
      </c>
      <c r="N7" s="252" t="s">
        <v>119</v>
      </c>
      <c r="O7" s="246">
        <v>1</v>
      </c>
      <c r="P7" s="246" t="s">
        <v>117</v>
      </c>
      <c r="Q7" s="246">
        <f t="shared" si="2"/>
        <v>2</v>
      </c>
      <c r="R7" s="244">
        <f>VLOOKUP(M7,[4]Stores!$A$2:$G$1026,6,FALSE)/1000</f>
        <v>482.81299999999999</v>
      </c>
      <c r="S7" s="244">
        <f>VLOOKUP(M7,[4]Stores!$A$2:$G$1026,7,FALSE)/1000</f>
        <v>6795.1149999999998</v>
      </c>
      <c r="T7" s="244">
        <f t="shared" si="3"/>
        <v>18.949082510770882</v>
      </c>
      <c r="U7" s="244">
        <v>5</v>
      </c>
      <c r="V7" s="244" t="str">
        <f t="shared" si="4"/>
        <v>5 482.813 6795.115</v>
      </c>
      <c r="W7" s="244" t="str">
        <f t="shared" si="5"/>
        <v>5 1</v>
      </c>
    </row>
    <row r="8" spans="1:35" x14ac:dyDescent="0.2">
      <c r="A8" s="244">
        <v>5</v>
      </c>
      <c r="B8" s="244">
        <v>1</v>
      </c>
      <c r="C8" s="244">
        <f t="shared" si="0"/>
        <v>1</v>
      </c>
      <c r="D8" s="251" t="s">
        <v>120</v>
      </c>
      <c r="E8" s="169">
        <v>6</v>
      </c>
      <c r="F8" s="252" t="s">
        <v>121</v>
      </c>
      <c r="G8" s="252"/>
      <c r="I8" s="244">
        <v>4</v>
      </c>
      <c r="J8" s="253">
        <v>10</v>
      </c>
      <c r="K8" s="170" t="str">
        <f t="shared" si="1"/>
        <v>4 4 6 10</v>
      </c>
      <c r="M8" s="254">
        <v>1042</v>
      </c>
      <c r="N8" s="252" t="s">
        <v>121</v>
      </c>
      <c r="O8" s="246">
        <v>2</v>
      </c>
      <c r="P8" s="246" t="s">
        <v>117</v>
      </c>
      <c r="Q8" s="246">
        <f t="shared" si="2"/>
        <v>2</v>
      </c>
      <c r="R8" s="244">
        <f>VLOOKUP(M8,[4]Stores!$A$2:$G$1026,6,FALSE)/1000</f>
        <v>497.65699999999998</v>
      </c>
      <c r="S8" s="244">
        <f>VLOOKUP(M8,[4]Stores!$A$2:$G$1026,7,FALSE)/1000</f>
        <v>6800.38</v>
      </c>
      <c r="T8" s="244">
        <f t="shared" si="3"/>
        <v>21.37294703591477</v>
      </c>
      <c r="U8" s="244">
        <v>6</v>
      </c>
      <c r="V8" s="244" t="str">
        <f t="shared" si="4"/>
        <v>6 497.657 6800.38</v>
      </c>
      <c r="W8" s="244" t="str">
        <f t="shared" si="5"/>
        <v>6 2</v>
      </c>
      <c r="Z8" s="248" t="s">
        <v>84</v>
      </c>
      <c r="AA8" s="248" t="s">
        <v>85</v>
      </c>
      <c r="AB8" s="248" t="s">
        <v>86</v>
      </c>
    </row>
    <row r="9" spans="1:35" x14ac:dyDescent="0.2">
      <c r="A9" s="244">
        <v>5</v>
      </c>
      <c r="B9" s="244">
        <v>1</v>
      </c>
      <c r="C9" s="244">
        <f t="shared" si="0"/>
        <v>1</v>
      </c>
      <c r="D9" s="251" t="s">
        <v>122</v>
      </c>
      <c r="E9" s="169">
        <v>7</v>
      </c>
      <c r="F9" s="252" t="s">
        <v>123</v>
      </c>
      <c r="G9" s="252"/>
      <c r="I9" s="244">
        <v>5</v>
      </c>
      <c r="J9" s="253">
        <v>2</v>
      </c>
      <c r="K9" s="170" t="str">
        <f t="shared" si="1"/>
        <v>5 5 7 2</v>
      </c>
      <c r="M9" s="254">
        <v>1068</v>
      </c>
      <c r="N9" s="252" t="s">
        <v>123</v>
      </c>
      <c r="O9" s="246">
        <v>2</v>
      </c>
      <c r="P9" s="246" t="s">
        <v>117</v>
      </c>
      <c r="Q9" s="246">
        <f t="shared" si="2"/>
        <v>2</v>
      </c>
      <c r="R9" s="244">
        <f>VLOOKUP(M9,[4]Stores!$A$2:$G$1026,6,FALSE)/1000</f>
        <v>517.18499999999995</v>
      </c>
      <c r="S9" s="244">
        <f>VLOOKUP(M9,[4]Stores!$A$2:$G$1026,7,FALSE)/1000</f>
        <v>6801.4369999999999</v>
      </c>
      <c r="T9" s="244">
        <f t="shared" si="3"/>
        <v>32.376189337227572</v>
      </c>
      <c r="U9" s="244">
        <v>7</v>
      </c>
      <c r="V9" s="244" t="str">
        <f t="shared" si="4"/>
        <v>7 517.185 6801.437</v>
      </c>
      <c r="W9" s="244" t="str">
        <f t="shared" si="5"/>
        <v>7 2</v>
      </c>
      <c r="Z9" s="248" t="s">
        <v>93</v>
      </c>
      <c r="AA9" s="248" t="s">
        <v>94</v>
      </c>
      <c r="AB9" s="248" t="s">
        <v>95</v>
      </c>
    </row>
    <row r="10" spans="1:35" x14ac:dyDescent="0.2">
      <c r="A10" s="244">
        <v>5</v>
      </c>
      <c r="B10" s="244">
        <v>1</v>
      </c>
      <c r="C10" s="244">
        <f t="shared" si="0"/>
        <v>1</v>
      </c>
      <c r="D10" s="251" t="s">
        <v>124</v>
      </c>
      <c r="E10" s="169">
        <v>8</v>
      </c>
      <c r="F10" s="252" t="s">
        <v>125</v>
      </c>
      <c r="G10" s="252"/>
      <c r="I10" s="244">
        <v>6</v>
      </c>
      <c r="J10" s="253">
        <v>20</v>
      </c>
      <c r="K10" s="170" t="str">
        <f t="shared" si="1"/>
        <v>6 6 8 20</v>
      </c>
      <c r="M10" s="254">
        <v>1345</v>
      </c>
      <c r="N10" s="252" t="s">
        <v>125</v>
      </c>
      <c r="O10" s="246">
        <v>10</v>
      </c>
      <c r="P10" s="246" t="s">
        <v>117</v>
      </c>
      <c r="Q10" s="246">
        <f t="shared" si="2"/>
        <v>2</v>
      </c>
      <c r="R10" s="244">
        <f>VLOOKUP(M10,[4]Stores!$A$2:$G$1026,6,FALSE)/1000</f>
        <v>500.24200000000002</v>
      </c>
      <c r="S10" s="244">
        <f>VLOOKUP(M10,[4]Stores!$A$2:$G$1026,7,FALSE)/1000</f>
        <v>6764.7510000000002</v>
      </c>
      <c r="T10" s="244">
        <f t="shared" si="3"/>
        <v>16.175245809569176</v>
      </c>
      <c r="U10" s="244">
        <v>8</v>
      </c>
      <c r="V10" s="244" t="str">
        <f t="shared" si="4"/>
        <v>8 500.242 6764.751</v>
      </c>
      <c r="W10" s="244" t="str">
        <f t="shared" si="5"/>
        <v>8 10</v>
      </c>
      <c r="X10" s="248" t="s">
        <v>87</v>
      </c>
      <c r="Y10" s="166" t="s">
        <v>96</v>
      </c>
      <c r="Z10" s="248">
        <f>AVERAGE(Z3,AF3)</f>
        <v>89.25</v>
      </c>
      <c r="AA10" s="248">
        <f>AVERAGE(AA3,AF4)</f>
        <v>104.5</v>
      </c>
      <c r="AB10" s="248">
        <f>AVERAGE(AB3,AF5)</f>
        <v>150.5</v>
      </c>
    </row>
    <row r="11" spans="1:35" x14ac:dyDescent="0.2">
      <c r="A11" s="244">
        <v>5</v>
      </c>
      <c r="B11" s="244">
        <v>1</v>
      </c>
      <c r="C11" s="244">
        <f t="shared" si="0"/>
        <v>1</v>
      </c>
      <c r="D11" s="251" t="s">
        <v>126</v>
      </c>
      <c r="E11" s="169">
        <v>9</v>
      </c>
      <c r="F11" s="252" t="s">
        <v>127</v>
      </c>
      <c r="G11" s="252"/>
      <c r="I11" s="244">
        <v>7</v>
      </c>
      <c r="J11" s="253">
        <v>5</v>
      </c>
      <c r="K11" s="170" t="str">
        <f t="shared" si="1"/>
        <v>7 7 9 5</v>
      </c>
      <c r="M11" s="255">
        <v>1509</v>
      </c>
      <c r="N11" s="252" t="s">
        <v>127</v>
      </c>
      <c r="O11" s="246">
        <v>9</v>
      </c>
      <c r="P11" s="246" t="s">
        <v>112</v>
      </c>
      <c r="Q11" s="246">
        <f t="shared" si="2"/>
        <v>1</v>
      </c>
      <c r="R11" s="244">
        <f>VLOOKUP(M11,[4]Stores!$A$2:$G$1026,6,FALSE)/1000</f>
        <v>501.52600000000001</v>
      </c>
      <c r="S11" s="244">
        <f>VLOOKUP(M11,[4]Stores!$A$2:$G$1026,7,FALSE)/1000</f>
        <v>6779.6220000000003</v>
      </c>
      <c r="T11" s="244">
        <f t="shared" si="3"/>
        <v>8.0873512351078727</v>
      </c>
      <c r="U11" s="244">
        <v>9</v>
      </c>
      <c r="V11" s="244" t="str">
        <f t="shared" si="4"/>
        <v>9 501.526 6779.622</v>
      </c>
      <c r="W11" s="244" t="str">
        <f t="shared" si="5"/>
        <v>9 9</v>
      </c>
      <c r="X11" s="248" t="s">
        <v>88</v>
      </c>
      <c r="Y11" s="166" t="s">
        <v>97</v>
      </c>
      <c r="Z11" s="248">
        <f>AVERAGE(Z4,AG3)</f>
        <v>85.1</v>
      </c>
      <c r="AA11" s="248">
        <f>AVERAGE(AA4,AG4)</f>
        <v>53.7</v>
      </c>
      <c r="AB11" s="248">
        <f>AVERAGE(AB4,AG5)</f>
        <v>10.4</v>
      </c>
    </row>
    <row r="12" spans="1:35" x14ac:dyDescent="0.2">
      <c r="A12" s="244">
        <v>5</v>
      </c>
      <c r="B12" s="244">
        <v>1</v>
      </c>
      <c r="C12" s="244">
        <f t="shared" si="0"/>
        <v>1</v>
      </c>
      <c r="D12" s="251" t="s">
        <v>128</v>
      </c>
      <c r="E12" s="169">
        <v>10</v>
      </c>
      <c r="F12" s="252" t="s">
        <v>129</v>
      </c>
      <c r="G12" s="252"/>
      <c r="I12" s="244">
        <v>8</v>
      </c>
      <c r="J12" s="253">
        <v>10</v>
      </c>
      <c r="K12" s="170" t="str">
        <f t="shared" si="1"/>
        <v>8 8 10 10</v>
      </c>
      <c r="M12" s="255">
        <v>1225</v>
      </c>
      <c r="N12" s="252" t="s">
        <v>129</v>
      </c>
      <c r="O12" s="246">
        <v>8</v>
      </c>
      <c r="P12" s="246" t="s">
        <v>117</v>
      </c>
      <c r="Q12" s="246">
        <f t="shared" si="2"/>
        <v>2</v>
      </c>
      <c r="R12" s="244">
        <f>VLOOKUP(M12,[4]Stores!$A$2:$G$1026,6,FALSE)/1000</f>
        <v>486.71699999999998</v>
      </c>
      <c r="S12" s="244">
        <f>VLOOKUP(M12,[4]Stores!$A$2:$G$1026,7,FALSE)/1000</f>
        <v>6780.6760000000004</v>
      </c>
      <c r="T12" s="244">
        <f t="shared" si="3"/>
        <v>6.8390187161610854</v>
      </c>
      <c r="U12" s="244">
        <v>10</v>
      </c>
      <c r="V12" s="244" t="str">
        <f t="shared" si="4"/>
        <v>10 486.717 6780.676</v>
      </c>
      <c r="W12" s="244" t="str">
        <f t="shared" si="5"/>
        <v>10 8</v>
      </c>
      <c r="X12" s="248" t="s">
        <v>89</v>
      </c>
      <c r="Y12" s="166" t="s">
        <v>98</v>
      </c>
      <c r="Z12" s="248">
        <f>AVERAGE(Z5,AH3)</f>
        <v>116</v>
      </c>
      <c r="AA12" s="248">
        <f>AVERAGE(AA5,AH4)</f>
        <v>77.599999999999994</v>
      </c>
      <c r="AB12" s="248">
        <f>AVERAGE(AB5,AH5)</f>
        <v>86.7</v>
      </c>
    </row>
    <row r="13" spans="1:35" x14ac:dyDescent="0.2">
      <c r="A13" s="244">
        <v>5</v>
      </c>
      <c r="B13" s="244">
        <v>1</v>
      </c>
      <c r="C13" s="244">
        <f t="shared" si="0"/>
        <v>1</v>
      </c>
      <c r="D13" s="251" t="s">
        <v>130</v>
      </c>
      <c r="E13" s="169">
        <v>11</v>
      </c>
      <c r="F13" s="252" t="s">
        <v>131</v>
      </c>
      <c r="G13" s="252"/>
      <c r="I13" s="244">
        <v>9</v>
      </c>
      <c r="J13" s="253">
        <v>22</v>
      </c>
      <c r="K13" s="170" t="str">
        <f t="shared" si="1"/>
        <v>9 9 11 22</v>
      </c>
      <c r="M13" s="255">
        <v>1039</v>
      </c>
      <c r="N13" s="252" t="s">
        <v>131</v>
      </c>
      <c r="O13" s="246">
        <v>7</v>
      </c>
      <c r="P13" s="246" t="s">
        <v>117</v>
      </c>
      <c r="Q13" s="246">
        <f t="shared" si="2"/>
        <v>2</v>
      </c>
      <c r="R13" s="244">
        <f>VLOOKUP(M13,[4]Stores!$A$2:$G$1026,6,FALSE)/1000</f>
        <v>479.84699999999998</v>
      </c>
      <c r="S13" s="244">
        <f>VLOOKUP(M13,[4]Stores!$A$2:$G$1026,7,FALSE)/1000</f>
        <v>6776.21</v>
      </c>
      <c r="T13" s="244">
        <f t="shared" si="3"/>
        <v>13.969464019782491</v>
      </c>
      <c r="U13" s="244">
        <v>11</v>
      </c>
      <c r="V13" s="244" t="str">
        <f t="shared" si="4"/>
        <v>11 479.847 6776.21</v>
      </c>
      <c r="W13" s="244" t="str">
        <f t="shared" si="5"/>
        <v>11 7</v>
      </c>
      <c r="X13" s="248" t="s">
        <v>90</v>
      </c>
      <c r="Y13" s="166" t="s">
        <v>99</v>
      </c>
      <c r="Z13" s="248">
        <f>AVERAGE(Z6,AI3)</f>
        <v>37.65</v>
      </c>
      <c r="AA13" s="248">
        <f>AVERAGE(AA6,AI4)</f>
        <v>55.75</v>
      </c>
      <c r="AB13" s="248">
        <f>AVERAGE(AB6,AI5)</f>
        <v>80.300000000000011</v>
      </c>
    </row>
    <row r="14" spans="1:35" x14ac:dyDescent="0.2">
      <c r="A14" s="244">
        <v>5</v>
      </c>
      <c r="B14" s="244">
        <v>1</v>
      </c>
      <c r="C14" s="244">
        <f t="shared" si="0"/>
        <v>1</v>
      </c>
      <c r="D14" s="251" t="s">
        <v>132</v>
      </c>
      <c r="E14" s="169">
        <v>12</v>
      </c>
      <c r="F14" s="252" t="s">
        <v>133</v>
      </c>
      <c r="G14" s="252"/>
      <c r="I14" s="244">
        <v>10</v>
      </c>
      <c r="J14" s="253">
        <v>15</v>
      </c>
      <c r="K14" s="170" t="str">
        <f t="shared" si="1"/>
        <v>10 10 12 15</v>
      </c>
      <c r="M14" s="254">
        <v>1197</v>
      </c>
      <c r="N14" s="252" t="s">
        <v>133</v>
      </c>
      <c r="O14" s="246">
        <v>3</v>
      </c>
      <c r="P14" s="246" t="s">
        <v>117</v>
      </c>
      <c r="Q14" s="246">
        <f t="shared" si="2"/>
        <v>2</v>
      </c>
      <c r="R14" s="244">
        <f>VLOOKUP(M14,[4]Stores!$A$2:$G$1026,6,FALSE)/1000</f>
        <v>517.41899999999998</v>
      </c>
      <c r="S14" s="244">
        <f>VLOOKUP(M14,[4]Stores!$A$2:$G$1026,7,FALSE)/1000</f>
        <v>6760.598</v>
      </c>
      <c r="T14" s="244">
        <f t="shared" si="3"/>
        <v>30.487304324915151</v>
      </c>
      <c r="U14" s="244">
        <v>12</v>
      </c>
      <c r="V14" s="244" t="str">
        <f t="shared" si="4"/>
        <v>12 517.419 6760.598</v>
      </c>
      <c r="W14" s="244" t="str">
        <f t="shared" si="5"/>
        <v>12 3</v>
      </c>
    </row>
    <row r="15" spans="1:35" x14ac:dyDescent="0.2">
      <c r="K15" s="170" t="str">
        <f t="shared" si="1"/>
        <v xml:space="preserve">   </v>
      </c>
      <c r="Q15" s="246"/>
      <c r="V15" s="244" t="str">
        <f t="shared" si="4"/>
        <v xml:space="preserve">  </v>
      </c>
      <c r="W15" s="244" t="str">
        <f t="shared" si="5"/>
        <v xml:space="preserve"> </v>
      </c>
    </row>
    <row r="16" spans="1:35" x14ac:dyDescent="0.2">
      <c r="A16" s="244">
        <v>5</v>
      </c>
      <c r="B16" s="244">
        <v>4</v>
      </c>
      <c r="C16" s="244">
        <f t="shared" ref="C16:C26" si="6">COUNTIF($D$16:$D$26,D16)</f>
        <v>1</v>
      </c>
      <c r="D16" s="171" t="s">
        <v>134</v>
      </c>
      <c r="E16" s="169">
        <v>2</v>
      </c>
      <c r="F16" s="172" t="s">
        <v>111</v>
      </c>
      <c r="G16" s="172"/>
      <c r="I16" s="244">
        <v>0</v>
      </c>
      <c r="J16" s="171">
        <v>5</v>
      </c>
      <c r="K16" s="170" t="str">
        <f t="shared" si="1"/>
        <v>0 0 2 5</v>
      </c>
      <c r="L16" s="244">
        <v>2</v>
      </c>
      <c r="M16" s="173">
        <v>1630</v>
      </c>
      <c r="N16" s="172" t="s">
        <v>111</v>
      </c>
      <c r="O16" s="174">
        <v>7</v>
      </c>
      <c r="P16" s="174" t="s">
        <v>112</v>
      </c>
      <c r="Q16" s="246">
        <f t="shared" si="2"/>
        <v>1</v>
      </c>
      <c r="R16" s="244">
        <f>VLOOKUP(M16,[4]Stores!$A$2:$G$1026,6,FALSE)/1000</f>
        <v>492.42099999999999</v>
      </c>
      <c r="S16" s="244">
        <f>VLOOKUP(M16,[4]Stores!$A$2:$G$1026,7,FALSE)/1000</f>
        <v>6829.0879999999997</v>
      </c>
      <c r="T16" s="244">
        <f t="shared" ref="T16:T26" si="7">COUNTIF($N$4:$N$14,F16)</f>
        <v>1</v>
      </c>
      <c r="U16" s="244">
        <v>2</v>
      </c>
      <c r="V16" s="244" t="str">
        <f t="shared" si="4"/>
        <v>2 492.421 6829.088</v>
      </c>
      <c r="W16" s="244" t="str">
        <f t="shared" si="5"/>
        <v>2 7</v>
      </c>
    </row>
    <row r="17" spans="1:25" x14ac:dyDescent="0.2">
      <c r="A17" s="244">
        <v>5</v>
      </c>
      <c r="B17" s="244">
        <v>4</v>
      </c>
      <c r="C17" s="244">
        <f t="shared" si="6"/>
        <v>1</v>
      </c>
      <c r="D17" s="171" t="s">
        <v>135</v>
      </c>
      <c r="E17" s="169">
        <v>3</v>
      </c>
      <c r="F17" s="172" t="s">
        <v>114</v>
      </c>
      <c r="G17" s="172"/>
      <c r="I17" s="244">
        <v>1</v>
      </c>
      <c r="J17" s="171">
        <v>14</v>
      </c>
      <c r="K17" s="170" t="str">
        <f t="shared" si="1"/>
        <v>1 1 3 14</v>
      </c>
      <c r="M17" s="174">
        <v>1624</v>
      </c>
      <c r="N17" s="172" t="s">
        <v>114</v>
      </c>
      <c r="O17" s="174">
        <v>12</v>
      </c>
      <c r="P17" s="174" t="s">
        <v>117</v>
      </c>
      <c r="Q17" s="246">
        <f t="shared" si="2"/>
        <v>2</v>
      </c>
      <c r="R17" s="244">
        <f>VLOOKUP(M17,[4]Stores!$A$2:$G$1026,6,FALSE)/1000</f>
        <v>477.73</v>
      </c>
      <c r="S17" s="244">
        <f>VLOOKUP(M17,[4]Stores!$A$2:$G$1026,7,FALSE)/1000</f>
        <v>6806.7910000000002</v>
      </c>
      <c r="T17" s="244">
        <f t="shared" si="7"/>
        <v>1</v>
      </c>
      <c r="U17" s="244">
        <v>3</v>
      </c>
      <c r="V17" s="244" t="str">
        <f t="shared" si="4"/>
        <v>3 477.73 6806.791</v>
      </c>
      <c r="W17" s="244" t="str">
        <f t="shared" si="5"/>
        <v>3 12</v>
      </c>
    </row>
    <row r="18" spans="1:25" x14ac:dyDescent="0.2">
      <c r="A18" s="244">
        <v>5</v>
      </c>
      <c r="B18" s="244">
        <v>4</v>
      </c>
      <c r="C18" s="244">
        <f t="shared" si="6"/>
        <v>1</v>
      </c>
      <c r="D18" s="171" t="s">
        <v>136</v>
      </c>
      <c r="E18" s="169">
        <v>4</v>
      </c>
      <c r="F18" s="172" t="s">
        <v>116</v>
      </c>
      <c r="G18" s="172"/>
      <c r="I18" s="244">
        <v>2</v>
      </c>
      <c r="J18" s="171">
        <v>17</v>
      </c>
      <c r="K18" s="170" t="str">
        <f t="shared" si="1"/>
        <v>2 2 4 17</v>
      </c>
      <c r="M18" s="175">
        <v>1216</v>
      </c>
      <c r="N18" s="172" t="s">
        <v>116</v>
      </c>
      <c r="O18" s="174">
        <v>7</v>
      </c>
      <c r="P18" s="174" t="s">
        <v>117</v>
      </c>
      <c r="Q18" s="246">
        <f t="shared" si="2"/>
        <v>2</v>
      </c>
      <c r="R18" s="244">
        <f>VLOOKUP(M18,[4]Stores!$A$2:$G$1026,6,FALSE)/1000</f>
        <v>484.41800000000001</v>
      </c>
      <c r="S18" s="244">
        <f>VLOOKUP(M18,[4]Stores!$A$2:$G$1026,7,FALSE)/1000</f>
        <v>6809.1840000000002</v>
      </c>
      <c r="T18" s="244">
        <f t="shared" si="7"/>
        <v>1</v>
      </c>
      <c r="U18" s="244">
        <v>4</v>
      </c>
      <c r="V18" s="244" t="str">
        <f t="shared" si="4"/>
        <v>4 484.418 6809.184</v>
      </c>
      <c r="W18" s="244" t="str">
        <f t="shared" si="5"/>
        <v>4 7</v>
      </c>
    </row>
    <row r="19" spans="1:25" x14ac:dyDescent="0.2">
      <c r="A19" s="244">
        <v>5</v>
      </c>
      <c r="B19" s="244">
        <v>4</v>
      </c>
      <c r="C19" s="244">
        <f t="shared" si="6"/>
        <v>1</v>
      </c>
      <c r="D19" s="171" t="s">
        <v>137</v>
      </c>
      <c r="E19" s="169">
        <v>5</v>
      </c>
      <c r="F19" s="172" t="s">
        <v>119</v>
      </c>
      <c r="G19" s="172"/>
      <c r="I19" s="244">
        <v>3</v>
      </c>
      <c r="J19" s="171">
        <v>3</v>
      </c>
      <c r="K19" s="170" t="str">
        <f t="shared" si="1"/>
        <v>3 3 5 3</v>
      </c>
      <c r="M19" s="173">
        <v>1196</v>
      </c>
      <c r="N19" s="172" t="s">
        <v>119</v>
      </c>
      <c r="O19" s="174">
        <v>2</v>
      </c>
      <c r="P19" s="174" t="s">
        <v>117</v>
      </c>
      <c r="Q19" s="246">
        <f t="shared" si="2"/>
        <v>2</v>
      </c>
      <c r="R19" s="244">
        <f>VLOOKUP(M19,[4]Stores!$A$2:$G$1026,6,FALSE)/1000</f>
        <v>482.81299999999999</v>
      </c>
      <c r="S19" s="244">
        <f>VLOOKUP(M19,[4]Stores!$A$2:$G$1026,7,FALSE)/1000</f>
        <v>6795.1149999999998</v>
      </c>
      <c r="T19" s="244">
        <f t="shared" si="7"/>
        <v>1</v>
      </c>
      <c r="U19" s="244">
        <v>5</v>
      </c>
      <c r="V19" s="244" t="str">
        <f t="shared" si="4"/>
        <v>5 482.813 6795.115</v>
      </c>
      <c r="W19" s="244" t="str">
        <f t="shared" si="5"/>
        <v>5 2</v>
      </c>
      <c r="X19" s="248">
        <f>+R2-R4</f>
        <v>1.0199999999999818</v>
      </c>
      <c r="Y19" s="248">
        <f>S2-S4</f>
        <v>-49.661000000000058</v>
      </c>
    </row>
    <row r="20" spans="1:25" x14ac:dyDescent="0.2">
      <c r="A20" s="244">
        <v>5</v>
      </c>
      <c r="B20" s="244">
        <v>4</v>
      </c>
      <c r="C20" s="244">
        <f t="shared" si="6"/>
        <v>1</v>
      </c>
      <c r="D20" s="171" t="s">
        <v>138</v>
      </c>
      <c r="E20" s="169">
        <v>6</v>
      </c>
      <c r="F20" s="172" t="s">
        <v>121</v>
      </c>
      <c r="G20" s="172"/>
      <c r="I20" s="244">
        <v>4</v>
      </c>
      <c r="J20" s="171">
        <v>13</v>
      </c>
      <c r="K20" s="170" t="str">
        <f t="shared" si="1"/>
        <v>4 4 6 13</v>
      </c>
      <c r="M20" s="173">
        <v>1042</v>
      </c>
      <c r="N20" s="172" t="s">
        <v>121</v>
      </c>
      <c r="O20" s="174">
        <v>2</v>
      </c>
      <c r="P20" s="174" t="s">
        <v>117</v>
      </c>
      <c r="Q20" s="246">
        <f t="shared" si="2"/>
        <v>2</v>
      </c>
      <c r="R20" s="244">
        <f>VLOOKUP(M20,[4]Stores!$A$2:$G$1026,6,FALSE)/1000</f>
        <v>497.65699999999998</v>
      </c>
      <c r="S20" s="244">
        <f>VLOOKUP(M20,[4]Stores!$A$2:$G$1026,7,FALSE)/1000</f>
        <v>6800.38</v>
      </c>
      <c r="T20" s="244">
        <f t="shared" si="7"/>
        <v>1</v>
      </c>
      <c r="U20" s="244">
        <v>6</v>
      </c>
      <c r="V20" s="244" t="str">
        <f t="shared" si="4"/>
        <v>6 497.657 6800.38</v>
      </c>
      <c r="W20" s="244" t="str">
        <f t="shared" si="5"/>
        <v>6 2</v>
      </c>
      <c r="Y20" s="248">
        <f>X19*X19+Y19*Y19</f>
        <v>2467.2553210000056</v>
      </c>
    </row>
    <row r="21" spans="1:25" x14ac:dyDescent="0.2">
      <c r="A21" s="244">
        <v>5</v>
      </c>
      <c r="B21" s="244">
        <v>4</v>
      </c>
      <c r="C21" s="244">
        <f t="shared" si="6"/>
        <v>1</v>
      </c>
      <c r="D21" s="171" t="s">
        <v>139</v>
      </c>
      <c r="E21" s="169">
        <v>7</v>
      </c>
      <c r="F21" s="172" t="s">
        <v>123</v>
      </c>
      <c r="G21" s="172"/>
      <c r="I21" s="244">
        <v>5</v>
      </c>
      <c r="J21" s="171">
        <v>1</v>
      </c>
      <c r="K21" s="170" t="str">
        <f t="shared" si="1"/>
        <v>5 5 7 1</v>
      </c>
      <c r="M21" s="173">
        <v>1068</v>
      </c>
      <c r="N21" s="172" t="s">
        <v>123</v>
      </c>
      <c r="O21" s="174">
        <v>2</v>
      </c>
      <c r="P21" s="174" t="s">
        <v>112</v>
      </c>
      <c r="Q21" s="246">
        <f t="shared" si="2"/>
        <v>1</v>
      </c>
      <c r="R21" s="244">
        <f>VLOOKUP(M21,[4]Stores!$A$2:$G$1026,6,FALSE)/1000</f>
        <v>517.18499999999995</v>
      </c>
      <c r="S21" s="244">
        <f>VLOOKUP(M21,[4]Stores!$A$2:$G$1026,7,FALSE)/1000</f>
        <v>6801.4369999999999</v>
      </c>
      <c r="T21" s="244">
        <f t="shared" si="7"/>
        <v>1</v>
      </c>
      <c r="U21" s="244">
        <v>7</v>
      </c>
      <c r="V21" s="244" t="str">
        <f t="shared" si="4"/>
        <v>7 517.185 6801.437</v>
      </c>
      <c r="W21" s="244" t="str">
        <f t="shared" si="5"/>
        <v>7 2</v>
      </c>
      <c r="Y21" s="248">
        <f>SQRT(Y20)</f>
        <v>49.671473916122174</v>
      </c>
    </row>
    <row r="22" spans="1:25" x14ac:dyDescent="0.2">
      <c r="A22" s="244">
        <v>5</v>
      </c>
      <c r="B22" s="244">
        <v>4</v>
      </c>
      <c r="C22" s="244">
        <f t="shared" si="6"/>
        <v>1</v>
      </c>
      <c r="D22" s="171" t="s">
        <v>140</v>
      </c>
      <c r="E22" s="169">
        <v>8</v>
      </c>
      <c r="F22" s="172" t="s">
        <v>125</v>
      </c>
      <c r="G22" s="172"/>
      <c r="I22" s="244">
        <v>6</v>
      </c>
      <c r="J22" s="171">
        <v>18</v>
      </c>
      <c r="K22" s="170" t="str">
        <f t="shared" si="1"/>
        <v>6 6 8 18</v>
      </c>
      <c r="M22" s="173">
        <v>1345</v>
      </c>
      <c r="N22" s="172" t="s">
        <v>125</v>
      </c>
      <c r="O22" s="174">
        <v>9</v>
      </c>
      <c r="P22" s="174" t="s">
        <v>117</v>
      </c>
      <c r="Q22" s="246">
        <f t="shared" si="2"/>
        <v>2</v>
      </c>
      <c r="R22" s="244">
        <f>VLOOKUP(M22,[4]Stores!$A$2:$G$1026,6,FALSE)/1000</f>
        <v>500.24200000000002</v>
      </c>
      <c r="S22" s="244">
        <f>VLOOKUP(M22,[4]Stores!$A$2:$G$1026,7,FALSE)/1000</f>
        <v>6764.7510000000002</v>
      </c>
      <c r="T22" s="244">
        <f t="shared" si="7"/>
        <v>1</v>
      </c>
      <c r="U22" s="244">
        <v>8</v>
      </c>
      <c r="V22" s="244" t="str">
        <f t="shared" si="4"/>
        <v>8 500.242 6764.751</v>
      </c>
      <c r="W22" s="244" t="str">
        <f t="shared" si="5"/>
        <v>8 9</v>
      </c>
    </row>
    <row r="23" spans="1:25" x14ac:dyDescent="0.2">
      <c r="A23" s="244">
        <v>5</v>
      </c>
      <c r="B23" s="244">
        <v>4</v>
      </c>
      <c r="C23" s="244">
        <f t="shared" si="6"/>
        <v>1</v>
      </c>
      <c r="D23" s="171" t="s">
        <v>141</v>
      </c>
      <c r="E23" s="169">
        <v>9</v>
      </c>
      <c r="F23" s="172" t="s">
        <v>127</v>
      </c>
      <c r="G23" s="172"/>
      <c r="I23" s="244">
        <v>7</v>
      </c>
      <c r="J23" s="171">
        <v>11</v>
      </c>
      <c r="K23" s="170" t="str">
        <f t="shared" si="1"/>
        <v>7 7 9 11</v>
      </c>
      <c r="M23" s="175">
        <v>1509</v>
      </c>
      <c r="N23" s="172" t="s">
        <v>127</v>
      </c>
      <c r="O23" s="174">
        <v>9</v>
      </c>
      <c r="P23" s="174" t="s">
        <v>117</v>
      </c>
      <c r="Q23" s="246">
        <f t="shared" si="2"/>
        <v>2</v>
      </c>
      <c r="R23" s="244">
        <f>VLOOKUP(M23,[4]Stores!$A$2:$G$1026,6,FALSE)/1000</f>
        <v>501.52600000000001</v>
      </c>
      <c r="S23" s="244">
        <f>VLOOKUP(M23,[4]Stores!$A$2:$G$1026,7,FALSE)/1000</f>
        <v>6779.6220000000003</v>
      </c>
      <c r="T23" s="244">
        <f t="shared" si="7"/>
        <v>1</v>
      </c>
      <c r="U23" s="244">
        <v>9</v>
      </c>
      <c r="V23" s="244" t="str">
        <f t="shared" si="4"/>
        <v>9 501.526 6779.622</v>
      </c>
      <c r="W23" s="244" t="str">
        <f t="shared" si="5"/>
        <v>9 9</v>
      </c>
    </row>
    <row r="24" spans="1:25" x14ac:dyDescent="0.2">
      <c r="A24" s="244">
        <v>5</v>
      </c>
      <c r="B24" s="244">
        <v>4</v>
      </c>
      <c r="C24" s="244">
        <f t="shared" si="6"/>
        <v>1</v>
      </c>
      <c r="D24" s="171" t="s">
        <v>142</v>
      </c>
      <c r="E24" s="169">
        <v>10</v>
      </c>
      <c r="F24" s="172" t="s">
        <v>129</v>
      </c>
      <c r="G24" s="172"/>
      <c r="I24" s="244">
        <v>8</v>
      </c>
      <c r="J24" s="171">
        <v>11</v>
      </c>
      <c r="K24" s="170" t="str">
        <f t="shared" si="1"/>
        <v>8 8 10 11</v>
      </c>
      <c r="M24" s="175">
        <v>1225</v>
      </c>
      <c r="N24" s="172" t="s">
        <v>129</v>
      </c>
      <c r="O24" s="174">
        <v>9</v>
      </c>
      <c r="P24" s="174" t="s">
        <v>117</v>
      </c>
      <c r="Q24" s="246">
        <f t="shared" si="2"/>
        <v>2</v>
      </c>
      <c r="R24" s="244">
        <f>VLOOKUP(M24,[4]Stores!$A$2:$G$1026,6,FALSE)/1000</f>
        <v>486.71699999999998</v>
      </c>
      <c r="S24" s="244">
        <f>VLOOKUP(M24,[4]Stores!$A$2:$G$1026,7,FALSE)/1000</f>
        <v>6780.6760000000004</v>
      </c>
      <c r="T24" s="244">
        <f t="shared" si="7"/>
        <v>1</v>
      </c>
      <c r="U24" s="244">
        <v>10</v>
      </c>
      <c r="V24" s="244" t="str">
        <f t="shared" si="4"/>
        <v>10 486.717 6780.676</v>
      </c>
      <c r="W24" s="244" t="str">
        <f t="shared" si="5"/>
        <v>10 9</v>
      </c>
    </row>
    <row r="25" spans="1:25" x14ac:dyDescent="0.2">
      <c r="A25" s="244">
        <v>5</v>
      </c>
      <c r="B25" s="244">
        <v>4</v>
      </c>
      <c r="C25" s="244">
        <f t="shared" si="6"/>
        <v>1</v>
      </c>
      <c r="D25" s="171" t="s">
        <v>143</v>
      </c>
      <c r="E25" s="169">
        <v>11</v>
      </c>
      <c r="F25" s="172" t="s">
        <v>131</v>
      </c>
      <c r="G25" s="172"/>
      <c r="I25" s="244">
        <v>9</v>
      </c>
      <c r="J25" s="171">
        <v>6</v>
      </c>
      <c r="K25" s="170" t="str">
        <f t="shared" si="1"/>
        <v>9 9 11 6</v>
      </c>
      <c r="M25" s="175">
        <v>1039</v>
      </c>
      <c r="N25" s="172" t="s">
        <v>131</v>
      </c>
      <c r="O25" s="174">
        <v>6</v>
      </c>
      <c r="P25" s="174" t="s">
        <v>117</v>
      </c>
      <c r="Q25" s="246">
        <f t="shared" si="2"/>
        <v>2</v>
      </c>
      <c r="R25" s="244">
        <f>VLOOKUP(M25,[4]Stores!$A$2:$G$1026,6,FALSE)/1000</f>
        <v>479.84699999999998</v>
      </c>
      <c r="S25" s="244">
        <f>VLOOKUP(M25,[4]Stores!$A$2:$G$1026,7,FALSE)/1000</f>
        <v>6776.21</v>
      </c>
      <c r="T25" s="244">
        <f t="shared" si="7"/>
        <v>1</v>
      </c>
      <c r="U25" s="244">
        <v>11</v>
      </c>
      <c r="V25" s="244" t="str">
        <f t="shared" si="4"/>
        <v>11 479.847 6776.21</v>
      </c>
      <c r="W25" s="244" t="str">
        <f t="shared" si="5"/>
        <v>11 6</v>
      </c>
    </row>
    <row r="26" spans="1:25" x14ac:dyDescent="0.2">
      <c r="A26" s="244">
        <v>5</v>
      </c>
      <c r="B26" s="244">
        <v>4</v>
      </c>
      <c r="C26" s="244">
        <f t="shared" si="6"/>
        <v>1</v>
      </c>
      <c r="D26" s="171" t="s">
        <v>144</v>
      </c>
      <c r="E26" s="169">
        <v>12</v>
      </c>
      <c r="F26" s="172" t="s">
        <v>133</v>
      </c>
      <c r="G26" s="172"/>
      <c r="I26" s="244">
        <v>10</v>
      </c>
      <c r="J26" s="171">
        <v>10</v>
      </c>
      <c r="K26" s="170" t="str">
        <f t="shared" si="1"/>
        <v>10 10 12 10</v>
      </c>
      <c r="M26" s="173">
        <v>1197</v>
      </c>
      <c r="N26" s="172" t="s">
        <v>133</v>
      </c>
      <c r="O26" s="174">
        <v>3</v>
      </c>
      <c r="P26" s="174" t="s">
        <v>117</v>
      </c>
      <c r="Q26" s="246">
        <f t="shared" si="2"/>
        <v>2</v>
      </c>
      <c r="R26" s="244">
        <f>VLOOKUP(M26,[4]Stores!$A$2:$G$1026,6,FALSE)/1000</f>
        <v>517.41899999999998</v>
      </c>
      <c r="S26" s="244">
        <f>VLOOKUP(M26,[4]Stores!$A$2:$G$1026,7,FALSE)/1000</f>
        <v>6760.598</v>
      </c>
      <c r="T26" s="244">
        <f t="shared" si="7"/>
        <v>1</v>
      </c>
      <c r="U26" s="244">
        <v>12</v>
      </c>
      <c r="V26" s="244" t="str">
        <f t="shared" si="4"/>
        <v>12 517.419 6760.598</v>
      </c>
      <c r="W26" s="244" t="str">
        <f t="shared" si="5"/>
        <v>12 3</v>
      </c>
    </row>
    <row r="27" spans="1:25" x14ac:dyDescent="0.2">
      <c r="K27" s="170" t="str">
        <f t="shared" si="1"/>
        <v xml:space="preserve">   </v>
      </c>
      <c r="Q27" s="246"/>
      <c r="V27" s="244" t="str">
        <f t="shared" si="4"/>
        <v xml:space="preserve">  </v>
      </c>
      <c r="W27" s="244" t="str">
        <f t="shared" si="5"/>
        <v xml:space="preserve"> </v>
      </c>
    </row>
    <row r="28" spans="1:25" x14ac:dyDescent="0.2">
      <c r="A28" s="244">
        <v>5</v>
      </c>
      <c r="B28" s="244">
        <v>5</v>
      </c>
      <c r="C28" s="244">
        <f t="shared" ref="C28:C38" si="8">COUNTIF($D$28:$D$38,D28)</f>
        <v>1</v>
      </c>
      <c r="D28" s="171" t="s">
        <v>145</v>
      </c>
      <c r="E28" s="169">
        <v>2</v>
      </c>
      <c r="F28" s="172" t="s">
        <v>111</v>
      </c>
      <c r="G28" s="172"/>
      <c r="I28" s="244">
        <v>0</v>
      </c>
      <c r="J28" s="171">
        <v>6</v>
      </c>
      <c r="K28" s="170" t="str">
        <f t="shared" si="1"/>
        <v>0 0 2 6</v>
      </c>
      <c r="L28" s="244">
        <v>3</v>
      </c>
      <c r="M28" s="173">
        <v>1630</v>
      </c>
      <c r="N28" s="172" t="s">
        <v>111</v>
      </c>
      <c r="O28" s="174">
        <f>3+5</f>
        <v>8</v>
      </c>
      <c r="P28" s="174" t="s">
        <v>112</v>
      </c>
      <c r="Q28" s="246">
        <f t="shared" si="2"/>
        <v>1</v>
      </c>
      <c r="R28" s="244">
        <f>VLOOKUP(M28,[4]Stores!$A$2:$G$1026,6,FALSE)/1000</f>
        <v>492.42099999999999</v>
      </c>
      <c r="S28" s="244">
        <f>VLOOKUP(M28,[4]Stores!$A$2:$G$1026,7,FALSE)/1000</f>
        <v>6829.0879999999997</v>
      </c>
      <c r="T28" s="244">
        <f t="shared" ref="T28:T38" si="9">COUNTIF($N$4:$N$14,F28)</f>
        <v>1</v>
      </c>
      <c r="U28" s="244">
        <v>2</v>
      </c>
      <c r="V28" s="244" t="str">
        <f t="shared" si="4"/>
        <v>2 492.421 6829.088</v>
      </c>
      <c r="W28" s="244" t="str">
        <f t="shared" si="5"/>
        <v>2 8</v>
      </c>
    </row>
    <row r="29" spans="1:25" x14ac:dyDescent="0.2">
      <c r="A29" s="244">
        <v>5</v>
      </c>
      <c r="B29" s="244">
        <v>5</v>
      </c>
      <c r="C29" s="244">
        <f t="shared" si="8"/>
        <v>1</v>
      </c>
      <c r="D29" s="171" t="s">
        <v>146</v>
      </c>
      <c r="E29" s="169">
        <v>3</v>
      </c>
      <c r="F29" s="172" t="s">
        <v>114</v>
      </c>
      <c r="G29" s="172"/>
      <c r="I29" s="244">
        <v>1</v>
      </c>
      <c r="J29" s="171">
        <v>2</v>
      </c>
      <c r="K29" s="170" t="str">
        <f t="shared" si="1"/>
        <v>1 1 3 2</v>
      </c>
      <c r="M29" s="174">
        <v>1624</v>
      </c>
      <c r="N29" s="172" t="s">
        <v>114</v>
      </c>
      <c r="O29" s="174">
        <v>11</v>
      </c>
      <c r="P29" s="174" t="s">
        <v>112</v>
      </c>
      <c r="Q29" s="246">
        <f t="shared" si="2"/>
        <v>1</v>
      </c>
      <c r="R29" s="244">
        <f>VLOOKUP(M29,[4]Stores!$A$2:$G$1026,6,FALSE)/1000</f>
        <v>477.73</v>
      </c>
      <c r="S29" s="244">
        <f>VLOOKUP(M29,[4]Stores!$A$2:$G$1026,7,FALSE)/1000</f>
        <v>6806.7910000000002</v>
      </c>
      <c r="T29" s="244">
        <f t="shared" si="9"/>
        <v>1</v>
      </c>
      <c r="U29" s="244">
        <v>3</v>
      </c>
      <c r="V29" s="244" t="str">
        <f t="shared" si="4"/>
        <v>3 477.73 6806.791</v>
      </c>
      <c r="W29" s="244" t="str">
        <f t="shared" si="5"/>
        <v>3 11</v>
      </c>
    </row>
    <row r="30" spans="1:25" x14ac:dyDescent="0.2">
      <c r="A30" s="244">
        <v>5</v>
      </c>
      <c r="B30" s="244">
        <v>5</v>
      </c>
      <c r="C30" s="244">
        <f t="shared" si="8"/>
        <v>1</v>
      </c>
      <c r="D30" s="171" t="s">
        <v>147</v>
      </c>
      <c r="E30" s="169">
        <v>4</v>
      </c>
      <c r="F30" s="172" t="s">
        <v>116</v>
      </c>
      <c r="G30" s="172"/>
      <c r="I30" s="244">
        <v>2</v>
      </c>
      <c r="J30" s="171">
        <v>14</v>
      </c>
      <c r="K30" s="170" t="str">
        <f t="shared" si="1"/>
        <v>2 2 4 14</v>
      </c>
      <c r="M30" s="175">
        <v>1216</v>
      </c>
      <c r="N30" s="172" t="s">
        <v>116</v>
      </c>
      <c r="O30" s="174">
        <v>7</v>
      </c>
      <c r="P30" s="174" t="s">
        <v>117</v>
      </c>
      <c r="Q30" s="246">
        <f t="shared" si="2"/>
        <v>2</v>
      </c>
      <c r="R30" s="244">
        <f>VLOOKUP(M30,[4]Stores!$A$2:$G$1026,6,FALSE)/1000</f>
        <v>484.41800000000001</v>
      </c>
      <c r="S30" s="244">
        <f>VLOOKUP(M30,[4]Stores!$A$2:$G$1026,7,FALSE)/1000</f>
        <v>6809.1840000000002</v>
      </c>
      <c r="T30" s="244">
        <f t="shared" si="9"/>
        <v>1</v>
      </c>
      <c r="U30" s="244">
        <v>4</v>
      </c>
      <c r="V30" s="244" t="str">
        <f t="shared" si="4"/>
        <v>4 484.418 6809.184</v>
      </c>
      <c r="W30" s="244" t="str">
        <f t="shared" si="5"/>
        <v>4 7</v>
      </c>
    </row>
    <row r="31" spans="1:25" x14ac:dyDescent="0.2">
      <c r="A31" s="244">
        <v>5</v>
      </c>
      <c r="B31" s="244">
        <v>5</v>
      </c>
      <c r="C31" s="244">
        <f t="shared" si="8"/>
        <v>1</v>
      </c>
      <c r="D31" s="171" t="s">
        <v>148</v>
      </c>
      <c r="E31" s="169">
        <v>5</v>
      </c>
      <c r="F31" s="172" t="s">
        <v>119</v>
      </c>
      <c r="G31" s="172"/>
      <c r="I31" s="244">
        <v>3</v>
      </c>
      <c r="J31" s="171">
        <v>4</v>
      </c>
      <c r="K31" s="170" t="str">
        <f t="shared" si="1"/>
        <v>3 3 5 4</v>
      </c>
      <c r="M31" s="173">
        <v>1196</v>
      </c>
      <c r="N31" s="172" t="s">
        <v>119</v>
      </c>
      <c r="O31" s="174">
        <v>1</v>
      </c>
      <c r="P31" s="174" t="s">
        <v>117</v>
      </c>
      <c r="Q31" s="246">
        <f t="shared" si="2"/>
        <v>2</v>
      </c>
      <c r="R31" s="244">
        <f>VLOOKUP(M31,[4]Stores!$A$2:$G$1026,6,FALSE)/1000</f>
        <v>482.81299999999999</v>
      </c>
      <c r="S31" s="244">
        <f>VLOOKUP(M31,[4]Stores!$A$2:$G$1026,7,FALSE)/1000</f>
        <v>6795.1149999999998</v>
      </c>
      <c r="T31" s="244">
        <f t="shared" si="9"/>
        <v>1</v>
      </c>
      <c r="U31" s="244">
        <v>5</v>
      </c>
      <c r="V31" s="244" t="str">
        <f t="shared" si="4"/>
        <v>5 482.813 6795.115</v>
      </c>
      <c r="W31" s="244" t="str">
        <f t="shared" si="5"/>
        <v>5 1</v>
      </c>
    </row>
    <row r="32" spans="1:25" x14ac:dyDescent="0.2">
      <c r="A32" s="244">
        <v>5</v>
      </c>
      <c r="B32" s="244">
        <v>5</v>
      </c>
      <c r="C32" s="244">
        <f t="shared" si="8"/>
        <v>1</v>
      </c>
      <c r="D32" s="171" t="s">
        <v>149</v>
      </c>
      <c r="E32" s="169">
        <v>6</v>
      </c>
      <c r="F32" s="172" t="s">
        <v>121</v>
      </c>
      <c r="G32" s="172"/>
      <c r="I32" s="244">
        <v>4</v>
      </c>
      <c r="J32" s="171">
        <v>3</v>
      </c>
      <c r="K32" s="170" t="str">
        <f t="shared" si="1"/>
        <v>4 4 6 3</v>
      </c>
      <c r="M32" s="173">
        <v>1042</v>
      </c>
      <c r="N32" s="172" t="s">
        <v>121</v>
      </c>
      <c r="O32" s="174">
        <v>2</v>
      </c>
      <c r="P32" s="174" t="s">
        <v>117</v>
      </c>
      <c r="Q32" s="246">
        <f t="shared" si="2"/>
        <v>2</v>
      </c>
      <c r="R32" s="244">
        <f>VLOOKUP(M32,[4]Stores!$A$2:$G$1026,6,FALSE)/1000</f>
        <v>497.65699999999998</v>
      </c>
      <c r="S32" s="244">
        <f>VLOOKUP(M32,[4]Stores!$A$2:$G$1026,7,FALSE)/1000</f>
        <v>6800.38</v>
      </c>
      <c r="T32" s="244">
        <f t="shared" si="9"/>
        <v>1</v>
      </c>
      <c r="U32" s="244">
        <v>6</v>
      </c>
      <c r="V32" s="244" t="str">
        <f t="shared" si="4"/>
        <v>6 497.657 6800.38</v>
      </c>
      <c r="W32" s="244" t="str">
        <f t="shared" si="5"/>
        <v>6 2</v>
      </c>
    </row>
    <row r="33" spans="1:23" x14ac:dyDescent="0.2">
      <c r="A33" s="244">
        <v>5</v>
      </c>
      <c r="B33" s="244">
        <v>5</v>
      </c>
      <c r="C33" s="244">
        <f t="shared" si="8"/>
        <v>1</v>
      </c>
      <c r="D33" s="171" t="s">
        <v>150</v>
      </c>
      <c r="E33" s="169">
        <v>7</v>
      </c>
      <c r="F33" s="172" t="s">
        <v>123</v>
      </c>
      <c r="G33" s="172"/>
      <c r="I33" s="244">
        <v>5</v>
      </c>
      <c r="J33" s="171">
        <v>6</v>
      </c>
      <c r="K33" s="170" t="str">
        <f t="shared" si="1"/>
        <v>5 5 7 6</v>
      </c>
      <c r="M33" s="173">
        <v>1068</v>
      </c>
      <c r="N33" s="172" t="s">
        <v>123</v>
      </c>
      <c r="O33" s="174">
        <v>1</v>
      </c>
      <c r="P33" s="174" t="s">
        <v>117</v>
      </c>
      <c r="Q33" s="246">
        <f t="shared" si="2"/>
        <v>2</v>
      </c>
      <c r="R33" s="244">
        <f>VLOOKUP(M33,[4]Stores!$A$2:$G$1026,6,FALSE)/1000</f>
        <v>517.18499999999995</v>
      </c>
      <c r="S33" s="244">
        <f>VLOOKUP(M33,[4]Stores!$A$2:$G$1026,7,FALSE)/1000</f>
        <v>6801.4369999999999</v>
      </c>
      <c r="T33" s="244">
        <f t="shared" si="9"/>
        <v>1</v>
      </c>
      <c r="U33" s="244">
        <v>7</v>
      </c>
      <c r="V33" s="244" t="str">
        <f t="shared" si="4"/>
        <v>7 517.185 6801.437</v>
      </c>
      <c r="W33" s="244" t="str">
        <f t="shared" si="5"/>
        <v>7 1</v>
      </c>
    </row>
    <row r="34" spans="1:23" x14ac:dyDescent="0.2">
      <c r="A34" s="244">
        <v>5</v>
      </c>
      <c r="B34" s="244">
        <v>5</v>
      </c>
      <c r="C34" s="244">
        <f t="shared" si="8"/>
        <v>1</v>
      </c>
      <c r="D34" s="171" t="s">
        <v>151</v>
      </c>
      <c r="E34" s="169">
        <v>8</v>
      </c>
      <c r="F34" s="172" t="s">
        <v>125</v>
      </c>
      <c r="G34" s="172"/>
      <c r="I34" s="244">
        <v>6</v>
      </c>
      <c r="J34" s="171">
        <v>18</v>
      </c>
      <c r="K34" s="170" t="str">
        <f t="shared" si="1"/>
        <v>6 6 8 18</v>
      </c>
      <c r="M34" s="173">
        <v>1345</v>
      </c>
      <c r="N34" s="172" t="s">
        <v>125</v>
      </c>
      <c r="O34" s="174">
        <f>11+10</f>
        <v>21</v>
      </c>
      <c r="P34" s="174" t="s">
        <v>112</v>
      </c>
      <c r="Q34" s="246">
        <f t="shared" si="2"/>
        <v>1</v>
      </c>
      <c r="R34" s="244">
        <f>VLOOKUP(M34,[4]Stores!$A$2:$G$1026,6,FALSE)/1000</f>
        <v>500.24200000000002</v>
      </c>
      <c r="S34" s="244">
        <f>VLOOKUP(M34,[4]Stores!$A$2:$G$1026,7,FALSE)/1000</f>
        <v>6764.7510000000002</v>
      </c>
      <c r="T34" s="244">
        <f t="shared" si="9"/>
        <v>1</v>
      </c>
      <c r="U34" s="244">
        <v>8</v>
      </c>
      <c r="V34" s="244" t="str">
        <f t="shared" si="4"/>
        <v>8 500.242 6764.751</v>
      </c>
      <c r="W34" s="244" t="str">
        <f t="shared" si="5"/>
        <v>8 21</v>
      </c>
    </row>
    <row r="35" spans="1:23" x14ac:dyDescent="0.2">
      <c r="A35" s="244">
        <v>5</v>
      </c>
      <c r="B35" s="244">
        <v>5</v>
      </c>
      <c r="C35" s="244">
        <f t="shared" si="8"/>
        <v>1</v>
      </c>
      <c r="D35" s="171" t="s">
        <v>152</v>
      </c>
      <c r="E35" s="169">
        <v>9</v>
      </c>
      <c r="F35" s="172" t="s">
        <v>127</v>
      </c>
      <c r="G35" s="172"/>
      <c r="I35" s="244">
        <v>7</v>
      </c>
      <c r="J35" s="171">
        <v>4</v>
      </c>
      <c r="K35" s="170" t="str">
        <f t="shared" si="1"/>
        <v>7 7 9 4</v>
      </c>
      <c r="M35" s="175">
        <v>1509</v>
      </c>
      <c r="N35" s="172" t="s">
        <v>127</v>
      </c>
      <c r="O35" s="174">
        <v>10</v>
      </c>
      <c r="P35" s="174" t="s">
        <v>112</v>
      </c>
      <c r="Q35" s="246">
        <f t="shared" si="2"/>
        <v>1</v>
      </c>
      <c r="R35" s="244">
        <f>VLOOKUP(M35,[4]Stores!$A$2:$G$1026,6,FALSE)/1000</f>
        <v>501.52600000000001</v>
      </c>
      <c r="S35" s="244">
        <f>VLOOKUP(M35,[4]Stores!$A$2:$G$1026,7,FALSE)/1000</f>
        <v>6779.6220000000003</v>
      </c>
      <c r="T35" s="244">
        <f t="shared" si="9"/>
        <v>1</v>
      </c>
      <c r="U35" s="244">
        <v>9</v>
      </c>
      <c r="V35" s="244" t="str">
        <f t="shared" si="4"/>
        <v>9 501.526 6779.622</v>
      </c>
      <c r="W35" s="244" t="str">
        <f t="shared" si="5"/>
        <v>9 10</v>
      </c>
    </row>
    <row r="36" spans="1:23" x14ac:dyDescent="0.2">
      <c r="A36" s="244">
        <v>5</v>
      </c>
      <c r="B36" s="244">
        <v>5</v>
      </c>
      <c r="C36" s="244">
        <f t="shared" si="8"/>
        <v>1</v>
      </c>
      <c r="D36" s="171" t="s">
        <v>153</v>
      </c>
      <c r="E36" s="169">
        <v>10</v>
      </c>
      <c r="F36" s="172" t="s">
        <v>129</v>
      </c>
      <c r="G36" s="172"/>
      <c r="I36" s="244">
        <v>8</v>
      </c>
      <c r="J36" s="171">
        <v>3</v>
      </c>
      <c r="K36" s="170" t="str">
        <f t="shared" si="1"/>
        <v>8 8 10 3</v>
      </c>
      <c r="M36" s="175">
        <v>1225</v>
      </c>
      <c r="N36" s="172" t="s">
        <v>129</v>
      </c>
      <c r="O36" s="174">
        <v>7</v>
      </c>
      <c r="P36" s="174" t="s">
        <v>112</v>
      </c>
      <c r="Q36" s="246">
        <f t="shared" si="2"/>
        <v>1</v>
      </c>
      <c r="R36" s="244">
        <f>VLOOKUP(M36,[4]Stores!$A$2:$G$1026,6,FALSE)/1000</f>
        <v>486.71699999999998</v>
      </c>
      <c r="S36" s="244">
        <f>VLOOKUP(M36,[4]Stores!$A$2:$G$1026,7,FALSE)/1000</f>
        <v>6780.6760000000004</v>
      </c>
      <c r="T36" s="244">
        <f t="shared" si="9"/>
        <v>1</v>
      </c>
      <c r="U36" s="244">
        <v>10</v>
      </c>
      <c r="V36" s="244" t="str">
        <f t="shared" si="4"/>
        <v>10 486.717 6780.676</v>
      </c>
      <c r="W36" s="244" t="str">
        <f t="shared" si="5"/>
        <v>10 7</v>
      </c>
    </row>
    <row r="37" spans="1:23" x14ac:dyDescent="0.2">
      <c r="A37" s="244">
        <v>5</v>
      </c>
      <c r="B37" s="244">
        <v>5</v>
      </c>
      <c r="C37" s="244">
        <f t="shared" si="8"/>
        <v>1</v>
      </c>
      <c r="D37" s="171" t="s">
        <v>154</v>
      </c>
      <c r="E37" s="169">
        <v>11</v>
      </c>
      <c r="F37" s="172" t="s">
        <v>131</v>
      </c>
      <c r="G37" s="172"/>
      <c r="I37" s="244">
        <v>9</v>
      </c>
      <c r="J37" s="171">
        <v>14</v>
      </c>
      <c r="K37" s="170" t="str">
        <f t="shared" si="1"/>
        <v>9 9 11 14</v>
      </c>
      <c r="M37" s="175">
        <v>1039</v>
      </c>
      <c r="N37" s="172" t="s">
        <v>131</v>
      </c>
      <c r="O37" s="174">
        <v>8</v>
      </c>
      <c r="P37" s="174" t="s">
        <v>117</v>
      </c>
      <c r="Q37" s="246">
        <f t="shared" si="2"/>
        <v>2</v>
      </c>
      <c r="R37" s="244">
        <f>VLOOKUP(M37,[4]Stores!$A$2:$G$1026,6,FALSE)/1000</f>
        <v>479.84699999999998</v>
      </c>
      <c r="S37" s="244">
        <f>VLOOKUP(M37,[4]Stores!$A$2:$G$1026,7,FALSE)/1000</f>
        <v>6776.21</v>
      </c>
      <c r="T37" s="244">
        <f t="shared" si="9"/>
        <v>1</v>
      </c>
      <c r="U37" s="244">
        <v>11</v>
      </c>
      <c r="V37" s="244" t="str">
        <f t="shared" si="4"/>
        <v>11 479.847 6776.21</v>
      </c>
      <c r="W37" s="244" t="str">
        <f t="shared" si="5"/>
        <v>11 8</v>
      </c>
    </row>
    <row r="38" spans="1:23" x14ac:dyDescent="0.2">
      <c r="A38" s="244">
        <v>5</v>
      </c>
      <c r="B38" s="244">
        <v>5</v>
      </c>
      <c r="C38" s="244">
        <f t="shared" si="8"/>
        <v>1</v>
      </c>
      <c r="D38" s="171" t="s">
        <v>155</v>
      </c>
      <c r="E38" s="169">
        <v>12</v>
      </c>
      <c r="F38" s="172" t="s">
        <v>133</v>
      </c>
      <c r="G38" s="172"/>
      <c r="I38" s="244">
        <v>10</v>
      </c>
      <c r="J38" s="171">
        <v>0</v>
      </c>
      <c r="K38" s="170" t="str">
        <f t="shared" si="1"/>
        <v>10 10 12 0</v>
      </c>
      <c r="M38" s="173">
        <v>1197</v>
      </c>
      <c r="N38" s="172" t="s">
        <v>133</v>
      </c>
      <c r="O38" s="174">
        <v>3</v>
      </c>
      <c r="P38" s="174" t="s">
        <v>112</v>
      </c>
      <c r="Q38" s="246">
        <f t="shared" si="2"/>
        <v>1</v>
      </c>
      <c r="R38" s="244">
        <f>VLOOKUP(M38,[4]Stores!$A$2:$G$1026,6,FALSE)/1000</f>
        <v>517.41899999999998</v>
      </c>
      <c r="S38" s="244">
        <f>VLOOKUP(M38,[4]Stores!$A$2:$G$1026,7,FALSE)/1000</f>
        <v>6760.598</v>
      </c>
      <c r="T38" s="244">
        <f t="shared" si="9"/>
        <v>1</v>
      </c>
      <c r="U38" s="244">
        <v>12</v>
      </c>
      <c r="V38" s="244" t="str">
        <f t="shared" si="4"/>
        <v>12 517.419 6760.598</v>
      </c>
      <c r="W38" s="244" t="str">
        <f t="shared" si="5"/>
        <v>12 3</v>
      </c>
    </row>
    <row r="39" spans="1:23" x14ac:dyDescent="0.2">
      <c r="K39" s="170" t="str">
        <f t="shared" si="1"/>
        <v xml:space="preserve">   </v>
      </c>
      <c r="Q39" s="246"/>
      <c r="V39" s="244" t="str">
        <f t="shared" si="4"/>
        <v xml:space="preserve">  </v>
      </c>
      <c r="W39" s="244" t="str">
        <f t="shared" si="5"/>
        <v xml:space="preserve"> </v>
      </c>
    </row>
    <row r="40" spans="1:23" x14ac:dyDescent="0.2">
      <c r="A40" s="244">
        <v>5</v>
      </c>
      <c r="B40" s="244">
        <v>6</v>
      </c>
      <c r="C40" s="244">
        <f t="shared" ref="C40:C50" si="10">COUNTIF($D$40:$D$50,D40)</f>
        <v>1</v>
      </c>
      <c r="D40" s="171" t="s">
        <v>156</v>
      </c>
      <c r="E40" s="169">
        <v>2</v>
      </c>
      <c r="F40" s="172" t="s">
        <v>111</v>
      </c>
      <c r="G40" s="172"/>
      <c r="I40" s="244">
        <v>0</v>
      </c>
      <c r="J40" s="171">
        <v>10</v>
      </c>
      <c r="K40" s="170" t="str">
        <f t="shared" si="1"/>
        <v>0 0 2 10</v>
      </c>
      <c r="L40" s="244">
        <v>4</v>
      </c>
      <c r="M40" s="173">
        <v>1630</v>
      </c>
      <c r="N40" s="172" t="s">
        <v>111</v>
      </c>
      <c r="O40" s="174">
        <v>3</v>
      </c>
      <c r="P40" s="174" t="s">
        <v>117</v>
      </c>
      <c r="Q40" s="246">
        <f t="shared" si="2"/>
        <v>2</v>
      </c>
      <c r="R40" s="244">
        <f>VLOOKUP(M40,[4]Stores!$A$2:$G$1026,6,FALSE)/1000</f>
        <v>492.42099999999999</v>
      </c>
      <c r="S40" s="244">
        <f>VLOOKUP(M40,[4]Stores!$A$2:$G$1026,7,FALSE)/1000</f>
        <v>6829.0879999999997</v>
      </c>
      <c r="T40" s="244">
        <f t="shared" ref="T40:T50" si="11">COUNTIF($N$4:$N$14,F40)</f>
        <v>1</v>
      </c>
      <c r="U40" s="244">
        <v>2</v>
      </c>
      <c r="V40" s="244" t="str">
        <f t="shared" si="4"/>
        <v>2 492.421 6829.088</v>
      </c>
      <c r="W40" s="244" t="str">
        <f t="shared" si="5"/>
        <v>2 3</v>
      </c>
    </row>
    <row r="41" spans="1:23" x14ac:dyDescent="0.2">
      <c r="A41" s="244">
        <v>5</v>
      </c>
      <c r="B41" s="244">
        <v>6</v>
      </c>
      <c r="C41" s="244">
        <f t="shared" si="10"/>
        <v>1</v>
      </c>
      <c r="D41" s="171" t="s">
        <v>157</v>
      </c>
      <c r="E41" s="169">
        <v>3</v>
      </c>
      <c r="F41" s="172" t="s">
        <v>114</v>
      </c>
      <c r="G41" s="172"/>
      <c r="I41" s="244">
        <v>1</v>
      </c>
      <c r="J41" s="171">
        <v>1</v>
      </c>
      <c r="K41" s="170" t="str">
        <f t="shared" si="1"/>
        <v>1 1 3 1</v>
      </c>
      <c r="M41" s="174">
        <v>1624</v>
      </c>
      <c r="N41" s="172" t="s">
        <v>114</v>
      </c>
      <c r="O41" s="174">
        <v>11</v>
      </c>
      <c r="P41" s="174" t="s">
        <v>112</v>
      </c>
      <c r="Q41" s="246">
        <f t="shared" si="2"/>
        <v>1</v>
      </c>
      <c r="R41" s="244">
        <f>VLOOKUP(M41,[4]Stores!$A$2:$G$1026,6,FALSE)/1000</f>
        <v>477.73</v>
      </c>
      <c r="S41" s="244">
        <f>VLOOKUP(M41,[4]Stores!$A$2:$G$1026,7,FALSE)/1000</f>
        <v>6806.7910000000002</v>
      </c>
      <c r="T41" s="244">
        <f t="shared" si="11"/>
        <v>1</v>
      </c>
      <c r="U41" s="244">
        <v>3</v>
      </c>
      <c r="V41" s="244" t="str">
        <f t="shared" si="4"/>
        <v>3 477.73 6806.791</v>
      </c>
      <c r="W41" s="244" t="str">
        <f t="shared" si="5"/>
        <v>3 11</v>
      </c>
    </row>
    <row r="42" spans="1:23" x14ac:dyDescent="0.2">
      <c r="A42" s="244">
        <v>5</v>
      </c>
      <c r="B42" s="244">
        <v>6</v>
      </c>
      <c r="C42" s="244">
        <f t="shared" si="10"/>
        <v>1</v>
      </c>
      <c r="D42" s="171" t="s">
        <v>158</v>
      </c>
      <c r="E42" s="169">
        <v>4</v>
      </c>
      <c r="F42" s="172" t="s">
        <v>116</v>
      </c>
      <c r="G42" s="172"/>
      <c r="I42" s="244">
        <v>2</v>
      </c>
      <c r="J42" s="171">
        <v>24</v>
      </c>
      <c r="K42" s="170" t="str">
        <f t="shared" si="1"/>
        <v>2 2 4 24</v>
      </c>
      <c r="M42" s="175">
        <v>1216</v>
      </c>
      <c r="N42" s="172" t="s">
        <v>116</v>
      </c>
      <c r="O42" s="174">
        <v>4</v>
      </c>
      <c r="P42" s="174" t="s">
        <v>117</v>
      </c>
      <c r="Q42" s="246">
        <f t="shared" si="2"/>
        <v>2</v>
      </c>
      <c r="R42" s="244">
        <f>VLOOKUP(M42,[4]Stores!$A$2:$G$1026,6,FALSE)/1000</f>
        <v>484.41800000000001</v>
      </c>
      <c r="S42" s="244">
        <f>VLOOKUP(M42,[4]Stores!$A$2:$G$1026,7,FALSE)/1000</f>
        <v>6809.1840000000002</v>
      </c>
      <c r="T42" s="244">
        <f t="shared" si="11"/>
        <v>1</v>
      </c>
      <c r="U42" s="244">
        <v>4</v>
      </c>
      <c r="V42" s="244" t="str">
        <f t="shared" si="4"/>
        <v>4 484.418 6809.184</v>
      </c>
      <c r="W42" s="244" t="str">
        <f t="shared" si="5"/>
        <v>4 4</v>
      </c>
    </row>
    <row r="43" spans="1:23" x14ac:dyDescent="0.2">
      <c r="A43" s="244">
        <v>5</v>
      </c>
      <c r="B43" s="244">
        <v>6</v>
      </c>
      <c r="C43" s="244">
        <f t="shared" si="10"/>
        <v>1</v>
      </c>
      <c r="D43" s="171" t="s">
        <v>159</v>
      </c>
      <c r="E43" s="169">
        <v>5</v>
      </c>
      <c r="F43" s="172" t="s">
        <v>119</v>
      </c>
      <c r="G43" s="172"/>
      <c r="I43" s="244">
        <v>3</v>
      </c>
      <c r="J43" s="171">
        <v>5</v>
      </c>
      <c r="K43" s="170" t="str">
        <f t="shared" si="1"/>
        <v>3 3 5 5</v>
      </c>
      <c r="M43" s="173">
        <v>1196</v>
      </c>
      <c r="N43" s="172" t="s">
        <v>119</v>
      </c>
      <c r="O43" s="174">
        <v>1</v>
      </c>
      <c r="P43" s="174" t="s">
        <v>117</v>
      </c>
      <c r="Q43" s="246">
        <f t="shared" si="2"/>
        <v>2</v>
      </c>
      <c r="R43" s="244">
        <f>VLOOKUP(M43,[4]Stores!$A$2:$G$1026,6,FALSE)/1000</f>
        <v>482.81299999999999</v>
      </c>
      <c r="S43" s="244">
        <f>VLOOKUP(M43,[4]Stores!$A$2:$G$1026,7,FALSE)/1000</f>
        <v>6795.1149999999998</v>
      </c>
      <c r="T43" s="244">
        <f t="shared" si="11"/>
        <v>1</v>
      </c>
      <c r="U43" s="244">
        <v>5</v>
      </c>
      <c r="V43" s="244" t="str">
        <f t="shared" si="4"/>
        <v>5 482.813 6795.115</v>
      </c>
      <c r="W43" s="244" t="str">
        <f t="shared" si="5"/>
        <v>5 1</v>
      </c>
    </row>
    <row r="44" spans="1:23" x14ac:dyDescent="0.2">
      <c r="A44" s="244">
        <v>5</v>
      </c>
      <c r="B44" s="244">
        <v>6</v>
      </c>
      <c r="C44" s="244">
        <f t="shared" si="10"/>
        <v>1</v>
      </c>
      <c r="D44" s="171" t="s">
        <v>160</v>
      </c>
      <c r="E44" s="169">
        <v>6</v>
      </c>
      <c r="F44" s="172" t="s">
        <v>121</v>
      </c>
      <c r="G44" s="172"/>
      <c r="I44" s="244">
        <v>4</v>
      </c>
      <c r="J44" s="171">
        <v>7</v>
      </c>
      <c r="K44" s="170" t="str">
        <f t="shared" si="1"/>
        <v>4 4 6 7</v>
      </c>
      <c r="M44" s="173">
        <v>1042</v>
      </c>
      <c r="N44" s="172" t="s">
        <v>121</v>
      </c>
      <c r="O44" s="174">
        <v>2</v>
      </c>
      <c r="P44" s="174" t="s">
        <v>117</v>
      </c>
      <c r="Q44" s="246">
        <f t="shared" si="2"/>
        <v>2</v>
      </c>
      <c r="R44" s="244">
        <f>VLOOKUP(M44,[4]Stores!$A$2:$G$1026,6,FALSE)/1000</f>
        <v>497.65699999999998</v>
      </c>
      <c r="S44" s="244">
        <f>VLOOKUP(M44,[4]Stores!$A$2:$G$1026,7,FALSE)/1000</f>
        <v>6800.38</v>
      </c>
      <c r="T44" s="244">
        <f t="shared" si="11"/>
        <v>1</v>
      </c>
      <c r="U44" s="244">
        <v>6</v>
      </c>
      <c r="V44" s="244" t="str">
        <f t="shared" si="4"/>
        <v>6 497.657 6800.38</v>
      </c>
      <c r="W44" s="244" t="str">
        <f t="shared" si="5"/>
        <v>6 2</v>
      </c>
    </row>
    <row r="45" spans="1:23" x14ac:dyDescent="0.2">
      <c r="A45" s="244">
        <v>5</v>
      </c>
      <c r="B45" s="244">
        <v>6</v>
      </c>
      <c r="C45" s="244">
        <f t="shared" si="10"/>
        <v>1</v>
      </c>
      <c r="D45" s="171" t="s">
        <v>161</v>
      </c>
      <c r="E45" s="169">
        <v>7</v>
      </c>
      <c r="F45" s="172" t="s">
        <v>123</v>
      </c>
      <c r="G45" s="172"/>
      <c r="I45" s="244">
        <v>5</v>
      </c>
      <c r="J45" s="171">
        <v>14</v>
      </c>
      <c r="K45" s="170" t="str">
        <f t="shared" si="1"/>
        <v>5 5 7 14</v>
      </c>
      <c r="M45" s="173">
        <v>1068</v>
      </c>
      <c r="N45" s="172" t="s">
        <v>123</v>
      </c>
      <c r="O45" s="174">
        <v>1</v>
      </c>
      <c r="P45" s="174" t="s">
        <v>117</v>
      </c>
      <c r="Q45" s="246">
        <f t="shared" si="2"/>
        <v>2</v>
      </c>
      <c r="R45" s="244">
        <f>VLOOKUP(M45,[4]Stores!$A$2:$G$1026,6,FALSE)/1000</f>
        <v>517.18499999999995</v>
      </c>
      <c r="S45" s="244">
        <f>VLOOKUP(M45,[4]Stores!$A$2:$G$1026,7,FALSE)/1000</f>
        <v>6801.4369999999999</v>
      </c>
      <c r="T45" s="244">
        <f t="shared" si="11"/>
        <v>1</v>
      </c>
      <c r="U45" s="244">
        <v>7</v>
      </c>
      <c r="V45" s="244" t="str">
        <f t="shared" si="4"/>
        <v>7 517.185 6801.437</v>
      </c>
      <c r="W45" s="244" t="str">
        <f t="shared" si="5"/>
        <v>7 1</v>
      </c>
    </row>
    <row r="46" spans="1:23" x14ac:dyDescent="0.2">
      <c r="A46" s="244">
        <v>5</v>
      </c>
      <c r="B46" s="244">
        <v>6</v>
      </c>
      <c r="C46" s="244">
        <f t="shared" si="10"/>
        <v>1</v>
      </c>
      <c r="D46" s="171" t="s">
        <v>162</v>
      </c>
      <c r="E46" s="169">
        <v>8</v>
      </c>
      <c r="F46" s="172" t="s">
        <v>125</v>
      </c>
      <c r="G46" s="172"/>
      <c r="I46" s="244">
        <v>6</v>
      </c>
      <c r="J46" s="171">
        <v>13</v>
      </c>
      <c r="K46" s="170" t="str">
        <f t="shared" si="1"/>
        <v>6 6 8 13</v>
      </c>
      <c r="M46" s="173">
        <v>1345</v>
      </c>
      <c r="N46" s="172" t="s">
        <v>125</v>
      </c>
      <c r="O46" s="174">
        <f>10+4</f>
        <v>14</v>
      </c>
      <c r="P46" s="174" t="s">
        <v>112</v>
      </c>
      <c r="Q46" s="246">
        <f t="shared" si="2"/>
        <v>1</v>
      </c>
      <c r="R46" s="244">
        <f>VLOOKUP(M46,[4]Stores!$A$2:$G$1026,6,FALSE)/1000</f>
        <v>500.24200000000002</v>
      </c>
      <c r="S46" s="244">
        <f>VLOOKUP(M46,[4]Stores!$A$2:$G$1026,7,FALSE)/1000</f>
        <v>6764.7510000000002</v>
      </c>
      <c r="T46" s="244">
        <f t="shared" si="11"/>
        <v>1</v>
      </c>
      <c r="U46" s="244">
        <v>8</v>
      </c>
      <c r="V46" s="244" t="str">
        <f t="shared" si="4"/>
        <v>8 500.242 6764.751</v>
      </c>
      <c r="W46" s="244" t="str">
        <f t="shared" si="5"/>
        <v>8 14</v>
      </c>
    </row>
    <row r="47" spans="1:23" x14ac:dyDescent="0.2">
      <c r="A47" s="244">
        <v>5</v>
      </c>
      <c r="B47" s="244">
        <v>6</v>
      </c>
      <c r="C47" s="244">
        <f t="shared" si="10"/>
        <v>1</v>
      </c>
      <c r="D47" s="171" t="s">
        <v>163</v>
      </c>
      <c r="E47" s="169">
        <v>9</v>
      </c>
      <c r="F47" s="172" t="s">
        <v>127</v>
      </c>
      <c r="G47" s="172"/>
      <c r="I47" s="244">
        <v>7</v>
      </c>
      <c r="J47" s="171">
        <v>1</v>
      </c>
      <c r="K47" s="170" t="str">
        <f t="shared" si="1"/>
        <v>7 7 9 1</v>
      </c>
      <c r="M47" s="175">
        <v>1509</v>
      </c>
      <c r="N47" s="172" t="s">
        <v>127</v>
      </c>
      <c r="O47" s="174">
        <v>8</v>
      </c>
      <c r="P47" s="174" t="s">
        <v>112</v>
      </c>
      <c r="Q47" s="246">
        <f t="shared" si="2"/>
        <v>1</v>
      </c>
      <c r="R47" s="244">
        <f>VLOOKUP(M47,[4]Stores!$A$2:$G$1026,6,FALSE)/1000</f>
        <v>501.52600000000001</v>
      </c>
      <c r="S47" s="244">
        <f>VLOOKUP(M47,[4]Stores!$A$2:$G$1026,7,FALSE)/1000</f>
        <v>6779.6220000000003</v>
      </c>
      <c r="T47" s="244">
        <f t="shared" si="11"/>
        <v>1</v>
      </c>
      <c r="U47" s="244">
        <v>9</v>
      </c>
      <c r="V47" s="244" t="str">
        <f t="shared" si="4"/>
        <v>9 501.526 6779.622</v>
      </c>
      <c r="W47" s="244" t="str">
        <f t="shared" si="5"/>
        <v>9 8</v>
      </c>
    </row>
    <row r="48" spans="1:23" x14ac:dyDescent="0.2">
      <c r="A48" s="244">
        <v>5</v>
      </c>
      <c r="B48" s="244">
        <v>6</v>
      </c>
      <c r="C48" s="244">
        <f t="shared" si="10"/>
        <v>1</v>
      </c>
      <c r="D48" s="171" t="s">
        <v>164</v>
      </c>
      <c r="E48" s="169">
        <v>10</v>
      </c>
      <c r="F48" s="172" t="s">
        <v>129</v>
      </c>
      <c r="G48" s="172"/>
      <c r="I48" s="244">
        <v>8</v>
      </c>
      <c r="J48" s="171">
        <v>7</v>
      </c>
      <c r="K48" s="170" t="str">
        <f t="shared" si="1"/>
        <v>8 8 10 7</v>
      </c>
      <c r="M48" s="175">
        <v>1225</v>
      </c>
      <c r="N48" s="172" t="s">
        <v>129</v>
      </c>
      <c r="O48" s="174">
        <v>4</v>
      </c>
      <c r="P48" s="174" t="s">
        <v>117</v>
      </c>
      <c r="Q48" s="246">
        <f t="shared" si="2"/>
        <v>2</v>
      </c>
      <c r="R48" s="244">
        <f>VLOOKUP(M48,[4]Stores!$A$2:$G$1026,6,FALSE)/1000</f>
        <v>486.71699999999998</v>
      </c>
      <c r="S48" s="244">
        <f>VLOOKUP(M48,[4]Stores!$A$2:$G$1026,7,FALSE)/1000</f>
        <v>6780.6760000000004</v>
      </c>
      <c r="T48" s="244">
        <f t="shared" si="11"/>
        <v>1</v>
      </c>
      <c r="U48" s="244">
        <v>10</v>
      </c>
      <c r="V48" s="244" t="str">
        <f t="shared" si="4"/>
        <v>10 486.717 6780.676</v>
      </c>
      <c r="W48" s="244" t="str">
        <f t="shared" si="5"/>
        <v>10 4</v>
      </c>
    </row>
    <row r="49" spans="1:23" x14ac:dyDescent="0.2">
      <c r="A49" s="244">
        <v>5</v>
      </c>
      <c r="B49" s="244">
        <v>6</v>
      </c>
      <c r="C49" s="244">
        <f t="shared" si="10"/>
        <v>1</v>
      </c>
      <c r="D49" s="171" t="s">
        <v>165</v>
      </c>
      <c r="E49" s="169">
        <v>11</v>
      </c>
      <c r="F49" s="172" t="s">
        <v>131</v>
      </c>
      <c r="G49" s="172"/>
      <c r="I49" s="244">
        <v>9</v>
      </c>
      <c r="J49" s="171">
        <v>6</v>
      </c>
      <c r="K49" s="170" t="str">
        <f t="shared" si="1"/>
        <v>9 9 11 6</v>
      </c>
      <c r="M49" s="175">
        <v>1039</v>
      </c>
      <c r="N49" s="172" t="s">
        <v>131</v>
      </c>
      <c r="O49" s="174">
        <v>3</v>
      </c>
      <c r="P49" s="174" t="s">
        <v>117</v>
      </c>
      <c r="Q49" s="246">
        <f t="shared" si="2"/>
        <v>2</v>
      </c>
      <c r="R49" s="244">
        <f>VLOOKUP(M49,[4]Stores!$A$2:$G$1026,6,FALSE)/1000</f>
        <v>479.84699999999998</v>
      </c>
      <c r="S49" s="244">
        <f>VLOOKUP(M49,[4]Stores!$A$2:$G$1026,7,FALSE)/1000</f>
        <v>6776.21</v>
      </c>
      <c r="T49" s="244">
        <f t="shared" si="11"/>
        <v>1</v>
      </c>
      <c r="U49" s="244">
        <v>11</v>
      </c>
      <c r="V49" s="244" t="str">
        <f t="shared" si="4"/>
        <v>11 479.847 6776.21</v>
      </c>
      <c r="W49" s="244" t="str">
        <f t="shared" si="5"/>
        <v>11 3</v>
      </c>
    </row>
    <row r="50" spans="1:23" x14ac:dyDescent="0.2">
      <c r="A50" s="244">
        <v>5</v>
      </c>
      <c r="B50" s="244">
        <v>6</v>
      </c>
      <c r="C50" s="244">
        <f t="shared" si="10"/>
        <v>1</v>
      </c>
      <c r="D50" s="171" t="s">
        <v>166</v>
      </c>
      <c r="E50" s="169">
        <v>12</v>
      </c>
      <c r="F50" s="172" t="s">
        <v>133</v>
      </c>
      <c r="G50" s="172"/>
      <c r="I50" s="244">
        <v>10</v>
      </c>
      <c r="J50" s="171">
        <v>15</v>
      </c>
      <c r="K50" s="170" t="str">
        <f t="shared" si="1"/>
        <v>10 10 12 15</v>
      </c>
      <c r="M50" s="173">
        <v>1197</v>
      </c>
      <c r="N50" s="172" t="s">
        <v>133</v>
      </c>
      <c r="O50" s="174">
        <v>1</v>
      </c>
      <c r="P50" s="174" t="s">
        <v>117</v>
      </c>
      <c r="Q50" s="246">
        <f t="shared" si="2"/>
        <v>2</v>
      </c>
      <c r="R50" s="244">
        <f>VLOOKUP(M50,[4]Stores!$A$2:$G$1026,6,FALSE)/1000</f>
        <v>517.41899999999998</v>
      </c>
      <c r="S50" s="244">
        <f>VLOOKUP(M50,[4]Stores!$A$2:$G$1026,7,FALSE)/1000</f>
        <v>6760.598</v>
      </c>
      <c r="T50" s="244">
        <f t="shared" si="11"/>
        <v>1</v>
      </c>
      <c r="U50" s="244">
        <v>12</v>
      </c>
      <c r="V50" s="244" t="str">
        <f t="shared" si="4"/>
        <v>12 517.419 6760.598</v>
      </c>
      <c r="W50" s="244" t="str">
        <f t="shared" si="5"/>
        <v>12 1</v>
      </c>
    </row>
    <row r="51" spans="1:23" x14ac:dyDescent="0.2">
      <c r="K51" s="170" t="str">
        <f t="shared" si="1"/>
        <v xml:space="preserve">   </v>
      </c>
      <c r="Q51" s="246"/>
      <c r="V51" s="244" t="str">
        <f t="shared" si="4"/>
        <v xml:space="preserve">  </v>
      </c>
      <c r="W51" s="244" t="str">
        <f t="shared" si="5"/>
        <v xml:space="preserve"> </v>
      </c>
    </row>
    <row r="52" spans="1:23" x14ac:dyDescent="0.2">
      <c r="A52" s="244">
        <v>6</v>
      </c>
      <c r="B52" s="244">
        <v>1</v>
      </c>
      <c r="C52" s="244">
        <f t="shared" ref="C52:C62" si="12">COUNTIF($D$52:$D$62,D52)</f>
        <v>1</v>
      </c>
      <c r="D52" s="171" t="s">
        <v>167</v>
      </c>
      <c r="E52" s="169">
        <v>2</v>
      </c>
      <c r="F52" s="172" t="s">
        <v>111</v>
      </c>
      <c r="G52" s="172"/>
      <c r="I52" s="244">
        <v>0</v>
      </c>
      <c r="J52" s="171">
        <v>0</v>
      </c>
      <c r="K52" s="170" t="str">
        <f t="shared" si="1"/>
        <v>0 0 2 0</v>
      </c>
      <c r="L52" s="244">
        <v>5</v>
      </c>
      <c r="M52" s="176">
        <v>1630</v>
      </c>
      <c r="N52" s="172" t="s">
        <v>111</v>
      </c>
      <c r="O52" s="174">
        <v>6</v>
      </c>
      <c r="P52" s="174" t="s">
        <v>112</v>
      </c>
      <c r="Q52" s="246">
        <f t="shared" si="2"/>
        <v>1</v>
      </c>
      <c r="R52" s="244">
        <f>VLOOKUP(M52,[4]Stores!$A$2:$G$1026,6,FALSE)/1000</f>
        <v>492.42099999999999</v>
      </c>
      <c r="S52" s="244">
        <f>VLOOKUP(M52,[4]Stores!$A$2:$G$1026,7,FALSE)/1000</f>
        <v>6829.0879999999997</v>
      </c>
      <c r="T52" s="244">
        <f t="shared" ref="T52:T62" si="13">COUNTIF($N$4:$N$14,F52)</f>
        <v>1</v>
      </c>
      <c r="U52" s="244">
        <v>2</v>
      </c>
      <c r="V52" s="244" t="str">
        <f t="shared" si="4"/>
        <v>2 492.421 6829.088</v>
      </c>
      <c r="W52" s="244" t="str">
        <f t="shared" si="5"/>
        <v>2 6</v>
      </c>
    </row>
    <row r="53" spans="1:23" x14ac:dyDescent="0.2">
      <c r="A53" s="244">
        <v>6</v>
      </c>
      <c r="B53" s="244">
        <v>1</v>
      </c>
      <c r="C53" s="244">
        <f t="shared" si="12"/>
        <v>1</v>
      </c>
      <c r="D53" s="171" t="s">
        <v>168</v>
      </c>
      <c r="E53" s="169">
        <v>3</v>
      </c>
      <c r="F53" s="172" t="s">
        <v>114</v>
      </c>
      <c r="G53" s="172"/>
      <c r="I53" s="244">
        <v>1</v>
      </c>
      <c r="J53" s="171">
        <v>10</v>
      </c>
      <c r="K53" s="170" t="str">
        <f t="shared" si="1"/>
        <v>1 1 3 10</v>
      </c>
      <c r="M53" s="177">
        <v>1624</v>
      </c>
      <c r="N53" s="172" t="s">
        <v>114</v>
      </c>
      <c r="O53" s="174">
        <v>11</v>
      </c>
      <c r="P53" s="174" t="s">
        <v>112</v>
      </c>
      <c r="Q53" s="246">
        <f t="shared" si="2"/>
        <v>1</v>
      </c>
      <c r="R53" s="244">
        <f>VLOOKUP(M53,[4]Stores!$A$2:$G$1026,6,FALSE)/1000</f>
        <v>477.73</v>
      </c>
      <c r="S53" s="244">
        <f>VLOOKUP(M53,[4]Stores!$A$2:$G$1026,7,FALSE)/1000</f>
        <v>6806.7910000000002</v>
      </c>
      <c r="T53" s="244">
        <f t="shared" si="13"/>
        <v>1</v>
      </c>
      <c r="U53" s="244">
        <v>3</v>
      </c>
      <c r="V53" s="244" t="str">
        <f t="shared" si="4"/>
        <v>3 477.73 6806.791</v>
      </c>
      <c r="W53" s="244" t="str">
        <f t="shared" si="5"/>
        <v>3 11</v>
      </c>
    </row>
    <row r="54" spans="1:23" x14ac:dyDescent="0.2">
      <c r="A54" s="244">
        <v>6</v>
      </c>
      <c r="B54" s="244">
        <v>1</v>
      </c>
      <c r="C54" s="244">
        <f t="shared" si="12"/>
        <v>1</v>
      </c>
      <c r="D54" s="171" t="s">
        <v>169</v>
      </c>
      <c r="E54" s="169">
        <v>4</v>
      </c>
      <c r="F54" s="172" t="s">
        <v>116</v>
      </c>
      <c r="G54" s="172"/>
      <c r="I54" s="244">
        <v>2</v>
      </c>
      <c r="J54" s="171">
        <v>7</v>
      </c>
      <c r="K54" s="170" t="str">
        <f t="shared" si="1"/>
        <v>2 2 4 7</v>
      </c>
      <c r="M54" s="178">
        <v>1216</v>
      </c>
      <c r="N54" s="172" t="s">
        <v>116</v>
      </c>
      <c r="O54" s="174">
        <v>8</v>
      </c>
      <c r="P54" s="174" t="s">
        <v>112</v>
      </c>
      <c r="Q54" s="246">
        <f t="shared" si="2"/>
        <v>1</v>
      </c>
      <c r="R54" s="244">
        <f>VLOOKUP(M54,[4]Stores!$A$2:$G$1026,6,FALSE)/1000</f>
        <v>484.41800000000001</v>
      </c>
      <c r="S54" s="244">
        <f>VLOOKUP(M54,[4]Stores!$A$2:$G$1026,7,FALSE)/1000</f>
        <v>6809.1840000000002</v>
      </c>
      <c r="T54" s="244">
        <f t="shared" si="13"/>
        <v>1</v>
      </c>
      <c r="U54" s="244">
        <v>4</v>
      </c>
      <c r="V54" s="244" t="str">
        <f t="shared" si="4"/>
        <v>4 484.418 6809.184</v>
      </c>
      <c r="W54" s="244" t="str">
        <f t="shared" si="5"/>
        <v>4 8</v>
      </c>
    </row>
    <row r="55" spans="1:23" x14ac:dyDescent="0.2">
      <c r="A55" s="244">
        <v>6</v>
      </c>
      <c r="B55" s="244">
        <v>1</v>
      </c>
      <c r="C55" s="244">
        <f t="shared" si="12"/>
        <v>1</v>
      </c>
      <c r="D55" s="171" t="s">
        <v>170</v>
      </c>
      <c r="E55" s="169">
        <v>5</v>
      </c>
      <c r="F55" s="172" t="s">
        <v>119</v>
      </c>
      <c r="G55" s="172"/>
      <c r="I55" s="244">
        <v>7</v>
      </c>
      <c r="J55" s="171">
        <v>11</v>
      </c>
      <c r="K55" s="170" t="str">
        <f t="shared" si="1"/>
        <v>7 7 5 11</v>
      </c>
      <c r="M55" s="176">
        <v>1196</v>
      </c>
      <c r="N55" s="172" t="s">
        <v>119</v>
      </c>
      <c r="O55" s="174">
        <v>3</v>
      </c>
      <c r="P55" s="174" t="s">
        <v>117</v>
      </c>
      <c r="Q55" s="246">
        <f t="shared" si="2"/>
        <v>2</v>
      </c>
      <c r="R55" s="244">
        <f>VLOOKUP(M55,[4]Stores!$A$2:$G$1026,6,FALSE)/1000</f>
        <v>482.81299999999999</v>
      </c>
      <c r="S55" s="244">
        <f>VLOOKUP(M55,[4]Stores!$A$2:$G$1026,7,FALSE)/1000</f>
        <v>6795.1149999999998</v>
      </c>
      <c r="T55" s="244">
        <f t="shared" si="13"/>
        <v>1</v>
      </c>
      <c r="U55" s="244">
        <v>5</v>
      </c>
      <c r="V55" s="244" t="str">
        <f t="shared" si="4"/>
        <v>5 482.813 6795.115</v>
      </c>
      <c r="W55" s="244" t="str">
        <f t="shared" si="5"/>
        <v>5 3</v>
      </c>
    </row>
    <row r="56" spans="1:23" x14ac:dyDescent="0.2">
      <c r="A56" s="244">
        <v>6</v>
      </c>
      <c r="B56" s="244">
        <v>1</v>
      </c>
      <c r="C56" s="244">
        <f t="shared" si="12"/>
        <v>1</v>
      </c>
      <c r="D56" s="171" t="s">
        <v>171</v>
      </c>
      <c r="E56" s="169">
        <v>6</v>
      </c>
      <c r="F56" s="172" t="s">
        <v>121</v>
      </c>
      <c r="G56" s="172"/>
      <c r="I56" s="244">
        <v>8</v>
      </c>
      <c r="J56" s="171">
        <v>9</v>
      </c>
      <c r="K56" s="170" t="str">
        <f t="shared" si="1"/>
        <v>8 8 6 9</v>
      </c>
      <c r="M56" s="176">
        <v>1042</v>
      </c>
      <c r="N56" s="172" t="s">
        <v>121</v>
      </c>
      <c r="O56" s="174">
        <v>2</v>
      </c>
      <c r="P56" s="174" t="s">
        <v>117</v>
      </c>
      <c r="Q56" s="246">
        <f t="shared" si="2"/>
        <v>2</v>
      </c>
      <c r="R56" s="244">
        <f>VLOOKUP(M56,[4]Stores!$A$2:$G$1026,6,FALSE)/1000</f>
        <v>497.65699999999998</v>
      </c>
      <c r="S56" s="244">
        <f>VLOOKUP(M56,[4]Stores!$A$2:$G$1026,7,FALSE)/1000</f>
        <v>6800.38</v>
      </c>
      <c r="T56" s="244">
        <f t="shared" si="13"/>
        <v>1</v>
      </c>
      <c r="U56" s="244">
        <v>6</v>
      </c>
      <c r="V56" s="244" t="str">
        <f t="shared" si="4"/>
        <v>6 497.657 6800.38</v>
      </c>
      <c r="W56" s="244" t="str">
        <f t="shared" si="5"/>
        <v>6 2</v>
      </c>
    </row>
    <row r="57" spans="1:23" x14ac:dyDescent="0.2">
      <c r="A57" s="244">
        <v>6</v>
      </c>
      <c r="B57" s="244">
        <v>1</v>
      </c>
      <c r="C57" s="244">
        <f t="shared" si="12"/>
        <v>1</v>
      </c>
      <c r="D57" s="171" t="s">
        <v>172</v>
      </c>
      <c r="E57" s="169">
        <v>7</v>
      </c>
      <c r="F57" s="172" t="s">
        <v>123</v>
      </c>
      <c r="G57" s="172"/>
      <c r="I57" s="244">
        <v>9</v>
      </c>
      <c r="J57" s="171">
        <v>10</v>
      </c>
      <c r="K57" s="170" t="str">
        <f t="shared" si="1"/>
        <v>9 9 7 10</v>
      </c>
      <c r="M57" s="176">
        <v>1068</v>
      </c>
      <c r="N57" s="172" t="s">
        <v>123</v>
      </c>
      <c r="O57" s="174">
        <v>1</v>
      </c>
      <c r="P57" s="174" t="s">
        <v>117</v>
      </c>
      <c r="Q57" s="246">
        <f t="shared" si="2"/>
        <v>2</v>
      </c>
      <c r="R57" s="244">
        <f>VLOOKUP(M57,[4]Stores!$A$2:$G$1026,6,FALSE)/1000</f>
        <v>517.18499999999995</v>
      </c>
      <c r="S57" s="244">
        <f>VLOOKUP(M57,[4]Stores!$A$2:$G$1026,7,FALSE)/1000</f>
        <v>6801.4369999999999</v>
      </c>
      <c r="T57" s="244">
        <f t="shared" si="13"/>
        <v>1</v>
      </c>
      <c r="U57" s="244">
        <v>7</v>
      </c>
      <c r="V57" s="244" t="str">
        <f t="shared" si="4"/>
        <v>7 517.185 6801.437</v>
      </c>
      <c r="W57" s="244" t="str">
        <f t="shared" si="5"/>
        <v>7 1</v>
      </c>
    </row>
    <row r="58" spans="1:23" x14ac:dyDescent="0.2">
      <c r="A58" s="244">
        <v>6</v>
      </c>
      <c r="B58" s="244">
        <v>1</v>
      </c>
      <c r="C58" s="244">
        <f t="shared" si="12"/>
        <v>1</v>
      </c>
      <c r="D58" s="171" t="s">
        <v>173</v>
      </c>
      <c r="E58" s="169">
        <v>8</v>
      </c>
      <c r="F58" s="172" t="s">
        <v>125</v>
      </c>
      <c r="G58" s="172"/>
      <c r="I58" s="244">
        <v>3</v>
      </c>
      <c r="J58" s="171">
        <v>18</v>
      </c>
      <c r="K58" s="170" t="str">
        <f t="shared" si="1"/>
        <v>3 3 8 18</v>
      </c>
      <c r="M58" s="176">
        <v>1345</v>
      </c>
      <c r="N58" s="172" t="s">
        <v>125</v>
      </c>
      <c r="O58" s="174">
        <v>10</v>
      </c>
      <c r="P58" s="174" t="s">
        <v>117</v>
      </c>
      <c r="Q58" s="246">
        <f t="shared" si="2"/>
        <v>2</v>
      </c>
      <c r="R58" s="244">
        <f>VLOOKUP(M58,[4]Stores!$A$2:$G$1026,6,FALSE)/1000</f>
        <v>500.24200000000002</v>
      </c>
      <c r="S58" s="244">
        <f>VLOOKUP(M58,[4]Stores!$A$2:$G$1026,7,FALSE)/1000</f>
        <v>6764.7510000000002</v>
      </c>
      <c r="T58" s="244">
        <f t="shared" si="13"/>
        <v>1</v>
      </c>
      <c r="U58" s="244">
        <v>8</v>
      </c>
      <c r="V58" s="244" t="str">
        <f t="shared" si="4"/>
        <v>8 500.242 6764.751</v>
      </c>
      <c r="W58" s="244" t="str">
        <f t="shared" si="5"/>
        <v>8 10</v>
      </c>
    </row>
    <row r="59" spans="1:23" x14ac:dyDescent="0.2">
      <c r="A59" s="244">
        <v>6</v>
      </c>
      <c r="B59" s="244">
        <v>1</v>
      </c>
      <c r="C59" s="244">
        <f t="shared" si="12"/>
        <v>1</v>
      </c>
      <c r="D59" s="171" t="s">
        <v>174</v>
      </c>
      <c r="E59" s="169">
        <v>9</v>
      </c>
      <c r="F59" s="172" t="s">
        <v>127</v>
      </c>
      <c r="G59" s="172"/>
      <c r="I59" s="244">
        <v>10</v>
      </c>
      <c r="J59" s="171">
        <v>3</v>
      </c>
      <c r="K59" s="170" t="str">
        <f t="shared" si="1"/>
        <v>10 10 9 3</v>
      </c>
      <c r="M59" s="178">
        <v>1509</v>
      </c>
      <c r="N59" s="172" t="s">
        <v>127</v>
      </c>
      <c r="O59" s="174">
        <v>12</v>
      </c>
      <c r="P59" s="174" t="s">
        <v>112</v>
      </c>
      <c r="Q59" s="246">
        <f t="shared" si="2"/>
        <v>1</v>
      </c>
      <c r="R59" s="244">
        <f>VLOOKUP(M59,[4]Stores!$A$2:$G$1026,6,FALSE)/1000</f>
        <v>501.52600000000001</v>
      </c>
      <c r="S59" s="244">
        <f>VLOOKUP(M59,[4]Stores!$A$2:$G$1026,7,FALSE)/1000</f>
        <v>6779.6220000000003</v>
      </c>
      <c r="T59" s="244">
        <f t="shared" si="13"/>
        <v>1</v>
      </c>
      <c r="U59" s="244">
        <v>9</v>
      </c>
      <c r="V59" s="244" t="str">
        <f t="shared" si="4"/>
        <v>9 501.526 6779.622</v>
      </c>
      <c r="W59" s="244" t="str">
        <f t="shared" si="5"/>
        <v>9 12</v>
      </c>
    </row>
    <row r="60" spans="1:23" x14ac:dyDescent="0.2">
      <c r="A60" s="244">
        <v>6</v>
      </c>
      <c r="B60" s="244">
        <v>1</v>
      </c>
      <c r="C60" s="244">
        <f t="shared" si="12"/>
        <v>1</v>
      </c>
      <c r="D60" s="171" t="s">
        <v>175</v>
      </c>
      <c r="E60" s="169">
        <v>10</v>
      </c>
      <c r="F60" s="172" t="s">
        <v>129</v>
      </c>
      <c r="G60" s="172"/>
      <c r="I60" s="244">
        <v>5</v>
      </c>
      <c r="J60" s="171">
        <v>8</v>
      </c>
      <c r="K60" s="170" t="str">
        <f t="shared" si="1"/>
        <v>5 5 10 8</v>
      </c>
      <c r="M60" s="178">
        <v>1225</v>
      </c>
      <c r="N60" s="172" t="s">
        <v>129</v>
      </c>
      <c r="O60" s="174">
        <v>8</v>
      </c>
      <c r="P60" s="174" t="s">
        <v>117</v>
      </c>
      <c r="Q60" s="246">
        <f t="shared" si="2"/>
        <v>2</v>
      </c>
      <c r="R60" s="244">
        <f>VLOOKUP(M60,[4]Stores!$A$2:$G$1026,6,FALSE)/1000</f>
        <v>486.71699999999998</v>
      </c>
      <c r="S60" s="244">
        <f>VLOOKUP(M60,[4]Stores!$A$2:$G$1026,7,FALSE)/1000</f>
        <v>6780.6760000000004</v>
      </c>
      <c r="T60" s="244">
        <f t="shared" si="13"/>
        <v>1</v>
      </c>
      <c r="U60" s="244">
        <v>10</v>
      </c>
      <c r="V60" s="244" t="str">
        <f t="shared" si="4"/>
        <v>10 486.717 6780.676</v>
      </c>
      <c r="W60" s="244" t="str">
        <f t="shared" si="5"/>
        <v>10 8</v>
      </c>
    </row>
    <row r="61" spans="1:23" x14ac:dyDescent="0.2">
      <c r="A61" s="244">
        <v>6</v>
      </c>
      <c r="B61" s="244">
        <v>1</v>
      </c>
      <c r="C61" s="244">
        <f t="shared" si="12"/>
        <v>1</v>
      </c>
      <c r="D61" s="171" t="s">
        <v>176</v>
      </c>
      <c r="E61" s="169">
        <v>11</v>
      </c>
      <c r="F61" s="172" t="s">
        <v>131</v>
      </c>
      <c r="G61" s="172"/>
      <c r="I61" s="244">
        <v>6</v>
      </c>
      <c r="J61" s="171">
        <v>1</v>
      </c>
      <c r="K61" s="170" t="str">
        <f t="shared" si="1"/>
        <v>6 6 11 1</v>
      </c>
      <c r="M61" s="178">
        <v>1039</v>
      </c>
      <c r="N61" s="172" t="s">
        <v>131</v>
      </c>
      <c r="O61" s="174">
        <v>5</v>
      </c>
      <c r="P61" s="174" t="s">
        <v>112</v>
      </c>
      <c r="Q61" s="246">
        <f t="shared" si="2"/>
        <v>1</v>
      </c>
      <c r="R61" s="244">
        <f>VLOOKUP(M61,[4]Stores!$A$2:$G$1026,6,FALSE)/1000</f>
        <v>479.84699999999998</v>
      </c>
      <c r="S61" s="244">
        <f>VLOOKUP(M61,[4]Stores!$A$2:$G$1026,7,FALSE)/1000</f>
        <v>6776.21</v>
      </c>
      <c r="T61" s="244">
        <f t="shared" si="13"/>
        <v>1</v>
      </c>
      <c r="U61" s="244">
        <v>11</v>
      </c>
      <c r="V61" s="244" t="str">
        <f t="shared" si="4"/>
        <v>11 479.847 6776.21</v>
      </c>
      <c r="W61" s="244" t="str">
        <f t="shared" si="5"/>
        <v>11 5</v>
      </c>
    </row>
    <row r="62" spans="1:23" x14ac:dyDescent="0.2">
      <c r="A62" s="244">
        <v>6</v>
      </c>
      <c r="B62" s="244">
        <v>1</v>
      </c>
      <c r="C62" s="244">
        <f t="shared" si="12"/>
        <v>1</v>
      </c>
      <c r="D62" s="171" t="s">
        <v>177</v>
      </c>
      <c r="E62" s="169">
        <v>12</v>
      </c>
      <c r="F62" s="172" t="s">
        <v>133</v>
      </c>
      <c r="G62" s="172"/>
      <c r="I62" s="244">
        <v>4</v>
      </c>
      <c r="J62" s="171">
        <v>13</v>
      </c>
      <c r="K62" s="170" t="str">
        <f t="shared" si="1"/>
        <v>4 4 12 13</v>
      </c>
      <c r="M62" s="176">
        <v>1197</v>
      </c>
      <c r="N62" s="172" t="s">
        <v>133</v>
      </c>
      <c r="O62" s="174">
        <v>2</v>
      </c>
      <c r="P62" s="174" t="s">
        <v>117</v>
      </c>
      <c r="Q62" s="246">
        <f t="shared" si="2"/>
        <v>2</v>
      </c>
      <c r="R62" s="244">
        <f>VLOOKUP(M62,[4]Stores!$A$2:$G$1026,6,FALSE)/1000</f>
        <v>517.41899999999998</v>
      </c>
      <c r="S62" s="244">
        <f>VLOOKUP(M62,[4]Stores!$A$2:$G$1026,7,FALSE)/1000</f>
        <v>6760.598</v>
      </c>
      <c r="T62" s="244">
        <f t="shared" si="13"/>
        <v>1</v>
      </c>
      <c r="U62" s="244">
        <v>12</v>
      </c>
      <c r="V62" s="244" t="str">
        <f t="shared" si="4"/>
        <v>12 517.419 6760.598</v>
      </c>
      <c r="W62" s="244" t="str">
        <f t="shared" si="5"/>
        <v>12 2</v>
      </c>
    </row>
    <row r="63" spans="1:23" x14ac:dyDescent="0.2">
      <c r="K63" s="170" t="str">
        <f t="shared" si="1"/>
        <v xml:space="preserve">   </v>
      </c>
      <c r="Q63" s="246">
        <f t="shared" si="2"/>
        <v>2</v>
      </c>
      <c r="V63" s="244" t="str">
        <f t="shared" si="4"/>
        <v xml:space="preserve">  </v>
      </c>
      <c r="W63" s="244" t="str">
        <f t="shared" si="5"/>
        <v xml:space="preserve"> </v>
      </c>
    </row>
    <row r="64" spans="1:23" x14ac:dyDescent="0.2">
      <c r="A64" s="244">
        <v>6</v>
      </c>
      <c r="B64" s="244">
        <v>4</v>
      </c>
      <c r="C64" s="244">
        <f t="shared" ref="C64:C74" si="14">COUNTIF($D$64:$D$74,D64)</f>
        <v>1</v>
      </c>
      <c r="D64" s="171" t="s">
        <v>178</v>
      </c>
      <c r="E64" s="169">
        <v>2</v>
      </c>
      <c r="F64" s="172" t="s">
        <v>111</v>
      </c>
      <c r="G64" s="172"/>
      <c r="I64" s="244">
        <v>0</v>
      </c>
      <c r="J64" s="171">
        <v>3</v>
      </c>
      <c r="K64" s="170" t="str">
        <f t="shared" si="1"/>
        <v>0 0 2 3</v>
      </c>
      <c r="L64" s="244">
        <v>6</v>
      </c>
      <c r="M64" s="176">
        <v>1630</v>
      </c>
      <c r="N64" s="172" t="s">
        <v>111</v>
      </c>
      <c r="O64" s="174">
        <v>6</v>
      </c>
      <c r="P64" s="174" t="s">
        <v>112</v>
      </c>
      <c r="Q64" s="246">
        <f t="shared" si="2"/>
        <v>1</v>
      </c>
      <c r="R64" s="244">
        <f>VLOOKUP(M64,[4]Stores!$A$2:$G$1026,6,FALSE)/1000</f>
        <v>492.42099999999999</v>
      </c>
      <c r="S64" s="244">
        <f>VLOOKUP(M64,[4]Stores!$A$2:$G$1026,7,FALSE)/1000</f>
        <v>6829.0879999999997</v>
      </c>
      <c r="T64" s="244">
        <f t="shared" ref="T64:T74" si="15">COUNTIF($N$4:$N$14,F64)</f>
        <v>1</v>
      </c>
      <c r="U64" s="244">
        <v>2</v>
      </c>
      <c r="V64" s="244" t="str">
        <f t="shared" si="4"/>
        <v>2 492.421 6829.088</v>
      </c>
      <c r="W64" s="244" t="str">
        <f t="shared" si="5"/>
        <v>2 6</v>
      </c>
    </row>
    <row r="65" spans="1:23" x14ac:dyDescent="0.2">
      <c r="A65" s="244">
        <v>6</v>
      </c>
      <c r="B65" s="244">
        <v>4</v>
      </c>
      <c r="C65" s="244">
        <f t="shared" si="14"/>
        <v>1</v>
      </c>
      <c r="D65" s="171" t="s">
        <v>179</v>
      </c>
      <c r="E65" s="169">
        <v>3</v>
      </c>
      <c r="F65" s="172" t="s">
        <v>114</v>
      </c>
      <c r="G65" s="172"/>
      <c r="I65" s="244">
        <v>1</v>
      </c>
      <c r="J65" s="171">
        <v>3</v>
      </c>
      <c r="K65" s="170" t="str">
        <f t="shared" si="1"/>
        <v>1 1 3 3</v>
      </c>
      <c r="M65" s="177">
        <v>1624</v>
      </c>
      <c r="N65" s="172" t="s">
        <v>114</v>
      </c>
      <c r="O65" s="174">
        <v>10</v>
      </c>
      <c r="P65" s="174" t="s">
        <v>112</v>
      </c>
      <c r="Q65" s="246">
        <f t="shared" si="2"/>
        <v>1</v>
      </c>
      <c r="R65" s="244">
        <f>VLOOKUP(M65,[4]Stores!$A$2:$G$1026,6,FALSE)/1000</f>
        <v>477.73</v>
      </c>
      <c r="S65" s="244">
        <f>VLOOKUP(M65,[4]Stores!$A$2:$G$1026,7,FALSE)/1000</f>
        <v>6806.7910000000002</v>
      </c>
      <c r="T65" s="244">
        <f t="shared" si="15"/>
        <v>1</v>
      </c>
      <c r="U65" s="244">
        <v>3</v>
      </c>
      <c r="V65" s="244" t="str">
        <f t="shared" si="4"/>
        <v>3 477.73 6806.791</v>
      </c>
      <c r="W65" s="244" t="str">
        <f t="shared" si="5"/>
        <v>3 10</v>
      </c>
    </row>
    <row r="66" spans="1:23" x14ac:dyDescent="0.2">
      <c r="A66" s="244">
        <v>6</v>
      </c>
      <c r="B66" s="244">
        <v>4</v>
      </c>
      <c r="C66" s="244">
        <f t="shared" si="14"/>
        <v>1</v>
      </c>
      <c r="D66" s="171" t="s">
        <v>180</v>
      </c>
      <c r="E66" s="169">
        <v>4</v>
      </c>
      <c r="F66" s="172" t="s">
        <v>116</v>
      </c>
      <c r="G66" s="172"/>
      <c r="I66" s="244">
        <v>2</v>
      </c>
      <c r="J66" s="171">
        <v>6</v>
      </c>
      <c r="K66" s="170" t="str">
        <f t="shared" si="1"/>
        <v>2 2 4 6</v>
      </c>
      <c r="M66" s="178">
        <v>1216</v>
      </c>
      <c r="N66" s="172" t="s">
        <v>116</v>
      </c>
      <c r="O66" s="174">
        <v>6</v>
      </c>
      <c r="P66" s="174" t="s">
        <v>117</v>
      </c>
      <c r="Q66" s="246">
        <f t="shared" si="2"/>
        <v>2</v>
      </c>
      <c r="R66" s="244">
        <f>VLOOKUP(M66,[4]Stores!$A$2:$G$1026,6,FALSE)/1000</f>
        <v>484.41800000000001</v>
      </c>
      <c r="S66" s="244">
        <f>VLOOKUP(M66,[4]Stores!$A$2:$G$1026,7,FALSE)/1000</f>
        <v>6809.1840000000002</v>
      </c>
      <c r="T66" s="244">
        <f t="shared" si="15"/>
        <v>1</v>
      </c>
      <c r="U66" s="244">
        <v>4</v>
      </c>
      <c r="V66" s="244" t="str">
        <f t="shared" si="4"/>
        <v>4 484.418 6809.184</v>
      </c>
      <c r="W66" s="244" t="str">
        <f t="shared" si="5"/>
        <v>4 6</v>
      </c>
    </row>
    <row r="67" spans="1:23" x14ac:dyDescent="0.2">
      <c r="A67" s="244">
        <v>6</v>
      </c>
      <c r="B67" s="244">
        <v>4</v>
      </c>
      <c r="C67" s="244">
        <f t="shared" si="14"/>
        <v>1</v>
      </c>
      <c r="D67" s="171" t="s">
        <v>181</v>
      </c>
      <c r="E67" s="169">
        <v>5</v>
      </c>
      <c r="F67" s="172" t="s">
        <v>119</v>
      </c>
      <c r="G67" s="172"/>
      <c r="I67" s="244">
        <v>5</v>
      </c>
      <c r="J67" s="171">
        <v>7</v>
      </c>
      <c r="K67" s="170" t="str">
        <f t="shared" si="1"/>
        <v>5 5 5 7</v>
      </c>
      <c r="M67" s="176">
        <v>1196</v>
      </c>
      <c r="N67" s="172" t="s">
        <v>119</v>
      </c>
      <c r="O67" s="174">
        <v>3</v>
      </c>
      <c r="P67" s="174" t="s">
        <v>117</v>
      </c>
      <c r="Q67" s="246">
        <f t="shared" si="2"/>
        <v>2</v>
      </c>
      <c r="R67" s="244">
        <f>VLOOKUP(M67,[4]Stores!$A$2:$G$1026,6,FALSE)/1000</f>
        <v>482.81299999999999</v>
      </c>
      <c r="S67" s="244">
        <f>VLOOKUP(M67,[4]Stores!$A$2:$G$1026,7,FALSE)/1000</f>
        <v>6795.1149999999998</v>
      </c>
      <c r="T67" s="244">
        <f t="shared" si="15"/>
        <v>1</v>
      </c>
      <c r="U67" s="244">
        <v>5</v>
      </c>
      <c r="V67" s="244" t="str">
        <f t="shared" si="4"/>
        <v>5 482.813 6795.115</v>
      </c>
      <c r="W67" s="244" t="str">
        <f t="shared" si="5"/>
        <v>5 3</v>
      </c>
    </row>
    <row r="68" spans="1:23" x14ac:dyDescent="0.2">
      <c r="A68" s="244">
        <v>6</v>
      </c>
      <c r="B68" s="244">
        <v>4</v>
      </c>
      <c r="C68" s="244">
        <f t="shared" si="14"/>
        <v>1</v>
      </c>
      <c r="D68" s="171" t="s">
        <v>182</v>
      </c>
      <c r="E68" s="169">
        <v>6</v>
      </c>
      <c r="F68" s="172" t="s">
        <v>121</v>
      </c>
      <c r="G68" s="172"/>
      <c r="I68" s="244">
        <v>8</v>
      </c>
      <c r="J68" s="171">
        <v>10</v>
      </c>
      <c r="K68" s="170" t="str">
        <f t="shared" si="1"/>
        <v>8 8 6 10</v>
      </c>
      <c r="M68" s="176">
        <v>1042</v>
      </c>
      <c r="N68" s="172" t="s">
        <v>121</v>
      </c>
      <c r="O68" s="174">
        <v>2</v>
      </c>
      <c r="P68" s="174" t="s">
        <v>117</v>
      </c>
      <c r="Q68" s="246">
        <f t="shared" si="2"/>
        <v>2</v>
      </c>
      <c r="R68" s="244">
        <f>VLOOKUP(M68,[4]Stores!$A$2:$G$1026,6,FALSE)/1000</f>
        <v>497.65699999999998</v>
      </c>
      <c r="S68" s="244">
        <f>VLOOKUP(M68,[4]Stores!$A$2:$G$1026,7,FALSE)/1000</f>
        <v>6800.38</v>
      </c>
      <c r="T68" s="244">
        <f t="shared" si="15"/>
        <v>1</v>
      </c>
      <c r="U68" s="244">
        <v>6</v>
      </c>
      <c r="V68" s="244" t="str">
        <f t="shared" si="4"/>
        <v>6 497.657 6800.38</v>
      </c>
      <c r="W68" s="244" t="str">
        <f t="shared" si="5"/>
        <v>6 2</v>
      </c>
    </row>
    <row r="69" spans="1:23" x14ac:dyDescent="0.2">
      <c r="A69" s="244">
        <v>6</v>
      </c>
      <c r="B69" s="244">
        <v>4</v>
      </c>
      <c r="C69" s="244">
        <f t="shared" si="14"/>
        <v>1</v>
      </c>
      <c r="D69" s="171" t="s">
        <v>183</v>
      </c>
      <c r="E69" s="169">
        <v>7</v>
      </c>
      <c r="F69" s="172" t="s">
        <v>123</v>
      </c>
      <c r="G69" s="172"/>
      <c r="I69" s="244">
        <v>9</v>
      </c>
      <c r="J69" s="171">
        <v>10</v>
      </c>
      <c r="K69" s="170" t="str">
        <f t="shared" ref="K69:K132" si="16">I69&amp;" "&amp;I69&amp;" "&amp;E69&amp;" "&amp;J69</f>
        <v>9 9 7 10</v>
      </c>
      <c r="M69" s="176">
        <v>1068</v>
      </c>
      <c r="N69" s="172" t="s">
        <v>123</v>
      </c>
      <c r="O69" s="174">
        <v>3</v>
      </c>
      <c r="P69" s="174" t="s">
        <v>117</v>
      </c>
      <c r="Q69" s="246">
        <f t="shared" ref="Q69:Q132" si="17">IF(P69="NO",1,2)</f>
        <v>2</v>
      </c>
      <c r="R69" s="244">
        <f>VLOOKUP(M69,[4]Stores!$A$2:$G$1026,6,FALSE)/1000</f>
        <v>517.18499999999995</v>
      </c>
      <c r="S69" s="244">
        <f>VLOOKUP(M69,[4]Stores!$A$2:$G$1026,7,FALSE)/1000</f>
        <v>6801.4369999999999</v>
      </c>
      <c r="T69" s="244">
        <f t="shared" si="15"/>
        <v>1</v>
      </c>
      <c r="U69" s="244">
        <v>7</v>
      </c>
      <c r="V69" s="244" t="str">
        <f t="shared" ref="V69:V132" si="18">U69&amp;" "&amp;R69&amp;" "&amp;S69</f>
        <v>7 517.185 6801.437</v>
      </c>
      <c r="W69" s="244" t="str">
        <f t="shared" ref="W69:W132" si="19">U69&amp;" "&amp;O69</f>
        <v>7 3</v>
      </c>
    </row>
    <row r="70" spans="1:23" x14ac:dyDescent="0.2">
      <c r="A70" s="244">
        <v>6</v>
      </c>
      <c r="B70" s="244">
        <v>4</v>
      </c>
      <c r="C70" s="244">
        <f t="shared" si="14"/>
        <v>1</v>
      </c>
      <c r="D70" s="171" t="s">
        <v>184</v>
      </c>
      <c r="E70" s="169">
        <v>8</v>
      </c>
      <c r="F70" s="172" t="s">
        <v>125</v>
      </c>
      <c r="G70" s="172"/>
      <c r="I70" s="244">
        <v>6</v>
      </c>
      <c r="J70" s="171">
        <v>16</v>
      </c>
      <c r="K70" s="170" t="str">
        <f t="shared" si="16"/>
        <v>6 6 8 16</v>
      </c>
      <c r="M70" s="176">
        <v>1345</v>
      </c>
      <c r="N70" s="172" t="s">
        <v>125</v>
      </c>
      <c r="O70" s="174">
        <v>9</v>
      </c>
      <c r="P70" s="174" t="s">
        <v>117</v>
      </c>
      <c r="Q70" s="246">
        <f t="shared" si="17"/>
        <v>2</v>
      </c>
      <c r="R70" s="244">
        <f>VLOOKUP(M70,[4]Stores!$A$2:$G$1026,6,FALSE)/1000</f>
        <v>500.24200000000002</v>
      </c>
      <c r="S70" s="244">
        <f>VLOOKUP(M70,[4]Stores!$A$2:$G$1026,7,FALSE)/1000</f>
        <v>6764.7510000000002</v>
      </c>
      <c r="T70" s="244">
        <f t="shared" si="15"/>
        <v>1</v>
      </c>
      <c r="U70" s="244">
        <v>8</v>
      </c>
      <c r="V70" s="244" t="str">
        <f t="shared" si="18"/>
        <v>8 500.242 6764.751</v>
      </c>
      <c r="W70" s="244" t="str">
        <f t="shared" si="19"/>
        <v>8 9</v>
      </c>
    </row>
    <row r="71" spans="1:23" x14ac:dyDescent="0.2">
      <c r="A71" s="244">
        <v>6</v>
      </c>
      <c r="B71" s="244">
        <v>4</v>
      </c>
      <c r="C71" s="244">
        <f t="shared" si="14"/>
        <v>1</v>
      </c>
      <c r="D71" s="171" t="s">
        <v>185</v>
      </c>
      <c r="E71" s="169">
        <v>9</v>
      </c>
      <c r="F71" s="172" t="s">
        <v>127</v>
      </c>
      <c r="G71" s="172"/>
      <c r="I71" s="244">
        <v>10</v>
      </c>
      <c r="J71" s="171">
        <v>8</v>
      </c>
      <c r="K71" s="170" t="str">
        <f t="shared" si="16"/>
        <v>10 10 9 8</v>
      </c>
      <c r="M71" s="178">
        <v>1509</v>
      </c>
      <c r="N71" s="172" t="s">
        <v>127</v>
      </c>
      <c r="O71" s="174">
        <v>11</v>
      </c>
      <c r="P71" s="174" t="s">
        <v>112</v>
      </c>
      <c r="Q71" s="246">
        <f t="shared" si="17"/>
        <v>1</v>
      </c>
      <c r="R71" s="244">
        <f>VLOOKUP(M71,[4]Stores!$A$2:$G$1026,6,FALSE)/1000</f>
        <v>501.52600000000001</v>
      </c>
      <c r="S71" s="244">
        <f>VLOOKUP(M71,[4]Stores!$A$2:$G$1026,7,FALSE)/1000</f>
        <v>6779.6220000000003</v>
      </c>
      <c r="T71" s="244">
        <f t="shared" si="15"/>
        <v>1</v>
      </c>
      <c r="U71" s="244">
        <v>9</v>
      </c>
      <c r="V71" s="244" t="str">
        <f t="shared" si="18"/>
        <v>9 501.526 6779.622</v>
      </c>
      <c r="W71" s="244" t="str">
        <f t="shared" si="19"/>
        <v>9 11</v>
      </c>
    </row>
    <row r="72" spans="1:23" x14ac:dyDescent="0.2">
      <c r="A72" s="244">
        <v>6</v>
      </c>
      <c r="B72" s="244">
        <v>4</v>
      </c>
      <c r="C72" s="244">
        <f t="shared" si="14"/>
        <v>1</v>
      </c>
      <c r="D72" s="171" t="s">
        <v>186</v>
      </c>
      <c r="E72" s="169">
        <v>10</v>
      </c>
      <c r="F72" s="172" t="s">
        <v>129</v>
      </c>
      <c r="G72" s="172"/>
      <c r="I72" s="244">
        <v>3</v>
      </c>
      <c r="J72" s="171">
        <v>8</v>
      </c>
      <c r="K72" s="170" t="str">
        <f t="shared" si="16"/>
        <v>3 3 10 8</v>
      </c>
      <c r="M72" s="178">
        <v>1225</v>
      </c>
      <c r="N72" s="172" t="s">
        <v>129</v>
      </c>
      <c r="O72" s="174">
        <v>8</v>
      </c>
      <c r="P72" s="174" t="s">
        <v>117</v>
      </c>
      <c r="Q72" s="246">
        <f t="shared" si="17"/>
        <v>2</v>
      </c>
      <c r="R72" s="244">
        <f>VLOOKUP(M72,[4]Stores!$A$2:$G$1026,6,FALSE)/1000</f>
        <v>486.71699999999998</v>
      </c>
      <c r="S72" s="244">
        <f>VLOOKUP(M72,[4]Stores!$A$2:$G$1026,7,FALSE)/1000</f>
        <v>6780.6760000000004</v>
      </c>
      <c r="T72" s="244">
        <f t="shared" si="15"/>
        <v>1</v>
      </c>
      <c r="U72" s="244">
        <v>10</v>
      </c>
      <c r="V72" s="244" t="str">
        <f t="shared" si="18"/>
        <v>10 486.717 6780.676</v>
      </c>
      <c r="W72" s="244" t="str">
        <f t="shared" si="19"/>
        <v>10 8</v>
      </c>
    </row>
    <row r="73" spans="1:23" x14ac:dyDescent="0.2">
      <c r="A73" s="244">
        <v>6</v>
      </c>
      <c r="B73" s="244">
        <v>4</v>
      </c>
      <c r="C73" s="244">
        <f t="shared" si="14"/>
        <v>1</v>
      </c>
      <c r="D73" s="171" t="s">
        <v>187</v>
      </c>
      <c r="E73" s="169">
        <v>11</v>
      </c>
      <c r="F73" s="172" t="s">
        <v>131</v>
      </c>
      <c r="G73" s="172"/>
      <c r="I73" s="244">
        <v>4</v>
      </c>
      <c r="J73" s="171">
        <v>1</v>
      </c>
      <c r="K73" s="170" t="str">
        <f t="shared" si="16"/>
        <v>4 4 11 1</v>
      </c>
      <c r="M73" s="178">
        <v>1039</v>
      </c>
      <c r="N73" s="172" t="s">
        <v>131</v>
      </c>
      <c r="O73" s="174">
        <v>7</v>
      </c>
      <c r="P73" s="174" t="s">
        <v>112</v>
      </c>
      <c r="Q73" s="246">
        <f t="shared" si="17"/>
        <v>1</v>
      </c>
      <c r="R73" s="244">
        <f>VLOOKUP(M73,[4]Stores!$A$2:$G$1026,6,FALSE)/1000</f>
        <v>479.84699999999998</v>
      </c>
      <c r="S73" s="244">
        <f>VLOOKUP(M73,[4]Stores!$A$2:$G$1026,7,FALSE)/1000</f>
        <v>6776.21</v>
      </c>
      <c r="T73" s="244">
        <f t="shared" si="15"/>
        <v>1</v>
      </c>
      <c r="U73" s="244">
        <v>11</v>
      </c>
      <c r="V73" s="244" t="str">
        <f t="shared" si="18"/>
        <v>11 479.847 6776.21</v>
      </c>
      <c r="W73" s="244" t="str">
        <f t="shared" si="19"/>
        <v>11 7</v>
      </c>
    </row>
    <row r="74" spans="1:23" x14ac:dyDescent="0.2">
      <c r="A74" s="244">
        <v>6</v>
      </c>
      <c r="B74" s="244">
        <v>4</v>
      </c>
      <c r="C74" s="244">
        <f t="shared" si="14"/>
        <v>1</v>
      </c>
      <c r="D74" s="171" t="s">
        <v>188</v>
      </c>
      <c r="E74" s="169">
        <v>12</v>
      </c>
      <c r="F74" s="172" t="s">
        <v>133</v>
      </c>
      <c r="G74" s="172"/>
      <c r="I74" s="244">
        <v>7</v>
      </c>
      <c r="J74" s="171">
        <v>7</v>
      </c>
      <c r="K74" s="170" t="str">
        <f t="shared" si="16"/>
        <v>7 7 12 7</v>
      </c>
      <c r="M74" s="176">
        <v>1197</v>
      </c>
      <c r="N74" s="172" t="s">
        <v>133</v>
      </c>
      <c r="O74" s="174">
        <v>3</v>
      </c>
      <c r="P74" s="174" t="s">
        <v>117</v>
      </c>
      <c r="Q74" s="246">
        <f t="shared" si="17"/>
        <v>2</v>
      </c>
      <c r="R74" s="244">
        <f>VLOOKUP(M74,[4]Stores!$A$2:$G$1026,6,FALSE)/1000</f>
        <v>517.41899999999998</v>
      </c>
      <c r="S74" s="244">
        <f>VLOOKUP(M74,[4]Stores!$A$2:$G$1026,7,FALSE)/1000</f>
        <v>6760.598</v>
      </c>
      <c r="T74" s="244">
        <f t="shared" si="15"/>
        <v>1</v>
      </c>
      <c r="U74" s="244">
        <v>12</v>
      </c>
      <c r="V74" s="244" t="str">
        <f t="shared" si="18"/>
        <v>12 517.419 6760.598</v>
      </c>
      <c r="W74" s="244" t="str">
        <f t="shared" si="19"/>
        <v>12 3</v>
      </c>
    </row>
    <row r="75" spans="1:23" x14ac:dyDescent="0.2">
      <c r="K75" s="170" t="str">
        <f t="shared" si="16"/>
        <v xml:space="preserve">   </v>
      </c>
      <c r="Q75" s="246">
        <f t="shared" si="17"/>
        <v>2</v>
      </c>
      <c r="V75" s="244" t="str">
        <f t="shared" si="18"/>
        <v xml:space="preserve">  </v>
      </c>
      <c r="W75" s="244" t="str">
        <f t="shared" si="19"/>
        <v xml:space="preserve"> </v>
      </c>
    </row>
    <row r="76" spans="1:23" x14ac:dyDescent="0.2">
      <c r="A76" s="244">
        <v>6</v>
      </c>
      <c r="B76" s="244">
        <v>5</v>
      </c>
      <c r="C76" s="244">
        <f t="shared" ref="C76:C86" si="20">COUNTIF($D$76:$D$86,D76)</f>
        <v>1</v>
      </c>
      <c r="D76" s="171" t="s">
        <v>189</v>
      </c>
      <c r="E76" s="169">
        <v>2</v>
      </c>
      <c r="F76" s="172" t="s">
        <v>111</v>
      </c>
      <c r="G76" s="172"/>
      <c r="I76" s="244">
        <v>0</v>
      </c>
      <c r="J76" s="171">
        <v>3</v>
      </c>
      <c r="K76" s="170" t="str">
        <f t="shared" si="16"/>
        <v>0 0 2 3</v>
      </c>
      <c r="L76" s="244">
        <v>7</v>
      </c>
      <c r="M76" s="176">
        <v>1630</v>
      </c>
      <c r="N76" s="172" t="s">
        <v>111</v>
      </c>
      <c r="O76" s="174">
        <f>3+4</f>
        <v>7</v>
      </c>
      <c r="P76" s="174" t="s">
        <v>112</v>
      </c>
      <c r="Q76" s="246">
        <f t="shared" si="17"/>
        <v>1</v>
      </c>
      <c r="R76" s="244">
        <f>VLOOKUP(M76,[4]Stores!$A$2:$G$1026,6,FALSE)/1000</f>
        <v>492.42099999999999</v>
      </c>
      <c r="S76" s="244">
        <f>VLOOKUP(M76,[4]Stores!$A$2:$G$1026,7,FALSE)/1000</f>
        <v>6829.0879999999997</v>
      </c>
      <c r="T76" s="244">
        <f t="shared" ref="T76:T86" si="21">COUNTIF($N$4:$N$14,F76)</f>
        <v>1</v>
      </c>
      <c r="U76" s="244">
        <v>2</v>
      </c>
      <c r="V76" s="244" t="str">
        <f t="shared" si="18"/>
        <v>2 492.421 6829.088</v>
      </c>
      <c r="W76" s="244" t="str">
        <f t="shared" si="19"/>
        <v>2 7</v>
      </c>
    </row>
    <row r="77" spans="1:23" x14ac:dyDescent="0.2">
      <c r="A77" s="244">
        <v>6</v>
      </c>
      <c r="B77" s="244">
        <v>5</v>
      </c>
      <c r="C77" s="244">
        <f t="shared" si="20"/>
        <v>1</v>
      </c>
      <c r="D77" s="171" t="s">
        <v>190</v>
      </c>
      <c r="E77" s="169">
        <v>3</v>
      </c>
      <c r="F77" s="172" t="s">
        <v>114</v>
      </c>
      <c r="G77" s="172"/>
      <c r="I77" s="244">
        <v>1</v>
      </c>
      <c r="J77" s="171">
        <v>22</v>
      </c>
      <c r="K77" s="170" t="str">
        <f t="shared" si="16"/>
        <v>1 1 3 22</v>
      </c>
      <c r="M77" s="177">
        <v>1624</v>
      </c>
      <c r="N77" s="172" t="s">
        <v>114</v>
      </c>
      <c r="O77" s="174">
        <v>9</v>
      </c>
      <c r="P77" s="174" t="s">
        <v>117</v>
      </c>
      <c r="Q77" s="246">
        <f t="shared" si="17"/>
        <v>2</v>
      </c>
      <c r="R77" s="244">
        <f>VLOOKUP(M77,[4]Stores!$A$2:$G$1026,6,FALSE)/1000</f>
        <v>477.73</v>
      </c>
      <c r="S77" s="244">
        <f>VLOOKUP(M77,[4]Stores!$A$2:$G$1026,7,FALSE)/1000</f>
        <v>6806.7910000000002</v>
      </c>
      <c r="T77" s="244">
        <f t="shared" si="21"/>
        <v>1</v>
      </c>
      <c r="U77" s="244">
        <v>3</v>
      </c>
      <c r="V77" s="244" t="str">
        <f t="shared" si="18"/>
        <v>3 477.73 6806.791</v>
      </c>
      <c r="W77" s="244" t="str">
        <f t="shared" si="19"/>
        <v>3 9</v>
      </c>
    </row>
    <row r="78" spans="1:23" x14ac:dyDescent="0.2">
      <c r="A78" s="244">
        <v>6</v>
      </c>
      <c r="B78" s="244">
        <v>5</v>
      </c>
      <c r="C78" s="244">
        <f t="shared" si="20"/>
        <v>1</v>
      </c>
      <c r="D78" s="171" t="s">
        <v>191</v>
      </c>
      <c r="E78" s="169">
        <v>4</v>
      </c>
      <c r="F78" s="172" t="s">
        <v>116</v>
      </c>
      <c r="G78" s="172"/>
      <c r="I78" s="244">
        <v>2</v>
      </c>
      <c r="J78" s="171">
        <v>11</v>
      </c>
      <c r="K78" s="170" t="str">
        <f t="shared" si="16"/>
        <v>2 2 4 11</v>
      </c>
      <c r="M78" s="178">
        <v>1216</v>
      </c>
      <c r="N78" s="172" t="s">
        <v>116</v>
      </c>
      <c r="O78" s="174">
        <v>7</v>
      </c>
      <c r="P78" s="174" t="s">
        <v>117</v>
      </c>
      <c r="Q78" s="246">
        <f t="shared" si="17"/>
        <v>2</v>
      </c>
      <c r="R78" s="244">
        <f>VLOOKUP(M78,[4]Stores!$A$2:$G$1026,6,FALSE)/1000</f>
        <v>484.41800000000001</v>
      </c>
      <c r="S78" s="244">
        <f>VLOOKUP(M78,[4]Stores!$A$2:$G$1026,7,FALSE)/1000</f>
        <v>6809.1840000000002</v>
      </c>
      <c r="T78" s="244">
        <f t="shared" si="21"/>
        <v>1</v>
      </c>
      <c r="U78" s="244">
        <v>4</v>
      </c>
      <c r="V78" s="244" t="str">
        <f t="shared" si="18"/>
        <v>4 484.418 6809.184</v>
      </c>
      <c r="W78" s="244" t="str">
        <f t="shared" si="19"/>
        <v>4 7</v>
      </c>
    </row>
    <row r="79" spans="1:23" x14ac:dyDescent="0.2">
      <c r="A79" s="244">
        <v>6</v>
      </c>
      <c r="B79" s="244">
        <v>5</v>
      </c>
      <c r="C79" s="244">
        <f t="shared" si="20"/>
        <v>1</v>
      </c>
      <c r="D79" s="171" t="s">
        <v>192</v>
      </c>
      <c r="E79" s="169">
        <v>5</v>
      </c>
      <c r="F79" s="172" t="s">
        <v>119</v>
      </c>
      <c r="G79" s="172"/>
      <c r="I79" s="244">
        <v>3</v>
      </c>
      <c r="J79" s="171">
        <v>26</v>
      </c>
      <c r="K79" s="170" t="str">
        <f t="shared" si="16"/>
        <v>3 3 5 26</v>
      </c>
      <c r="M79" s="176">
        <v>1196</v>
      </c>
      <c r="N79" s="172" t="s">
        <v>119</v>
      </c>
      <c r="O79" s="174">
        <v>4</v>
      </c>
      <c r="P79" s="174" t="s">
        <v>117</v>
      </c>
      <c r="Q79" s="246">
        <f t="shared" si="17"/>
        <v>2</v>
      </c>
      <c r="R79" s="244">
        <f>VLOOKUP(M79,[4]Stores!$A$2:$G$1026,6,FALSE)/1000</f>
        <v>482.81299999999999</v>
      </c>
      <c r="S79" s="244">
        <f>VLOOKUP(M79,[4]Stores!$A$2:$G$1026,7,FALSE)/1000</f>
        <v>6795.1149999999998</v>
      </c>
      <c r="T79" s="244">
        <f t="shared" si="21"/>
        <v>1</v>
      </c>
      <c r="U79" s="244">
        <v>5</v>
      </c>
      <c r="V79" s="244" t="str">
        <f t="shared" si="18"/>
        <v>5 482.813 6795.115</v>
      </c>
      <c r="W79" s="244" t="str">
        <f t="shared" si="19"/>
        <v>5 4</v>
      </c>
    </row>
    <row r="80" spans="1:23" x14ac:dyDescent="0.2">
      <c r="A80" s="244">
        <v>6</v>
      </c>
      <c r="B80" s="244">
        <v>5</v>
      </c>
      <c r="C80" s="244">
        <f t="shared" si="20"/>
        <v>1</v>
      </c>
      <c r="D80" s="171" t="s">
        <v>193</v>
      </c>
      <c r="E80" s="169">
        <v>6</v>
      </c>
      <c r="F80" s="172" t="s">
        <v>121</v>
      </c>
      <c r="G80" s="172"/>
      <c r="I80" s="244">
        <v>4</v>
      </c>
      <c r="J80" s="171">
        <v>4</v>
      </c>
      <c r="K80" s="170" t="str">
        <f t="shared" si="16"/>
        <v>4 4 6 4</v>
      </c>
      <c r="M80" s="176">
        <v>1042</v>
      </c>
      <c r="N80" s="172" t="s">
        <v>121</v>
      </c>
      <c r="O80" s="174">
        <v>2</v>
      </c>
      <c r="P80" s="174" t="s">
        <v>117</v>
      </c>
      <c r="Q80" s="246">
        <f t="shared" si="17"/>
        <v>2</v>
      </c>
      <c r="R80" s="244">
        <f>VLOOKUP(M80,[4]Stores!$A$2:$G$1026,6,FALSE)/1000</f>
        <v>497.65699999999998</v>
      </c>
      <c r="S80" s="244">
        <f>VLOOKUP(M80,[4]Stores!$A$2:$G$1026,7,FALSE)/1000</f>
        <v>6800.38</v>
      </c>
      <c r="T80" s="244">
        <f t="shared" si="21"/>
        <v>1</v>
      </c>
      <c r="U80" s="244">
        <v>6</v>
      </c>
      <c r="V80" s="244" t="str">
        <f t="shared" si="18"/>
        <v>6 497.657 6800.38</v>
      </c>
      <c r="W80" s="244" t="str">
        <f t="shared" si="19"/>
        <v>6 2</v>
      </c>
    </row>
    <row r="81" spans="1:23" x14ac:dyDescent="0.2">
      <c r="A81" s="244">
        <v>6</v>
      </c>
      <c r="B81" s="244">
        <v>5</v>
      </c>
      <c r="C81" s="244">
        <f t="shared" si="20"/>
        <v>1</v>
      </c>
      <c r="D81" s="171" t="s">
        <v>194</v>
      </c>
      <c r="E81" s="169">
        <v>7</v>
      </c>
      <c r="F81" s="172" t="s">
        <v>123</v>
      </c>
      <c r="G81" s="172"/>
      <c r="I81" s="244">
        <v>5</v>
      </c>
      <c r="J81" s="171">
        <v>5</v>
      </c>
      <c r="K81" s="170" t="str">
        <f t="shared" si="16"/>
        <v>5 5 7 5</v>
      </c>
      <c r="M81" s="176">
        <v>1068</v>
      </c>
      <c r="N81" s="172" t="s">
        <v>123</v>
      </c>
      <c r="O81" s="174">
        <v>3</v>
      </c>
      <c r="P81" s="174" t="s">
        <v>117</v>
      </c>
      <c r="Q81" s="246">
        <f t="shared" si="17"/>
        <v>2</v>
      </c>
      <c r="R81" s="244">
        <f>VLOOKUP(M81,[4]Stores!$A$2:$G$1026,6,FALSE)/1000</f>
        <v>517.18499999999995</v>
      </c>
      <c r="S81" s="244">
        <f>VLOOKUP(M81,[4]Stores!$A$2:$G$1026,7,FALSE)/1000</f>
        <v>6801.4369999999999</v>
      </c>
      <c r="T81" s="244">
        <f t="shared" si="21"/>
        <v>1</v>
      </c>
      <c r="U81" s="244">
        <v>7</v>
      </c>
      <c r="V81" s="244" t="str">
        <f t="shared" si="18"/>
        <v>7 517.185 6801.437</v>
      </c>
      <c r="W81" s="244" t="str">
        <f t="shared" si="19"/>
        <v>7 3</v>
      </c>
    </row>
    <row r="82" spans="1:23" x14ac:dyDescent="0.2">
      <c r="A82" s="244">
        <v>6</v>
      </c>
      <c r="B82" s="244">
        <v>5</v>
      </c>
      <c r="C82" s="244">
        <f t="shared" si="20"/>
        <v>1</v>
      </c>
      <c r="D82" s="171" t="s">
        <v>195</v>
      </c>
      <c r="E82" s="169">
        <v>8</v>
      </c>
      <c r="F82" s="172" t="s">
        <v>125</v>
      </c>
      <c r="G82" s="172"/>
      <c r="I82" s="244">
        <v>6</v>
      </c>
      <c r="J82" s="171">
        <v>16</v>
      </c>
      <c r="K82" s="170" t="str">
        <f t="shared" si="16"/>
        <v>6 6 8 16</v>
      </c>
      <c r="M82" s="176">
        <v>1345</v>
      </c>
      <c r="N82" s="172" t="s">
        <v>125</v>
      </c>
      <c r="O82" s="174">
        <f>11+12</f>
        <v>23</v>
      </c>
      <c r="P82" s="174" t="s">
        <v>112</v>
      </c>
      <c r="Q82" s="246">
        <f t="shared" si="17"/>
        <v>1</v>
      </c>
      <c r="R82" s="244">
        <f>VLOOKUP(M82,[4]Stores!$A$2:$G$1026,6,FALSE)/1000</f>
        <v>500.24200000000002</v>
      </c>
      <c r="S82" s="244">
        <f>VLOOKUP(M82,[4]Stores!$A$2:$G$1026,7,FALSE)/1000</f>
        <v>6764.7510000000002</v>
      </c>
      <c r="T82" s="244">
        <f t="shared" si="21"/>
        <v>1</v>
      </c>
      <c r="U82" s="244">
        <v>8</v>
      </c>
      <c r="V82" s="244" t="str">
        <f t="shared" si="18"/>
        <v>8 500.242 6764.751</v>
      </c>
      <c r="W82" s="244" t="str">
        <f t="shared" si="19"/>
        <v>8 23</v>
      </c>
    </row>
    <row r="83" spans="1:23" x14ac:dyDescent="0.2">
      <c r="A83" s="244">
        <v>6</v>
      </c>
      <c r="B83" s="244">
        <v>5</v>
      </c>
      <c r="C83" s="244">
        <f t="shared" si="20"/>
        <v>1</v>
      </c>
      <c r="D83" s="171" t="s">
        <v>196</v>
      </c>
      <c r="E83" s="169">
        <v>9</v>
      </c>
      <c r="F83" s="172" t="s">
        <v>127</v>
      </c>
      <c r="G83" s="172"/>
      <c r="I83" s="244">
        <v>7</v>
      </c>
      <c r="J83" s="171">
        <v>7</v>
      </c>
      <c r="K83" s="170" t="str">
        <f t="shared" si="16"/>
        <v>7 7 9 7</v>
      </c>
      <c r="M83" s="178">
        <v>1509</v>
      </c>
      <c r="N83" s="172" t="s">
        <v>127</v>
      </c>
      <c r="O83" s="174">
        <v>12</v>
      </c>
      <c r="P83" s="174" t="s">
        <v>112</v>
      </c>
      <c r="Q83" s="246">
        <f t="shared" si="17"/>
        <v>1</v>
      </c>
      <c r="R83" s="244">
        <f>VLOOKUP(M83,[4]Stores!$A$2:$G$1026,6,FALSE)/1000</f>
        <v>501.52600000000001</v>
      </c>
      <c r="S83" s="244">
        <f>VLOOKUP(M83,[4]Stores!$A$2:$G$1026,7,FALSE)/1000</f>
        <v>6779.6220000000003</v>
      </c>
      <c r="T83" s="244">
        <f t="shared" si="21"/>
        <v>1</v>
      </c>
      <c r="U83" s="244">
        <v>9</v>
      </c>
      <c r="V83" s="244" t="str">
        <f t="shared" si="18"/>
        <v>9 501.526 6779.622</v>
      </c>
      <c r="W83" s="244" t="str">
        <f t="shared" si="19"/>
        <v>9 12</v>
      </c>
    </row>
    <row r="84" spans="1:23" x14ac:dyDescent="0.2">
      <c r="A84" s="244">
        <v>6</v>
      </c>
      <c r="B84" s="244">
        <v>5</v>
      </c>
      <c r="C84" s="244">
        <f t="shared" si="20"/>
        <v>1</v>
      </c>
      <c r="D84" s="171" t="s">
        <v>197</v>
      </c>
      <c r="E84" s="169">
        <v>10</v>
      </c>
      <c r="F84" s="172" t="s">
        <v>129</v>
      </c>
      <c r="G84" s="172"/>
      <c r="I84" s="244">
        <v>8</v>
      </c>
      <c r="J84" s="171">
        <v>1</v>
      </c>
      <c r="K84" s="170" t="str">
        <f t="shared" si="16"/>
        <v>8 8 10 1</v>
      </c>
      <c r="M84" s="178">
        <v>1225</v>
      </c>
      <c r="N84" s="172" t="s">
        <v>129</v>
      </c>
      <c r="O84" s="174">
        <v>8</v>
      </c>
      <c r="P84" s="174" t="s">
        <v>112</v>
      </c>
      <c r="Q84" s="246">
        <f t="shared" si="17"/>
        <v>1</v>
      </c>
      <c r="R84" s="244">
        <f>VLOOKUP(M84,[4]Stores!$A$2:$G$1026,6,FALSE)/1000</f>
        <v>486.71699999999998</v>
      </c>
      <c r="S84" s="244">
        <f>VLOOKUP(M84,[4]Stores!$A$2:$G$1026,7,FALSE)/1000</f>
        <v>6780.6760000000004</v>
      </c>
      <c r="T84" s="244">
        <f t="shared" si="21"/>
        <v>1</v>
      </c>
      <c r="U84" s="244">
        <v>10</v>
      </c>
      <c r="V84" s="244" t="str">
        <f t="shared" si="18"/>
        <v>10 486.717 6780.676</v>
      </c>
      <c r="W84" s="244" t="str">
        <f t="shared" si="19"/>
        <v>10 8</v>
      </c>
    </row>
    <row r="85" spans="1:23" x14ac:dyDescent="0.2">
      <c r="A85" s="244">
        <v>6</v>
      </c>
      <c r="B85" s="244">
        <v>5</v>
      </c>
      <c r="C85" s="244">
        <f t="shared" si="20"/>
        <v>1</v>
      </c>
      <c r="D85" s="171" t="s">
        <v>198</v>
      </c>
      <c r="E85" s="169">
        <v>11</v>
      </c>
      <c r="F85" s="172" t="s">
        <v>131</v>
      </c>
      <c r="G85" s="172"/>
      <c r="I85" s="244">
        <v>9</v>
      </c>
      <c r="J85" s="171">
        <v>21</v>
      </c>
      <c r="K85" s="170" t="str">
        <f t="shared" si="16"/>
        <v>9 9 11 21</v>
      </c>
      <c r="M85" s="178">
        <v>1039</v>
      </c>
      <c r="N85" s="172" t="s">
        <v>131</v>
      </c>
      <c r="O85" s="174">
        <v>10</v>
      </c>
      <c r="P85" s="174" t="s">
        <v>117</v>
      </c>
      <c r="Q85" s="246">
        <f t="shared" si="17"/>
        <v>2</v>
      </c>
      <c r="R85" s="244">
        <f>VLOOKUP(M85,[4]Stores!$A$2:$G$1026,6,FALSE)/1000</f>
        <v>479.84699999999998</v>
      </c>
      <c r="S85" s="244">
        <f>VLOOKUP(M85,[4]Stores!$A$2:$G$1026,7,FALSE)/1000</f>
        <v>6776.21</v>
      </c>
      <c r="T85" s="244">
        <f t="shared" si="21"/>
        <v>1</v>
      </c>
      <c r="U85" s="244">
        <v>11</v>
      </c>
      <c r="V85" s="244" t="str">
        <f t="shared" si="18"/>
        <v>11 479.847 6776.21</v>
      </c>
      <c r="W85" s="244" t="str">
        <f t="shared" si="19"/>
        <v>11 10</v>
      </c>
    </row>
    <row r="86" spans="1:23" x14ac:dyDescent="0.2">
      <c r="A86" s="244">
        <v>6</v>
      </c>
      <c r="B86" s="244">
        <v>5</v>
      </c>
      <c r="C86" s="244">
        <f t="shared" si="20"/>
        <v>1</v>
      </c>
      <c r="D86" s="171" t="s">
        <v>199</v>
      </c>
      <c r="E86" s="169">
        <v>12</v>
      </c>
      <c r="F86" s="172" t="s">
        <v>133</v>
      </c>
      <c r="G86" s="172"/>
      <c r="I86" s="244">
        <v>10</v>
      </c>
      <c r="J86" s="171">
        <v>2</v>
      </c>
      <c r="K86" s="170" t="str">
        <f t="shared" si="16"/>
        <v>10 10 12 2</v>
      </c>
      <c r="M86" s="176">
        <v>1197</v>
      </c>
      <c r="N86" s="172" t="s">
        <v>133</v>
      </c>
      <c r="O86" s="174">
        <v>4</v>
      </c>
      <c r="P86" s="174" t="s">
        <v>112</v>
      </c>
      <c r="Q86" s="246">
        <f t="shared" si="17"/>
        <v>1</v>
      </c>
      <c r="R86" s="244">
        <f>VLOOKUP(M86,[4]Stores!$A$2:$G$1026,6,FALSE)/1000</f>
        <v>517.41899999999998</v>
      </c>
      <c r="S86" s="244">
        <f>VLOOKUP(M86,[4]Stores!$A$2:$G$1026,7,FALSE)/1000</f>
        <v>6760.598</v>
      </c>
      <c r="T86" s="244">
        <f t="shared" si="21"/>
        <v>1</v>
      </c>
      <c r="U86" s="244">
        <v>12</v>
      </c>
      <c r="V86" s="244" t="str">
        <f t="shared" si="18"/>
        <v>12 517.419 6760.598</v>
      </c>
      <c r="W86" s="244" t="str">
        <f t="shared" si="19"/>
        <v>12 4</v>
      </c>
    </row>
    <row r="87" spans="1:23" x14ac:dyDescent="0.2">
      <c r="K87" s="170" t="str">
        <f t="shared" si="16"/>
        <v xml:space="preserve">   </v>
      </c>
      <c r="Q87" s="246">
        <f t="shared" si="17"/>
        <v>2</v>
      </c>
      <c r="V87" s="244" t="str">
        <f t="shared" si="18"/>
        <v xml:space="preserve">  </v>
      </c>
      <c r="W87" s="244" t="str">
        <f t="shared" si="19"/>
        <v xml:space="preserve"> </v>
      </c>
    </row>
    <row r="88" spans="1:23" hidden="1" x14ac:dyDescent="0.2">
      <c r="A88" s="244">
        <v>6</v>
      </c>
      <c r="B88" s="244">
        <v>6</v>
      </c>
      <c r="C88" s="244">
        <f t="shared" ref="C88:C97" si="22">COUNTIF($D$88:$D$97,D88)</f>
        <v>1</v>
      </c>
      <c r="D88" s="171" t="s">
        <v>200</v>
      </c>
      <c r="E88" s="171"/>
      <c r="F88" s="172" t="s">
        <v>111</v>
      </c>
      <c r="G88" s="172"/>
      <c r="J88" s="171">
        <v>6</v>
      </c>
      <c r="K88" s="170" t="str">
        <f t="shared" si="16"/>
        <v xml:space="preserve">   6</v>
      </c>
      <c r="M88" s="176">
        <v>1630</v>
      </c>
      <c r="N88" s="172" t="s">
        <v>111</v>
      </c>
      <c r="O88" s="174">
        <v>3</v>
      </c>
      <c r="P88" s="174" t="s">
        <v>117</v>
      </c>
      <c r="Q88" s="246">
        <f t="shared" si="17"/>
        <v>2</v>
      </c>
      <c r="R88" s="244">
        <f>VLOOKUP(M88,[4]Stores!$A$2:$G$1026,6,FALSE)</f>
        <v>492421</v>
      </c>
      <c r="S88" s="244">
        <f>VLOOKUP(M88,[4]Stores!$A$2:$G$1026,7,FALSE)</f>
        <v>6829088</v>
      </c>
      <c r="T88" s="244">
        <f t="shared" ref="T88:T97" si="23">COUNTIF($N$4:$N$14,F88)</f>
        <v>1</v>
      </c>
      <c r="U88" s="244">
        <v>2</v>
      </c>
      <c r="V88" s="244" t="str">
        <f t="shared" si="18"/>
        <v>2 492421 6829088</v>
      </c>
      <c r="W88" s="244" t="str">
        <f t="shared" si="19"/>
        <v>2 3</v>
      </c>
    </row>
    <row r="89" spans="1:23" hidden="1" x14ac:dyDescent="0.2">
      <c r="A89" s="244">
        <v>6</v>
      </c>
      <c r="B89" s="244">
        <v>6</v>
      </c>
      <c r="C89" s="244">
        <f t="shared" si="22"/>
        <v>1</v>
      </c>
      <c r="D89" s="171" t="s">
        <v>201</v>
      </c>
      <c r="E89" s="171"/>
      <c r="F89" s="172" t="s">
        <v>114</v>
      </c>
      <c r="G89" s="172"/>
      <c r="J89" s="171">
        <v>16</v>
      </c>
      <c r="K89" s="170" t="str">
        <f t="shared" si="16"/>
        <v xml:space="preserve">   16</v>
      </c>
      <c r="M89" s="177">
        <v>1624</v>
      </c>
      <c r="N89" s="172" t="s">
        <v>114</v>
      </c>
      <c r="O89" s="174">
        <v>7</v>
      </c>
      <c r="P89" s="174" t="s">
        <v>117</v>
      </c>
      <c r="Q89" s="246">
        <f t="shared" si="17"/>
        <v>2</v>
      </c>
      <c r="R89" s="244">
        <f>VLOOKUP(M89,[4]Stores!$A$2:$G$1026,6,FALSE)</f>
        <v>477730</v>
      </c>
      <c r="S89" s="244">
        <f>VLOOKUP(M89,[4]Stores!$A$2:$G$1026,7,FALSE)</f>
        <v>6806791</v>
      </c>
      <c r="T89" s="244">
        <f t="shared" si="23"/>
        <v>1</v>
      </c>
      <c r="U89" s="244">
        <v>3</v>
      </c>
      <c r="V89" s="244" t="str">
        <f t="shared" si="18"/>
        <v>3 477730 6806791</v>
      </c>
      <c r="W89" s="244" t="str">
        <f t="shared" si="19"/>
        <v>3 7</v>
      </c>
    </row>
    <row r="90" spans="1:23" hidden="1" x14ac:dyDescent="0.2">
      <c r="A90" s="244">
        <v>6</v>
      </c>
      <c r="B90" s="244">
        <v>6</v>
      </c>
      <c r="C90" s="244">
        <f t="shared" si="22"/>
        <v>1</v>
      </c>
      <c r="D90" s="171" t="s">
        <v>202</v>
      </c>
      <c r="E90" s="171"/>
      <c r="F90" s="172" t="s">
        <v>116</v>
      </c>
      <c r="G90" s="172"/>
      <c r="J90" s="171">
        <v>21</v>
      </c>
      <c r="K90" s="170" t="str">
        <f t="shared" si="16"/>
        <v xml:space="preserve">   21</v>
      </c>
      <c r="M90" s="178">
        <v>1216</v>
      </c>
      <c r="N90" s="172" t="s">
        <v>116</v>
      </c>
      <c r="O90" s="174">
        <v>6</v>
      </c>
      <c r="P90" s="174" t="s">
        <v>117</v>
      </c>
      <c r="Q90" s="246">
        <f t="shared" si="17"/>
        <v>2</v>
      </c>
      <c r="R90" s="244">
        <f>VLOOKUP(M90,[4]Stores!$A$2:$G$1026,6,FALSE)</f>
        <v>484418</v>
      </c>
      <c r="S90" s="244">
        <f>VLOOKUP(M90,[4]Stores!$A$2:$G$1026,7,FALSE)</f>
        <v>6809184</v>
      </c>
      <c r="T90" s="244">
        <f t="shared" si="23"/>
        <v>1</v>
      </c>
      <c r="U90" s="244">
        <v>4</v>
      </c>
      <c r="V90" s="244" t="str">
        <f t="shared" si="18"/>
        <v>4 484418 6809184</v>
      </c>
      <c r="W90" s="244" t="str">
        <f t="shared" si="19"/>
        <v>4 6</v>
      </c>
    </row>
    <row r="91" spans="1:23" hidden="1" x14ac:dyDescent="0.2">
      <c r="A91" s="244">
        <v>6</v>
      </c>
      <c r="B91" s="244">
        <v>6</v>
      </c>
      <c r="C91" s="244">
        <f t="shared" si="22"/>
        <v>1</v>
      </c>
      <c r="D91" s="171" t="s">
        <v>203</v>
      </c>
      <c r="E91" s="171"/>
      <c r="F91" s="172" t="s">
        <v>119</v>
      </c>
      <c r="G91" s="172"/>
      <c r="J91" s="171">
        <v>1</v>
      </c>
      <c r="K91" s="170" t="str">
        <f t="shared" si="16"/>
        <v xml:space="preserve">   1</v>
      </c>
      <c r="M91" s="176">
        <v>1196</v>
      </c>
      <c r="N91" s="172" t="s">
        <v>119</v>
      </c>
      <c r="O91" s="174">
        <v>2</v>
      </c>
      <c r="P91" s="174" t="s">
        <v>112</v>
      </c>
      <c r="Q91" s="246">
        <f t="shared" si="17"/>
        <v>1</v>
      </c>
      <c r="R91" s="244">
        <f>VLOOKUP(M91,[4]Stores!$A$2:$G$1026,6,FALSE)</f>
        <v>482813</v>
      </c>
      <c r="S91" s="244">
        <f>VLOOKUP(M91,[4]Stores!$A$2:$G$1026,7,FALSE)</f>
        <v>6795115</v>
      </c>
      <c r="T91" s="244">
        <f t="shared" si="23"/>
        <v>1</v>
      </c>
      <c r="U91" s="244">
        <v>5</v>
      </c>
      <c r="V91" s="244" t="str">
        <f t="shared" si="18"/>
        <v>5 482813 6795115</v>
      </c>
      <c r="W91" s="244" t="str">
        <f t="shared" si="19"/>
        <v>5 2</v>
      </c>
    </row>
    <row r="92" spans="1:23" hidden="1" x14ac:dyDescent="0.2">
      <c r="A92" s="244">
        <v>6</v>
      </c>
      <c r="B92" s="244">
        <v>6</v>
      </c>
      <c r="C92" s="244">
        <f t="shared" si="22"/>
        <v>1</v>
      </c>
      <c r="D92" s="171" t="s">
        <v>204</v>
      </c>
      <c r="E92" s="171"/>
      <c r="F92" s="172" t="s">
        <v>121</v>
      </c>
      <c r="G92" s="172"/>
      <c r="J92" s="171">
        <v>5</v>
      </c>
      <c r="K92" s="170" t="str">
        <f t="shared" si="16"/>
        <v xml:space="preserve">   5</v>
      </c>
      <c r="M92" s="176">
        <v>1042</v>
      </c>
      <c r="N92" s="172" t="s">
        <v>121</v>
      </c>
      <c r="O92" s="174">
        <v>2</v>
      </c>
      <c r="P92" s="174" t="s">
        <v>117</v>
      </c>
      <c r="Q92" s="246">
        <f t="shared" si="17"/>
        <v>2</v>
      </c>
      <c r="R92" s="244">
        <f>VLOOKUP(M92,[4]Stores!$A$2:$G$1026,6,FALSE)</f>
        <v>497657</v>
      </c>
      <c r="S92" s="244">
        <f>VLOOKUP(M92,[4]Stores!$A$2:$G$1026,7,FALSE)</f>
        <v>6800380</v>
      </c>
      <c r="T92" s="244">
        <f t="shared" si="23"/>
        <v>1</v>
      </c>
      <c r="U92" s="244">
        <v>6</v>
      </c>
      <c r="V92" s="244" t="str">
        <f t="shared" si="18"/>
        <v>6 497657 6800380</v>
      </c>
      <c r="W92" s="244" t="str">
        <f t="shared" si="19"/>
        <v>6 2</v>
      </c>
    </row>
    <row r="93" spans="1:23" hidden="1" x14ac:dyDescent="0.2">
      <c r="A93" s="244">
        <v>6</v>
      </c>
      <c r="B93" s="244">
        <v>6</v>
      </c>
      <c r="C93" s="244">
        <f t="shared" si="22"/>
        <v>1</v>
      </c>
      <c r="D93" s="171" t="s">
        <v>205</v>
      </c>
      <c r="E93" s="171"/>
      <c r="F93" s="172" t="s">
        <v>123</v>
      </c>
      <c r="G93" s="172"/>
      <c r="J93" s="171">
        <v>11</v>
      </c>
      <c r="K93" s="170" t="str">
        <f t="shared" si="16"/>
        <v xml:space="preserve">   11</v>
      </c>
      <c r="M93" s="176">
        <v>1068</v>
      </c>
      <c r="N93" s="172" t="s">
        <v>123</v>
      </c>
      <c r="O93" s="174">
        <v>2</v>
      </c>
      <c r="P93" s="174" t="s">
        <v>117</v>
      </c>
      <c r="Q93" s="246">
        <f t="shared" si="17"/>
        <v>2</v>
      </c>
      <c r="R93" s="244">
        <f>VLOOKUP(M93,[4]Stores!$A$2:$G$1026,6,FALSE)</f>
        <v>517185</v>
      </c>
      <c r="S93" s="244">
        <f>VLOOKUP(M93,[4]Stores!$A$2:$G$1026,7,FALSE)</f>
        <v>6801437</v>
      </c>
      <c r="T93" s="244">
        <f t="shared" si="23"/>
        <v>1</v>
      </c>
      <c r="U93" s="244">
        <v>7</v>
      </c>
      <c r="V93" s="244" t="str">
        <f t="shared" si="18"/>
        <v>7 517185 6801437</v>
      </c>
      <c r="W93" s="244" t="str">
        <f t="shared" si="19"/>
        <v>7 2</v>
      </c>
    </row>
    <row r="94" spans="1:23" hidden="1" x14ac:dyDescent="0.2">
      <c r="A94" s="244">
        <v>6</v>
      </c>
      <c r="B94" s="244">
        <v>6</v>
      </c>
      <c r="C94" s="244">
        <f t="shared" si="22"/>
        <v>1</v>
      </c>
      <c r="D94" s="171" t="s">
        <v>206</v>
      </c>
      <c r="E94" s="171"/>
      <c r="F94" s="172" t="s">
        <v>125</v>
      </c>
      <c r="G94" s="172"/>
      <c r="J94" s="171">
        <v>10</v>
      </c>
      <c r="K94" s="170" t="str">
        <f t="shared" si="16"/>
        <v xml:space="preserve">   10</v>
      </c>
      <c r="M94" s="176">
        <v>1345</v>
      </c>
      <c r="N94" s="172" t="s">
        <v>125</v>
      </c>
      <c r="O94" s="174">
        <f>10+4</f>
        <v>14</v>
      </c>
      <c r="P94" s="174" t="s">
        <v>112</v>
      </c>
      <c r="Q94" s="246">
        <f t="shared" si="17"/>
        <v>1</v>
      </c>
      <c r="R94" s="244">
        <f>VLOOKUP(M94,[4]Stores!$A$2:$G$1026,6,FALSE)</f>
        <v>500242</v>
      </c>
      <c r="S94" s="244">
        <f>VLOOKUP(M94,[4]Stores!$A$2:$G$1026,7,FALSE)</f>
        <v>6764751</v>
      </c>
      <c r="T94" s="244">
        <f t="shared" si="23"/>
        <v>1</v>
      </c>
      <c r="U94" s="244">
        <v>8</v>
      </c>
      <c r="V94" s="244" t="str">
        <f t="shared" si="18"/>
        <v>8 500242 6764751</v>
      </c>
      <c r="W94" s="244" t="str">
        <f t="shared" si="19"/>
        <v>8 14</v>
      </c>
    </row>
    <row r="95" spans="1:23" hidden="1" x14ac:dyDescent="0.2">
      <c r="A95" s="244">
        <v>6</v>
      </c>
      <c r="B95" s="244">
        <v>6</v>
      </c>
      <c r="C95" s="244">
        <f t="shared" si="22"/>
        <v>1</v>
      </c>
      <c r="D95" s="171" t="s">
        <v>207</v>
      </c>
      <c r="E95" s="171"/>
      <c r="F95" s="172" t="s">
        <v>127</v>
      </c>
      <c r="G95" s="172"/>
      <c r="J95" s="171">
        <v>6</v>
      </c>
      <c r="K95" s="170" t="str">
        <f t="shared" si="16"/>
        <v xml:space="preserve">   6</v>
      </c>
      <c r="M95" s="178">
        <v>1509</v>
      </c>
      <c r="N95" s="172" t="s">
        <v>127</v>
      </c>
      <c r="O95" s="174">
        <v>8</v>
      </c>
      <c r="P95" s="174" t="s">
        <v>112</v>
      </c>
      <c r="Q95" s="246">
        <f t="shared" si="17"/>
        <v>1</v>
      </c>
      <c r="R95" s="244">
        <f>VLOOKUP(M95,[4]Stores!$A$2:$G$1026,6,FALSE)</f>
        <v>501526</v>
      </c>
      <c r="S95" s="244">
        <f>VLOOKUP(M95,[4]Stores!$A$2:$G$1026,7,FALSE)</f>
        <v>6779622</v>
      </c>
      <c r="T95" s="244">
        <f t="shared" si="23"/>
        <v>1</v>
      </c>
      <c r="U95" s="244">
        <v>9</v>
      </c>
      <c r="V95" s="244" t="str">
        <f t="shared" si="18"/>
        <v>9 501526 6779622</v>
      </c>
      <c r="W95" s="244" t="str">
        <f t="shared" si="19"/>
        <v>9 8</v>
      </c>
    </row>
    <row r="96" spans="1:23" hidden="1" x14ac:dyDescent="0.2">
      <c r="A96" s="244">
        <v>6</v>
      </c>
      <c r="B96" s="244">
        <v>6</v>
      </c>
      <c r="C96" s="244">
        <f t="shared" si="22"/>
        <v>1</v>
      </c>
      <c r="D96" s="171" t="s">
        <v>208</v>
      </c>
      <c r="E96" s="171"/>
      <c r="F96" s="172" t="s">
        <v>131</v>
      </c>
      <c r="G96" s="172"/>
      <c r="J96" s="171">
        <v>2</v>
      </c>
      <c r="K96" s="170" t="str">
        <f t="shared" si="16"/>
        <v xml:space="preserve">   2</v>
      </c>
      <c r="M96" s="178">
        <v>1039</v>
      </c>
      <c r="N96" s="172" t="s">
        <v>131</v>
      </c>
      <c r="O96" s="174">
        <v>4</v>
      </c>
      <c r="P96" s="174" t="s">
        <v>112</v>
      </c>
      <c r="Q96" s="246">
        <f t="shared" si="17"/>
        <v>1</v>
      </c>
      <c r="R96" s="244">
        <f>VLOOKUP(M96,[4]Stores!$A$2:$G$1026,6,FALSE)</f>
        <v>479847</v>
      </c>
      <c r="S96" s="244">
        <f>VLOOKUP(M96,[4]Stores!$A$2:$G$1026,7,FALSE)</f>
        <v>6776210</v>
      </c>
      <c r="T96" s="244">
        <f t="shared" si="23"/>
        <v>1</v>
      </c>
      <c r="U96" s="244">
        <v>10</v>
      </c>
      <c r="V96" s="244" t="str">
        <f t="shared" si="18"/>
        <v>10 479847 6776210</v>
      </c>
      <c r="W96" s="244" t="str">
        <f t="shared" si="19"/>
        <v>10 4</v>
      </c>
    </row>
    <row r="97" spans="1:23" hidden="1" x14ac:dyDescent="0.2">
      <c r="A97" s="244">
        <v>6</v>
      </c>
      <c r="B97" s="244">
        <v>6</v>
      </c>
      <c r="C97" s="244">
        <f t="shared" si="22"/>
        <v>1</v>
      </c>
      <c r="D97" s="171" t="s">
        <v>209</v>
      </c>
      <c r="E97" s="171"/>
      <c r="F97" s="172" t="s">
        <v>133</v>
      </c>
      <c r="G97" s="172"/>
      <c r="J97" s="171">
        <v>12</v>
      </c>
      <c r="K97" s="170" t="str">
        <f t="shared" si="16"/>
        <v xml:space="preserve">   12</v>
      </c>
      <c r="M97" s="176">
        <v>1197</v>
      </c>
      <c r="N97" s="172" t="s">
        <v>133</v>
      </c>
      <c r="O97" s="174">
        <v>2</v>
      </c>
      <c r="P97" s="174" t="s">
        <v>117</v>
      </c>
      <c r="Q97" s="246">
        <f t="shared" si="17"/>
        <v>2</v>
      </c>
      <c r="R97" s="244">
        <f>VLOOKUP(M97,[4]Stores!$A$2:$G$1026,6,FALSE)</f>
        <v>517419</v>
      </c>
      <c r="S97" s="244">
        <f>VLOOKUP(M97,[4]Stores!$A$2:$G$1026,7,FALSE)</f>
        <v>6760598</v>
      </c>
      <c r="T97" s="244">
        <f t="shared" si="23"/>
        <v>1</v>
      </c>
      <c r="U97" s="244">
        <v>11</v>
      </c>
      <c r="V97" s="244" t="str">
        <f t="shared" si="18"/>
        <v>11 517419 6760598</v>
      </c>
      <c r="W97" s="244" t="str">
        <f t="shared" si="19"/>
        <v>11 2</v>
      </c>
    </row>
    <row r="98" spans="1:23" hidden="1" x14ac:dyDescent="0.2">
      <c r="K98" s="170" t="str">
        <f t="shared" si="16"/>
        <v xml:space="preserve">   </v>
      </c>
      <c r="Q98" s="246">
        <f t="shared" si="17"/>
        <v>2</v>
      </c>
      <c r="V98" s="244" t="str">
        <f t="shared" si="18"/>
        <v xml:space="preserve">  </v>
      </c>
      <c r="W98" s="244" t="str">
        <f t="shared" si="19"/>
        <v xml:space="preserve"> </v>
      </c>
    </row>
    <row r="99" spans="1:23" hidden="1" x14ac:dyDescent="0.3">
      <c r="A99" s="152">
        <v>7</v>
      </c>
      <c r="B99" s="179">
        <v>1</v>
      </c>
      <c r="C99" s="244">
        <f t="shared" ref="C99:C108" si="24">COUNTIF($D$99:$D$187,D99)</f>
        <v>1</v>
      </c>
      <c r="D99" s="171" t="s">
        <v>210</v>
      </c>
      <c r="E99" s="171"/>
      <c r="F99" s="172" t="s">
        <v>111</v>
      </c>
      <c r="G99" s="172"/>
      <c r="J99" s="171">
        <v>1</v>
      </c>
      <c r="K99" s="170" t="str">
        <f t="shared" si="16"/>
        <v xml:space="preserve">   1</v>
      </c>
      <c r="M99" s="173">
        <v>1630</v>
      </c>
      <c r="N99" s="172" t="s">
        <v>111</v>
      </c>
      <c r="O99" s="174">
        <v>6</v>
      </c>
      <c r="P99" s="174" t="s">
        <v>112</v>
      </c>
      <c r="Q99" s="246">
        <f t="shared" si="17"/>
        <v>1</v>
      </c>
      <c r="R99" s="244">
        <f>VLOOKUP(M99,[4]Stores!$A$2:$G$1026,6,FALSE)</f>
        <v>492421</v>
      </c>
      <c r="S99" s="244">
        <f>VLOOKUP(M99,[4]Stores!$A$2:$G$1026,7,FALSE)</f>
        <v>6829088</v>
      </c>
      <c r="T99" s="244">
        <f t="shared" ref="T99:T108" si="25">COUNTIF($N$4:$N$14,F99)</f>
        <v>1</v>
      </c>
      <c r="U99" s="244">
        <v>2</v>
      </c>
      <c r="V99" s="244" t="str">
        <f t="shared" si="18"/>
        <v>2 492421 6829088</v>
      </c>
      <c r="W99" s="244" t="str">
        <f t="shared" si="19"/>
        <v>2 6</v>
      </c>
    </row>
    <row r="100" spans="1:23" hidden="1" x14ac:dyDescent="0.3">
      <c r="A100" s="152">
        <v>7</v>
      </c>
      <c r="B100" s="179">
        <v>1</v>
      </c>
      <c r="C100" s="244">
        <f t="shared" si="24"/>
        <v>1</v>
      </c>
      <c r="D100" s="171" t="s">
        <v>211</v>
      </c>
      <c r="E100" s="171"/>
      <c r="F100" s="172" t="s">
        <v>114</v>
      </c>
      <c r="G100" s="172"/>
      <c r="J100" s="171">
        <v>5</v>
      </c>
      <c r="K100" s="170" t="str">
        <f t="shared" si="16"/>
        <v xml:space="preserve">   5</v>
      </c>
      <c r="M100" s="174">
        <v>1624</v>
      </c>
      <c r="N100" s="172" t="s">
        <v>114</v>
      </c>
      <c r="O100" s="174">
        <v>10</v>
      </c>
      <c r="P100" s="174" t="s">
        <v>112</v>
      </c>
      <c r="Q100" s="246">
        <f t="shared" si="17"/>
        <v>1</v>
      </c>
      <c r="R100" s="244">
        <f>VLOOKUP(M100,[4]Stores!$A$2:$G$1026,6,FALSE)</f>
        <v>477730</v>
      </c>
      <c r="S100" s="244">
        <f>VLOOKUP(M100,[4]Stores!$A$2:$G$1026,7,FALSE)</f>
        <v>6806791</v>
      </c>
      <c r="T100" s="244">
        <f t="shared" si="25"/>
        <v>1</v>
      </c>
      <c r="U100" s="244">
        <v>3</v>
      </c>
      <c r="V100" s="244" t="str">
        <f t="shared" si="18"/>
        <v>3 477730 6806791</v>
      </c>
      <c r="W100" s="244" t="str">
        <f t="shared" si="19"/>
        <v>3 10</v>
      </c>
    </row>
    <row r="101" spans="1:23" hidden="1" x14ac:dyDescent="0.3">
      <c r="A101" s="152">
        <v>7</v>
      </c>
      <c r="B101" s="179">
        <v>1</v>
      </c>
      <c r="C101" s="244">
        <f t="shared" si="24"/>
        <v>1</v>
      </c>
      <c r="D101" s="171" t="s">
        <v>212</v>
      </c>
      <c r="E101" s="171"/>
      <c r="F101" s="172" t="s">
        <v>116</v>
      </c>
      <c r="G101" s="172"/>
      <c r="J101" s="171">
        <v>19</v>
      </c>
      <c r="K101" s="170" t="str">
        <f t="shared" si="16"/>
        <v xml:space="preserve">   19</v>
      </c>
      <c r="M101" s="175">
        <v>1216</v>
      </c>
      <c r="N101" s="172" t="s">
        <v>116</v>
      </c>
      <c r="O101" s="174">
        <v>8</v>
      </c>
      <c r="P101" s="174" t="s">
        <v>117</v>
      </c>
      <c r="Q101" s="246">
        <f t="shared" si="17"/>
        <v>2</v>
      </c>
      <c r="R101" s="244">
        <f>VLOOKUP(M101,[4]Stores!$A$2:$G$1026,6,FALSE)</f>
        <v>484418</v>
      </c>
      <c r="S101" s="244">
        <f>VLOOKUP(M101,[4]Stores!$A$2:$G$1026,7,FALSE)</f>
        <v>6809184</v>
      </c>
      <c r="T101" s="244">
        <f t="shared" si="25"/>
        <v>1</v>
      </c>
      <c r="U101" s="244">
        <v>4</v>
      </c>
      <c r="V101" s="244" t="str">
        <f t="shared" si="18"/>
        <v>4 484418 6809184</v>
      </c>
      <c r="W101" s="244" t="str">
        <f t="shared" si="19"/>
        <v>4 8</v>
      </c>
    </row>
    <row r="102" spans="1:23" hidden="1" x14ac:dyDescent="0.3">
      <c r="A102" s="152">
        <v>7</v>
      </c>
      <c r="B102" s="180">
        <v>1</v>
      </c>
      <c r="C102" s="244">
        <f t="shared" si="24"/>
        <v>1</v>
      </c>
      <c r="D102" s="171" t="s">
        <v>213</v>
      </c>
      <c r="E102" s="171"/>
      <c r="F102" s="172" t="s">
        <v>125</v>
      </c>
      <c r="G102" s="172"/>
      <c r="J102" s="171">
        <v>7</v>
      </c>
      <c r="K102" s="170" t="str">
        <f t="shared" si="16"/>
        <v xml:space="preserve">   7</v>
      </c>
      <c r="M102" s="173">
        <v>1345</v>
      </c>
      <c r="N102" s="172" t="s">
        <v>125</v>
      </c>
      <c r="O102" s="174">
        <v>9</v>
      </c>
      <c r="P102" s="174" t="s">
        <v>112</v>
      </c>
      <c r="Q102" s="246">
        <f t="shared" si="17"/>
        <v>1</v>
      </c>
      <c r="R102" s="244">
        <f>VLOOKUP(M102,[4]Stores!$A$2:$G$1026,6,FALSE)</f>
        <v>500242</v>
      </c>
      <c r="S102" s="244">
        <f>VLOOKUP(M102,[4]Stores!$A$2:$G$1026,7,FALSE)</f>
        <v>6764751</v>
      </c>
      <c r="T102" s="244">
        <f t="shared" si="25"/>
        <v>1</v>
      </c>
      <c r="U102" s="244">
        <v>5</v>
      </c>
      <c r="V102" s="244" t="str">
        <f t="shared" si="18"/>
        <v>5 500242 6764751</v>
      </c>
      <c r="W102" s="244" t="str">
        <f t="shared" si="19"/>
        <v>5 9</v>
      </c>
    </row>
    <row r="103" spans="1:23" hidden="1" x14ac:dyDescent="0.3">
      <c r="A103" s="152">
        <v>7</v>
      </c>
      <c r="B103" s="180">
        <v>1</v>
      </c>
      <c r="C103" s="244">
        <f t="shared" si="24"/>
        <v>1</v>
      </c>
      <c r="D103" s="171" t="s">
        <v>214</v>
      </c>
      <c r="E103" s="171"/>
      <c r="F103" s="172" t="s">
        <v>133</v>
      </c>
      <c r="G103" s="172"/>
      <c r="J103" s="171">
        <v>6</v>
      </c>
      <c r="K103" s="170" t="str">
        <f t="shared" si="16"/>
        <v xml:space="preserve">   6</v>
      </c>
      <c r="M103" s="173">
        <v>1197</v>
      </c>
      <c r="N103" s="172" t="s">
        <v>133</v>
      </c>
      <c r="O103" s="174">
        <v>2</v>
      </c>
      <c r="P103" s="174" t="s">
        <v>117</v>
      </c>
      <c r="Q103" s="246">
        <f t="shared" si="17"/>
        <v>2</v>
      </c>
      <c r="R103" s="244">
        <f>VLOOKUP(M103,[4]Stores!$A$2:$G$1026,6,FALSE)</f>
        <v>517419</v>
      </c>
      <c r="S103" s="244">
        <f>VLOOKUP(M103,[4]Stores!$A$2:$G$1026,7,FALSE)</f>
        <v>6760598</v>
      </c>
      <c r="T103" s="244">
        <f t="shared" si="25"/>
        <v>1</v>
      </c>
      <c r="U103" s="244">
        <v>6</v>
      </c>
      <c r="V103" s="244" t="str">
        <f t="shared" si="18"/>
        <v>6 517419 6760598</v>
      </c>
      <c r="W103" s="244" t="str">
        <f t="shared" si="19"/>
        <v>6 2</v>
      </c>
    </row>
    <row r="104" spans="1:23" hidden="1" x14ac:dyDescent="0.3">
      <c r="A104" s="152">
        <v>7</v>
      </c>
      <c r="B104" s="180">
        <v>1</v>
      </c>
      <c r="C104" s="244">
        <f t="shared" si="24"/>
        <v>1</v>
      </c>
      <c r="D104" s="171" t="s">
        <v>215</v>
      </c>
      <c r="E104" s="171"/>
      <c r="F104" s="172" t="s">
        <v>131</v>
      </c>
      <c r="G104" s="172"/>
      <c r="J104" s="171">
        <v>14</v>
      </c>
      <c r="K104" s="170" t="str">
        <f t="shared" si="16"/>
        <v xml:space="preserve">   14</v>
      </c>
      <c r="M104" s="175">
        <v>1039</v>
      </c>
      <c r="N104" s="172" t="s">
        <v>131</v>
      </c>
      <c r="O104" s="174">
        <v>5</v>
      </c>
      <c r="P104" s="174" t="s">
        <v>117</v>
      </c>
      <c r="Q104" s="246">
        <f t="shared" si="17"/>
        <v>2</v>
      </c>
      <c r="R104" s="244">
        <f>VLOOKUP(M104,[4]Stores!$A$2:$G$1026,6,FALSE)</f>
        <v>479847</v>
      </c>
      <c r="S104" s="244">
        <f>VLOOKUP(M104,[4]Stores!$A$2:$G$1026,7,FALSE)</f>
        <v>6776210</v>
      </c>
      <c r="T104" s="244">
        <f t="shared" si="25"/>
        <v>1</v>
      </c>
      <c r="U104" s="244">
        <v>7</v>
      </c>
      <c r="V104" s="244" t="str">
        <f t="shared" si="18"/>
        <v>7 479847 6776210</v>
      </c>
      <c r="W104" s="244" t="str">
        <f t="shared" si="19"/>
        <v>7 5</v>
      </c>
    </row>
    <row r="105" spans="1:23" hidden="1" x14ac:dyDescent="0.3">
      <c r="A105" s="152">
        <v>7</v>
      </c>
      <c r="B105" s="180">
        <v>1</v>
      </c>
      <c r="C105" s="244">
        <f t="shared" si="24"/>
        <v>1</v>
      </c>
      <c r="D105" s="171" t="s">
        <v>216</v>
      </c>
      <c r="E105" s="171"/>
      <c r="F105" s="172" t="s">
        <v>119</v>
      </c>
      <c r="G105" s="172"/>
      <c r="J105" s="171">
        <v>12</v>
      </c>
      <c r="K105" s="170" t="str">
        <f t="shared" si="16"/>
        <v xml:space="preserve">   12</v>
      </c>
      <c r="M105" s="173">
        <v>1196</v>
      </c>
      <c r="N105" s="172" t="s">
        <v>119</v>
      </c>
      <c r="O105" s="174">
        <v>3</v>
      </c>
      <c r="P105" s="174" t="s">
        <v>117</v>
      </c>
      <c r="Q105" s="246">
        <f t="shared" si="17"/>
        <v>2</v>
      </c>
      <c r="R105" s="244">
        <f>VLOOKUP(M105,[4]Stores!$A$2:$G$1026,6,FALSE)</f>
        <v>482813</v>
      </c>
      <c r="S105" s="244">
        <f>VLOOKUP(M105,[4]Stores!$A$2:$G$1026,7,FALSE)</f>
        <v>6795115</v>
      </c>
      <c r="T105" s="244">
        <f t="shared" si="25"/>
        <v>1</v>
      </c>
      <c r="U105" s="244">
        <v>8</v>
      </c>
      <c r="V105" s="244" t="str">
        <f t="shared" si="18"/>
        <v>8 482813 6795115</v>
      </c>
      <c r="W105" s="244" t="str">
        <f t="shared" si="19"/>
        <v>8 3</v>
      </c>
    </row>
    <row r="106" spans="1:23" hidden="1" x14ac:dyDescent="0.3">
      <c r="A106" s="152">
        <v>7</v>
      </c>
      <c r="B106" s="179">
        <v>1</v>
      </c>
      <c r="C106" s="244">
        <f t="shared" si="24"/>
        <v>1</v>
      </c>
      <c r="D106" s="171" t="s">
        <v>217</v>
      </c>
      <c r="E106" s="171"/>
      <c r="F106" s="172" t="s">
        <v>121</v>
      </c>
      <c r="G106" s="172"/>
      <c r="J106" s="171">
        <v>11</v>
      </c>
      <c r="K106" s="170" t="str">
        <f t="shared" si="16"/>
        <v xml:space="preserve">   11</v>
      </c>
      <c r="M106" s="173">
        <v>1042</v>
      </c>
      <c r="N106" s="172" t="s">
        <v>121</v>
      </c>
      <c r="O106" s="174">
        <v>2</v>
      </c>
      <c r="P106" s="174" t="s">
        <v>117</v>
      </c>
      <c r="Q106" s="246">
        <f t="shared" si="17"/>
        <v>2</v>
      </c>
      <c r="R106" s="244">
        <f>VLOOKUP(M106,[4]Stores!$A$2:$G$1026,6,FALSE)</f>
        <v>497657</v>
      </c>
      <c r="S106" s="244">
        <f>VLOOKUP(M106,[4]Stores!$A$2:$G$1026,7,FALSE)</f>
        <v>6800380</v>
      </c>
      <c r="T106" s="244">
        <f t="shared" si="25"/>
        <v>1</v>
      </c>
      <c r="U106" s="244">
        <v>9</v>
      </c>
      <c r="V106" s="244" t="str">
        <f t="shared" si="18"/>
        <v>9 497657 6800380</v>
      </c>
      <c r="W106" s="244" t="str">
        <f t="shared" si="19"/>
        <v>9 2</v>
      </c>
    </row>
    <row r="107" spans="1:23" hidden="1" x14ac:dyDescent="0.3">
      <c r="A107" s="152">
        <v>7</v>
      </c>
      <c r="B107" s="179">
        <v>1</v>
      </c>
      <c r="C107" s="244">
        <f t="shared" si="24"/>
        <v>1</v>
      </c>
      <c r="D107" s="171" t="s">
        <v>218</v>
      </c>
      <c r="E107" s="171"/>
      <c r="F107" s="172" t="s">
        <v>123</v>
      </c>
      <c r="G107" s="172"/>
      <c r="J107" s="171">
        <v>3</v>
      </c>
      <c r="K107" s="170" t="str">
        <f t="shared" si="16"/>
        <v xml:space="preserve">   3</v>
      </c>
      <c r="M107" s="173">
        <v>1068</v>
      </c>
      <c r="N107" s="172" t="s">
        <v>123</v>
      </c>
      <c r="O107" s="174">
        <v>1</v>
      </c>
      <c r="P107" s="174" t="s">
        <v>117</v>
      </c>
      <c r="Q107" s="246">
        <f t="shared" si="17"/>
        <v>2</v>
      </c>
      <c r="R107" s="244">
        <f>VLOOKUP(M107,[4]Stores!$A$2:$G$1026,6,FALSE)</f>
        <v>517185</v>
      </c>
      <c r="S107" s="244">
        <f>VLOOKUP(M107,[4]Stores!$A$2:$G$1026,7,FALSE)</f>
        <v>6801437</v>
      </c>
      <c r="T107" s="244">
        <f t="shared" si="25"/>
        <v>1</v>
      </c>
      <c r="U107" s="244">
        <v>10</v>
      </c>
      <c r="V107" s="244" t="str">
        <f t="shared" si="18"/>
        <v>10 517185 6801437</v>
      </c>
      <c r="W107" s="244" t="str">
        <f t="shared" si="19"/>
        <v>10 1</v>
      </c>
    </row>
    <row r="108" spans="1:23" hidden="1" x14ac:dyDescent="0.3">
      <c r="A108" s="152">
        <v>7</v>
      </c>
      <c r="B108" s="179">
        <v>1</v>
      </c>
      <c r="C108" s="244">
        <f t="shared" si="24"/>
        <v>1</v>
      </c>
      <c r="D108" s="171" t="s">
        <v>219</v>
      </c>
      <c r="E108" s="171"/>
      <c r="F108" s="172" t="s">
        <v>127</v>
      </c>
      <c r="G108" s="172"/>
      <c r="J108" s="171">
        <v>3</v>
      </c>
      <c r="K108" s="170" t="str">
        <f t="shared" si="16"/>
        <v xml:space="preserve">   3</v>
      </c>
      <c r="M108" s="175">
        <v>1509</v>
      </c>
      <c r="N108" s="172" t="s">
        <v>127</v>
      </c>
      <c r="O108" s="174">
        <v>12</v>
      </c>
      <c r="P108" s="174" t="s">
        <v>112</v>
      </c>
      <c r="Q108" s="246">
        <f t="shared" si="17"/>
        <v>1</v>
      </c>
      <c r="R108" s="244">
        <f>VLOOKUP(M108,[4]Stores!$A$2:$G$1026,6,FALSE)</f>
        <v>501526</v>
      </c>
      <c r="S108" s="244">
        <f>VLOOKUP(M108,[4]Stores!$A$2:$G$1026,7,FALSE)</f>
        <v>6779622</v>
      </c>
      <c r="T108" s="244">
        <f t="shared" si="25"/>
        <v>1</v>
      </c>
      <c r="U108" s="244">
        <v>11</v>
      </c>
      <c r="V108" s="244" t="str">
        <f t="shared" si="18"/>
        <v>11 501526 6779622</v>
      </c>
      <c r="W108" s="244" t="str">
        <f t="shared" si="19"/>
        <v>11 12</v>
      </c>
    </row>
    <row r="109" spans="1:23" hidden="1" x14ac:dyDescent="0.3">
      <c r="A109" s="152"/>
      <c r="B109" s="179"/>
      <c r="D109" s="171"/>
      <c r="E109" s="171"/>
      <c r="F109" s="172"/>
      <c r="G109" s="172"/>
      <c r="J109" s="171"/>
      <c r="K109" s="170" t="str">
        <f t="shared" si="16"/>
        <v xml:space="preserve">   </v>
      </c>
      <c r="M109" s="175"/>
      <c r="N109" s="172"/>
      <c r="O109" s="174"/>
      <c r="P109" s="174"/>
      <c r="Q109" s="246">
        <f t="shared" si="17"/>
        <v>2</v>
      </c>
      <c r="V109" s="244" t="str">
        <f t="shared" si="18"/>
        <v xml:space="preserve">  </v>
      </c>
      <c r="W109" s="244" t="str">
        <f t="shared" si="19"/>
        <v xml:space="preserve"> </v>
      </c>
    </row>
    <row r="110" spans="1:23" hidden="1" x14ac:dyDescent="0.3">
      <c r="A110" s="152">
        <v>7</v>
      </c>
      <c r="B110" s="179">
        <v>4</v>
      </c>
      <c r="C110" s="244">
        <f t="shared" ref="C110:C119" si="26">COUNTIF($D$99:$D$187,D110)</f>
        <v>1</v>
      </c>
      <c r="D110" s="171" t="s">
        <v>220</v>
      </c>
      <c r="E110" s="171"/>
      <c r="F110" s="172" t="s">
        <v>111</v>
      </c>
      <c r="G110" s="172"/>
      <c r="J110" s="171">
        <v>29</v>
      </c>
      <c r="K110" s="170" t="str">
        <f t="shared" si="16"/>
        <v xml:space="preserve">   29</v>
      </c>
      <c r="M110" s="173">
        <v>1630</v>
      </c>
      <c r="N110" s="172" t="s">
        <v>111</v>
      </c>
      <c r="O110" s="174">
        <v>6</v>
      </c>
      <c r="P110" s="174" t="s">
        <v>117</v>
      </c>
      <c r="Q110" s="246">
        <f t="shared" si="17"/>
        <v>2</v>
      </c>
      <c r="R110" s="244">
        <f>VLOOKUP(M110,[4]Stores!$A$2:$G$1026,6,FALSE)</f>
        <v>492421</v>
      </c>
      <c r="S110" s="244">
        <f>VLOOKUP(M110,[4]Stores!$A$2:$G$1026,7,FALSE)</f>
        <v>6829088</v>
      </c>
      <c r="T110" s="244">
        <f t="shared" ref="T110:T119" si="27">COUNTIF($N$4:$N$14,F110)</f>
        <v>1</v>
      </c>
      <c r="U110" s="244">
        <v>2</v>
      </c>
      <c r="V110" s="244" t="str">
        <f t="shared" si="18"/>
        <v>2 492421 6829088</v>
      </c>
      <c r="W110" s="244" t="str">
        <f t="shared" si="19"/>
        <v>2 6</v>
      </c>
    </row>
    <row r="111" spans="1:23" hidden="1" x14ac:dyDescent="0.3">
      <c r="A111" s="152">
        <v>7</v>
      </c>
      <c r="B111" s="179">
        <v>4</v>
      </c>
      <c r="C111" s="244">
        <f t="shared" si="26"/>
        <v>1</v>
      </c>
      <c r="D111" s="171" t="s">
        <v>221</v>
      </c>
      <c r="E111" s="171"/>
      <c r="F111" s="172" t="s">
        <v>114</v>
      </c>
      <c r="G111" s="172"/>
      <c r="J111" s="171">
        <v>9</v>
      </c>
      <c r="K111" s="170" t="str">
        <f t="shared" si="16"/>
        <v xml:space="preserve">   9</v>
      </c>
      <c r="M111" s="174">
        <v>1624</v>
      </c>
      <c r="N111" s="172" t="s">
        <v>114</v>
      </c>
      <c r="O111" s="174">
        <v>9</v>
      </c>
      <c r="P111" s="174" t="s">
        <v>117</v>
      </c>
      <c r="Q111" s="246">
        <f t="shared" si="17"/>
        <v>2</v>
      </c>
      <c r="R111" s="244">
        <f>VLOOKUP(M111,[4]Stores!$A$2:$G$1026,6,FALSE)</f>
        <v>477730</v>
      </c>
      <c r="S111" s="244">
        <f>VLOOKUP(M111,[4]Stores!$A$2:$G$1026,7,FALSE)</f>
        <v>6806791</v>
      </c>
      <c r="T111" s="244">
        <f t="shared" si="27"/>
        <v>1</v>
      </c>
      <c r="U111" s="244">
        <v>3</v>
      </c>
      <c r="V111" s="244" t="str">
        <f t="shared" si="18"/>
        <v>3 477730 6806791</v>
      </c>
      <c r="W111" s="244" t="str">
        <f t="shared" si="19"/>
        <v>3 9</v>
      </c>
    </row>
    <row r="112" spans="1:23" hidden="1" x14ac:dyDescent="0.3">
      <c r="A112" s="152">
        <v>7</v>
      </c>
      <c r="B112" s="179">
        <v>4</v>
      </c>
      <c r="C112" s="244">
        <f t="shared" si="26"/>
        <v>1</v>
      </c>
      <c r="D112" s="171" t="s">
        <v>222</v>
      </c>
      <c r="E112" s="171"/>
      <c r="F112" s="172" t="s">
        <v>116</v>
      </c>
      <c r="G112" s="172"/>
      <c r="J112" s="171">
        <v>15</v>
      </c>
      <c r="K112" s="170" t="str">
        <f t="shared" si="16"/>
        <v xml:space="preserve">   15</v>
      </c>
      <c r="M112" s="175">
        <v>1216</v>
      </c>
      <c r="N112" s="172" t="s">
        <v>116</v>
      </c>
      <c r="O112" s="174">
        <v>7</v>
      </c>
      <c r="P112" s="174" t="s">
        <v>117</v>
      </c>
      <c r="Q112" s="246">
        <f t="shared" si="17"/>
        <v>2</v>
      </c>
      <c r="R112" s="244">
        <f>VLOOKUP(M112,[4]Stores!$A$2:$G$1026,6,FALSE)</f>
        <v>484418</v>
      </c>
      <c r="S112" s="244">
        <f>VLOOKUP(M112,[4]Stores!$A$2:$G$1026,7,FALSE)</f>
        <v>6809184</v>
      </c>
      <c r="T112" s="244">
        <f t="shared" si="27"/>
        <v>1</v>
      </c>
      <c r="U112" s="244">
        <v>4</v>
      </c>
      <c r="V112" s="244" t="str">
        <f t="shared" si="18"/>
        <v>4 484418 6809184</v>
      </c>
      <c r="W112" s="244" t="str">
        <f t="shared" si="19"/>
        <v>4 7</v>
      </c>
    </row>
    <row r="113" spans="1:23" hidden="1" x14ac:dyDescent="0.3">
      <c r="A113" s="152">
        <v>7</v>
      </c>
      <c r="B113" s="180">
        <v>4</v>
      </c>
      <c r="C113" s="244">
        <f t="shared" si="26"/>
        <v>1</v>
      </c>
      <c r="D113" s="171" t="s">
        <v>223</v>
      </c>
      <c r="E113" s="171"/>
      <c r="F113" s="172" t="s">
        <v>131</v>
      </c>
      <c r="G113" s="172"/>
      <c r="J113" s="171">
        <v>4</v>
      </c>
      <c r="K113" s="170" t="str">
        <f t="shared" si="16"/>
        <v xml:space="preserve">   4</v>
      </c>
      <c r="M113" s="175">
        <v>1039</v>
      </c>
      <c r="N113" s="172" t="s">
        <v>131</v>
      </c>
      <c r="O113" s="174">
        <v>8</v>
      </c>
      <c r="P113" s="174" t="s">
        <v>112</v>
      </c>
      <c r="Q113" s="246">
        <f t="shared" si="17"/>
        <v>1</v>
      </c>
      <c r="R113" s="244">
        <f>VLOOKUP(M113,[4]Stores!$A$2:$G$1026,6,FALSE)</f>
        <v>479847</v>
      </c>
      <c r="S113" s="244">
        <f>VLOOKUP(M113,[4]Stores!$A$2:$G$1026,7,FALSE)</f>
        <v>6776210</v>
      </c>
      <c r="T113" s="244">
        <f t="shared" si="27"/>
        <v>1</v>
      </c>
      <c r="U113" s="244">
        <v>5</v>
      </c>
      <c r="V113" s="244" t="str">
        <f t="shared" si="18"/>
        <v>5 479847 6776210</v>
      </c>
      <c r="W113" s="244" t="str">
        <f t="shared" si="19"/>
        <v>5 8</v>
      </c>
    </row>
    <row r="114" spans="1:23" hidden="1" x14ac:dyDescent="0.3">
      <c r="A114" s="152">
        <v>7</v>
      </c>
      <c r="B114" s="180">
        <v>4</v>
      </c>
      <c r="C114" s="244">
        <f t="shared" si="26"/>
        <v>1</v>
      </c>
      <c r="D114" s="171" t="s">
        <v>224</v>
      </c>
      <c r="E114" s="171"/>
      <c r="F114" s="172" t="s">
        <v>119</v>
      </c>
      <c r="G114" s="172"/>
      <c r="J114" s="171">
        <v>3</v>
      </c>
      <c r="K114" s="170" t="str">
        <f t="shared" si="16"/>
        <v xml:space="preserve">   3</v>
      </c>
      <c r="M114" s="173">
        <v>1196</v>
      </c>
      <c r="N114" s="172" t="s">
        <v>119</v>
      </c>
      <c r="O114" s="174">
        <v>3</v>
      </c>
      <c r="P114" s="174" t="s">
        <v>117</v>
      </c>
      <c r="Q114" s="246">
        <f t="shared" si="17"/>
        <v>2</v>
      </c>
      <c r="R114" s="244">
        <f>VLOOKUP(M114,[4]Stores!$A$2:$G$1026,6,FALSE)</f>
        <v>482813</v>
      </c>
      <c r="S114" s="244">
        <f>VLOOKUP(M114,[4]Stores!$A$2:$G$1026,7,FALSE)</f>
        <v>6795115</v>
      </c>
      <c r="T114" s="244">
        <f t="shared" si="27"/>
        <v>1</v>
      </c>
      <c r="U114" s="244">
        <v>6</v>
      </c>
      <c r="V114" s="244" t="str">
        <f t="shared" si="18"/>
        <v>6 482813 6795115</v>
      </c>
      <c r="W114" s="244" t="str">
        <f t="shared" si="19"/>
        <v>6 3</v>
      </c>
    </row>
    <row r="115" spans="1:23" hidden="1" x14ac:dyDescent="0.3">
      <c r="A115" s="152">
        <v>7</v>
      </c>
      <c r="B115" s="180">
        <v>4</v>
      </c>
      <c r="C115" s="244">
        <f t="shared" si="26"/>
        <v>1</v>
      </c>
      <c r="D115" s="171" t="s">
        <v>225</v>
      </c>
      <c r="E115" s="171"/>
      <c r="F115" s="172" t="s">
        <v>125</v>
      </c>
      <c r="G115" s="172"/>
      <c r="J115" s="171">
        <v>15</v>
      </c>
      <c r="K115" s="170" t="str">
        <f t="shared" si="16"/>
        <v xml:space="preserve">   15</v>
      </c>
      <c r="M115" s="173">
        <v>1345</v>
      </c>
      <c r="N115" s="172" t="s">
        <v>125</v>
      </c>
      <c r="O115" s="174">
        <v>10</v>
      </c>
      <c r="P115" s="174" t="s">
        <v>117</v>
      </c>
      <c r="Q115" s="246">
        <f t="shared" si="17"/>
        <v>2</v>
      </c>
      <c r="R115" s="244">
        <f>VLOOKUP(M115,[4]Stores!$A$2:$G$1026,6,FALSE)</f>
        <v>500242</v>
      </c>
      <c r="S115" s="244">
        <f>VLOOKUP(M115,[4]Stores!$A$2:$G$1026,7,FALSE)</f>
        <v>6764751</v>
      </c>
      <c r="T115" s="244">
        <f t="shared" si="27"/>
        <v>1</v>
      </c>
      <c r="U115" s="244">
        <v>7</v>
      </c>
      <c r="V115" s="244" t="str">
        <f t="shared" si="18"/>
        <v>7 500242 6764751</v>
      </c>
      <c r="W115" s="244" t="str">
        <f t="shared" si="19"/>
        <v>7 10</v>
      </c>
    </row>
    <row r="116" spans="1:23" hidden="1" x14ac:dyDescent="0.3">
      <c r="A116" s="152">
        <v>7</v>
      </c>
      <c r="B116" s="174">
        <v>4</v>
      </c>
      <c r="C116" s="244">
        <f t="shared" si="26"/>
        <v>1</v>
      </c>
      <c r="D116" s="171" t="s">
        <v>226</v>
      </c>
      <c r="E116" s="171"/>
      <c r="F116" s="172" t="s">
        <v>133</v>
      </c>
      <c r="G116" s="172"/>
      <c r="J116" s="171">
        <v>1</v>
      </c>
      <c r="K116" s="170" t="str">
        <f t="shared" si="16"/>
        <v xml:space="preserve">   1</v>
      </c>
      <c r="M116" s="173">
        <v>1197</v>
      </c>
      <c r="N116" s="172" t="s">
        <v>133</v>
      </c>
      <c r="O116" s="174">
        <v>4</v>
      </c>
      <c r="P116" s="174" t="s">
        <v>112</v>
      </c>
      <c r="Q116" s="246">
        <f t="shared" si="17"/>
        <v>1</v>
      </c>
      <c r="R116" s="244">
        <f>VLOOKUP(M116,[4]Stores!$A$2:$G$1026,6,FALSE)</f>
        <v>517419</v>
      </c>
      <c r="S116" s="244">
        <f>VLOOKUP(M116,[4]Stores!$A$2:$G$1026,7,FALSE)</f>
        <v>6760598</v>
      </c>
      <c r="T116" s="244">
        <f t="shared" si="27"/>
        <v>1</v>
      </c>
      <c r="U116" s="244">
        <v>8</v>
      </c>
      <c r="V116" s="244" t="str">
        <f t="shared" si="18"/>
        <v>8 517419 6760598</v>
      </c>
      <c r="W116" s="244" t="str">
        <f t="shared" si="19"/>
        <v>8 4</v>
      </c>
    </row>
    <row r="117" spans="1:23" hidden="1" x14ac:dyDescent="0.3">
      <c r="A117" s="152">
        <v>7</v>
      </c>
      <c r="B117" s="180">
        <v>4</v>
      </c>
      <c r="C117" s="244">
        <f t="shared" si="26"/>
        <v>1</v>
      </c>
      <c r="D117" s="171" t="s">
        <v>227</v>
      </c>
      <c r="E117" s="171"/>
      <c r="F117" s="172" t="s">
        <v>121</v>
      </c>
      <c r="G117" s="172"/>
      <c r="J117" s="171">
        <v>12</v>
      </c>
      <c r="K117" s="170" t="str">
        <f t="shared" si="16"/>
        <v xml:space="preserve">   12</v>
      </c>
      <c r="M117" s="173">
        <v>1042</v>
      </c>
      <c r="N117" s="172" t="s">
        <v>121</v>
      </c>
      <c r="O117" s="174">
        <v>2</v>
      </c>
      <c r="P117" s="174" t="s">
        <v>117</v>
      </c>
      <c r="Q117" s="246">
        <f t="shared" si="17"/>
        <v>2</v>
      </c>
      <c r="R117" s="244">
        <f>VLOOKUP(M117,[4]Stores!$A$2:$G$1026,6,FALSE)</f>
        <v>497657</v>
      </c>
      <c r="S117" s="244">
        <f>VLOOKUP(M117,[4]Stores!$A$2:$G$1026,7,FALSE)</f>
        <v>6800380</v>
      </c>
      <c r="T117" s="244">
        <f t="shared" si="27"/>
        <v>1</v>
      </c>
      <c r="U117" s="244">
        <v>9</v>
      </c>
      <c r="V117" s="244" t="str">
        <f t="shared" si="18"/>
        <v>9 497657 6800380</v>
      </c>
      <c r="W117" s="244" t="str">
        <f t="shared" si="19"/>
        <v>9 2</v>
      </c>
    </row>
    <row r="118" spans="1:23" hidden="1" x14ac:dyDescent="0.3">
      <c r="A118" s="152">
        <v>7</v>
      </c>
      <c r="B118" s="179">
        <v>4</v>
      </c>
      <c r="C118" s="244">
        <f t="shared" si="26"/>
        <v>1</v>
      </c>
      <c r="D118" s="171" t="s">
        <v>228</v>
      </c>
      <c r="E118" s="171"/>
      <c r="F118" s="172" t="s">
        <v>123</v>
      </c>
      <c r="G118" s="172"/>
      <c r="J118" s="171">
        <v>3</v>
      </c>
      <c r="K118" s="170" t="str">
        <f t="shared" si="16"/>
        <v xml:space="preserve">   3</v>
      </c>
      <c r="M118" s="173">
        <v>1068</v>
      </c>
      <c r="N118" s="172" t="s">
        <v>123</v>
      </c>
      <c r="O118" s="174">
        <v>3</v>
      </c>
      <c r="P118" s="174" t="s">
        <v>117</v>
      </c>
      <c r="Q118" s="246">
        <f t="shared" si="17"/>
        <v>2</v>
      </c>
      <c r="R118" s="244">
        <f>VLOOKUP(M118,[4]Stores!$A$2:$G$1026,6,FALSE)</f>
        <v>517185</v>
      </c>
      <c r="S118" s="244">
        <f>VLOOKUP(M118,[4]Stores!$A$2:$G$1026,7,FALSE)</f>
        <v>6801437</v>
      </c>
      <c r="T118" s="244">
        <f t="shared" si="27"/>
        <v>1</v>
      </c>
      <c r="U118" s="244">
        <v>10</v>
      </c>
      <c r="V118" s="244" t="str">
        <f t="shared" si="18"/>
        <v>10 517185 6801437</v>
      </c>
      <c r="W118" s="244" t="str">
        <f t="shared" si="19"/>
        <v>10 3</v>
      </c>
    </row>
    <row r="119" spans="1:23" hidden="1" x14ac:dyDescent="0.3">
      <c r="A119" s="152">
        <v>7</v>
      </c>
      <c r="B119" s="179">
        <v>4</v>
      </c>
      <c r="C119" s="244">
        <f t="shared" si="26"/>
        <v>1</v>
      </c>
      <c r="D119" s="171" t="s">
        <v>229</v>
      </c>
      <c r="E119" s="171"/>
      <c r="F119" s="172" t="s">
        <v>127</v>
      </c>
      <c r="G119" s="172"/>
      <c r="J119" s="171">
        <v>8</v>
      </c>
      <c r="K119" s="170" t="str">
        <f t="shared" si="16"/>
        <v xml:space="preserve">   8</v>
      </c>
      <c r="M119" s="175">
        <v>1509</v>
      </c>
      <c r="N119" s="172" t="s">
        <v>127</v>
      </c>
      <c r="O119" s="174">
        <v>11</v>
      </c>
      <c r="P119" s="174" t="s">
        <v>112</v>
      </c>
      <c r="Q119" s="246">
        <f t="shared" si="17"/>
        <v>1</v>
      </c>
      <c r="R119" s="244">
        <f>VLOOKUP(M119,[4]Stores!$A$2:$G$1026,6,FALSE)</f>
        <v>501526</v>
      </c>
      <c r="S119" s="244">
        <f>VLOOKUP(M119,[4]Stores!$A$2:$G$1026,7,FALSE)</f>
        <v>6779622</v>
      </c>
      <c r="T119" s="244">
        <f t="shared" si="27"/>
        <v>1</v>
      </c>
      <c r="U119" s="244">
        <v>11</v>
      </c>
      <c r="V119" s="244" t="str">
        <f t="shared" si="18"/>
        <v>11 501526 6779622</v>
      </c>
      <c r="W119" s="244" t="str">
        <f t="shared" si="19"/>
        <v>11 11</v>
      </c>
    </row>
    <row r="120" spans="1:23" x14ac:dyDescent="0.3">
      <c r="A120" s="152"/>
      <c r="B120" s="179"/>
      <c r="D120" s="171"/>
      <c r="E120" s="171"/>
      <c r="F120" s="172"/>
      <c r="G120" s="172"/>
      <c r="J120" s="171"/>
      <c r="K120" s="170" t="str">
        <f t="shared" si="16"/>
        <v xml:space="preserve">   </v>
      </c>
      <c r="M120" s="175"/>
      <c r="N120" s="172"/>
      <c r="O120" s="174"/>
      <c r="P120" s="174"/>
      <c r="Q120" s="246">
        <f t="shared" si="17"/>
        <v>2</v>
      </c>
      <c r="V120" s="244" t="str">
        <f t="shared" si="18"/>
        <v xml:space="preserve">  </v>
      </c>
      <c r="W120" s="244" t="str">
        <f t="shared" si="19"/>
        <v xml:space="preserve"> </v>
      </c>
    </row>
    <row r="121" spans="1:23" hidden="1" x14ac:dyDescent="0.3">
      <c r="A121" s="152">
        <v>7</v>
      </c>
      <c r="B121" s="198">
        <v>5</v>
      </c>
      <c r="C121" s="244">
        <f t="shared" ref="C121:C130" si="28">COUNTIF($D$99:$D$187,D121)</f>
        <v>1</v>
      </c>
      <c r="D121" s="171" t="s">
        <v>230</v>
      </c>
      <c r="E121" s="171"/>
      <c r="F121" s="172" t="s">
        <v>111</v>
      </c>
      <c r="G121" s="172"/>
      <c r="I121" s="244">
        <v>0</v>
      </c>
      <c r="J121" s="171">
        <v>3</v>
      </c>
      <c r="K121" s="170" t="str">
        <f t="shared" si="16"/>
        <v>0 0  3</v>
      </c>
      <c r="L121" s="244">
        <v>8</v>
      </c>
      <c r="M121" s="173">
        <v>1630</v>
      </c>
      <c r="N121" s="172" t="s">
        <v>111</v>
      </c>
      <c r="O121" s="174">
        <f>3+4</f>
        <v>7</v>
      </c>
      <c r="P121" s="174" t="s">
        <v>112</v>
      </c>
      <c r="Q121" s="246">
        <f t="shared" si="17"/>
        <v>1</v>
      </c>
      <c r="R121" s="244">
        <f>VLOOKUP(M121,[4]Stores!$A$2:$G$1026,6,FALSE)</f>
        <v>492421</v>
      </c>
      <c r="S121" s="244">
        <f>VLOOKUP(M121,[4]Stores!$A$2:$G$1026,7,FALSE)</f>
        <v>6829088</v>
      </c>
      <c r="T121" s="244">
        <f t="shared" ref="T121:T130" si="29">COUNTIF($N$4:$N$14,F121)</f>
        <v>1</v>
      </c>
      <c r="U121" s="244">
        <v>2</v>
      </c>
      <c r="V121" s="244" t="str">
        <f t="shared" si="18"/>
        <v>2 492421 6829088</v>
      </c>
      <c r="W121" s="244" t="str">
        <f t="shared" si="19"/>
        <v>2 7</v>
      </c>
    </row>
    <row r="122" spans="1:23" hidden="1" x14ac:dyDescent="0.3">
      <c r="A122" s="152">
        <v>7</v>
      </c>
      <c r="B122" s="179">
        <v>5</v>
      </c>
      <c r="C122" s="244">
        <f t="shared" si="28"/>
        <v>1</v>
      </c>
      <c r="D122" s="171" t="s">
        <v>231</v>
      </c>
      <c r="E122" s="171"/>
      <c r="F122" s="172" t="s">
        <v>114</v>
      </c>
      <c r="G122" s="172"/>
      <c r="I122" s="244">
        <v>1</v>
      </c>
      <c r="J122" s="171">
        <v>4</v>
      </c>
      <c r="K122" s="170" t="str">
        <f t="shared" si="16"/>
        <v>1 1  4</v>
      </c>
      <c r="M122" s="174">
        <v>1624</v>
      </c>
      <c r="N122" s="172" t="s">
        <v>114</v>
      </c>
      <c r="O122" s="174">
        <v>9</v>
      </c>
      <c r="P122" s="174" t="s">
        <v>112</v>
      </c>
      <c r="Q122" s="246">
        <f t="shared" si="17"/>
        <v>1</v>
      </c>
      <c r="R122" s="244">
        <f>VLOOKUP(M122,[4]Stores!$A$2:$G$1026,6,FALSE)</f>
        <v>477730</v>
      </c>
      <c r="S122" s="244">
        <f>VLOOKUP(M122,[4]Stores!$A$2:$G$1026,7,FALSE)</f>
        <v>6806791</v>
      </c>
      <c r="T122" s="244">
        <f t="shared" si="29"/>
        <v>1</v>
      </c>
      <c r="U122" s="244">
        <v>3</v>
      </c>
      <c r="V122" s="244" t="str">
        <f t="shared" si="18"/>
        <v>3 477730 6806791</v>
      </c>
      <c r="W122" s="244" t="str">
        <f t="shared" si="19"/>
        <v>3 9</v>
      </c>
    </row>
    <row r="123" spans="1:23" hidden="1" x14ac:dyDescent="0.3">
      <c r="A123" s="152">
        <v>7</v>
      </c>
      <c r="B123" s="179">
        <v>5</v>
      </c>
      <c r="C123" s="244">
        <f t="shared" si="28"/>
        <v>1</v>
      </c>
      <c r="D123" s="171" t="s">
        <v>232</v>
      </c>
      <c r="E123" s="171"/>
      <c r="F123" s="172" t="s">
        <v>116</v>
      </c>
      <c r="G123" s="172"/>
      <c r="I123" s="244">
        <v>2</v>
      </c>
      <c r="J123" s="171">
        <v>13</v>
      </c>
      <c r="K123" s="170" t="str">
        <f t="shared" si="16"/>
        <v>2 2  13</v>
      </c>
      <c r="M123" s="175">
        <v>1216</v>
      </c>
      <c r="N123" s="172" t="s">
        <v>116</v>
      </c>
      <c r="O123" s="174">
        <v>7</v>
      </c>
      <c r="P123" s="174" t="s">
        <v>117</v>
      </c>
      <c r="Q123" s="246">
        <f t="shared" si="17"/>
        <v>2</v>
      </c>
      <c r="R123" s="244">
        <f>VLOOKUP(M123,[4]Stores!$A$2:$G$1026,6,FALSE)</f>
        <v>484418</v>
      </c>
      <c r="S123" s="244">
        <f>VLOOKUP(M123,[4]Stores!$A$2:$G$1026,7,FALSE)</f>
        <v>6809184</v>
      </c>
      <c r="T123" s="244">
        <f t="shared" si="29"/>
        <v>1</v>
      </c>
      <c r="U123" s="244">
        <v>4</v>
      </c>
      <c r="V123" s="244" t="str">
        <f t="shared" si="18"/>
        <v>4 484418 6809184</v>
      </c>
      <c r="W123" s="244" t="str">
        <f t="shared" si="19"/>
        <v>4 7</v>
      </c>
    </row>
    <row r="124" spans="1:23" hidden="1" x14ac:dyDescent="0.3">
      <c r="A124" s="152">
        <v>7</v>
      </c>
      <c r="B124" s="180">
        <v>5</v>
      </c>
      <c r="C124" s="244">
        <f t="shared" si="28"/>
        <v>1</v>
      </c>
      <c r="D124" s="171" t="s">
        <v>233</v>
      </c>
      <c r="E124" s="171"/>
      <c r="F124" s="172" t="s">
        <v>119</v>
      </c>
      <c r="G124" s="172"/>
      <c r="I124" s="244">
        <v>3</v>
      </c>
      <c r="J124" s="171">
        <v>4</v>
      </c>
      <c r="K124" s="170" t="str">
        <f t="shared" si="16"/>
        <v>3 3  4</v>
      </c>
      <c r="M124" s="173">
        <v>1196</v>
      </c>
      <c r="N124" s="172" t="s">
        <v>119</v>
      </c>
      <c r="O124" s="174">
        <v>3</v>
      </c>
      <c r="P124" s="174" t="s">
        <v>117</v>
      </c>
      <c r="Q124" s="246">
        <f t="shared" si="17"/>
        <v>2</v>
      </c>
      <c r="R124" s="244">
        <f>VLOOKUP(M124,[4]Stores!$A$2:$G$1026,6,FALSE)</f>
        <v>482813</v>
      </c>
      <c r="S124" s="244">
        <f>VLOOKUP(M124,[4]Stores!$A$2:$G$1026,7,FALSE)</f>
        <v>6795115</v>
      </c>
      <c r="T124" s="244">
        <f t="shared" si="29"/>
        <v>1</v>
      </c>
      <c r="U124" s="244">
        <v>5</v>
      </c>
      <c r="V124" s="244" t="str">
        <f t="shared" si="18"/>
        <v>5 482813 6795115</v>
      </c>
      <c r="W124" s="244" t="str">
        <f t="shared" si="19"/>
        <v>5 3</v>
      </c>
    </row>
    <row r="125" spans="1:23" hidden="1" x14ac:dyDescent="0.3">
      <c r="A125" s="152">
        <v>7</v>
      </c>
      <c r="B125" s="179">
        <v>5</v>
      </c>
      <c r="C125" s="244">
        <f t="shared" si="28"/>
        <v>1</v>
      </c>
      <c r="D125" s="171" t="s">
        <v>234</v>
      </c>
      <c r="E125" s="171"/>
      <c r="F125" s="172" t="s">
        <v>121</v>
      </c>
      <c r="G125" s="172"/>
      <c r="I125" s="244">
        <v>4</v>
      </c>
      <c r="J125" s="171">
        <v>5</v>
      </c>
      <c r="K125" s="170" t="str">
        <f t="shared" si="16"/>
        <v>4 4  5</v>
      </c>
      <c r="M125" s="173">
        <v>1042</v>
      </c>
      <c r="N125" s="172" t="s">
        <v>121</v>
      </c>
      <c r="O125" s="174">
        <v>2</v>
      </c>
      <c r="P125" s="174" t="s">
        <v>117</v>
      </c>
      <c r="Q125" s="246">
        <f t="shared" si="17"/>
        <v>2</v>
      </c>
      <c r="R125" s="244">
        <f>VLOOKUP(M125,[4]Stores!$A$2:$G$1026,6,FALSE)</f>
        <v>497657</v>
      </c>
      <c r="S125" s="244">
        <f>VLOOKUP(M125,[4]Stores!$A$2:$G$1026,7,FALSE)</f>
        <v>6800380</v>
      </c>
      <c r="T125" s="244">
        <f t="shared" si="29"/>
        <v>1</v>
      </c>
      <c r="U125" s="244">
        <v>6</v>
      </c>
      <c r="V125" s="244" t="str">
        <f t="shared" si="18"/>
        <v>6 497657 6800380</v>
      </c>
      <c r="W125" s="244" t="str">
        <f t="shared" si="19"/>
        <v>6 2</v>
      </c>
    </row>
    <row r="126" spans="1:23" hidden="1" x14ac:dyDescent="0.3">
      <c r="A126" s="152">
        <v>7</v>
      </c>
      <c r="B126" s="179">
        <v>5</v>
      </c>
      <c r="C126" s="244">
        <f t="shared" si="28"/>
        <v>1</v>
      </c>
      <c r="D126" s="171" t="s">
        <v>235</v>
      </c>
      <c r="E126" s="171"/>
      <c r="F126" s="172" t="s">
        <v>123</v>
      </c>
      <c r="G126" s="172"/>
      <c r="I126" s="244">
        <v>5</v>
      </c>
      <c r="J126" s="171">
        <v>8</v>
      </c>
      <c r="K126" s="170" t="str">
        <f t="shared" si="16"/>
        <v>5 5  8</v>
      </c>
      <c r="M126" s="173">
        <v>1068</v>
      </c>
      <c r="N126" s="172" t="s">
        <v>123</v>
      </c>
      <c r="O126" s="174">
        <v>3</v>
      </c>
      <c r="P126" s="174" t="s">
        <v>117</v>
      </c>
      <c r="Q126" s="246">
        <f t="shared" si="17"/>
        <v>2</v>
      </c>
      <c r="R126" s="244">
        <f>VLOOKUP(M126,[4]Stores!$A$2:$G$1026,6,FALSE)</f>
        <v>517185</v>
      </c>
      <c r="S126" s="244">
        <f>VLOOKUP(M126,[4]Stores!$A$2:$G$1026,7,FALSE)</f>
        <v>6801437</v>
      </c>
      <c r="T126" s="244">
        <f t="shared" si="29"/>
        <v>1</v>
      </c>
      <c r="U126" s="244">
        <v>7</v>
      </c>
      <c r="V126" s="244" t="str">
        <f t="shared" si="18"/>
        <v>7 517185 6801437</v>
      </c>
      <c r="W126" s="244" t="str">
        <f t="shared" si="19"/>
        <v>7 3</v>
      </c>
    </row>
    <row r="127" spans="1:23" hidden="1" x14ac:dyDescent="0.3">
      <c r="A127" s="152">
        <v>7</v>
      </c>
      <c r="B127" s="179">
        <v>5</v>
      </c>
      <c r="C127" s="244">
        <f t="shared" si="28"/>
        <v>1</v>
      </c>
      <c r="D127" s="171" t="s">
        <v>236</v>
      </c>
      <c r="E127" s="171"/>
      <c r="F127" s="172" t="s">
        <v>125</v>
      </c>
      <c r="G127" s="172"/>
      <c r="I127" s="244">
        <v>6</v>
      </c>
      <c r="J127" s="171">
        <v>16</v>
      </c>
      <c r="K127" s="170" t="str">
        <f t="shared" si="16"/>
        <v>6 6  16</v>
      </c>
      <c r="M127" s="173">
        <v>1345</v>
      </c>
      <c r="N127" s="172" t="s">
        <v>125</v>
      </c>
      <c r="O127" s="174">
        <f>11+12</f>
        <v>23</v>
      </c>
      <c r="P127" s="174" t="s">
        <v>112</v>
      </c>
      <c r="Q127" s="246">
        <f t="shared" si="17"/>
        <v>1</v>
      </c>
      <c r="R127" s="244">
        <f>VLOOKUP(M127,[4]Stores!$A$2:$G$1026,6,FALSE)</f>
        <v>500242</v>
      </c>
      <c r="S127" s="244">
        <f>VLOOKUP(M127,[4]Stores!$A$2:$G$1026,7,FALSE)</f>
        <v>6764751</v>
      </c>
      <c r="T127" s="244">
        <f t="shared" si="29"/>
        <v>1</v>
      </c>
      <c r="U127" s="244">
        <v>8</v>
      </c>
      <c r="V127" s="244" t="str">
        <f t="shared" si="18"/>
        <v>8 500242 6764751</v>
      </c>
      <c r="W127" s="244" t="str">
        <f t="shared" si="19"/>
        <v>8 23</v>
      </c>
    </row>
    <row r="128" spans="1:23" hidden="1" x14ac:dyDescent="0.3">
      <c r="A128" s="152">
        <v>7</v>
      </c>
      <c r="B128" s="179">
        <v>5</v>
      </c>
      <c r="C128" s="244">
        <f t="shared" si="28"/>
        <v>1</v>
      </c>
      <c r="D128" s="171" t="s">
        <v>237</v>
      </c>
      <c r="E128" s="171"/>
      <c r="F128" s="172" t="s">
        <v>127</v>
      </c>
      <c r="G128" s="172"/>
      <c r="I128" s="244">
        <v>8</v>
      </c>
      <c r="J128" s="171">
        <v>9</v>
      </c>
      <c r="K128" s="170" t="str">
        <f t="shared" si="16"/>
        <v>8 8  9</v>
      </c>
      <c r="M128" s="175">
        <v>1509</v>
      </c>
      <c r="N128" s="172" t="s">
        <v>127</v>
      </c>
      <c r="O128" s="174">
        <v>12</v>
      </c>
      <c r="P128" s="174" t="s">
        <v>112</v>
      </c>
      <c r="Q128" s="246">
        <f t="shared" si="17"/>
        <v>1</v>
      </c>
      <c r="R128" s="244">
        <f>VLOOKUP(M128,[4]Stores!$A$2:$G$1026,6,FALSE)</f>
        <v>501526</v>
      </c>
      <c r="S128" s="244">
        <f>VLOOKUP(M128,[4]Stores!$A$2:$G$1026,7,FALSE)</f>
        <v>6779622</v>
      </c>
      <c r="T128" s="244">
        <f t="shared" si="29"/>
        <v>1</v>
      </c>
      <c r="U128" s="244">
        <v>10</v>
      </c>
      <c r="V128" s="244" t="str">
        <f t="shared" si="18"/>
        <v>10 501526 6779622</v>
      </c>
      <c r="W128" s="244" t="str">
        <f t="shared" si="19"/>
        <v>10 12</v>
      </c>
    </row>
    <row r="129" spans="1:23" hidden="1" x14ac:dyDescent="0.3">
      <c r="A129" s="152">
        <v>7</v>
      </c>
      <c r="B129" s="180">
        <v>5</v>
      </c>
      <c r="C129" s="244">
        <f t="shared" si="28"/>
        <v>1</v>
      </c>
      <c r="D129" s="171" t="s">
        <v>238</v>
      </c>
      <c r="E129" s="171"/>
      <c r="F129" s="172" t="s">
        <v>131</v>
      </c>
      <c r="G129" s="172"/>
      <c r="I129" s="244">
        <v>9</v>
      </c>
      <c r="J129" s="171">
        <v>5</v>
      </c>
      <c r="K129" s="170" t="str">
        <f t="shared" si="16"/>
        <v>9 9  5</v>
      </c>
      <c r="M129" s="175">
        <v>1039</v>
      </c>
      <c r="N129" s="172" t="s">
        <v>131</v>
      </c>
      <c r="O129" s="174">
        <v>10</v>
      </c>
      <c r="P129" s="174" t="s">
        <v>112</v>
      </c>
      <c r="Q129" s="246">
        <f t="shared" si="17"/>
        <v>1</v>
      </c>
      <c r="R129" s="244">
        <f>VLOOKUP(M129,[4]Stores!$A$2:$G$1026,6,FALSE)</f>
        <v>479847</v>
      </c>
      <c r="S129" s="244">
        <f>VLOOKUP(M129,[4]Stores!$A$2:$G$1026,7,FALSE)</f>
        <v>6776210</v>
      </c>
      <c r="T129" s="244">
        <f t="shared" si="29"/>
        <v>1</v>
      </c>
      <c r="U129" s="244">
        <v>11</v>
      </c>
      <c r="V129" s="244" t="str">
        <f t="shared" si="18"/>
        <v>11 479847 6776210</v>
      </c>
      <c r="W129" s="244" t="str">
        <f t="shared" si="19"/>
        <v>11 10</v>
      </c>
    </row>
    <row r="130" spans="1:23" hidden="1" x14ac:dyDescent="0.3">
      <c r="A130" s="152">
        <v>7</v>
      </c>
      <c r="B130" s="180">
        <v>5</v>
      </c>
      <c r="C130" s="244">
        <f t="shared" si="28"/>
        <v>1</v>
      </c>
      <c r="D130" s="171" t="s">
        <v>239</v>
      </c>
      <c r="E130" s="171"/>
      <c r="F130" s="172" t="s">
        <v>133</v>
      </c>
      <c r="G130" s="172"/>
      <c r="I130" s="244">
        <v>10</v>
      </c>
      <c r="J130" s="171">
        <v>13</v>
      </c>
      <c r="K130" s="170" t="str">
        <f t="shared" si="16"/>
        <v>10 10  13</v>
      </c>
      <c r="M130" s="173">
        <v>1197</v>
      </c>
      <c r="N130" s="172" t="s">
        <v>133</v>
      </c>
      <c r="O130" s="174">
        <v>4</v>
      </c>
      <c r="P130" s="174" t="s">
        <v>117</v>
      </c>
      <c r="Q130" s="246">
        <f t="shared" si="17"/>
        <v>2</v>
      </c>
      <c r="R130" s="244">
        <f>VLOOKUP(M130,[4]Stores!$A$2:$G$1026,6,FALSE)</f>
        <v>517419</v>
      </c>
      <c r="S130" s="244">
        <f>VLOOKUP(M130,[4]Stores!$A$2:$G$1026,7,FALSE)</f>
        <v>6760598</v>
      </c>
      <c r="T130" s="244">
        <f t="shared" si="29"/>
        <v>1</v>
      </c>
      <c r="U130" s="244">
        <v>12</v>
      </c>
      <c r="V130" s="244" t="str">
        <f t="shared" si="18"/>
        <v>12 517419 6760598</v>
      </c>
      <c r="W130" s="244" t="str">
        <f t="shared" si="19"/>
        <v>12 4</v>
      </c>
    </row>
    <row r="131" spans="1:23" x14ac:dyDescent="0.3">
      <c r="A131" s="152"/>
      <c r="B131" s="179"/>
      <c r="D131" s="171"/>
      <c r="E131" s="171"/>
      <c r="F131" s="172"/>
      <c r="G131" s="172"/>
      <c r="J131" s="171"/>
      <c r="K131" s="170" t="str">
        <f t="shared" si="16"/>
        <v xml:space="preserve">   </v>
      </c>
      <c r="M131" s="175"/>
      <c r="N131" s="172"/>
      <c r="O131" s="174"/>
      <c r="P131" s="174"/>
      <c r="Q131" s="246">
        <f t="shared" si="17"/>
        <v>2</v>
      </c>
      <c r="V131" s="244" t="str">
        <f t="shared" si="18"/>
        <v xml:space="preserve">  </v>
      </c>
      <c r="W131" s="244" t="str">
        <f t="shared" si="19"/>
        <v xml:space="preserve"> </v>
      </c>
    </row>
    <row r="132" spans="1:23" hidden="1" x14ac:dyDescent="0.3">
      <c r="A132" s="152">
        <v>7</v>
      </c>
      <c r="B132" s="179">
        <v>6</v>
      </c>
      <c r="C132" s="244">
        <f t="shared" ref="C132:C141" si="30">COUNTIF($D$99:$D$187,D132)</f>
        <v>1</v>
      </c>
      <c r="D132" s="171" t="s">
        <v>240</v>
      </c>
      <c r="E132" s="171"/>
      <c r="F132" s="172" t="s">
        <v>111</v>
      </c>
      <c r="G132" s="172"/>
      <c r="J132" s="171">
        <v>10</v>
      </c>
      <c r="K132" s="170" t="str">
        <f t="shared" si="16"/>
        <v xml:space="preserve">   10</v>
      </c>
      <c r="M132" s="173">
        <v>1630</v>
      </c>
      <c r="N132" s="172" t="s">
        <v>111</v>
      </c>
      <c r="O132" s="174">
        <v>4</v>
      </c>
      <c r="P132" s="174" t="s">
        <v>117</v>
      </c>
      <c r="Q132" s="246">
        <f t="shared" si="17"/>
        <v>2</v>
      </c>
      <c r="R132" s="244">
        <f>VLOOKUP(M132,[4]Stores!$A$2:$G$1026,6,FALSE)</f>
        <v>492421</v>
      </c>
      <c r="S132" s="244">
        <f>VLOOKUP(M132,[4]Stores!$A$2:$G$1026,7,FALSE)</f>
        <v>6829088</v>
      </c>
      <c r="T132" s="244">
        <f t="shared" ref="T132:T141" si="31">COUNTIF($N$4:$N$14,F132)</f>
        <v>1</v>
      </c>
      <c r="U132" s="244">
        <v>2</v>
      </c>
      <c r="V132" s="244" t="str">
        <f t="shared" si="18"/>
        <v>2 492421 6829088</v>
      </c>
      <c r="W132" s="244" t="str">
        <f t="shared" si="19"/>
        <v>2 4</v>
      </c>
    </row>
    <row r="133" spans="1:23" hidden="1" x14ac:dyDescent="0.3">
      <c r="A133" s="152">
        <v>7</v>
      </c>
      <c r="B133" s="181">
        <v>6</v>
      </c>
      <c r="C133" s="244">
        <f t="shared" si="30"/>
        <v>1</v>
      </c>
      <c r="D133" s="171" t="s">
        <v>241</v>
      </c>
      <c r="E133" s="171"/>
      <c r="F133" s="172" t="s">
        <v>125</v>
      </c>
      <c r="G133" s="172"/>
      <c r="J133" s="171">
        <v>13</v>
      </c>
      <c r="K133" s="170" t="str">
        <f t="shared" ref="K133:K164" si="32">I133&amp;" "&amp;I133&amp;" "&amp;E133&amp;" "&amp;J133</f>
        <v xml:space="preserve">   13</v>
      </c>
      <c r="M133" s="173">
        <v>1345</v>
      </c>
      <c r="N133" s="172" t="s">
        <v>125</v>
      </c>
      <c r="O133" s="174">
        <f>11+4</f>
        <v>15</v>
      </c>
      <c r="P133" s="174" t="s">
        <v>112</v>
      </c>
      <c r="Q133" s="246">
        <f t="shared" ref="Q133:Q187" si="33">IF(P133="NO",1,2)</f>
        <v>1</v>
      </c>
      <c r="R133" s="244">
        <f>VLOOKUP(M133,[4]Stores!$A$2:$G$1026,6,FALSE)</f>
        <v>500242</v>
      </c>
      <c r="S133" s="244">
        <f>VLOOKUP(M133,[4]Stores!$A$2:$G$1026,7,FALSE)</f>
        <v>6764751</v>
      </c>
      <c r="T133" s="244">
        <f t="shared" si="31"/>
        <v>1</v>
      </c>
      <c r="U133" s="244">
        <v>3</v>
      </c>
      <c r="V133" s="244" t="str">
        <f t="shared" ref="V133:V188" si="34">U133&amp;" "&amp;R133&amp;" "&amp;S133</f>
        <v>3 500242 6764751</v>
      </c>
      <c r="W133" s="244" t="str">
        <f t="shared" ref="W133:W188" si="35">U133&amp;" "&amp;O133</f>
        <v>3 15</v>
      </c>
    </row>
    <row r="134" spans="1:23" hidden="1" x14ac:dyDescent="0.3">
      <c r="A134" s="152">
        <v>7</v>
      </c>
      <c r="B134" s="180">
        <v>6</v>
      </c>
      <c r="C134" s="244">
        <f t="shared" si="30"/>
        <v>1</v>
      </c>
      <c r="D134" s="171" t="s">
        <v>242</v>
      </c>
      <c r="E134" s="171"/>
      <c r="F134" s="172" t="s">
        <v>133</v>
      </c>
      <c r="G134" s="172"/>
      <c r="J134" s="171">
        <v>17</v>
      </c>
      <c r="K134" s="170" t="str">
        <f t="shared" si="32"/>
        <v xml:space="preserve">   17</v>
      </c>
      <c r="M134" s="173">
        <v>1197</v>
      </c>
      <c r="N134" s="172" t="s">
        <v>133</v>
      </c>
      <c r="O134" s="174">
        <v>2</v>
      </c>
      <c r="P134" s="174" t="s">
        <v>117</v>
      </c>
      <c r="Q134" s="246">
        <f t="shared" si="33"/>
        <v>2</v>
      </c>
      <c r="R134" s="244">
        <f>VLOOKUP(M134,[4]Stores!$A$2:$G$1026,6,FALSE)</f>
        <v>517419</v>
      </c>
      <c r="S134" s="244">
        <f>VLOOKUP(M134,[4]Stores!$A$2:$G$1026,7,FALSE)</f>
        <v>6760598</v>
      </c>
      <c r="T134" s="244">
        <f t="shared" si="31"/>
        <v>1</v>
      </c>
      <c r="U134" s="244">
        <v>4</v>
      </c>
      <c r="V134" s="244" t="str">
        <f t="shared" si="34"/>
        <v>4 517419 6760598</v>
      </c>
      <c r="W134" s="244" t="str">
        <f t="shared" si="35"/>
        <v>4 2</v>
      </c>
    </row>
    <row r="135" spans="1:23" hidden="1" x14ac:dyDescent="0.3">
      <c r="A135" s="152">
        <v>7</v>
      </c>
      <c r="B135" s="180">
        <v>6</v>
      </c>
      <c r="C135" s="244">
        <f t="shared" si="30"/>
        <v>1</v>
      </c>
      <c r="D135" s="171" t="s">
        <v>243</v>
      </c>
      <c r="E135" s="171"/>
      <c r="F135" s="172" t="s">
        <v>131</v>
      </c>
      <c r="G135" s="172"/>
      <c r="J135" s="171">
        <v>6</v>
      </c>
      <c r="K135" s="170" t="str">
        <f t="shared" si="32"/>
        <v xml:space="preserve">   6</v>
      </c>
      <c r="M135" s="175">
        <v>1039</v>
      </c>
      <c r="N135" s="172" t="s">
        <v>131</v>
      </c>
      <c r="O135" s="174">
        <v>4</v>
      </c>
      <c r="P135" s="174" t="s">
        <v>117</v>
      </c>
      <c r="Q135" s="246">
        <f t="shared" si="33"/>
        <v>2</v>
      </c>
      <c r="R135" s="244">
        <f>VLOOKUP(M135,[4]Stores!$A$2:$G$1026,6,FALSE)</f>
        <v>479847</v>
      </c>
      <c r="S135" s="244">
        <f>VLOOKUP(M135,[4]Stores!$A$2:$G$1026,7,FALSE)</f>
        <v>6776210</v>
      </c>
      <c r="T135" s="244">
        <f t="shared" si="31"/>
        <v>1</v>
      </c>
      <c r="U135" s="244">
        <v>5</v>
      </c>
      <c r="V135" s="244" t="str">
        <f t="shared" si="34"/>
        <v>5 479847 6776210</v>
      </c>
      <c r="W135" s="244" t="str">
        <f t="shared" si="35"/>
        <v>5 4</v>
      </c>
    </row>
    <row r="136" spans="1:23" hidden="1" x14ac:dyDescent="0.3">
      <c r="A136" s="152">
        <v>7</v>
      </c>
      <c r="B136" s="180">
        <v>6</v>
      </c>
      <c r="C136" s="244">
        <f t="shared" si="30"/>
        <v>1</v>
      </c>
      <c r="D136" s="171" t="s">
        <v>244</v>
      </c>
      <c r="E136" s="171"/>
      <c r="F136" s="172" t="s">
        <v>119</v>
      </c>
      <c r="G136" s="172"/>
      <c r="J136" s="171">
        <v>6</v>
      </c>
      <c r="K136" s="170" t="str">
        <f t="shared" si="32"/>
        <v xml:space="preserve">   6</v>
      </c>
      <c r="M136" s="173">
        <v>1196</v>
      </c>
      <c r="N136" s="172" t="s">
        <v>119</v>
      </c>
      <c r="O136" s="174">
        <v>3</v>
      </c>
      <c r="P136" s="174" t="s">
        <v>117</v>
      </c>
      <c r="Q136" s="246">
        <f t="shared" si="33"/>
        <v>2</v>
      </c>
      <c r="R136" s="244">
        <f>VLOOKUP(M136,[4]Stores!$A$2:$G$1026,6,FALSE)</f>
        <v>482813</v>
      </c>
      <c r="S136" s="244">
        <f>VLOOKUP(M136,[4]Stores!$A$2:$G$1026,7,FALSE)</f>
        <v>6795115</v>
      </c>
      <c r="T136" s="244">
        <f t="shared" si="31"/>
        <v>1</v>
      </c>
      <c r="U136" s="244">
        <v>6</v>
      </c>
      <c r="V136" s="244" t="str">
        <f t="shared" si="34"/>
        <v>6 482813 6795115</v>
      </c>
      <c r="W136" s="244" t="str">
        <f t="shared" si="35"/>
        <v>6 3</v>
      </c>
    </row>
    <row r="137" spans="1:23" hidden="1" x14ac:dyDescent="0.3">
      <c r="A137" s="152">
        <v>7</v>
      </c>
      <c r="B137" s="179">
        <v>6</v>
      </c>
      <c r="C137" s="244">
        <f t="shared" si="30"/>
        <v>1</v>
      </c>
      <c r="D137" s="171" t="s">
        <v>245</v>
      </c>
      <c r="E137" s="171"/>
      <c r="F137" s="172" t="s">
        <v>116</v>
      </c>
      <c r="G137" s="172"/>
      <c r="J137" s="171">
        <v>0</v>
      </c>
      <c r="K137" s="170" t="str">
        <f t="shared" si="32"/>
        <v xml:space="preserve">   0</v>
      </c>
      <c r="M137" s="175">
        <v>1216</v>
      </c>
      <c r="N137" s="172" t="s">
        <v>116</v>
      </c>
      <c r="O137" s="174">
        <v>6</v>
      </c>
      <c r="P137" s="174" t="s">
        <v>112</v>
      </c>
      <c r="Q137" s="246">
        <f t="shared" si="33"/>
        <v>1</v>
      </c>
      <c r="R137" s="244">
        <f>VLOOKUP(M137,[4]Stores!$A$2:$G$1026,6,FALSE)</f>
        <v>484418</v>
      </c>
      <c r="S137" s="244">
        <f>VLOOKUP(M137,[4]Stores!$A$2:$G$1026,7,FALSE)</f>
        <v>6809184</v>
      </c>
      <c r="T137" s="244">
        <f t="shared" si="31"/>
        <v>1</v>
      </c>
      <c r="U137" s="244">
        <v>7</v>
      </c>
      <c r="V137" s="244" t="str">
        <f t="shared" si="34"/>
        <v>7 484418 6809184</v>
      </c>
      <c r="W137" s="244" t="str">
        <f t="shared" si="35"/>
        <v>7 6</v>
      </c>
    </row>
    <row r="138" spans="1:23" hidden="1" x14ac:dyDescent="0.3">
      <c r="A138" s="152">
        <v>7</v>
      </c>
      <c r="B138" s="179">
        <v>6</v>
      </c>
      <c r="C138" s="244">
        <f t="shared" si="30"/>
        <v>1</v>
      </c>
      <c r="D138" s="171" t="s">
        <v>246</v>
      </c>
      <c r="E138" s="171"/>
      <c r="F138" s="172" t="s">
        <v>114</v>
      </c>
      <c r="G138" s="172"/>
      <c r="J138" s="171">
        <v>17</v>
      </c>
      <c r="K138" s="170" t="str">
        <f t="shared" si="32"/>
        <v xml:space="preserve">   17</v>
      </c>
      <c r="M138" s="174">
        <v>1624</v>
      </c>
      <c r="N138" s="172" t="s">
        <v>114</v>
      </c>
      <c r="O138" s="174">
        <v>7</v>
      </c>
      <c r="P138" s="174" t="s">
        <v>117</v>
      </c>
      <c r="Q138" s="246">
        <f t="shared" si="33"/>
        <v>2</v>
      </c>
      <c r="R138" s="244">
        <f>VLOOKUP(M138,[4]Stores!$A$2:$G$1026,6,FALSE)</f>
        <v>477730</v>
      </c>
      <c r="S138" s="244">
        <f>VLOOKUP(M138,[4]Stores!$A$2:$G$1026,7,FALSE)</f>
        <v>6806791</v>
      </c>
      <c r="T138" s="244">
        <f t="shared" si="31"/>
        <v>1</v>
      </c>
      <c r="U138" s="244">
        <v>8</v>
      </c>
      <c r="V138" s="244" t="str">
        <f t="shared" si="34"/>
        <v>8 477730 6806791</v>
      </c>
      <c r="W138" s="244" t="str">
        <f t="shared" si="35"/>
        <v>8 7</v>
      </c>
    </row>
    <row r="139" spans="1:23" hidden="1" x14ac:dyDescent="0.3">
      <c r="A139" s="152">
        <v>7</v>
      </c>
      <c r="B139" s="179">
        <v>6</v>
      </c>
      <c r="C139" s="244">
        <f t="shared" si="30"/>
        <v>1</v>
      </c>
      <c r="D139" s="171" t="s">
        <v>247</v>
      </c>
      <c r="E139" s="171"/>
      <c r="F139" s="172" t="s">
        <v>121</v>
      </c>
      <c r="G139" s="172"/>
      <c r="J139" s="171">
        <v>5</v>
      </c>
      <c r="K139" s="170" t="str">
        <f t="shared" si="32"/>
        <v xml:space="preserve">   5</v>
      </c>
      <c r="M139" s="173">
        <v>1042</v>
      </c>
      <c r="N139" s="172" t="s">
        <v>121</v>
      </c>
      <c r="O139" s="174">
        <v>2</v>
      </c>
      <c r="P139" s="174" t="s">
        <v>117</v>
      </c>
      <c r="Q139" s="246">
        <f t="shared" si="33"/>
        <v>2</v>
      </c>
      <c r="R139" s="244">
        <f>VLOOKUP(M139,[4]Stores!$A$2:$G$1026,6,FALSE)</f>
        <v>497657</v>
      </c>
      <c r="S139" s="244">
        <f>VLOOKUP(M139,[4]Stores!$A$2:$G$1026,7,FALSE)</f>
        <v>6800380</v>
      </c>
      <c r="T139" s="244">
        <f t="shared" si="31"/>
        <v>1</v>
      </c>
      <c r="U139" s="244">
        <v>9</v>
      </c>
      <c r="V139" s="244" t="str">
        <f t="shared" si="34"/>
        <v>9 497657 6800380</v>
      </c>
      <c r="W139" s="244" t="str">
        <f t="shared" si="35"/>
        <v>9 2</v>
      </c>
    </row>
    <row r="140" spans="1:23" hidden="1" x14ac:dyDescent="0.3">
      <c r="A140" s="152">
        <v>7</v>
      </c>
      <c r="B140" s="179">
        <v>6</v>
      </c>
      <c r="C140" s="244">
        <f t="shared" si="30"/>
        <v>1</v>
      </c>
      <c r="D140" s="171" t="s">
        <v>248</v>
      </c>
      <c r="E140" s="171"/>
      <c r="F140" s="172" t="s">
        <v>123</v>
      </c>
      <c r="G140" s="172"/>
      <c r="J140" s="171">
        <v>15</v>
      </c>
      <c r="K140" s="170" t="str">
        <f t="shared" si="32"/>
        <v xml:space="preserve">   15</v>
      </c>
      <c r="M140" s="173">
        <v>1068</v>
      </c>
      <c r="N140" s="172" t="s">
        <v>123</v>
      </c>
      <c r="O140" s="174">
        <v>1</v>
      </c>
      <c r="P140" s="174" t="s">
        <v>117</v>
      </c>
      <c r="Q140" s="246">
        <f t="shared" si="33"/>
        <v>2</v>
      </c>
      <c r="R140" s="244">
        <f>VLOOKUP(M140,[4]Stores!$A$2:$G$1026,6,FALSE)</f>
        <v>517185</v>
      </c>
      <c r="S140" s="244">
        <f>VLOOKUP(M140,[4]Stores!$A$2:$G$1026,7,FALSE)</f>
        <v>6801437</v>
      </c>
      <c r="T140" s="244">
        <f t="shared" si="31"/>
        <v>1</v>
      </c>
      <c r="U140" s="244">
        <v>10</v>
      </c>
      <c r="V140" s="244" t="str">
        <f t="shared" si="34"/>
        <v>10 517185 6801437</v>
      </c>
      <c r="W140" s="244" t="str">
        <f t="shared" si="35"/>
        <v>10 1</v>
      </c>
    </row>
    <row r="141" spans="1:23" hidden="1" x14ac:dyDescent="0.3">
      <c r="A141" s="152">
        <v>7</v>
      </c>
      <c r="B141" s="179">
        <v>6</v>
      </c>
      <c r="C141" s="244">
        <f t="shared" si="30"/>
        <v>1</v>
      </c>
      <c r="D141" s="171" t="s">
        <v>249</v>
      </c>
      <c r="E141" s="171"/>
      <c r="F141" s="172" t="s">
        <v>127</v>
      </c>
      <c r="G141" s="172"/>
      <c r="J141" s="171">
        <v>19</v>
      </c>
      <c r="K141" s="170" t="str">
        <f t="shared" si="32"/>
        <v xml:space="preserve">   19</v>
      </c>
      <c r="M141" s="175">
        <v>1509</v>
      </c>
      <c r="N141" s="172" t="s">
        <v>127</v>
      </c>
      <c r="O141" s="174">
        <v>8</v>
      </c>
      <c r="P141" s="174" t="s">
        <v>117</v>
      </c>
      <c r="Q141" s="246">
        <f t="shared" si="33"/>
        <v>2</v>
      </c>
      <c r="R141" s="244">
        <f>VLOOKUP(M141,[4]Stores!$A$2:$G$1026,6,FALSE)</f>
        <v>501526</v>
      </c>
      <c r="S141" s="244">
        <f>VLOOKUP(M141,[4]Stores!$A$2:$G$1026,7,FALSE)</f>
        <v>6779622</v>
      </c>
      <c r="T141" s="244">
        <f t="shared" si="31"/>
        <v>1</v>
      </c>
      <c r="U141" s="244">
        <v>11</v>
      </c>
      <c r="V141" s="244" t="str">
        <f t="shared" si="34"/>
        <v>11 501526 6779622</v>
      </c>
      <c r="W141" s="244" t="str">
        <f t="shared" si="35"/>
        <v>11 8</v>
      </c>
    </row>
    <row r="142" spans="1:23" hidden="1" x14ac:dyDescent="0.3">
      <c r="A142" s="152"/>
      <c r="B142" s="179"/>
      <c r="D142" s="171"/>
      <c r="E142" s="171"/>
      <c r="F142" s="172"/>
      <c r="G142" s="172"/>
      <c r="J142" s="171"/>
      <c r="K142" s="170" t="str">
        <f t="shared" si="32"/>
        <v xml:space="preserve">   </v>
      </c>
      <c r="M142" s="175"/>
      <c r="N142" s="172"/>
      <c r="O142" s="174"/>
      <c r="P142" s="174"/>
      <c r="Q142" s="246">
        <f t="shared" si="33"/>
        <v>2</v>
      </c>
      <c r="V142" s="244" t="str">
        <f t="shared" si="34"/>
        <v xml:space="preserve">  </v>
      </c>
      <c r="W142" s="244" t="str">
        <f t="shared" si="35"/>
        <v xml:space="preserve"> </v>
      </c>
    </row>
    <row r="143" spans="1:23" hidden="1" x14ac:dyDescent="0.3">
      <c r="A143" s="152">
        <v>8</v>
      </c>
      <c r="B143" s="179">
        <v>1</v>
      </c>
      <c r="C143" s="244">
        <f t="shared" ref="C143:C152" si="36">COUNTIF($D$99:$D$187,D143)</f>
        <v>1</v>
      </c>
      <c r="D143" s="171" t="s">
        <v>250</v>
      </c>
      <c r="E143" s="171"/>
      <c r="F143" s="172" t="s">
        <v>111</v>
      </c>
      <c r="G143" s="172"/>
      <c r="J143" s="171">
        <v>2</v>
      </c>
      <c r="K143" s="170" t="str">
        <f t="shared" si="32"/>
        <v xml:space="preserve">   2</v>
      </c>
      <c r="M143" s="173">
        <v>1630</v>
      </c>
      <c r="N143" s="172" t="s">
        <v>111</v>
      </c>
      <c r="O143" s="174">
        <v>5</v>
      </c>
      <c r="P143" s="174" t="s">
        <v>112</v>
      </c>
      <c r="Q143" s="246">
        <f t="shared" si="33"/>
        <v>1</v>
      </c>
      <c r="R143" s="244">
        <f>VLOOKUP(M143,[4]Stores!$A$2:$G$1026,6,FALSE)</f>
        <v>492421</v>
      </c>
      <c r="S143" s="244">
        <f>VLOOKUP(M143,[4]Stores!$A$2:$G$1026,7,FALSE)</f>
        <v>6829088</v>
      </c>
      <c r="T143" s="244">
        <f t="shared" ref="T143:T152" si="37">COUNTIF($N$4:$N$14,F143)</f>
        <v>1</v>
      </c>
      <c r="U143" s="244">
        <v>2</v>
      </c>
      <c r="V143" s="244" t="str">
        <f t="shared" si="34"/>
        <v>2 492421 6829088</v>
      </c>
      <c r="W143" s="244" t="str">
        <f t="shared" si="35"/>
        <v>2 5</v>
      </c>
    </row>
    <row r="144" spans="1:23" hidden="1" x14ac:dyDescent="0.3">
      <c r="A144" s="152">
        <v>8</v>
      </c>
      <c r="B144" s="179">
        <v>1</v>
      </c>
      <c r="C144" s="244">
        <f t="shared" si="36"/>
        <v>1</v>
      </c>
      <c r="D144" s="171" t="s">
        <v>251</v>
      </c>
      <c r="E144" s="171"/>
      <c r="F144" s="172" t="s">
        <v>114</v>
      </c>
      <c r="G144" s="172"/>
      <c r="J144" s="171">
        <v>5</v>
      </c>
      <c r="K144" s="170" t="str">
        <f t="shared" si="32"/>
        <v xml:space="preserve">   5</v>
      </c>
      <c r="M144" s="174">
        <v>1624</v>
      </c>
      <c r="N144" s="172" t="s">
        <v>114</v>
      </c>
      <c r="O144" s="174">
        <v>11</v>
      </c>
      <c r="P144" s="174" t="s">
        <v>112</v>
      </c>
      <c r="Q144" s="246">
        <f t="shared" si="33"/>
        <v>1</v>
      </c>
      <c r="R144" s="244">
        <f>VLOOKUP(M144,[4]Stores!$A$2:$G$1026,6,FALSE)</f>
        <v>477730</v>
      </c>
      <c r="S144" s="244">
        <f>VLOOKUP(M144,[4]Stores!$A$2:$G$1026,7,FALSE)</f>
        <v>6806791</v>
      </c>
      <c r="T144" s="244">
        <f t="shared" si="37"/>
        <v>1</v>
      </c>
      <c r="U144" s="244">
        <v>3</v>
      </c>
      <c r="V144" s="244" t="str">
        <f t="shared" si="34"/>
        <v>3 477730 6806791</v>
      </c>
      <c r="W144" s="244" t="str">
        <f t="shared" si="35"/>
        <v>3 11</v>
      </c>
    </row>
    <row r="145" spans="1:23" hidden="1" x14ac:dyDescent="0.3">
      <c r="A145" s="152">
        <v>8</v>
      </c>
      <c r="B145" s="179">
        <v>1</v>
      </c>
      <c r="C145" s="244">
        <f t="shared" si="36"/>
        <v>1</v>
      </c>
      <c r="D145" s="171" t="s">
        <v>252</v>
      </c>
      <c r="E145" s="171"/>
      <c r="F145" s="172" t="s">
        <v>116</v>
      </c>
      <c r="G145" s="172"/>
      <c r="J145" s="171">
        <v>11</v>
      </c>
      <c r="K145" s="170" t="str">
        <f t="shared" si="32"/>
        <v xml:space="preserve">   11</v>
      </c>
      <c r="M145" s="175">
        <v>1216</v>
      </c>
      <c r="N145" s="172" t="s">
        <v>116</v>
      </c>
      <c r="O145" s="174">
        <v>8</v>
      </c>
      <c r="P145" s="174" t="s">
        <v>117</v>
      </c>
      <c r="Q145" s="246">
        <f t="shared" si="33"/>
        <v>2</v>
      </c>
      <c r="R145" s="244">
        <f>VLOOKUP(M145,[4]Stores!$A$2:$G$1026,6,FALSE)</f>
        <v>484418</v>
      </c>
      <c r="S145" s="244">
        <f>VLOOKUP(M145,[4]Stores!$A$2:$G$1026,7,FALSE)</f>
        <v>6809184</v>
      </c>
      <c r="T145" s="244">
        <f t="shared" si="37"/>
        <v>1</v>
      </c>
      <c r="U145" s="244">
        <v>4</v>
      </c>
      <c r="V145" s="244" t="str">
        <f t="shared" si="34"/>
        <v>4 484418 6809184</v>
      </c>
      <c r="W145" s="244" t="str">
        <f t="shared" si="35"/>
        <v>4 8</v>
      </c>
    </row>
    <row r="146" spans="1:23" hidden="1" x14ac:dyDescent="0.3">
      <c r="A146" s="152">
        <v>8</v>
      </c>
      <c r="B146" s="180">
        <v>1</v>
      </c>
      <c r="C146" s="244">
        <f t="shared" si="36"/>
        <v>1</v>
      </c>
      <c r="D146" s="171" t="s">
        <v>253</v>
      </c>
      <c r="E146" s="171"/>
      <c r="F146" s="172" t="s">
        <v>125</v>
      </c>
      <c r="G146" s="172"/>
      <c r="J146" s="171">
        <v>4</v>
      </c>
      <c r="K146" s="170" t="str">
        <f t="shared" si="32"/>
        <v xml:space="preserve">   4</v>
      </c>
      <c r="M146" s="173">
        <v>1345</v>
      </c>
      <c r="N146" s="172" t="s">
        <v>125</v>
      </c>
      <c r="O146" s="174">
        <v>8</v>
      </c>
      <c r="P146" s="174" t="s">
        <v>112</v>
      </c>
      <c r="Q146" s="246">
        <f t="shared" si="33"/>
        <v>1</v>
      </c>
      <c r="R146" s="244">
        <f>VLOOKUP(M146,[4]Stores!$A$2:$G$1026,6,FALSE)</f>
        <v>500242</v>
      </c>
      <c r="S146" s="244">
        <f>VLOOKUP(M146,[4]Stores!$A$2:$G$1026,7,FALSE)</f>
        <v>6764751</v>
      </c>
      <c r="T146" s="244">
        <f t="shared" si="37"/>
        <v>1</v>
      </c>
      <c r="U146" s="244">
        <v>5</v>
      </c>
      <c r="V146" s="244" t="str">
        <f t="shared" si="34"/>
        <v>5 500242 6764751</v>
      </c>
      <c r="W146" s="244" t="str">
        <f t="shared" si="35"/>
        <v>5 8</v>
      </c>
    </row>
    <row r="147" spans="1:23" hidden="1" x14ac:dyDescent="0.3">
      <c r="A147" s="152">
        <v>8</v>
      </c>
      <c r="B147" s="180">
        <v>1</v>
      </c>
      <c r="C147" s="244">
        <f t="shared" si="36"/>
        <v>1</v>
      </c>
      <c r="D147" s="171" t="s">
        <v>254</v>
      </c>
      <c r="E147" s="171"/>
      <c r="F147" s="172" t="s">
        <v>133</v>
      </c>
      <c r="G147" s="172"/>
      <c r="J147" s="171">
        <v>3</v>
      </c>
      <c r="K147" s="170" t="str">
        <f t="shared" si="32"/>
        <v xml:space="preserve">   3</v>
      </c>
      <c r="M147" s="173">
        <v>1197</v>
      </c>
      <c r="N147" s="172" t="s">
        <v>133</v>
      </c>
      <c r="O147" s="174">
        <v>2</v>
      </c>
      <c r="P147" s="174" t="s">
        <v>117</v>
      </c>
      <c r="Q147" s="246">
        <f t="shared" si="33"/>
        <v>2</v>
      </c>
      <c r="R147" s="244">
        <f>VLOOKUP(M147,[4]Stores!$A$2:$G$1026,6,FALSE)</f>
        <v>517419</v>
      </c>
      <c r="S147" s="244">
        <f>VLOOKUP(M147,[4]Stores!$A$2:$G$1026,7,FALSE)</f>
        <v>6760598</v>
      </c>
      <c r="T147" s="244">
        <f t="shared" si="37"/>
        <v>1</v>
      </c>
      <c r="U147" s="244">
        <v>6</v>
      </c>
      <c r="V147" s="244" t="str">
        <f t="shared" si="34"/>
        <v>6 517419 6760598</v>
      </c>
      <c r="W147" s="244" t="str">
        <f t="shared" si="35"/>
        <v>6 2</v>
      </c>
    </row>
    <row r="148" spans="1:23" hidden="1" x14ac:dyDescent="0.3">
      <c r="A148" s="152">
        <v>8</v>
      </c>
      <c r="B148" s="180">
        <v>1</v>
      </c>
      <c r="C148" s="244">
        <f t="shared" si="36"/>
        <v>1</v>
      </c>
      <c r="D148" s="171" t="s">
        <v>255</v>
      </c>
      <c r="E148" s="171"/>
      <c r="F148" s="172" t="s">
        <v>131</v>
      </c>
      <c r="G148" s="172"/>
      <c r="J148" s="171">
        <v>14</v>
      </c>
      <c r="K148" s="170" t="str">
        <f t="shared" si="32"/>
        <v xml:space="preserve">   14</v>
      </c>
      <c r="M148" s="175">
        <v>1039</v>
      </c>
      <c r="N148" s="172" t="s">
        <v>131</v>
      </c>
      <c r="O148" s="174">
        <v>5</v>
      </c>
      <c r="P148" s="174" t="s">
        <v>117</v>
      </c>
      <c r="Q148" s="246">
        <f t="shared" si="33"/>
        <v>2</v>
      </c>
      <c r="R148" s="244">
        <f>VLOOKUP(M148,[4]Stores!$A$2:$G$1026,6,FALSE)</f>
        <v>479847</v>
      </c>
      <c r="S148" s="244">
        <f>VLOOKUP(M148,[4]Stores!$A$2:$G$1026,7,FALSE)</f>
        <v>6776210</v>
      </c>
      <c r="T148" s="244">
        <f t="shared" si="37"/>
        <v>1</v>
      </c>
      <c r="U148" s="244">
        <v>7</v>
      </c>
      <c r="V148" s="244" t="str">
        <f t="shared" si="34"/>
        <v>7 479847 6776210</v>
      </c>
      <c r="W148" s="244" t="str">
        <f t="shared" si="35"/>
        <v>7 5</v>
      </c>
    </row>
    <row r="149" spans="1:23" hidden="1" x14ac:dyDescent="0.3">
      <c r="A149" s="152">
        <v>8</v>
      </c>
      <c r="B149" s="180">
        <v>1</v>
      </c>
      <c r="C149" s="244">
        <f t="shared" si="36"/>
        <v>1</v>
      </c>
      <c r="D149" s="171" t="s">
        <v>256</v>
      </c>
      <c r="E149" s="171"/>
      <c r="F149" s="172" t="s">
        <v>119</v>
      </c>
      <c r="G149" s="172"/>
      <c r="J149" s="171">
        <v>13</v>
      </c>
      <c r="K149" s="170" t="str">
        <f t="shared" si="32"/>
        <v xml:space="preserve">   13</v>
      </c>
      <c r="M149" s="173">
        <v>1196</v>
      </c>
      <c r="N149" s="172" t="s">
        <v>119</v>
      </c>
      <c r="O149" s="174">
        <v>3</v>
      </c>
      <c r="P149" s="174" t="s">
        <v>117</v>
      </c>
      <c r="Q149" s="246">
        <f t="shared" si="33"/>
        <v>2</v>
      </c>
      <c r="R149" s="244">
        <f>VLOOKUP(M149,[4]Stores!$A$2:$G$1026,6,FALSE)</f>
        <v>482813</v>
      </c>
      <c r="S149" s="244">
        <f>VLOOKUP(M149,[4]Stores!$A$2:$G$1026,7,FALSE)</f>
        <v>6795115</v>
      </c>
      <c r="T149" s="244">
        <f t="shared" si="37"/>
        <v>1</v>
      </c>
      <c r="U149" s="244">
        <v>8</v>
      </c>
      <c r="V149" s="244" t="str">
        <f t="shared" si="34"/>
        <v>8 482813 6795115</v>
      </c>
      <c r="W149" s="244" t="str">
        <f t="shared" si="35"/>
        <v>8 3</v>
      </c>
    </row>
    <row r="150" spans="1:23" hidden="1" x14ac:dyDescent="0.3">
      <c r="A150" s="152">
        <v>8</v>
      </c>
      <c r="B150" s="179">
        <v>1</v>
      </c>
      <c r="C150" s="244">
        <f t="shared" si="36"/>
        <v>1</v>
      </c>
      <c r="D150" s="171" t="s">
        <v>257</v>
      </c>
      <c r="E150" s="171"/>
      <c r="F150" s="172" t="s">
        <v>121</v>
      </c>
      <c r="G150" s="172"/>
      <c r="J150" s="171">
        <v>11</v>
      </c>
      <c r="K150" s="170" t="str">
        <f t="shared" si="32"/>
        <v xml:space="preserve">   11</v>
      </c>
      <c r="M150" s="173">
        <v>1042</v>
      </c>
      <c r="N150" s="172" t="s">
        <v>121</v>
      </c>
      <c r="O150" s="174">
        <v>2</v>
      </c>
      <c r="P150" s="174" t="s">
        <v>117</v>
      </c>
      <c r="Q150" s="246">
        <f t="shared" si="33"/>
        <v>2</v>
      </c>
      <c r="R150" s="244">
        <f>VLOOKUP(M150,[4]Stores!$A$2:$G$1026,6,FALSE)</f>
        <v>497657</v>
      </c>
      <c r="S150" s="244">
        <f>VLOOKUP(M150,[4]Stores!$A$2:$G$1026,7,FALSE)</f>
        <v>6800380</v>
      </c>
      <c r="T150" s="244">
        <f t="shared" si="37"/>
        <v>1</v>
      </c>
      <c r="U150" s="244">
        <v>9</v>
      </c>
      <c r="V150" s="244" t="str">
        <f t="shared" si="34"/>
        <v>9 497657 6800380</v>
      </c>
      <c r="W150" s="244" t="str">
        <f t="shared" si="35"/>
        <v>9 2</v>
      </c>
    </row>
    <row r="151" spans="1:23" hidden="1" x14ac:dyDescent="0.3">
      <c r="A151" s="152">
        <v>8</v>
      </c>
      <c r="B151" s="179">
        <v>1</v>
      </c>
      <c r="C151" s="244">
        <f t="shared" si="36"/>
        <v>1</v>
      </c>
      <c r="D151" s="171" t="s">
        <v>258</v>
      </c>
      <c r="E151" s="171"/>
      <c r="F151" s="172" t="s">
        <v>123</v>
      </c>
      <c r="G151" s="172"/>
      <c r="J151" s="171">
        <v>23</v>
      </c>
      <c r="K151" s="170" t="str">
        <f t="shared" si="32"/>
        <v xml:space="preserve">   23</v>
      </c>
      <c r="M151" s="173">
        <v>1068</v>
      </c>
      <c r="N151" s="172" t="s">
        <v>123</v>
      </c>
      <c r="O151" s="174">
        <v>1</v>
      </c>
      <c r="P151" s="174" t="s">
        <v>117</v>
      </c>
      <c r="Q151" s="246">
        <f t="shared" si="33"/>
        <v>2</v>
      </c>
      <c r="R151" s="244">
        <f>VLOOKUP(M151,[4]Stores!$A$2:$G$1026,6,FALSE)</f>
        <v>517185</v>
      </c>
      <c r="S151" s="244">
        <f>VLOOKUP(M151,[4]Stores!$A$2:$G$1026,7,FALSE)</f>
        <v>6801437</v>
      </c>
      <c r="T151" s="244">
        <f t="shared" si="37"/>
        <v>1</v>
      </c>
      <c r="U151" s="244">
        <v>10</v>
      </c>
      <c r="V151" s="244" t="str">
        <f t="shared" si="34"/>
        <v>10 517185 6801437</v>
      </c>
      <c r="W151" s="244" t="str">
        <f t="shared" si="35"/>
        <v>10 1</v>
      </c>
    </row>
    <row r="152" spans="1:23" hidden="1" x14ac:dyDescent="0.3">
      <c r="A152" s="152">
        <v>8</v>
      </c>
      <c r="B152" s="179">
        <v>1</v>
      </c>
      <c r="C152" s="244">
        <f t="shared" si="36"/>
        <v>1</v>
      </c>
      <c r="D152" s="171" t="s">
        <v>259</v>
      </c>
      <c r="E152" s="171"/>
      <c r="F152" s="172" t="s">
        <v>127</v>
      </c>
      <c r="G152" s="172"/>
      <c r="J152" s="171">
        <v>3</v>
      </c>
      <c r="K152" s="170" t="str">
        <f t="shared" si="32"/>
        <v xml:space="preserve">   3</v>
      </c>
      <c r="M152" s="175">
        <v>1509</v>
      </c>
      <c r="N152" s="172" t="s">
        <v>127</v>
      </c>
      <c r="O152" s="174">
        <v>12</v>
      </c>
      <c r="P152" s="174" t="s">
        <v>112</v>
      </c>
      <c r="Q152" s="246">
        <f t="shared" si="33"/>
        <v>1</v>
      </c>
      <c r="R152" s="244">
        <f>VLOOKUP(M152,[4]Stores!$A$2:$G$1026,6,FALSE)</f>
        <v>501526</v>
      </c>
      <c r="S152" s="244">
        <f>VLOOKUP(M152,[4]Stores!$A$2:$G$1026,7,FALSE)</f>
        <v>6779622</v>
      </c>
      <c r="T152" s="244">
        <f t="shared" si="37"/>
        <v>1</v>
      </c>
      <c r="U152" s="244">
        <v>11</v>
      </c>
      <c r="V152" s="244" t="str">
        <f t="shared" si="34"/>
        <v>11 501526 6779622</v>
      </c>
      <c r="W152" s="244" t="str">
        <f t="shared" si="35"/>
        <v>11 12</v>
      </c>
    </row>
    <row r="153" spans="1:23" hidden="1" x14ac:dyDescent="0.3">
      <c r="A153" s="152"/>
      <c r="B153" s="179"/>
      <c r="D153" s="171"/>
      <c r="E153" s="171"/>
      <c r="F153" s="172"/>
      <c r="G153" s="172"/>
      <c r="J153" s="171"/>
      <c r="K153" s="170" t="str">
        <f t="shared" si="32"/>
        <v xml:space="preserve">   </v>
      </c>
      <c r="M153" s="175"/>
      <c r="N153" s="172"/>
      <c r="O153" s="174"/>
      <c r="P153" s="174"/>
      <c r="Q153" s="246">
        <f t="shared" si="33"/>
        <v>2</v>
      </c>
      <c r="V153" s="244" t="str">
        <f t="shared" si="34"/>
        <v xml:space="preserve">  </v>
      </c>
      <c r="W153" s="244" t="str">
        <f t="shared" si="35"/>
        <v xml:space="preserve"> </v>
      </c>
    </row>
    <row r="154" spans="1:23" x14ac:dyDescent="0.3">
      <c r="A154" s="152">
        <v>8</v>
      </c>
      <c r="B154" s="179">
        <v>4</v>
      </c>
      <c r="C154" s="244">
        <f t="shared" ref="C154:C164" si="38">COUNTIF($D$99:$D$187,D154)</f>
        <v>1</v>
      </c>
      <c r="D154" s="171" t="s">
        <v>260</v>
      </c>
      <c r="E154" s="169">
        <v>2</v>
      </c>
      <c r="F154" s="172" t="s">
        <v>111</v>
      </c>
      <c r="G154" s="172"/>
      <c r="I154" s="244">
        <v>0</v>
      </c>
      <c r="J154" s="171">
        <v>21</v>
      </c>
      <c r="K154" s="170" t="str">
        <f t="shared" si="32"/>
        <v>0 0 2 21</v>
      </c>
      <c r="L154" s="244">
        <v>8</v>
      </c>
      <c r="M154" s="173">
        <v>1630</v>
      </c>
      <c r="N154" s="172" t="s">
        <v>111</v>
      </c>
      <c r="O154" s="174">
        <v>6</v>
      </c>
      <c r="P154" s="174" t="s">
        <v>117</v>
      </c>
      <c r="Q154" s="246">
        <f t="shared" si="33"/>
        <v>2</v>
      </c>
      <c r="R154" s="244">
        <f>VLOOKUP(M154,[4]Stores!$A$2:$G$1026,6,FALSE)/1000</f>
        <v>492.42099999999999</v>
      </c>
      <c r="S154" s="244">
        <f>VLOOKUP(M154,[4]Stores!$A$2:$G$1026,7,FALSE)/1000</f>
        <v>6829.0879999999997</v>
      </c>
      <c r="T154" s="244">
        <f t="shared" ref="T154:T164" si="39">COUNTIF($N$4:$N$14,F154)</f>
        <v>1</v>
      </c>
      <c r="U154" s="244">
        <v>2</v>
      </c>
      <c r="V154" s="244" t="str">
        <f t="shared" si="34"/>
        <v>2 492.421 6829.088</v>
      </c>
      <c r="W154" s="244" t="str">
        <f t="shared" si="35"/>
        <v>2 6</v>
      </c>
    </row>
    <row r="155" spans="1:23" x14ac:dyDescent="0.3">
      <c r="A155" s="152">
        <v>8</v>
      </c>
      <c r="B155" s="179">
        <v>4</v>
      </c>
      <c r="C155" s="244">
        <f t="shared" si="38"/>
        <v>1</v>
      </c>
      <c r="D155" s="171" t="s">
        <v>261</v>
      </c>
      <c r="E155" s="169">
        <v>3</v>
      </c>
      <c r="F155" s="172" t="s">
        <v>114</v>
      </c>
      <c r="G155" s="172"/>
      <c r="I155" s="244">
        <v>1</v>
      </c>
      <c r="J155" s="171">
        <v>9</v>
      </c>
      <c r="K155" s="170" t="str">
        <f t="shared" si="32"/>
        <v>1 1 3 9</v>
      </c>
      <c r="M155" s="174">
        <v>1624</v>
      </c>
      <c r="N155" s="172" t="s">
        <v>114</v>
      </c>
      <c r="O155" s="174">
        <v>8</v>
      </c>
      <c r="P155" s="174" t="s">
        <v>117</v>
      </c>
      <c r="Q155" s="246">
        <f t="shared" si="33"/>
        <v>2</v>
      </c>
      <c r="R155" s="244">
        <f>VLOOKUP(M155,[4]Stores!$A$2:$G$1026,6,FALSE)/1000</f>
        <v>477.73</v>
      </c>
      <c r="S155" s="244">
        <f>VLOOKUP(M155,[4]Stores!$A$2:$G$1026,7,FALSE)/1000</f>
        <v>6806.7910000000002</v>
      </c>
      <c r="T155" s="244">
        <f t="shared" si="39"/>
        <v>1</v>
      </c>
      <c r="U155" s="244">
        <v>3</v>
      </c>
      <c r="V155" s="244" t="str">
        <f t="shared" si="34"/>
        <v>3 477.73 6806.791</v>
      </c>
      <c r="W155" s="244" t="str">
        <f t="shared" si="35"/>
        <v>3 8</v>
      </c>
    </row>
    <row r="156" spans="1:23" x14ac:dyDescent="0.3">
      <c r="A156" s="152">
        <v>8</v>
      </c>
      <c r="B156" s="179">
        <v>4</v>
      </c>
      <c r="C156" s="244">
        <f t="shared" si="38"/>
        <v>1</v>
      </c>
      <c r="D156" s="171" t="s">
        <v>262</v>
      </c>
      <c r="E156" s="169">
        <v>4</v>
      </c>
      <c r="F156" s="172" t="s">
        <v>116</v>
      </c>
      <c r="G156" s="172"/>
      <c r="I156" s="244">
        <v>2</v>
      </c>
      <c r="J156" s="171">
        <v>16</v>
      </c>
      <c r="K156" s="170" t="str">
        <f t="shared" si="32"/>
        <v>2 2 4 16</v>
      </c>
      <c r="M156" s="175">
        <v>1216</v>
      </c>
      <c r="N156" s="172" t="s">
        <v>116</v>
      </c>
      <c r="O156" s="174">
        <v>6</v>
      </c>
      <c r="P156" s="174" t="s">
        <v>117</v>
      </c>
      <c r="Q156" s="246">
        <f t="shared" si="33"/>
        <v>2</v>
      </c>
      <c r="R156" s="244">
        <f>VLOOKUP(M156,[4]Stores!$A$2:$G$1026,6,FALSE)/1000</f>
        <v>484.41800000000001</v>
      </c>
      <c r="S156" s="244">
        <f>VLOOKUP(M156,[4]Stores!$A$2:$G$1026,7,FALSE)/1000</f>
        <v>6809.1840000000002</v>
      </c>
      <c r="T156" s="244">
        <f t="shared" si="39"/>
        <v>1</v>
      </c>
      <c r="U156" s="244">
        <v>4</v>
      </c>
      <c r="V156" s="244" t="str">
        <f t="shared" si="34"/>
        <v>4 484.418 6809.184</v>
      </c>
      <c r="W156" s="244" t="str">
        <f t="shared" si="35"/>
        <v>4 6</v>
      </c>
    </row>
    <row r="157" spans="1:23" x14ac:dyDescent="0.3">
      <c r="A157" s="152">
        <v>8</v>
      </c>
      <c r="B157" s="180">
        <v>4</v>
      </c>
      <c r="C157" s="244">
        <f t="shared" si="38"/>
        <v>1</v>
      </c>
      <c r="D157" s="171" t="s">
        <v>263</v>
      </c>
      <c r="E157" s="169">
        <v>5</v>
      </c>
      <c r="F157" s="172" t="s">
        <v>119</v>
      </c>
      <c r="G157" s="172"/>
      <c r="I157" s="244">
        <v>5</v>
      </c>
      <c r="J157" s="171">
        <v>6</v>
      </c>
      <c r="K157" s="170" t="str">
        <f t="shared" si="32"/>
        <v>5 5 5 6</v>
      </c>
      <c r="M157" s="173">
        <v>1196</v>
      </c>
      <c r="N157" s="172" t="s">
        <v>119</v>
      </c>
      <c r="O157" s="174">
        <v>3</v>
      </c>
      <c r="P157" s="174" t="s">
        <v>117</v>
      </c>
      <c r="Q157" s="246">
        <f t="shared" si="33"/>
        <v>2</v>
      </c>
      <c r="R157" s="244">
        <f>VLOOKUP(M157,[4]Stores!$A$2:$G$1026,6,FALSE)/1000</f>
        <v>482.81299999999999</v>
      </c>
      <c r="S157" s="244">
        <f>VLOOKUP(M157,[4]Stores!$A$2:$G$1026,7,FALSE)/1000</f>
        <v>6795.1149999999998</v>
      </c>
      <c r="T157" s="244">
        <f t="shared" si="39"/>
        <v>1</v>
      </c>
      <c r="U157" s="244">
        <v>5</v>
      </c>
      <c r="V157" s="244" t="str">
        <f t="shared" si="34"/>
        <v>5 482.813 6795.115</v>
      </c>
      <c r="W157" s="244" t="str">
        <f t="shared" si="35"/>
        <v>5 3</v>
      </c>
    </row>
    <row r="158" spans="1:23" x14ac:dyDescent="0.3">
      <c r="A158" s="152">
        <v>8</v>
      </c>
      <c r="B158" s="180">
        <v>4</v>
      </c>
      <c r="C158" s="244">
        <f t="shared" si="38"/>
        <v>1</v>
      </c>
      <c r="D158" s="171" t="s">
        <v>264</v>
      </c>
      <c r="E158" s="169">
        <v>6</v>
      </c>
      <c r="F158" s="172" t="s">
        <v>121</v>
      </c>
      <c r="G158" s="172"/>
      <c r="I158" s="244">
        <v>8</v>
      </c>
      <c r="J158" s="171">
        <v>12</v>
      </c>
      <c r="K158" s="170" t="str">
        <f t="shared" si="32"/>
        <v>8 8 6 12</v>
      </c>
      <c r="M158" s="173">
        <v>1042</v>
      </c>
      <c r="N158" s="172" t="s">
        <v>121</v>
      </c>
      <c r="O158" s="174">
        <v>3</v>
      </c>
      <c r="P158" s="174" t="s">
        <v>117</v>
      </c>
      <c r="Q158" s="246">
        <f t="shared" si="33"/>
        <v>2</v>
      </c>
      <c r="R158" s="244">
        <f>VLOOKUP(M158,[4]Stores!$A$2:$G$1026,6,FALSE)/1000</f>
        <v>497.65699999999998</v>
      </c>
      <c r="S158" s="244">
        <f>VLOOKUP(M158,[4]Stores!$A$2:$G$1026,7,FALSE)/1000</f>
        <v>6800.38</v>
      </c>
      <c r="T158" s="244">
        <f t="shared" si="39"/>
        <v>1</v>
      </c>
      <c r="U158" s="244">
        <v>6</v>
      </c>
      <c r="V158" s="244" t="str">
        <f t="shared" si="34"/>
        <v>6 497.657 6800.38</v>
      </c>
      <c r="W158" s="244" t="str">
        <f t="shared" si="35"/>
        <v>6 3</v>
      </c>
    </row>
    <row r="159" spans="1:23" x14ac:dyDescent="0.3">
      <c r="A159" s="152">
        <v>8</v>
      </c>
      <c r="B159" s="179">
        <v>4</v>
      </c>
      <c r="C159" s="244">
        <f t="shared" si="38"/>
        <v>1</v>
      </c>
      <c r="D159" s="171" t="s">
        <v>265</v>
      </c>
      <c r="E159" s="169">
        <v>7</v>
      </c>
      <c r="F159" s="172" t="s">
        <v>123</v>
      </c>
      <c r="G159" s="172"/>
      <c r="I159" s="244">
        <v>9</v>
      </c>
      <c r="J159" s="171">
        <v>4</v>
      </c>
      <c r="K159" s="170" t="str">
        <f t="shared" si="32"/>
        <v>9 9 7 4</v>
      </c>
      <c r="M159" s="173">
        <v>1068</v>
      </c>
      <c r="N159" s="172" t="s">
        <v>123</v>
      </c>
      <c r="O159" s="174">
        <v>3</v>
      </c>
      <c r="P159" s="174" t="s">
        <v>117</v>
      </c>
      <c r="Q159" s="246">
        <f t="shared" si="33"/>
        <v>2</v>
      </c>
      <c r="R159" s="244">
        <f>VLOOKUP(M159,[4]Stores!$A$2:$G$1026,6,FALSE)/1000</f>
        <v>517.18499999999995</v>
      </c>
      <c r="S159" s="244">
        <f>VLOOKUP(M159,[4]Stores!$A$2:$G$1026,7,FALSE)/1000</f>
        <v>6801.4369999999999</v>
      </c>
      <c r="T159" s="244">
        <f t="shared" si="39"/>
        <v>1</v>
      </c>
      <c r="U159" s="244">
        <v>7</v>
      </c>
      <c r="V159" s="244" t="str">
        <f t="shared" si="34"/>
        <v>7 517.185 6801.437</v>
      </c>
      <c r="W159" s="244" t="str">
        <f t="shared" si="35"/>
        <v>7 3</v>
      </c>
    </row>
    <row r="160" spans="1:23" x14ac:dyDescent="0.3">
      <c r="A160" s="152">
        <v>8</v>
      </c>
      <c r="B160" s="180">
        <v>4</v>
      </c>
      <c r="C160" s="244">
        <f t="shared" si="38"/>
        <v>1</v>
      </c>
      <c r="D160" s="171" t="s">
        <v>266</v>
      </c>
      <c r="E160" s="169">
        <v>8</v>
      </c>
      <c r="F160" s="172" t="s">
        <v>125</v>
      </c>
      <c r="G160" s="172"/>
      <c r="I160" s="244">
        <v>6</v>
      </c>
      <c r="J160" s="171">
        <v>15</v>
      </c>
      <c r="K160" s="170" t="str">
        <f t="shared" si="32"/>
        <v>6 6 8 15</v>
      </c>
      <c r="M160" s="173">
        <v>1345</v>
      </c>
      <c r="N160" s="172" t="s">
        <v>125</v>
      </c>
      <c r="O160" s="174">
        <v>11</v>
      </c>
      <c r="P160" s="174" t="s">
        <v>117</v>
      </c>
      <c r="Q160" s="246">
        <f t="shared" si="33"/>
        <v>2</v>
      </c>
      <c r="R160" s="244">
        <f>VLOOKUP(M160,[4]Stores!$A$2:$G$1026,6,FALSE)/1000</f>
        <v>500.24200000000002</v>
      </c>
      <c r="S160" s="244">
        <f>VLOOKUP(M160,[4]Stores!$A$2:$G$1026,7,FALSE)/1000</f>
        <v>6764.7510000000002</v>
      </c>
      <c r="T160" s="244">
        <f t="shared" si="39"/>
        <v>1</v>
      </c>
      <c r="U160" s="244">
        <v>8</v>
      </c>
      <c r="V160" s="244" t="str">
        <f t="shared" si="34"/>
        <v>8 500.242 6764.751</v>
      </c>
      <c r="W160" s="244" t="str">
        <f t="shared" si="35"/>
        <v>8 11</v>
      </c>
    </row>
    <row r="161" spans="1:23" x14ac:dyDescent="0.3">
      <c r="A161" s="152">
        <v>8</v>
      </c>
      <c r="B161" s="179">
        <v>4</v>
      </c>
      <c r="C161" s="244">
        <f t="shared" si="38"/>
        <v>1</v>
      </c>
      <c r="D161" s="171" t="s">
        <v>267</v>
      </c>
      <c r="E161" s="169">
        <v>9</v>
      </c>
      <c r="F161" s="172" t="s">
        <v>127</v>
      </c>
      <c r="G161" s="172"/>
      <c r="I161" s="244">
        <v>10</v>
      </c>
      <c r="J161" s="171">
        <v>9</v>
      </c>
      <c r="K161" s="170" t="str">
        <f t="shared" si="32"/>
        <v>10 10 9 9</v>
      </c>
      <c r="M161" s="175">
        <v>1509</v>
      </c>
      <c r="N161" s="172" t="s">
        <v>127</v>
      </c>
      <c r="O161" s="174">
        <v>9</v>
      </c>
      <c r="P161" s="174" t="s">
        <v>117</v>
      </c>
      <c r="Q161" s="246">
        <f t="shared" si="33"/>
        <v>2</v>
      </c>
      <c r="R161" s="244">
        <f>VLOOKUP(M161,[4]Stores!$A$2:$G$1026,6,FALSE)/1000</f>
        <v>501.52600000000001</v>
      </c>
      <c r="S161" s="244">
        <f>VLOOKUP(M161,[4]Stores!$A$2:$G$1026,7,FALSE)/1000</f>
        <v>6779.6220000000003</v>
      </c>
      <c r="T161" s="244">
        <f t="shared" si="39"/>
        <v>1</v>
      </c>
      <c r="U161" s="244">
        <v>9</v>
      </c>
      <c r="V161" s="244" t="str">
        <f t="shared" si="34"/>
        <v>9 501.526 6779.622</v>
      </c>
      <c r="W161" s="244" t="str">
        <f t="shared" si="35"/>
        <v>9 9</v>
      </c>
    </row>
    <row r="162" spans="1:23" x14ac:dyDescent="0.3">
      <c r="A162" s="152">
        <v>8</v>
      </c>
      <c r="B162" s="179">
        <v>4</v>
      </c>
      <c r="C162" s="244">
        <f t="shared" si="38"/>
        <v>1</v>
      </c>
      <c r="D162" s="171" t="s">
        <v>268</v>
      </c>
      <c r="E162" s="169">
        <v>10</v>
      </c>
      <c r="F162" s="172" t="s">
        <v>129</v>
      </c>
      <c r="G162" s="172"/>
      <c r="I162" s="244">
        <v>3</v>
      </c>
      <c r="J162" s="171">
        <v>0</v>
      </c>
      <c r="K162" s="170" t="str">
        <f t="shared" si="32"/>
        <v>3 3 10 0</v>
      </c>
      <c r="M162" s="175">
        <v>1225</v>
      </c>
      <c r="N162" s="172" t="s">
        <v>129</v>
      </c>
      <c r="O162" s="174">
        <v>9</v>
      </c>
      <c r="P162" s="174" t="s">
        <v>112</v>
      </c>
      <c r="Q162" s="246">
        <f t="shared" si="33"/>
        <v>1</v>
      </c>
      <c r="R162" s="244">
        <f>VLOOKUP(M162,[4]Stores!$A$2:$G$1026,6,FALSE)/1000</f>
        <v>486.71699999999998</v>
      </c>
      <c r="S162" s="244">
        <f>VLOOKUP(M162,[4]Stores!$A$2:$G$1026,7,FALSE)/1000</f>
        <v>6780.6760000000004</v>
      </c>
      <c r="T162" s="244">
        <f t="shared" si="39"/>
        <v>1</v>
      </c>
      <c r="U162" s="244">
        <v>10</v>
      </c>
      <c r="V162" s="244" t="str">
        <f t="shared" si="34"/>
        <v>10 486.717 6780.676</v>
      </c>
      <c r="W162" s="244" t="str">
        <f t="shared" si="35"/>
        <v>10 9</v>
      </c>
    </row>
    <row r="163" spans="1:23" x14ac:dyDescent="0.3">
      <c r="A163" s="152">
        <v>8</v>
      </c>
      <c r="B163" s="180">
        <v>4</v>
      </c>
      <c r="C163" s="244">
        <f t="shared" si="38"/>
        <v>1</v>
      </c>
      <c r="D163" s="171" t="s">
        <v>269</v>
      </c>
      <c r="E163" s="169">
        <v>11</v>
      </c>
      <c r="F163" s="172" t="s">
        <v>131</v>
      </c>
      <c r="G163" s="172"/>
      <c r="I163" s="244">
        <v>4</v>
      </c>
      <c r="J163" s="171">
        <v>2</v>
      </c>
      <c r="K163" s="170" t="str">
        <f t="shared" si="32"/>
        <v>4 4 11 2</v>
      </c>
      <c r="M163" s="175">
        <v>1039</v>
      </c>
      <c r="N163" s="172" t="s">
        <v>131</v>
      </c>
      <c r="O163" s="174">
        <v>7</v>
      </c>
      <c r="P163" s="174" t="s">
        <v>112</v>
      </c>
      <c r="Q163" s="246">
        <f t="shared" si="33"/>
        <v>1</v>
      </c>
      <c r="R163" s="244">
        <f>VLOOKUP(M163,[4]Stores!$A$2:$G$1026,6,FALSE)/1000</f>
        <v>479.84699999999998</v>
      </c>
      <c r="S163" s="244">
        <f>VLOOKUP(M163,[4]Stores!$A$2:$G$1026,7,FALSE)/1000</f>
        <v>6776.21</v>
      </c>
      <c r="T163" s="244">
        <f t="shared" si="39"/>
        <v>1</v>
      </c>
      <c r="U163" s="244">
        <v>11</v>
      </c>
      <c r="V163" s="244" t="str">
        <f t="shared" si="34"/>
        <v>11 479.847 6776.21</v>
      </c>
      <c r="W163" s="244" t="str">
        <f t="shared" si="35"/>
        <v>11 7</v>
      </c>
    </row>
    <row r="164" spans="1:23" x14ac:dyDescent="0.3">
      <c r="A164" s="152">
        <v>8</v>
      </c>
      <c r="B164" s="174">
        <v>4</v>
      </c>
      <c r="C164" s="244">
        <f t="shared" si="38"/>
        <v>1</v>
      </c>
      <c r="D164" s="171" t="s">
        <v>270</v>
      </c>
      <c r="E164" s="169">
        <v>12</v>
      </c>
      <c r="F164" s="172" t="s">
        <v>133</v>
      </c>
      <c r="G164" s="172"/>
      <c r="I164" s="244">
        <v>7</v>
      </c>
      <c r="J164" s="171">
        <v>10</v>
      </c>
      <c r="K164" s="170" t="str">
        <f t="shared" si="32"/>
        <v>7 7 12 10</v>
      </c>
      <c r="M164" s="173">
        <v>1197</v>
      </c>
      <c r="N164" s="172" t="s">
        <v>133</v>
      </c>
      <c r="O164" s="174">
        <v>3</v>
      </c>
      <c r="P164" s="174" t="s">
        <v>117</v>
      </c>
      <c r="Q164" s="246">
        <f t="shared" si="33"/>
        <v>2</v>
      </c>
      <c r="R164" s="244">
        <f>VLOOKUP(M164,[4]Stores!$A$2:$G$1026,6,FALSE)/1000</f>
        <v>517.41899999999998</v>
      </c>
      <c r="S164" s="244">
        <f>VLOOKUP(M164,[4]Stores!$A$2:$G$1026,7,FALSE)/1000</f>
        <v>6760.598</v>
      </c>
      <c r="T164" s="244">
        <f t="shared" si="39"/>
        <v>1</v>
      </c>
      <c r="U164" s="244">
        <v>12</v>
      </c>
      <c r="V164" s="244" t="str">
        <f t="shared" si="34"/>
        <v>12 517.419 6760.598</v>
      </c>
      <c r="W164" s="244" t="str">
        <f t="shared" si="35"/>
        <v>12 3</v>
      </c>
    </row>
    <row r="165" spans="1:23" x14ac:dyDescent="0.3">
      <c r="A165" s="152"/>
      <c r="B165" s="179"/>
      <c r="D165" s="171"/>
      <c r="E165" s="171"/>
      <c r="F165" s="172"/>
      <c r="G165" s="172"/>
      <c r="J165" s="171"/>
      <c r="K165" s="171"/>
      <c r="M165" s="175"/>
      <c r="N165" s="172"/>
      <c r="O165" s="174"/>
      <c r="P165" s="174"/>
      <c r="Q165" s="246"/>
      <c r="V165" s="244" t="str">
        <f t="shared" si="34"/>
        <v xml:space="preserve">  </v>
      </c>
      <c r="W165" s="244" t="str">
        <f t="shared" si="35"/>
        <v xml:space="preserve"> </v>
      </c>
    </row>
    <row r="166" spans="1:23" x14ac:dyDescent="0.3">
      <c r="A166" s="152">
        <v>8</v>
      </c>
      <c r="B166" s="198">
        <v>5</v>
      </c>
      <c r="C166" s="244">
        <f t="shared" ref="C166:C176" si="40">COUNTIF($D$99:$D$187,D166)</f>
        <v>1</v>
      </c>
      <c r="D166" s="171" t="s">
        <v>271</v>
      </c>
      <c r="E166" s="169">
        <v>2</v>
      </c>
      <c r="F166" s="172" t="s">
        <v>111</v>
      </c>
      <c r="G166" s="172"/>
      <c r="I166" s="244">
        <v>0</v>
      </c>
      <c r="J166" s="171">
        <v>3</v>
      </c>
      <c r="K166" s="170" t="str">
        <f>I166&amp;" "&amp;I166&amp;" "&amp;E166&amp;" "&amp;J166</f>
        <v>0 0 2 3</v>
      </c>
      <c r="L166" s="244">
        <v>9</v>
      </c>
      <c r="M166" s="173">
        <v>1630</v>
      </c>
      <c r="N166" s="172" t="s">
        <v>111</v>
      </c>
      <c r="O166" s="174">
        <f>3+4</f>
        <v>7</v>
      </c>
      <c r="P166" s="174" t="s">
        <v>112</v>
      </c>
      <c r="Q166" s="246">
        <f t="shared" si="33"/>
        <v>1</v>
      </c>
      <c r="R166" s="244">
        <f>VLOOKUP(M166,[4]Stores!$A$2:$G$1026,6,FALSE)/1000</f>
        <v>492.42099999999999</v>
      </c>
      <c r="S166" s="244">
        <f>VLOOKUP(M166,[4]Stores!$A$2:$G$1026,7,FALSE)/1000</f>
        <v>6829.0879999999997</v>
      </c>
      <c r="T166" s="244">
        <f t="shared" ref="T166:T176" si="41">COUNTIF($N$4:$N$14,F166)</f>
        <v>1</v>
      </c>
      <c r="U166" s="244">
        <v>2</v>
      </c>
      <c r="V166" s="244" t="str">
        <f t="shared" si="34"/>
        <v>2 492.421 6829.088</v>
      </c>
      <c r="W166" s="244" t="str">
        <f t="shared" si="35"/>
        <v>2 7</v>
      </c>
    </row>
    <row r="167" spans="1:23" x14ac:dyDescent="0.3">
      <c r="A167" s="152">
        <v>8</v>
      </c>
      <c r="B167" s="179">
        <v>5</v>
      </c>
      <c r="C167" s="244">
        <f t="shared" si="40"/>
        <v>1</v>
      </c>
      <c r="D167" s="171" t="s">
        <v>272</v>
      </c>
      <c r="E167" s="169">
        <v>3</v>
      </c>
      <c r="F167" s="172" t="s">
        <v>114</v>
      </c>
      <c r="G167" s="172"/>
      <c r="I167" s="244">
        <v>1</v>
      </c>
      <c r="J167" s="171">
        <v>1</v>
      </c>
      <c r="K167" s="170" t="str">
        <f t="shared" ref="K167:K176" si="42">I167&amp;" "&amp;I167&amp;" "&amp;E167&amp;" "&amp;J167</f>
        <v>1 1 3 1</v>
      </c>
      <c r="M167" s="174">
        <v>1624</v>
      </c>
      <c r="N167" s="172" t="s">
        <v>114</v>
      </c>
      <c r="O167" s="174">
        <v>8</v>
      </c>
      <c r="P167" s="174" t="s">
        <v>112</v>
      </c>
      <c r="Q167" s="246">
        <f t="shared" si="33"/>
        <v>1</v>
      </c>
      <c r="R167" s="244">
        <f>VLOOKUP(M167,[4]Stores!$A$2:$G$1026,6,FALSE)/1000</f>
        <v>477.73</v>
      </c>
      <c r="S167" s="244">
        <f>VLOOKUP(M167,[4]Stores!$A$2:$G$1026,7,FALSE)/1000</f>
        <v>6806.7910000000002</v>
      </c>
      <c r="T167" s="244">
        <f t="shared" si="41"/>
        <v>1</v>
      </c>
      <c r="U167" s="244">
        <v>3</v>
      </c>
      <c r="V167" s="244" t="str">
        <f t="shared" si="34"/>
        <v>3 477.73 6806.791</v>
      </c>
      <c r="W167" s="244" t="str">
        <f t="shared" si="35"/>
        <v>3 8</v>
      </c>
    </row>
    <row r="168" spans="1:23" x14ac:dyDescent="0.3">
      <c r="A168" s="152">
        <v>8</v>
      </c>
      <c r="B168" s="179">
        <v>5</v>
      </c>
      <c r="C168" s="244">
        <f t="shared" si="40"/>
        <v>1</v>
      </c>
      <c r="D168" s="171" t="s">
        <v>273</v>
      </c>
      <c r="E168" s="169">
        <v>4</v>
      </c>
      <c r="F168" s="172" t="s">
        <v>116</v>
      </c>
      <c r="G168" s="172"/>
      <c r="I168" s="244">
        <v>2</v>
      </c>
      <c r="J168" s="171">
        <v>13</v>
      </c>
      <c r="K168" s="170" t="str">
        <f t="shared" si="42"/>
        <v>2 2 4 13</v>
      </c>
      <c r="M168" s="175">
        <v>1216</v>
      </c>
      <c r="N168" s="172" t="s">
        <v>116</v>
      </c>
      <c r="O168" s="174">
        <v>8</v>
      </c>
      <c r="P168" s="174" t="s">
        <v>117</v>
      </c>
      <c r="Q168" s="246">
        <f t="shared" si="33"/>
        <v>2</v>
      </c>
      <c r="R168" s="244">
        <f>VLOOKUP(M168,[4]Stores!$A$2:$G$1026,6,FALSE)/1000</f>
        <v>484.41800000000001</v>
      </c>
      <c r="S168" s="244">
        <f>VLOOKUP(M168,[4]Stores!$A$2:$G$1026,7,FALSE)/1000</f>
        <v>6809.1840000000002</v>
      </c>
      <c r="T168" s="244">
        <f t="shared" si="41"/>
        <v>1</v>
      </c>
      <c r="U168" s="244">
        <v>4</v>
      </c>
      <c r="V168" s="244" t="str">
        <f t="shared" si="34"/>
        <v>4 484.418 6809.184</v>
      </c>
      <c r="W168" s="244" t="str">
        <f t="shared" si="35"/>
        <v>4 8</v>
      </c>
    </row>
    <row r="169" spans="1:23" x14ac:dyDescent="0.3">
      <c r="A169" s="152">
        <v>8</v>
      </c>
      <c r="B169" s="180">
        <v>5</v>
      </c>
      <c r="C169" s="244">
        <f t="shared" si="40"/>
        <v>1</v>
      </c>
      <c r="D169" s="171" t="s">
        <v>274</v>
      </c>
      <c r="E169" s="169">
        <v>5</v>
      </c>
      <c r="F169" s="172" t="s">
        <v>119</v>
      </c>
      <c r="G169" s="172"/>
      <c r="I169" s="244">
        <v>3</v>
      </c>
      <c r="J169" s="171">
        <v>1</v>
      </c>
      <c r="K169" s="170" t="str">
        <f t="shared" si="42"/>
        <v>3 3 5 1</v>
      </c>
      <c r="M169" s="173">
        <v>1196</v>
      </c>
      <c r="N169" s="172" t="s">
        <v>119</v>
      </c>
      <c r="O169" s="174">
        <v>3</v>
      </c>
      <c r="P169" s="174" t="s">
        <v>112</v>
      </c>
      <c r="Q169" s="246">
        <f t="shared" si="33"/>
        <v>1</v>
      </c>
      <c r="R169" s="244">
        <f>VLOOKUP(M169,[4]Stores!$A$2:$G$1026,6,FALSE)/1000</f>
        <v>482.81299999999999</v>
      </c>
      <c r="S169" s="244">
        <f>VLOOKUP(M169,[4]Stores!$A$2:$G$1026,7,FALSE)/1000</f>
        <v>6795.1149999999998</v>
      </c>
      <c r="T169" s="244">
        <f t="shared" si="41"/>
        <v>1</v>
      </c>
      <c r="U169" s="244">
        <v>5</v>
      </c>
      <c r="V169" s="244" t="str">
        <f t="shared" si="34"/>
        <v>5 482.813 6795.115</v>
      </c>
      <c r="W169" s="244" t="str">
        <f t="shared" si="35"/>
        <v>5 3</v>
      </c>
    </row>
    <row r="170" spans="1:23" x14ac:dyDescent="0.3">
      <c r="A170" s="152">
        <v>8</v>
      </c>
      <c r="B170" s="179">
        <v>5</v>
      </c>
      <c r="C170" s="244">
        <f t="shared" si="40"/>
        <v>1</v>
      </c>
      <c r="D170" s="171" t="s">
        <v>275</v>
      </c>
      <c r="E170" s="169">
        <v>6</v>
      </c>
      <c r="F170" s="172" t="s">
        <v>121</v>
      </c>
      <c r="G170" s="172"/>
      <c r="I170" s="244">
        <v>4</v>
      </c>
      <c r="J170" s="171">
        <v>4</v>
      </c>
      <c r="K170" s="170" t="str">
        <f t="shared" si="42"/>
        <v>4 4 6 4</v>
      </c>
      <c r="M170" s="173">
        <v>1042</v>
      </c>
      <c r="N170" s="172" t="s">
        <v>121</v>
      </c>
      <c r="O170" s="174">
        <v>3</v>
      </c>
      <c r="P170" s="174" t="s">
        <v>117</v>
      </c>
      <c r="Q170" s="246">
        <f t="shared" si="33"/>
        <v>2</v>
      </c>
      <c r="R170" s="244">
        <f>VLOOKUP(M170,[4]Stores!$A$2:$G$1026,6,FALSE)/1000</f>
        <v>497.65699999999998</v>
      </c>
      <c r="S170" s="244">
        <f>VLOOKUP(M170,[4]Stores!$A$2:$G$1026,7,FALSE)/1000</f>
        <v>6800.38</v>
      </c>
      <c r="T170" s="244">
        <f t="shared" si="41"/>
        <v>1</v>
      </c>
      <c r="U170" s="244">
        <v>6</v>
      </c>
      <c r="V170" s="244" t="str">
        <f t="shared" si="34"/>
        <v>6 497.657 6800.38</v>
      </c>
      <c r="W170" s="244" t="str">
        <f t="shared" si="35"/>
        <v>6 3</v>
      </c>
    </row>
    <row r="171" spans="1:23" x14ac:dyDescent="0.3">
      <c r="A171" s="152">
        <v>8</v>
      </c>
      <c r="B171" s="179">
        <v>5</v>
      </c>
      <c r="C171" s="244">
        <f t="shared" si="40"/>
        <v>1</v>
      </c>
      <c r="D171" s="171" t="s">
        <v>276</v>
      </c>
      <c r="E171" s="169">
        <v>7</v>
      </c>
      <c r="F171" s="172" t="s">
        <v>123</v>
      </c>
      <c r="G171" s="172"/>
      <c r="I171" s="244">
        <v>5</v>
      </c>
      <c r="J171" s="171">
        <v>3</v>
      </c>
      <c r="K171" s="170" t="str">
        <f t="shared" si="42"/>
        <v>5 5 7 3</v>
      </c>
      <c r="M171" s="173">
        <v>1068</v>
      </c>
      <c r="N171" s="172" t="s">
        <v>123</v>
      </c>
      <c r="O171" s="174">
        <v>3</v>
      </c>
      <c r="P171" s="174" t="s">
        <v>117</v>
      </c>
      <c r="Q171" s="246">
        <f t="shared" si="33"/>
        <v>2</v>
      </c>
      <c r="R171" s="244">
        <f>VLOOKUP(M171,[4]Stores!$A$2:$G$1026,6,FALSE)/1000</f>
        <v>517.18499999999995</v>
      </c>
      <c r="S171" s="244">
        <f>VLOOKUP(M171,[4]Stores!$A$2:$G$1026,7,FALSE)/1000</f>
        <v>6801.4369999999999</v>
      </c>
      <c r="T171" s="244">
        <f t="shared" si="41"/>
        <v>1</v>
      </c>
      <c r="U171" s="244">
        <v>7</v>
      </c>
      <c r="V171" s="244" t="str">
        <f t="shared" si="34"/>
        <v>7 517.185 6801.437</v>
      </c>
      <c r="W171" s="244" t="str">
        <f t="shared" si="35"/>
        <v>7 3</v>
      </c>
    </row>
    <row r="172" spans="1:23" x14ac:dyDescent="0.3">
      <c r="A172" s="152">
        <v>8</v>
      </c>
      <c r="B172" s="179">
        <v>5</v>
      </c>
      <c r="C172" s="244">
        <f t="shared" si="40"/>
        <v>1</v>
      </c>
      <c r="D172" s="171" t="s">
        <v>277</v>
      </c>
      <c r="E172" s="169">
        <v>8</v>
      </c>
      <c r="F172" s="172" t="s">
        <v>125</v>
      </c>
      <c r="G172" s="172"/>
      <c r="I172" s="244">
        <v>6</v>
      </c>
      <c r="J172" s="171">
        <v>16</v>
      </c>
      <c r="K172" s="170" t="str">
        <f t="shared" si="42"/>
        <v>6 6 8 16</v>
      </c>
      <c r="M172" s="173">
        <v>1345</v>
      </c>
      <c r="N172" s="172" t="s">
        <v>125</v>
      </c>
      <c r="O172" s="174">
        <f>10+11</f>
        <v>21</v>
      </c>
      <c r="P172" s="174" t="s">
        <v>112</v>
      </c>
      <c r="Q172" s="246">
        <f t="shared" si="33"/>
        <v>1</v>
      </c>
      <c r="R172" s="244">
        <f>VLOOKUP(M172,[4]Stores!$A$2:$G$1026,6,FALSE)/1000</f>
        <v>500.24200000000002</v>
      </c>
      <c r="S172" s="244">
        <f>VLOOKUP(M172,[4]Stores!$A$2:$G$1026,7,FALSE)/1000</f>
        <v>6764.7510000000002</v>
      </c>
      <c r="T172" s="244">
        <f t="shared" si="41"/>
        <v>1</v>
      </c>
      <c r="U172" s="244">
        <v>8</v>
      </c>
      <c r="V172" s="244" t="str">
        <f t="shared" si="34"/>
        <v>8 500.242 6764.751</v>
      </c>
      <c r="W172" s="244" t="str">
        <f t="shared" si="35"/>
        <v>8 21</v>
      </c>
    </row>
    <row r="173" spans="1:23" x14ac:dyDescent="0.3">
      <c r="A173" s="152">
        <v>8</v>
      </c>
      <c r="B173" s="179">
        <v>5</v>
      </c>
      <c r="C173" s="244">
        <f t="shared" si="40"/>
        <v>1</v>
      </c>
      <c r="D173" s="171" t="s">
        <v>278</v>
      </c>
      <c r="E173" s="169">
        <v>9</v>
      </c>
      <c r="F173" s="172" t="s">
        <v>127</v>
      </c>
      <c r="G173" s="172"/>
      <c r="I173" s="244">
        <v>7</v>
      </c>
      <c r="J173" s="171">
        <v>2</v>
      </c>
      <c r="K173" s="170" t="str">
        <f t="shared" si="42"/>
        <v>7 7 9 2</v>
      </c>
      <c r="M173" s="175">
        <v>1509</v>
      </c>
      <c r="N173" s="172" t="s">
        <v>127</v>
      </c>
      <c r="O173" s="174">
        <v>12</v>
      </c>
      <c r="P173" s="174" t="s">
        <v>112</v>
      </c>
      <c r="Q173" s="246">
        <f t="shared" si="33"/>
        <v>1</v>
      </c>
      <c r="R173" s="244">
        <f>VLOOKUP(M173,[4]Stores!$A$2:$G$1026,6,FALSE)/1000</f>
        <v>501.52600000000001</v>
      </c>
      <c r="S173" s="244">
        <f>VLOOKUP(M173,[4]Stores!$A$2:$G$1026,7,FALSE)/1000</f>
        <v>6779.6220000000003</v>
      </c>
      <c r="T173" s="244">
        <f t="shared" si="41"/>
        <v>1</v>
      </c>
      <c r="U173" s="244">
        <v>9</v>
      </c>
      <c r="V173" s="244" t="str">
        <f t="shared" si="34"/>
        <v>9 501.526 6779.622</v>
      </c>
      <c r="W173" s="244" t="str">
        <f t="shared" si="35"/>
        <v>9 12</v>
      </c>
    </row>
    <row r="174" spans="1:23" x14ac:dyDescent="0.3">
      <c r="A174" s="152">
        <v>8</v>
      </c>
      <c r="B174" s="179">
        <v>5</v>
      </c>
      <c r="C174" s="244">
        <f t="shared" si="40"/>
        <v>1</v>
      </c>
      <c r="D174" s="171" t="s">
        <v>279</v>
      </c>
      <c r="E174" s="169">
        <v>10</v>
      </c>
      <c r="F174" s="172" t="s">
        <v>129</v>
      </c>
      <c r="G174" s="172"/>
      <c r="I174" s="244">
        <v>8</v>
      </c>
      <c r="J174" s="171">
        <v>1</v>
      </c>
      <c r="K174" s="170" t="str">
        <f t="shared" si="42"/>
        <v>8 8 10 1</v>
      </c>
      <c r="M174" s="175">
        <v>1225</v>
      </c>
      <c r="N174" s="172" t="s">
        <v>129</v>
      </c>
      <c r="O174" s="174">
        <v>7</v>
      </c>
      <c r="P174" s="174" t="s">
        <v>112</v>
      </c>
      <c r="Q174" s="246">
        <f t="shared" si="33"/>
        <v>1</v>
      </c>
      <c r="R174" s="244">
        <f>VLOOKUP(M174,[4]Stores!$A$2:$G$1026,6,FALSE)/1000</f>
        <v>486.71699999999998</v>
      </c>
      <c r="S174" s="244">
        <f>VLOOKUP(M174,[4]Stores!$A$2:$G$1026,7,FALSE)/1000</f>
        <v>6780.6760000000004</v>
      </c>
      <c r="T174" s="244">
        <f t="shared" si="41"/>
        <v>1</v>
      </c>
      <c r="U174" s="244">
        <v>10</v>
      </c>
      <c r="V174" s="244" t="str">
        <f t="shared" si="34"/>
        <v>10 486.717 6780.676</v>
      </c>
      <c r="W174" s="244" t="str">
        <f t="shared" si="35"/>
        <v>10 7</v>
      </c>
    </row>
    <row r="175" spans="1:23" x14ac:dyDescent="0.3">
      <c r="A175" s="152">
        <v>8</v>
      </c>
      <c r="B175" s="180">
        <v>5</v>
      </c>
      <c r="C175" s="244">
        <f t="shared" si="40"/>
        <v>1</v>
      </c>
      <c r="D175" s="171" t="s">
        <v>280</v>
      </c>
      <c r="E175" s="169">
        <v>11</v>
      </c>
      <c r="F175" s="172" t="s">
        <v>131</v>
      </c>
      <c r="G175" s="172"/>
      <c r="I175" s="244">
        <v>9</v>
      </c>
      <c r="J175" s="171">
        <v>5</v>
      </c>
      <c r="K175" s="170" t="str">
        <f t="shared" si="42"/>
        <v>9 9 11 5</v>
      </c>
      <c r="M175" s="175">
        <v>1039</v>
      </c>
      <c r="N175" s="172" t="s">
        <v>131</v>
      </c>
      <c r="O175" s="174">
        <v>11</v>
      </c>
      <c r="P175" s="174" t="s">
        <v>112</v>
      </c>
      <c r="Q175" s="246">
        <f t="shared" si="33"/>
        <v>1</v>
      </c>
      <c r="R175" s="244">
        <f>VLOOKUP(M175,[4]Stores!$A$2:$G$1026,6,FALSE)/1000</f>
        <v>479.84699999999998</v>
      </c>
      <c r="S175" s="244">
        <f>VLOOKUP(M175,[4]Stores!$A$2:$G$1026,7,FALSE)/1000</f>
        <v>6776.21</v>
      </c>
      <c r="T175" s="244">
        <f t="shared" si="41"/>
        <v>1</v>
      </c>
      <c r="U175" s="244">
        <v>11</v>
      </c>
      <c r="V175" s="244" t="str">
        <f t="shared" si="34"/>
        <v>11 479.847 6776.21</v>
      </c>
      <c r="W175" s="244" t="str">
        <f t="shared" si="35"/>
        <v>11 11</v>
      </c>
    </row>
    <row r="176" spans="1:23" x14ac:dyDescent="0.3">
      <c r="A176" s="152">
        <v>8</v>
      </c>
      <c r="B176" s="180">
        <v>5</v>
      </c>
      <c r="C176" s="244">
        <f t="shared" si="40"/>
        <v>1</v>
      </c>
      <c r="D176" s="171" t="s">
        <v>281</v>
      </c>
      <c r="E176" s="169">
        <v>12</v>
      </c>
      <c r="F176" s="172" t="s">
        <v>133</v>
      </c>
      <c r="G176" s="172"/>
      <c r="I176" s="244">
        <v>10</v>
      </c>
      <c r="J176" s="171">
        <v>9</v>
      </c>
      <c r="K176" s="170" t="str">
        <f t="shared" si="42"/>
        <v>10 10 12 9</v>
      </c>
      <c r="M176" s="173">
        <v>1197</v>
      </c>
      <c r="N176" s="172" t="s">
        <v>133</v>
      </c>
      <c r="O176" s="174">
        <v>4</v>
      </c>
      <c r="P176" s="174" t="s">
        <v>117</v>
      </c>
      <c r="Q176" s="246">
        <f t="shared" si="33"/>
        <v>2</v>
      </c>
      <c r="R176" s="244">
        <f>VLOOKUP(M176,[4]Stores!$A$2:$G$1026,6,FALSE)/1000</f>
        <v>517.41899999999998</v>
      </c>
      <c r="S176" s="244">
        <f>VLOOKUP(M176,[4]Stores!$A$2:$G$1026,7,FALSE)/1000</f>
        <v>6760.598</v>
      </c>
      <c r="T176" s="244">
        <f t="shared" si="41"/>
        <v>1</v>
      </c>
      <c r="U176" s="244">
        <v>12</v>
      </c>
      <c r="V176" s="244" t="str">
        <f t="shared" si="34"/>
        <v>12 517.419 6760.598</v>
      </c>
      <c r="W176" s="244" t="str">
        <f t="shared" si="35"/>
        <v>12 4</v>
      </c>
    </row>
    <row r="177" spans="1:23" x14ac:dyDescent="0.3">
      <c r="A177" s="152"/>
      <c r="B177" s="179"/>
      <c r="D177" s="171"/>
      <c r="E177" s="171"/>
      <c r="F177" s="172"/>
      <c r="G177" s="172"/>
      <c r="J177" s="171"/>
      <c r="K177" s="171"/>
      <c r="M177" s="175"/>
      <c r="N177" s="172"/>
      <c r="O177" s="174"/>
      <c r="P177" s="174"/>
      <c r="Q177" s="246"/>
      <c r="V177" s="244" t="str">
        <f t="shared" si="34"/>
        <v xml:space="preserve">  </v>
      </c>
      <c r="W177" s="244" t="str">
        <f t="shared" si="35"/>
        <v xml:space="preserve"> </v>
      </c>
    </row>
    <row r="178" spans="1:23" x14ac:dyDescent="0.3">
      <c r="A178" s="152">
        <v>8</v>
      </c>
      <c r="B178" s="179">
        <v>6</v>
      </c>
      <c r="C178" s="244">
        <f t="shared" ref="C178:C188" si="43">COUNTIF($D$99:$D$187,D178)</f>
        <v>1</v>
      </c>
      <c r="D178" s="171" t="s">
        <v>282</v>
      </c>
      <c r="E178" s="169">
        <v>2</v>
      </c>
      <c r="F178" s="172" t="s">
        <v>111</v>
      </c>
      <c r="G178" s="172"/>
      <c r="I178" s="244">
        <v>0</v>
      </c>
      <c r="J178" s="171">
        <v>11</v>
      </c>
      <c r="K178" s="170" t="str">
        <f>I178&amp;" "&amp;I178&amp;" "&amp;E178&amp;" "&amp;J178</f>
        <v>0 0 2 11</v>
      </c>
      <c r="L178" s="244">
        <v>10</v>
      </c>
      <c r="M178" s="173">
        <v>1630</v>
      </c>
      <c r="N178" s="172" t="s">
        <v>111</v>
      </c>
      <c r="O178" s="174">
        <v>3</v>
      </c>
      <c r="P178" s="174" t="s">
        <v>117</v>
      </c>
      <c r="Q178" s="246">
        <f t="shared" si="33"/>
        <v>2</v>
      </c>
      <c r="R178" s="244">
        <f>VLOOKUP(M178,[4]Stores!$A$2:$G$1026,6,FALSE)/1000</f>
        <v>492.42099999999999</v>
      </c>
      <c r="S178" s="244">
        <f>VLOOKUP(M178,[4]Stores!$A$2:$G$1026,7,FALSE)/1000</f>
        <v>6829.0879999999997</v>
      </c>
      <c r="T178" s="244">
        <f t="shared" ref="T178:T188" si="44">COUNTIF($N$4:$N$14,F178)</f>
        <v>1</v>
      </c>
      <c r="U178" s="244">
        <v>2</v>
      </c>
      <c r="V178" s="244" t="str">
        <f t="shared" si="34"/>
        <v>2 492.421 6829.088</v>
      </c>
      <c r="W178" s="244" t="str">
        <f t="shared" si="35"/>
        <v>2 3</v>
      </c>
    </row>
    <row r="179" spans="1:23" x14ac:dyDescent="0.3">
      <c r="A179" s="152">
        <v>8</v>
      </c>
      <c r="B179" s="179">
        <v>6</v>
      </c>
      <c r="C179" s="244">
        <f t="shared" si="43"/>
        <v>1</v>
      </c>
      <c r="D179" s="171" t="s">
        <v>283</v>
      </c>
      <c r="E179" s="169">
        <v>3</v>
      </c>
      <c r="F179" s="172" t="s">
        <v>114</v>
      </c>
      <c r="G179" s="172"/>
      <c r="I179" s="244">
        <v>1</v>
      </c>
      <c r="J179" s="171">
        <v>18</v>
      </c>
      <c r="K179" s="170" t="str">
        <f t="shared" ref="K179:K187" si="45">I179&amp;" "&amp;I179&amp;" "&amp;E179&amp;" "&amp;J179</f>
        <v>1 1 3 18</v>
      </c>
      <c r="M179" s="174">
        <v>1624</v>
      </c>
      <c r="N179" s="172" t="s">
        <v>114</v>
      </c>
      <c r="O179" s="174">
        <v>6</v>
      </c>
      <c r="P179" s="174" t="s">
        <v>117</v>
      </c>
      <c r="Q179" s="246">
        <f t="shared" si="33"/>
        <v>2</v>
      </c>
      <c r="R179" s="244">
        <f>VLOOKUP(M179,[4]Stores!$A$2:$G$1026,6,FALSE)/1000</f>
        <v>477.73</v>
      </c>
      <c r="S179" s="244">
        <f>VLOOKUP(M179,[4]Stores!$A$2:$G$1026,7,FALSE)/1000</f>
        <v>6806.7910000000002</v>
      </c>
      <c r="T179" s="244">
        <f t="shared" si="44"/>
        <v>1</v>
      </c>
      <c r="U179" s="244">
        <v>3</v>
      </c>
      <c r="V179" s="244" t="str">
        <f t="shared" si="34"/>
        <v>3 477.73 6806.791</v>
      </c>
      <c r="W179" s="244" t="str">
        <f t="shared" si="35"/>
        <v>3 6</v>
      </c>
    </row>
    <row r="180" spans="1:23" x14ac:dyDescent="0.3">
      <c r="A180" s="152">
        <v>8</v>
      </c>
      <c r="B180" s="179">
        <v>6</v>
      </c>
      <c r="C180" s="244">
        <f t="shared" si="43"/>
        <v>1</v>
      </c>
      <c r="D180" s="171" t="s">
        <v>284</v>
      </c>
      <c r="E180" s="169">
        <v>4</v>
      </c>
      <c r="F180" s="172" t="s">
        <v>116</v>
      </c>
      <c r="G180" s="172"/>
      <c r="I180" s="244">
        <v>2</v>
      </c>
      <c r="J180" s="171">
        <v>1</v>
      </c>
      <c r="K180" s="170" t="str">
        <f t="shared" si="45"/>
        <v>2 2 4 1</v>
      </c>
      <c r="M180" s="175">
        <v>1216</v>
      </c>
      <c r="N180" s="172" t="s">
        <v>116</v>
      </c>
      <c r="O180" s="174">
        <v>5</v>
      </c>
      <c r="P180" s="174" t="s">
        <v>112</v>
      </c>
      <c r="Q180" s="246">
        <f t="shared" si="33"/>
        <v>1</v>
      </c>
      <c r="R180" s="244">
        <f>VLOOKUP(M180,[4]Stores!$A$2:$G$1026,6,FALSE)/1000</f>
        <v>484.41800000000001</v>
      </c>
      <c r="S180" s="244">
        <f>VLOOKUP(M180,[4]Stores!$A$2:$G$1026,7,FALSE)/1000</f>
        <v>6809.1840000000002</v>
      </c>
      <c r="T180" s="244">
        <f t="shared" si="44"/>
        <v>1</v>
      </c>
      <c r="U180" s="244">
        <v>4</v>
      </c>
      <c r="V180" s="244" t="str">
        <f t="shared" si="34"/>
        <v>4 484.418 6809.184</v>
      </c>
      <c r="W180" s="244" t="str">
        <f t="shared" si="35"/>
        <v>4 5</v>
      </c>
    </row>
    <row r="181" spans="1:23" x14ac:dyDescent="0.3">
      <c r="A181" s="152">
        <v>8</v>
      </c>
      <c r="B181" s="180">
        <v>6</v>
      </c>
      <c r="C181" s="244">
        <f t="shared" si="43"/>
        <v>1</v>
      </c>
      <c r="D181" s="171" t="s">
        <v>285</v>
      </c>
      <c r="E181" s="169">
        <v>5</v>
      </c>
      <c r="F181" s="172" t="s">
        <v>119</v>
      </c>
      <c r="G181" s="172"/>
      <c r="I181" s="244">
        <v>3</v>
      </c>
      <c r="J181" s="171">
        <v>2</v>
      </c>
      <c r="K181" s="170" t="str">
        <f t="shared" si="45"/>
        <v>3 3 5 2</v>
      </c>
      <c r="M181" s="173">
        <v>1196</v>
      </c>
      <c r="N181" s="172" t="s">
        <v>119</v>
      </c>
      <c r="O181" s="174">
        <v>2</v>
      </c>
      <c r="P181" s="174" t="s">
        <v>117</v>
      </c>
      <c r="Q181" s="246">
        <f t="shared" si="33"/>
        <v>2</v>
      </c>
      <c r="R181" s="244">
        <f>VLOOKUP(M181,[4]Stores!$A$2:$G$1026,6,FALSE)/1000</f>
        <v>482.81299999999999</v>
      </c>
      <c r="S181" s="244">
        <f>VLOOKUP(M181,[4]Stores!$A$2:$G$1026,7,FALSE)/1000</f>
        <v>6795.1149999999998</v>
      </c>
      <c r="T181" s="244">
        <f t="shared" si="44"/>
        <v>1</v>
      </c>
      <c r="U181" s="244">
        <v>5</v>
      </c>
      <c r="V181" s="244" t="str">
        <f t="shared" si="34"/>
        <v>5 482.813 6795.115</v>
      </c>
      <c r="W181" s="244" t="str">
        <f t="shared" si="35"/>
        <v>5 2</v>
      </c>
    </row>
    <row r="182" spans="1:23" x14ac:dyDescent="0.3">
      <c r="A182" s="152">
        <v>8</v>
      </c>
      <c r="B182" s="179">
        <v>6</v>
      </c>
      <c r="C182" s="244">
        <f t="shared" si="43"/>
        <v>1</v>
      </c>
      <c r="D182" s="171" t="s">
        <v>286</v>
      </c>
      <c r="E182" s="169">
        <v>6</v>
      </c>
      <c r="F182" s="172" t="s">
        <v>121</v>
      </c>
      <c r="G182" s="172"/>
      <c r="I182" s="244">
        <v>4</v>
      </c>
      <c r="J182" s="171">
        <v>3</v>
      </c>
      <c r="K182" s="170" t="str">
        <f t="shared" si="45"/>
        <v>4 4 6 3</v>
      </c>
      <c r="M182" s="173">
        <v>1042</v>
      </c>
      <c r="N182" s="172" t="s">
        <v>121</v>
      </c>
      <c r="O182" s="174">
        <v>2</v>
      </c>
      <c r="P182" s="174" t="s">
        <v>117</v>
      </c>
      <c r="Q182" s="246">
        <f t="shared" si="33"/>
        <v>2</v>
      </c>
      <c r="R182" s="244">
        <f>VLOOKUP(M182,[4]Stores!$A$2:$G$1026,6,FALSE)/1000</f>
        <v>497.65699999999998</v>
      </c>
      <c r="S182" s="244">
        <f>VLOOKUP(M182,[4]Stores!$A$2:$G$1026,7,FALSE)/1000</f>
        <v>6800.38</v>
      </c>
      <c r="T182" s="244">
        <f t="shared" si="44"/>
        <v>1</v>
      </c>
      <c r="U182" s="244">
        <v>6</v>
      </c>
      <c r="V182" s="244" t="str">
        <f t="shared" si="34"/>
        <v>6 497.657 6800.38</v>
      </c>
      <c r="W182" s="244" t="str">
        <f t="shared" si="35"/>
        <v>6 2</v>
      </c>
    </row>
    <row r="183" spans="1:23" x14ac:dyDescent="0.3">
      <c r="A183" s="152">
        <v>8</v>
      </c>
      <c r="B183" s="179">
        <v>6</v>
      </c>
      <c r="C183" s="244">
        <f t="shared" si="43"/>
        <v>1</v>
      </c>
      <c r="D183" s="171" t="s">
        <v>287</v>
      </c>
      <c r="E183" s="169">
        <v>7</v>
      </c>
      <c r="F183" s="172" t="s">
        <v>123</v>
      </c>
      <c r="G183" s="172"/>
      <c r="I183" s="244">
        <v>5</v>
      </c>
      <c r="J183" s="171">
        <v>16</v>
      </c>
      <c r="K183" s="170" t="str">
        <f t="shared" si="45"/>
        <v>5 5 7 16</v>
      </c>
      <c r="M183" s="173">
        <v>1068</v>
      </c>
      <c r="N183" s="172" t="s">
        <v>123</v>
      </c>
      <c r="O183" s="174">
        <v>1</v>
      </c>
      <c r="P183" s="174" t="s">
        <v>117</v>
      </c>
      <c r="Q183" s="246">
        <f t="shared" si="33"/>
        <v>2</v>
      </c>
      <c r="R183" s="244">
        <f>VLOOKUP(M183,[4]Stores!$A$2:$G$1026,6,FALSE)/1000</f>
        <v>517.18499999999995</v>
      </c>
      <c r="S183" s="244">
        <f>VLOOKUP(M183,[4]Stores!$A$2:$G$1026,7,FALSE)/1000</f>
        <v>6801.4369999999999</v>
      </c>
      <c r="T183" s="244">
        <f t="shared" si="44"/>
        <v>1</v>
      </c>
      <c r="U183" s="244">
        <v>7</v>
      </c>
      <c r="V183" s="244" t="str">
        <f t="shared" si="34"/>
        <v>7 517.185 6801.437</v>
      </c>
      <c r="W183" s="244" t="str">
        <f t="shared" si="35"/>
        <v>7 1</v>
      </c>
    </row>
    <row r="184" spans="1:23" x14ac:dyDescent="0.3">
      <c r="A184" s="152">
        <v>8</v>
      </c>
      <c r="B184" s="181">
        <v>6</v>
      </c>
      <c r="C184" s="244">
        <f t="shared" si="43"/>
        <v>1</v>
      </c>
      <c r="D184" s="171" t="s">
        <v>288</v>
      </c>
      <c r="E184" s="169">
        <v>8</v>
      </c>
      <c r="F184" s="172" t="s">
        <v>125</v>
      </c>
      <c r="G184" s="172"/>
      <c r="I184" s="244">
        <v>6</v>
      </c>
      <c r="J184" s="171">
        <v>8</v>
      </c>
      <c r="K184" s="170" t="str">
        <f t="shared" si="45"/>
        <v>6 6 8 8</v>
      </c>
      <c r="M184" s="173">
        <v>1345</v>
      </c>
      <c r="N184" s="172" t="s">
        <v>125</v>
      </c>
      <c r="O184" s="174">
        <f>11+5</f>
        <v>16</v>
      </c>
      <c r="P184" s="174" t="s">
        <v>112</v>
      </c>
      <c r="Q184" s="246">
        <f t="shared" si="33"/>
        <v>1</v>
      </c>
      <c r="R184" s="244">
        <f>VLOOKUP(M184,[4]Stores!$A$2:$G$1026,6,FALSE)/1000</f>
        <v>500.24200000000002</v>
      </c>
      <c r="S184" s="244">
        <f>VLOOKUP(M184,[4]Stores!$A$2:$G$1026,7,FALSE)/1000</f>
        <v>6764.7510000000002</v>
      </c>
      <c r="T184" s="244">
        <f t="shared" si="44"/>
        <v>1</v>
      </c>
      <c r="U184" s="244">
        <v>8</v>
      </c>
      <c r="V184" s="244" t="str">
        <f t="shared" si="34"/>
        <v>8 500.242 6764.751</v>
      </c>
      <c r="W184" s="244" t="str">
        <f t="shared" si="35"/>
        <v>8 16</v>
      </c>
    </row>
    <row r="185" spans="1:23" x14ac:dyDescent="0.3">
      <c r="A185" s="152">
        <v>8</v>
      </c>
      <c r="B185" s="179">
        <v>6</v>
      </c>
      <c r="C185" s="244">
        <f t="shared" si="43"/>
        <v>1</v>
      </c>
      <c r="D185" s="171" t="s">
        <v>289</v>
      </c>
      <c r="E185" s="169">
        <v>9</v>
      </c>
      <c r="F185" s="172" t="s">
        <v>127</v>
      </c>
      <c r="G185" s="172">
        <v>10</v>
      </c>
      <c r="H185" s="172" t="s">
        <v>129</v>
      </c>
      <c r="I185" s="244">
        <v>7</v>
      </c>
      <c r="J185" s="171">
        <v>13</v>
      </c>
      <c r="K185" s="170" t="str">
        <f>I185&amp;" "&amp;I185&amp;" "&amp;E185&amp;" "&amp;G185&amp;" "&amp;J185</f>
        <v>7 7 9 10 13</v>
      </c>
      <c r="M185" s="175">
        <v>1509</v>
      </c>
      <c r="N185" s="172" t="s">
        <v>127</v>
      </c>
      <c r="O185" s="174">
        <f>7+5</f>
        <v>12</v>
      </c>
      <c r="P185" s="174" t="s">
        <v>117</v>
      </c>
      <c r="Q185" s="246">
        <f t="shared" si="33"/>
        <v>2</v>
      </c>
      <c r="R185" s="244">
        <f>VLOOKUP(M185,[4]Stores!$A$2:$G$1026,6,FALSE)/1000</f>
        <v>501.52600000000001</v>
      </c>
      <c r="S185" s="244">
        <f>VLOOKUP(M185,[4]Stores!$A$2:$G$1026,7,FALSE)/1000</f>
        <v>6779.6220000000003</v>
      </c>
      <c r="T185" s="244">
        <f t="shared" si="44"/>
        <v>1</v>
      </c>
      <c r="U185" s="244">
        <v>9</v>
      </c>
      <c r="V185" s="244" t="str">
        <f t="shared" si="34"/>
        <v>9 501.526 6779.622</v>
      </c>
      <c r="W185" s="244" t="str">
        <f t="shared" si="35"/>
        <v>9 12</v>
      </c>
    </row>
    <row r="186" spans="1:23" x14ac:dyDescent="0.3">
      <c r="A186" s="152">
        <v>8</v>
      </c>
      <c r="B186" s="180">
        <v>6</v>
      </c>
      <c r="C186" s="244">
        <f t="shared" si="43"/>
        <v>1</v>
      </c>
      <c r="D186" s="171" t="s">
        <v>290</v>
      </c>
      <c r="E186" s="169">
        <v>11</v>
      </c>
      <c r="F186" s="172" t="s">
        <v>131</v>
      </c>
      <c r="G186" s="172"/>
      <c r="I186" s="244">
        <v>8</v>
      </c>
      <c r="J186" s="171">
        <v>7</v>
      </c>
      <c r="K186" s="170" t="str">
        <f>I186&amp;" "&amp;I186&amp;" "&amp;E186&amp;" "&amp;J186</f>
        <v>8 8 11 7</v>
      </c>
      <c r="M186" s="175">
        <v>1039</v>
      </c>
      <c r="N186" s="172" t="s">
        <v>131</v>
      </c>
      <c r="O186" s="174">
        <v>5</v>
      </c>
      <c r="P186" s="174" t="s">
        <v>117</v>
      </c>
      <c r="Q186" s="246">
        <f t="shared" si="33"/>
        <v>2</v>
      </c>
      <c r="R186" s="244">
        <f>VLOOKUP(M186,[4]Stores!$A$2:$G$1026,6,FALSE)/1000</f>
        <v>479.84699999999998</v>
      </c>
      <c r="S186" s="244">
        <f>VLOOKUP(M186,[4]Stores!$A$2:$G$1026,7,FALSE)/1000</f>
        <v>6776.21</v>
      </c>
      <c r="T186" s="244">
        <f t="shared" si="44"/>
        <v>1</v>
      </c>
      <c r="U186" s="244">
        <v>10</v>
      </c>
      <c r="V186" s="244" t="str">
        <f t="shared" si="34"/>
        <v>10 479.847 6776.21</v>
      </c>
      <c r="W186" s="244" t="str">
        <f t="shared" si="35"/>
        <v>10 5</v>
      </c>
    </row>
    <row r="187" spans="1:23" x14ac:dyDescent="0.3">
      <c r="A187" s="152">
        <v>8</v>
      </c>
      <c r="B187" s="180">
        <v>6</v>
      </c>
      <c r="C187" s="244">
        <f t="shared" si="43"/>
        <v>1</v>
      </c>
      <c r="D187" s="171" t="s">
        <v>291</v>
      </c>
      <c r="E187" s="169">
        <v>12</v>
      </c>
      <c r="F187" s="172" t="s">
        <v>133</v>
      </c>
      <c r="G187" s="172"/>
      <c r="I187" s="244">
        <v>9</v>
      </c>
      <c r="J187" s="171">
        <v>0</v>
      </c>
      <c r="K187" s="170" t="str">
        <f t="shared" si="45"/>
        <v>9 9 12 0</v>
      </c>
      <c r="M187" s="173">
        <v>1197</v>
      </c>
      <c r="N187" s="172" t="s">
        <v>133</v>
      </c>
      <c r="O187" s="174">
        <v>2</v>
      </c>
      <c r="P187" s="174" t="s">
        <v>112</v>
      </c>
      <c r="Q187" s="246">
        <f t="shared" si="33"/>
        <v>1</v>
      </c>
      <c r="R187" s="244">
        <f>VLOOKUP(M187,[4]Stores!$A$2:$G$1026,6,FALSE)/1000</f>
        <v>517.41899999999998</v>
      </c>
      <c r="S187" s="244">
        <f>VLOOKUP(M187,[4]Stores!$A$2:$G$1026,7,FALSE)/1000</f>
        <v>6760.598</v>
      </c>
      <c r="T187" s="244">
        <f t="shared" si="44"/>
        <v>1</v>
      </c>
      <c r="U187" s="244">
        <v>11</v>
      </c>
      <c r="V187" s="244" t="str">
        <f t="shared" si="34"/>
        <v>11 517.419 6760.598</v>
      </c>
      <c r="W187" s="244" t="str">
        <f t="shared" si="35"/>
        <v>11 2</v>
      </c>
    </row>
    <row r="188" spans="1:23" x14ac:dyDescent="0.3">
      <c r="A188" s="152">
        <v>8</v>
      </c>
      <c r="B188" s="179">
        <v>6</v>
      </c>
      <c r="C188" s="244">
        <f t="shared" si="43"/>
        <v>1</v>
      </c>
      <c r="D188" s="171" t="s">
        <v>289</v>
      </c>
      <c r="E188" s="171"/>
      <c r="F188" s="172" t="s">
        <v>129</v>
      </c>
      <c r="G188" s="172"/>
      <c r="J188" s="244">
        <v>13</v>
      </c>
      <c r="K188" s="170"/>
      <c r="M188" s="178">
        <v>1225</v>
      </c>
      <c r="N188" s="172" t="str">
        <f>VLOOKUP(M188,[4]Stores!$A$3:$J$1026,10,FALSE)</f>
        <v>3121CA</v>
      </c>
      <c r="O188" s="244">
        <v>5</v>
      </c>
      <c r="R188" s="244">
        <f>VLOOKUP(M188,[4]Stores!$A$2:$G$1026,6,FALSE)/1000</f>
        <v>486.71699999999998</v>
      </c>
      <c r="S188" s="244">
        <f>VLOOKUP(M188,[4]Stores!$A$2:$G$1026,7,FALSE)/1000</f>
        <v>6780.6760000000004</v>
      </c>
      <c r="T188" s="244">
        <f t="shared" si="44"/>
        <v>1</v>
      </c>
      <c r="U188" s="244">
        <v>12</v>
      </c>
      <c r="V188" s="244" t="str">
        <f t="shared" si="34"/>
        <v>12 486.717 6780.676</v>
      </c>
      <c r="W188" s="244" t="str">
        <f t="shared" si="35"/>
        <v>12 5</v>
      </c>
    </row>
    <row r="189" spans="1:23" x14ac:dyDescent="0.2">
      <c r="I189" s="250" t="str">
        <f>CHAR(9)&amp;CHAR(9)&amp;A4&amp;" "&amp;A5</f>
        <v xml:space="preserve">		5 5</v>
      </c>
    </row>
  </sheetData>
  <mergeCells count="1">
    <mergeCell ref="F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NumKnapLocal-BM</vt:lpstr>
      <vt:lpstr>DisKnapLocal-BM</vt:lpstr>
      <vt:lpstr>DemKnapLocal-BM</vt:lpstr>
      <vt:lpstr>Benchmarking-32</vt:lpstr>
      <vt:lpstr>Savings-BigInstances</vt:lpstr>
      <vt:lpstr>SavingsTable</vt:lpstr>
      <vt:lpstr>Stacked Bars</vt:lpstr>
      <vt:lpstr>AHResults</vt:lpstr>
      <vt:lpstr>DCP-HSR</vt:lpstr>
      <vt:lpstr>DCZ-HSA</vt:lpstr>
      <vt:lpstr>Sheet1</vt:lpstr>
      <vt:lpstr>Dynamic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2017-05-03T23:00:22Z</dcterms:modified>
</cp:coreProperties>
</file>