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6.xml" ContentType="application/vnd.openxmlformats-officedocument.spreadsheetml.comments+xml"/>
  <Override PartName="/xl/drawings/drawing14.xml" ContentType="application/vnd.openxmlformats-officedocument.drawing+xml"/>
  <Override PartName="/xl/comments7.xml" ContentType="application/vnd.openxmlformats-officedocument.spreadsheetml.comments+xml"/>
  <Override PartName="/xl/drawings/drawing15.xml" ContentType="application/vnd.openxmlformats-officedocument.drawing+xml"/>
  <Override PartName="/xl/comments8.xml" ContentType="application/vnd.openxmlformats-officedocument.spreadsheetml.comment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omments9.xml" ContentType="application/vnd.openxmlformats-officedocument.spreadsheetml.comments+xml"/>
  <Override PartName="/xl/drawings/drawing19.xml" ContentType="application/vnd.openxmlformats-officedocument.drawing+xml"/>
  <Override PartName="/xl/comments10.xml" ContentType="application/vnd.openxmlformats-officedocument.spreadsheetml.comments+xml"/>
  <Override PartName="/xl/drawings/drawing20.xml" ContentType="application/vnd.openxmlformats-officedocument.drawing+xml"/>
  <Override PartName="/xl/comments11.xml" ContentType="application/vnd.openxmlformats-officedocument.spreadsheetml.comments+xml"/>
  <Override PartName="/xl/drawings/drawing21.xml" ContentType="application/vnd.openxmlformats-officedocument.drawing+xml"/>
  <Override PartName="/xl/comments12.xml" ContentType="application/vnd.openxmlformats-officedocument.spreadsheetml.comments+xml"/>
  <Override PartName="/xl/drawings/drawing22.xml" ContentType="application/vnd.openxmlformats-officedocument.drawing+xml"/>
  <Override PartName="/xl/comments13.xml" ContentType="application/vnd.openxmlformats-officedocument.spreadsheetml.comments+xml"/>
  <Override PartName="/xl/drawings/drawing23.xml" ContentType="application/vnd.openxmlformats-officedocument.drawing+xml"/>
  <Override PartName="/xl/comments14.xml" ContentType="application/vnd.openxmlformats-officedocument.spreadsheetml.comments+xml"/>
  <Override PartName="/xl/drawings/drawing24.xml" ContentType="application/vnd.openxmlformats-officedocument.drawing+xml"/>
  <Override PartName="/xl/comments15.xml" ContentType="application/vnd.openxmlformats-officedocument.spreadsheetml.comments+xml"/>
  <Override PartName="/xl/drawings/drawing25.xml" ContentType="application/vnd.openxmlformats-officedocument.drawing+xml"/>
  <Override PartName="/xl/comments16.xml" ContentType="application/vnd.openxmlformats-officedocument.spreadsheetml.comments+xml"/>
  <Override PartName="/xl/drawings/drawing26.xml" ContentType="application/vnd.openxmlformats-officedocument.drawing+xml"/>
  <Override PartName="/xl/comments17.xml" ContentType="application/vnd.openxmlformats-officedocument.spreadsheetml.comments+xml"/>
  <Override PartName="/xl/drawings/drawing27.xml" ContentType="application/vnd.openxmlformats-officedocument.drawing+xml"/>
  <Override PartName="/xl/comments18.xml" ContentType="application/vnd.openxmlformats-officedocument.spreadsheetml.comments+xml"/>
  <Override PartName="/xl/drawings/drawing28.xml" ContentType="application/vnd.openxmlformats-officedocument.drawing+xml"/>
  <Override PartName="/xl/comments19.xml" ContentType="application/vnd.openxmlformats-officedocument.spreadsheetml.comments+xml"/>
  <Override PartName="/xl/drawings/drawing29.xml" ContentType="application/vnd.openxmlformats-officedocument.drawing+xml"/>
  <Override PartName="/xl/comments20.xml" ContentType="application/vnd.openxmlformats-officedocument.spreadsheetml.comments+xml"/>
  <Override PartName="/xl/drawings/drawing30.xml" ContentType="application/vnd.openxmlformats-officedocument.drawing+xml"/>
  <Override PartName="/xl/comments21.xml" ContentType="application/vnd.openxmlformats-officedocument.spreadsheetml.comments+xml"/>
  <Override PartName="/xl/drawings/drawing31.xml" ContentType="application/vnd.openxmlformats-officedocument.drawing+xml"/>
  <Override PartName="/xl/comments22.xml" ContentType="application/vnd.openxmlformats-officedocument.spreadsheetml.comments+xml"/>
  <Override PartName="/xl/drawings/drawing32.xml" ContentType="application/vnd.openxmlformats-officedocument.drawing+xml"/>
  <Override PartName="/xl/ctrlProps/ctrlProp20.xml" ContentType="application/vnd.ms-excel.controlproperties+xml"/>
  <Override PartName="/xl/comments23.xml" ContentType="application/vnd.openxmlformats-officedocument.spreadsheetml.comments+xml"/>
  <Override PartName="/xl/drawings/drawing33.xml" ContentType="application/vnd.openxmlformats-officedocument.drawing+xml"/>
  <Override PartName="/xl/comments24.xml" ContentType="application/vnd.openxmlformats-officedocument.spreadsheetml.comments+xml"/>
  <Override PartName="/xl/drawings/drawing34.xml" ContentType="application/vnd.openxmlformats-officedocument.drawing+xml"/>
  <Override PartName="/xl/comments25.xml" ContentType="application/vnd.openxmlformats-officedocument.spreadsheetml.comments+xml"/>
  <Override PartName="/xl/drawings/drawing35.xml" ContentType="application/vnd.openxmlformats-officedocument.drawing+xml"/>
  <Override PartName="/xl/comments26.xml" ContentType="application/vnd.openxmlformats-officedocument.spreadsheetml.comments+xml"/>
  <Override PartName="/xl/drawings/drawing36.xml" ContentType="application/vnd.openxmlformats-officedocument.drawing+xml"/>
  <Override PartName="/xl/comments27.xml" ContentType="application/vnd.openxmlformats-officedocument.spreadsheetml.comments+xml"/>
  <Override PartName="/xl/drawings/drawing37.xml" ContentType="application/vnd.openxmlformats-officedocument.drawing+xml"/>
  <Override PartName="/xl/comments28.xml" ContentType="application/vnd.openxmlformats-officedocument.spreadsheetml.comments+xml"/>
  <Override PartName="/xl/drawings/drawing38.xml" ContentType="application/vnd.openxmlformats-officedocument.drawing+xml"/>
  <Override PartName="/xl/comments29.xml" ContentType="application/vnd.openxmlformats-officedocument.spreadsheetml.comments+xml"/>
  <Override PartName="/xl/drawings/drawing39.xml" ContentType="application/vnd.openxmlformats-officedocument.drawing+xml"/>
  <Override PartName="/xl/comments30.xml" ContentType="application/vnd.openxmlformats-officedocument.spreadsheetml.comments+xml"/>
  <Override PartName="/xl/drawings/drawing40.xml" ContentType="application/vnd.openxmlformats-officedocument.drawing+xml"/>
  <Override PartName="/xl/comments31.xml" ContentType="application/vnd.openxmlformats-officedocument.spreadsheetml.comments+xml"/>
  <Override PartName="/xl/drawings/drawing41.xml" ContentType="application/vnd.openxmlformats-officedocument.drawing+xml"/>
  <Override PartName="/xl/comments32.xml" ContentType="application/vnd.openxmlformats-officedocument.spreadsheetml.comments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charts/chart1.xml" ContentType="application/vnd.openxmlformats-officedocument.drawingml.chart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G:\Drives compartilhados\SERVIDOR\Ecosol\2. Projetos\2.5 Chamadas Públicas\2.3.1 Concessionárias\EQUATORIAL-PI\CPP2022\Colégio Técnico Teresina\"/>
    </mc:Choice>
  </mc:AlternateContent>
  <bookViews>
    <workbookView xWindow="-120" yWindow="-120" windowWidth="20730" windowHeight="11160" tabRatio="906" activeTab="2"/>
  </bookViews>
  <sheets>
    <sheet name="Apresentação" sheetId="33" r:id="rId1"/>
    <sheet name="Apoio" sheetId="35" state="hidden" r:id="rId2"/>
    <sheet name="Custo Contábil" sheetId="8" r:id="rId3"/>
    <sheet name="IndFinanceiro" sheetId="76" state="hidden" r:id="rId4"/>
    <sheet name="RCB" sheetId="36" r:id="rId5"/>
    <sheet name="MOP" sheetId="6" state="hidden" r:id="rId6"/>
    <sheet name="Diagnóstico (ORÇ)" sheetId="65" r:id="rId7"/>
    <sheet name="Diagnóstico" sheetId="66" r:id="rId8"/>
    <sheet name="Marketing (ORÇ)" sheetId="59" r:id="rId9"/>
    <sheet name="Marketing" sheetId="58" r:id="rId10"/>
    <sheet name="Transporte" sheetId="4" state="hidden" r:id="rId11"/>
    <sheet name="Descarte (ORÇ)" sheetId="60" r:id="rId12"/>
    <sheet name="Descarte" sheetId="38" r:id="rId13"/>
    <sheet name="M&amp;V (ORÇ)" sheetId="61" r:id="rId14"/>
    <sheet name="M&amp;V" sheetId="37" r:id="rId15"/>
    <sheet name="Treinamento (ORÇ)" sheetId="62" r:id="rId16"/>
    <sheet name="Treinamento" sheetId="63" r:id="rId17"/>
    <sheet name="ContrDesemp" sheetId="39" state="hidden" r:id="rId18"/>
    <sheet name="IlumCusto (ORÇ)" sheetId="64" r:id="rId19"/>
    <sheet name="IlumCusto" sheetId="40" r:id="rId20"/>
    <sheet name="IlumBenef" sheetId="41" r:id="rId21"/>
    <sheet name="CondAmbCusto (ORÇ)" sheetId="67" state="hidden" r:id="rId22"/>
    <sheet name="CondAmbCusto" sheetId="42" state="hidden" r:id="rId23"/>
    <sheet name="CondAmbBenef" sheetId="43" state="hidden" r:id="rId24"/>
    <sheet name="MotorCusto (ORÇ)" sheetId="68" state="hidden" r:id="rId25"/>
    <sheet name="MotorCusto" sheetId="44" state="hidden" r:id="rId26"/>
    <sheet name="MotorBenef" sheetId="45" state="hidden" r:id="rId27"/>
    <sheet name="RefrigCusto (ORÇ)" sheetId="69" state="hidden" r:id="rId28"/>
    <sheet name="RefrigCusto" sheetId="46" state="hidden" r:id="rId29"/>
    <sheet name="RefrigBenef" sheetId="47" state="hidden" r:id="rId30"/>
    <sheet name="SolarCusto (ORÇ)" sheetId="70" state="hidden" r:id="rId31"/>
    <sheet name="SolarCusto" sheetId="48" state="hidden" r:id="rId32"/>
    <sheet name="SolarBenef" sheetId="49" state="hidden" r:id="rId33"/>
    <sheet name="HospCusto (ORÇ)" sheetId="71" state="hidden" r:id="rId34"/>
    <sheet name="HospCusto" sheetId="50" state="hidden" r:id="rId35"/>
    <sheet name="HospBenef" sheetId="51" state="hidden" r:id="rId36"/>
    <sheet name="OutrosCusto (ORÇ)" sheetId="72" state="hidden" r:id="rId37"/>
    <sheet name="OutrosCusto" sheetId="52" state="hidden" r:id="rId38"/>
    <sheet name="OutrosBenef" sheetId="53" state="hidden" r:id="rId39"/>
    <sheet name="FICusto (ORÇ)" sheetId="73" r:id="rId40"/>
    <sheet name="FICusto" sheetId="74" r:id="rId41"/>
    <sheet name="FIBenef" sheetId="75" r:id="rId42"/>
    <sheet name="C. Físico" sheetId="54" state="hidden" r:id="rId43"/>
    <sheet name="C. Financeiro" sheetId="55" state="hidden" r:id="rId44"/>
    <sheet name="Físico" sheetId="56" r:id="rId45"/>
    <sheet name="Financeiro" sheetId="57" r:id="rId46"/>
  </sheets>
  <externalReferences>
    <externalReference r:id="rId47"/>
    <externalReference r:id="rId48"/>
    <externalReference r:id="rId49"/>
    <externalReference r:id="rId50"/>
    <externalReference r:id="rId51"/>
  </externalReferences>
  <definedNames>
    <definedName name="_C1" localSheetId="21">Apoio!#REF!</definedName>
    <definedName name="_C1" localSheetId="11">Apoio!#REF!</definedName>
    <definedName name="_C1" localSheetId="6">Apoio!#REF!</definedName>
    <definedName name="_C1" localSheetId="39">Apoio!#REF!</definedName>
    <definedName name="_C1" localSheetId="45">Apoio!#REF!</definedName>
    <definedName name="_C1" localSheetId="33">Apoio!#REF!</definedName>
    <definedName name="_C1" localSheetId="18">Apoio!#REF!</definedName>
    <definedName name="_C1" localSheetId="13">Apoio!#REF!</definedName>
    <definedName name="_C1" localSheetId="8">Apoio!#REF!</definedName>
    <definedName name="_C1" localSheetId="24">Apoio!#REF!</definedName>
    <definedName name="_C1" localSheetId="36">Apoio!#REF!</definedName>
    <definedName name="_C1" localSheetId="27">Apoio!#REF!</definedName>
    <definedName name="_C1" localSheetId="30">Apoio!#REF!</definedName>
    <definedName name="_C1" localSheetId="15">Apoio!#REF!</definedName>
    <definedName name="_C1">Apoio!#REF!</definedName>
    <definedName name="_C2" localSheetId="21">Apoio!#REF!</definedName>
    <definedName name="_C2" localSheetId="11">Apoio!#REF!</definedName>
    <definedName name="_C2" localSheetId="6">Apoio!#REF!</definedName>
    <definedName name="_C2" localSheetId="39">Apoio!#REF!</definedName>
    <definedName name="_C2" localSheetId="45">Apoio!#REF!</definedName>
    <definedName name="_C2" localSheetId="33">Apoio!#REF!</definedName>
    <definedName name="_C2" localSheetId="18">Apoio!#REF!</definedName>
    <definedName name="_C2" localSheetId="13">Apoio!#REF!</definedName>
    <definedName name="_C2" localSheetId="8">Apoio!#REF!</definedName>
    <definedName name="_C2" localSheetId="24">Apoio!#REF!</definedName>
    <definedName name="_C2" localSheetId="36">Apoio!#REF!</definedName>
    <definedName name="_C2" localSheetId="27">Apoio!#REF!</definedName>
    <definedName name="_C2" localSheetId="30">Apoio!#REF!</definedName>
    <definedName name="_C2" localSheetId="15">Apoio!#REF!</definedName>
    <definedName name="_C2">Apoio!#REF!</definedName>
    <definedName name="_xlnm._FilterDatabase" localSheetId="0" hidden="1">Apresentação!$U$8:$U$24</definedName>
    <definedName name="_ND1" localSheetId="0">'[1]RCB Iluminação'!$R$8</definedName>
    <definedName name="_ND1" localSheetId="43">#REF!</definedName>
    <definedName name="_ND1" localSheetId="21">#REF!</definedName>
    <definedName name="_ND1" localSheetId="11">#REF!</definedName>
    <definedName name="_ND1" localSheetId="6">#REF!</definedName>
    <definedName name="_ND1" localSheetId="39">#REF!</definedName>
    <definedName name="_ND1" localSheetId="45">#REF!</definedName>
    <definedName name="_ND1" localSheetId="33">#REF!</definedName>
    <definedName name="_ND1" localSheetId="18">#REF!</definedName>
    <definedName name="_ND1" localSheetId="13">#REF!</definedName>
    <definedName name="_ND1" localSheetId="8">#REF!</definedName>
    <definedName name="_ND1" localSheetId="24">#REF!</definedName>
    <definedName name="_ND1" localSheetId="36">#REF!</definedName>
    <definedName name="_ND1" localSheetId="27">#REF!</definedName>
    <definedName name="_ND1" localSheetId="30">#REF!</definedName>
    <definedName name="_ND1" localSheetId="15">#REF!</definedName>
    <definedName name="_ND1">#REF!</definedName>
    <definedName name="_ND2" localSheetId="0">'[1]RCB Ar Cond'!$T$8</definedName>
    <definedName name="_ND2" localSheetId="43">#REF!</definedName>
    <definedName name="_ND2" localSheetId="21">#REF!</definedName>
    <definedName name="_ND2" localSheetId="11">#REF!</definedName>
    <definedName name="_ND2" localSheetId="6">#REF!</definedName>
    <definedName name="_ND2" localSheetId="39">#REF!</definedName>
    <definedName name="_ND2" localSheetId="45">#REF!</definedName>
    <definedName name="_ND2" localSheetId="33">#REF!</definedName>
    <definedName name="_ND2" localSheetId="18">#REF!</definedName>
    <definedName name="_ND2" localSheetId="13">#REF!</definedName>
    <definedName name="_ND2" localSheetId="8">#REF!</definedName>
    <definedName name="_ND2" localSheetId="24">#REF!</definedName>
    <definedName name="_ND2" localSheetId="36">#REF!</definedName>
    <definedName name="_ND2" localSheetId="27">#REF!</definedName>
    <definedName name="_ND2" localSheetId="30">#REF!</definedName>
    <definedName name="_ND2" localSheetId="15">#REF!</definedName>
    <definedName name="_ND2">#REF!</definedName>
    <definedName name="_ND3" localSheetId="0">'[1]RCB Motor'!$T$8</definedName>
    <definedName name="_ND3" localSheetId="43">#REF!</definedName>
    <definedName name="_ND3" localSheetId="21">#REF!</definedName>
    <definedName name="_ND3" localSheetId="11">#REF!</definedName>
    <definedName name="_ND3" localSheetId="6">#REF!</definedName>
    <definedName name="_ND3" localSheetId="39">#REF!</definedName>
    <definedName name="_ND3" localSheetId="45">#REF!</definedName>
    <definedName name="_ND3" localSheetId="33">#REF!</definedName>
    <definedName name="_ND3" localSheetId="18">#REF!</definedName>
    <definedName name="_ND3" localSheetId="13">#REF!</definedName>
    <definedName name="_ND3" localSheetId="8">#REF!</definedName>
    <definedName name="_ND3" localSheetId="24">#REF!</definedName>
    <definedName name="_ND3" localSheetId="36">#REF!</definedName>
    <definedName name="_ND3" localSheetId="27">#REF!</definedName>
    <definedName name="_ND3" localSheetId="30">#REF!</definedName>
    <definedName name="_ND3" localSheetId="15">#REF!</definedName>
    <definedName name="_ND3">#REF!</definedName>
    <definedName name="_NM1" localSheetId="0">'[1]RCB Iluminação'!$R$7</definedName>
    <definedName name="_NM1" localSheetId="43">#REF!</definedName>
    <definedName name="_NM1" localSheetId="21">#REF!</definedName>
    <definedName name="_NM1" localSheetId="11">#REF!</definedName>
    <definedName name="_NM1" localSheetId="6">#REF!</definedName>
    <definedName name="_NM1" localSheetId="39">#REF!</definedName>
    <definedName name="_NM1" localSheetId="45">#REF!</definedName>
    <definedName name="_NM1" localSheetId="33">#REF!</definedName>
    <definedName name="_NM1" localSheetId="18">#REF!</definedName>
    <definedName name="_NM1" localSheetId="13">#REF!</definedName>
    <definedName name="_NM1" localSheetId="8">#REF!</definedName>
    <definedName name="_NM1" localSheetId="24">#REF!</definedName>
    <definedName name="_NM1" localSheetId="36">#REF!</definedName>
    <definedName name="_NM1" localSheetId="27">#REF!</definedName>
    <definedName name="_NM1" localSheetId="30">#REF!</definedName>
    <definedName name="_NM1" localSheetId="15">#REF!</definedName>
    <definedName name="_NM1">#REF!</definedName>
    <definedName name="_NM2" localSheetId="0">'[1]RCB Ar Cond'!$T$7</definedName>
    <definedName name="_NM2" localSheetId="43">#REF!</definedName>
    <definedName name="_NM2" localSheetId="21">#REF!</definedName>
    <definedName name="_NM2" localSheetId="11">#REF!</definedName>
    <definedName name="_NM2" localSheetId="6">#REF!</definedName>
    <definedName name="_NM2" localSheetId="39">#REF!</definedName>
    <definedName name="_NM2" localSheetId="45">#REF!</definedName>
    <definedName name="_NM2" localSheetId="33">#REF!</definedName>
    <definedName name="_NM2" localSheetId="18">#REF!</definedName>
    <definedName name="_NM2" localSheetId="13">#REF!</definedName>
    <definedName name="_NM2" localSheetId="8">#REF!</definedName>
    <definedName name="_NM2" localSheetId="24">#REF!</definedName>
    <definedName name="_NM2" localSheetId="36">#REF!</definedName>
    <definedName name="_NM2" localSheetId="27">#REF!</definedName>
    <definedName name="_NM2" localSheetId="30">#REF!</definedName>
    <definedName name="_NM2" localSheetId="15">#REF!</definedName>
    <definedName name="_NM2">#REF!</definedName>
    <definedName name="_NM3" localSheetId="0">'[1]RCB Motor'!$T$7</definedName>
    <definedName name="_NM3" localSheetId="43">#REF!</definedName>
    <definedName name="_NM3" localSheetId="21">#REF!</definedName>
    <definedName name="_NM3" localSheetId="11">#REF!</definedName>
    <definedName name="_NM3" localSheetId="6">#REF!</definedName>
    <definedName name="_NM3" localSheetId="39">#REF!</definedName>
    <definedName name="_NM3" localSheetId="45">#REF!</definedName>
    <definedName name="_NM3" localSheetId="33">#REF!</definedName>
    <definedName name="_NM3" localSheetId="18">#REF!</definedName>
    <definedName name="_NM3" localSheetId="13">#REF!</definedName>
    <definedName name="_NM3" localSheetId="8">#REF!</definedName>
    <definedName name="_NM3" localSheetId="24">#REF!</definedName>
    <definedName name="_NM3" localSheetId="36">#REF!</definedName>
    <definedName name="_NM3" localSheetId="27">#REF!</definedName>
    <definedName name="_NM3" localSheetId="30">#REF!</definedName>
    <definedName name="_NM3" localSheetId="15">#REF!</definedName>
    <definedName name="_NM3">#REF!</definedName>
    <definedName name="_NUP1" localSheetId="0">'[1]RCB Iluminação'!$R$9</definedName>
    <definedName name="_NUP1" localSheetId="43">#REF!</definedName>
    <definedName name="_NUP1" localSheetId="21">#REF!</definedName>
    <definedName name="_NUP1" localSheetId="11">#REF!</definedName>
    <definedName name="_NUP1" localSheetId="6">#REF!</definedName>
    <definedName name="_NUP1" localSheetId="39">#REF!</definedName>
    <definedName name="_NUP1" localSheetId="45">#REF!</definedName>
    <definedName name="_NUP1" localSheetId="33">#REF!</definedName>
    <definedName name="_NUP1" localSheetId="18">#REF!</definedName>
    <definedName name="_NUP1" localSheetId="13">#REF!</definedName>
    <definedName name="_NUP1" localSheetId="8">#REF!</definedName>
    <definedName name="_NUP1" localSheetId="24">#REF!</definedName>
    <definedName name="_NUP1" localSheetId="36">#REF!</definedName>
    <definedName name="_NUP1" localSheetId="27">#REF!</definedName>
    <definedName name="_NUP1" localSheetId="30">#REF!</definedName>
    <definedName name="_NUP1" localSheetId="15">#REF!</definedName>
    <definedName name="_NUP1">#REF!</definedName>
    <definedName name="_NUP2" localSheetId="0">'[1]RCB Ar Cond'!$T$9</definedName>
    <definedName name="_NUP2" localSheetId="43">#REF!</definedName>
    <definedName name="_NUP2" localSheetId="21">#REF!</definedName>
    <definedName name="_NUP2" localSheetId="11">#REF!</definedName>
    <definedName name="_NUP2" localSheetId="6">#REF!</definedName>
    <definedName name="_NUP2" localSheetId="39">#REF!</definedName>
    <definedName name="_NUP2" localSheetId="45">#REF!</definedName>
    <definedName name="_NUP2" localSheetId="33">#REF!</definedName>
    <definedName name="_NUP2" localSheetId="18">#REF!</definedName>
    <definedName name="_NUP2" localSheetId="13">#REF!</definedName>
    <definedName name="_NUP2" localSheetId="8">#REF!</definedName>
    <definedName name="_NUP2" localSheetId="24">#REF!</definedName>
    <definedName name="_NUP2" localSheetId="36">#REF!</definedName>
    <definedName name="_NUP2" localSheetId="27">#REF!</definedName>
    <definedName name="_NUP2" localSheetId="30">#REF!</definedName>
    <definedName name="_NUP2" localSheetId="15">#REF!</definedName>
    <definedName name="_NUP2">#REF!</definedName>
    <definedName name="_NUP3" localSheetId="0">'[1]RCB Motor'!$T$9</definedName>
    <definedName name="_NUP3" localSheetId="43">#REF!</definedName>
    <definedName name="_NUP3" localSheetId="21">#REF!</definedName>
    <definedName name="_NUP3" localSheetId="11">#REF!</definedName>
    <definedName name="_NUP3" localSheetId="6">#REF!</definedName>
    <definedName name="_NUP3" localSheetId="39">#REF!</definedName>
    <definedName name="_NUP3" localSheetId="45">#REF!</definedName>
    <definedName name="_NUP3" localSheetId="33">#REF!</definedName>
    <definedName name="_NUP3" localSheetId="18">#REF!</definedName>
    <definedName name="_NUP3" localSheetId="13">#REF!</definedName>
    <definedName name="_NUP3" localSheetId="8">#REF!</definedName>
    <definedName name="_NUP3" localSheetId="24">#REF!</definedName>
    <definedName name="_NUP3" localSheetId="36">#REF!</definedName>
    <definedName name="_NUP3" localSheetId="27">#REF!</definedName>
    <definedName name="_NUP3" localSheetId="30">#REF!</definedName>
    <definedName name="_NUP3" localSheetId="15">#REF!</definedName>
    <definedName name="_NUP3">#REF!</definedName>
    <definedName name="Atividade">Apoio!$B$47:$F$49</definedName>
    <definedName name="CED">Apresentação!$L$20</definedName>
    <definedName name="CEE">Apresentação!$H$20</definedName>
    <definedName name="Cfp" localSheetId="21">Apoio!#REF!</definedName>
    <definedName name="Cfp" localSheetId="11">Apoio!#REF!</definedName>
    <definedName name="Cfp" localSheetId="6">Apoio!#REF!</definedName>
    <definedName name="Cfp" localSheetId="39">Apoio!#REF!</definedName>
    <definedName name="Cfp" localSheetId="45">Apoio!#REF!</definedName>
    <definedName name="Cfp" localSheetId="33">Apoio!#REF!</definedName>
    <definedName name="Cfp" localSheetId="18">Apoio!#REF!</definedName>
    <definedName name="Cfp" localSheetId="13">Apoio!#REF!</definedName>
    <definedName name="Cfp" localSheetId="8">Apoio!#REF!</definedName>
    <definedName name="Cfp" localSheetId="24">Apoio!#REF!</definedName>
    <definedName name="Cfp" localSheetId="36">Apoio!#REF!</definedName>
    <definedName name="Cfp" localSheetId="27">Apoio!#REF!</definedName>
    <definedName name="Cfp" localSheetId="30">Apoio!#REF!</definedName>
    <definedName name="Cfp" localSheetId="15">Apoio!#REF!</definedName>
    <definedName name="Cfp">Apoio!#REF!</definedName>
    <definedName name="Cp" localSheetId="21">Apoio!#REF!</definedName>
    <definedName name="Cp" localSheetId="11">Apoio!#REF!</definedName>
    <definedName name="Cp" localSheetId="6">Apoio!#REF!</definedName>
    <definedName name="Cp" localSheetId="39">Apoio!#REF!</definedName>
    <definedName name="Cp" localSheetId="45">Apoio!#REF!</definedName>
    <definedName name="Cp" localSheetId="33">Apoio!#REF!</definedName>
    <definedName name="Cp" localSheetId="18">Apoio!#REF!</definedName>
    <definedName name="Cp" localSheetId="13">Apoio!#REF!</definedName>
    <definedName name="Cp" localSheetId="8">Apoio!#REF!</definedName>
    <definedName name="Cp" localSheetId="24">Apoio!#REF!</definedName>
    <definedName name="Cp" localSheetId="36">Apoio!#REF!</definedName>
    <definedName name="Cp" localSheetId="27">Apoio!#REF!</definedName>
    <definedName name="Cp" localSheetId="30">Apoio!#REF!</definedName>
    <definedName name="Cp" localSheetId="15">Apoio!#REF!</definedName>
    <definedName name="Cp">Apoio!#REF!</definedName>
    <definedName name="Desc">Apresentação!$N$6</definedName>
    <definedName name="FC">Apoio!$H$9:$H$25</definedName>
    <definedName name="Lista_Atividade">[2]COPEL!$Y$4:$Y$6</definedName>
    <definedName name="Lista_Empresa">[2]COPEL!$AE$4:$AE$6</definedName>
    <definedName name="Lista_Localizacao">[2]COPEL!$C$4:$C$401</definedName>
    <definedName name="Lista_Solar">[2]COPEL!$BK$4:$BK$29</definedName>
    <definedName name="Lista_SubgrupoTarifa">[2]CEE_CED!$C$4:$C$13</definedName>
    <definedName name="Lista_Tarifa">[2]COPEL!$AH$4:$AH$8</definedName>
    <definedName name="Lista_Tipologia">[2]COPEL!$K$4:$K$11</definedName>
    <definedName name="PROJETO">[3]Apoio!$D$2:$D$10</definedName>
    <definedName name="TESTE" localSheetId="21">#REF!</definedName>
    <definedName name="TESTE" localSheetId="11">#REF!</definedName>
    <definedName name="TESTE" localSheetId="6">#REF!</definedName>
    <definedName name="TESTE" localSheetId="39">#REF!</definedName>
    <definedName name="TESTE" localSheetId="45">#REF!</definedName>
    <definedName name="TESTE" localSheetId="33">#REF!</definedName>
    <definedName name="TESTE" localSheetId="18">#REF!</definedName>
    <definedName name="TESTE" localSheetId="13">#REF!</definedName>
    <definedName name="TESTE" localSheetId="8">#REF!</definedName>
    <definedName name="TESTE" localSheetId="24">#REF!</definedName>
    <definedName name="TESTE" localSheetId="36">#REF!</definedName>
    <definedName name="TESTE" localSheetId="27">#REF!</definedName>
    <definedName name="TESTE" localSheetId="30">#REF!</definedName>
    <definedName name="TESTE" localSheetId="15">#REF!</definedName>
    <definedName name="TESTE">#REF!</definedName>
    <definedName name="TESTE2" localSheetId="21">#REF!</definedName>
    <definedName name="TESTE2" localSheetId="11">#REF!</definedName>
    <definedName name="TESTE2" localSheetId="6">#REF!</definedName>
    <definedName name="TESTE2" localSheetId="39">#REF!</definedName>
    <definedName name="TESTE2" localSheetId="45">#REF!</definedName>
    <definedName name="TESTE2" localSheetId="33">#REF!</definedName>
    <definedName name="TESTE2" localSheetId="18">#REF!</definedName>
    <definedName name="TESTE2" localSheetId="13">#REF!</definedName>
    <definedName name="TESTE2" localSheetId="8">#REF!</definedName>
    <definedName name="TESTE2" localSheetId="24">#REF!</definedName>
    <definedName name="TESTE2" localSheetId="36">#REF!</definedName>
    <definedName name="TESTE2" localSheetId="27">#REF!</definedName>
    <definedName name="TESTE2" localSheetId="30">#REF!</definedName>
    <definedName name="TESTE2" localSheetId="15">#REF!</definedName>
    <definedName name="TESTE2">#REF!</definedName>
    <definedName name="TESTE3" localSheetId="21">#REF!</definedName>
    <definedName name="TESTE3" localSheetId="11">#REF!</definedName>
    <definedName name="TESTE3" localSheetId="6">#REF!</definedName>
    <definedName name="TESTE3" localSheetId="39">#REF!</definedName>
    <definedName name="TESTE3" localSheetId="45">#REF!</definedName>
    <definedName name="TESTE3" localSheetId="33">#REF!</definedName>
    <definedName name="TESTE3" localSheetId="18">#REF!</definedName>
    <definedName name="TESTE3" localSheetId="13">#REF!</definedName>
    <definedName name="TESTE3" localSheetId="8">#REF!</definedName>
    <definedName name="TESTE3" localSheetId="24">#REF!</definedName>
    <definedName name="TESTE3" localSheetId="36">#REF!</definedName>
    <definedName name="TESTE3" localSheetId="27">#REF!</definedName>
    <definedName name="TESTE3" localSheetId="30">#REF!</definedName>
    <definedName name="TESTE3" localSheetId="15">#REF!</definedName>
    <definedName name="TESTE3">#REF!</definedName>
    <definedName name="TESTE4" localSheetId="21">#REF!</definedName>
    <definedName name="TESTE4" localSheetId="11">#REF!</definedName>
    <definedName name="TESTE4" localSheetId="6">#REF!</definedName>
    <definedName name="TESTE4" localSheetId="39">#REF!</definedName>
    <definedName name="TESTE4" localSheetId="45">#REF!</definedName>
    <definedName name="TESTE4" localSheetId="33">#REF!</definedName>
    <definedName name="TESTE4" localSheetId="18">#REF!</definedName>
    <definedName name="TESTE4" localSheetId="13">#REF!</definedName>
    <definedName name="TESTE4" localSheetId="8">#REF!</definedName>
    <definedName name="TESTE4" localSheetId="24">#REF!</definedName>
    <definedName name="TESTE4" localSheetId="36">#REF!</definedName>
    <definedName name="TESTE4" localSheetId="27">#REF!</definedName>
    <definedName name="TESTE4" localSheetId="30">#REF!</definedName>
    <definedName name="TESTE4" localSheetId="15">#REF!</definedName>
    <definedName name="TESTE4">#REF!</definedName>
    <definedName name="TESTE5" localSheetId="21">#REF!</definedName>
    <definedName name="TESTE5" localSheetId="11">#REF!</definedName>
    <definedName name="TESTE5" localSheetId="6">#REF!</definedName>
    <definedName name="TESTE5" localSheetId="39">#REF!</definedName>
    <definedName name="TESTE5" localSheetId="45">#REF!</definedName>
    <definedName name="TESTE5" localSheetId="33">#REF!</definedName>
    <definedName name="TESTE5" localSheetId="18">#REF!</definedName>
    <definedName name="TESTE5" localSheetId="13">#REF!</definedName>
    <definedName name="TESTE5" localSheetId="8">#REF!</definedName>
    <definedName name="TESTE5" localSheetId="24">#REF!</definedName>
    <definedName name="TESTE5" localSheetId="36">#REF!</definedName>
    <definedName name="TESTE5" localSheetId="27">#REF!</definedName>
    <definedName name="TESTE5" localSheetId="30">#REF!</definedName>
    <definedName name="TESTE5" localSheetId="15">#REF!</definedName>
    <definedName name="TESTE5">#REF!</definedName>
    <definedName name="TESTE6" localSheetId="21">#REF!</definedName>
    <definedName name="TESTE6" localSheetId="11">#REF!</definedName>
    <definedName name="TESTE6" localSheetId="6">#REF!</definedName>
    <definedName name="TESTE6" localSheetId="39">#REF!</definedName>
    <definedName name="TESTE6" localSheetId="45">#REF!</definedName>
    <definedName name="TESTE6" localSheetId="33">#REF!</definedName>
    <definedName name="TESTE6" localSheetId="18">#REF!</definedName>
    <definedName name="TESTE6" localSheetId="13">#REF!</definedName>
    <definedName name="TESTE6" localSheetId="8">#REF!</definedName>
    <definedName name="TESTE6" localSheetId="24">#REF!</definedName>
    <definedName name="TESTE6" localSheetId="36">#REF!</definedName>
    <definedName name="TESTE6" localSheetId="27">#REF!</definedName>
    <definedName name="TESTE6" localSheetId="30">#REF!</definedName>
    <definedName name="TESTE6" localSheetId="15">#REF!</definedName>
    <definedName name="TESTE6">#REF!</definedName>
    <definedName name="TESTE7" localSheetId="21">#REF!</definedName>
    <definedName name="TESTE7" localSheetId="11">#REF!</definedName>
    <definedName name="TESTE7" localSheetId="6">#REF!</definedName>
    <definedName name="TESTE7" localSheetId="39">#REF!</definedName>
    <definedName name="TESTE7" localSheetId="45">#REF!</definedName>
    <definedName name="TESTE7" localSheetId="33">#REF!</definedName>
    <definedName name="TESTE7" localSheetId="18">#REF!</definedName>
    <definedName name="TESTE7" localSheetId="13">#REF!</definedName>
    <definedName name="TESTE7" localSheetId="8">#REF!</definedName>
    <definedName name="TESTE7" localSheetId="24">#REF!</definedName>
    <definedName name="TESTE7" localSheetId="36">#REF!</definedName>
    <definedName name="TESTE7" localSheetId="27">#REF!</definedName>
    <definedName name="TESTE7" localSheetId="30">#REF!</definedName>
    <definedName name="TESTE7" localSheetId="15">#REF!</definedName>
    <definedName name="TESTE7">#REF!</definedName>
    <definedName name="TESTE8" localSheetId="21">#REF!</definedName>
    <definedName name="TESTE8" localSheetId="11">#REF!</definedName>
    <definedName name="TESTE8" localSheetId="6">#REF!</definedName>
    <definedName name="TESTE8" localSheetId="39">#REF!</definedName>
    <definedName name="TESTE8" localSheetId="45">#REF!</definedName>
    <definedName name="TESTE8" localSheetId="33">#REF!</definedName>
    <definedName name="TESTE8" localSheetId="18">#REF!</definedName>
    <definedName name="TESTE8" localSheetId="13">#REF!</definedName>
    <definedName name="TESTE8" localSheetId="8">#REF!</definedName>
    <definedName name="TESTE8" localSheetId="24">#REF!</definedName>
    <definedName name="TESTE8" localSheetId="36">#REF!</definedName>
    <definedName name="TESTE8" localSheetId="27">#REF!</definedName>
    <definedName name="TESTE8" localSheetId="30">#REF!</definedName>
    <definedName name="TESTE8" localSheetId="15">#REF!</definedName>
    <definedName name="TESTE8">#REF!</definedName>
    <definedName name="TESTE9" localSheetId="21">#REF!</definedName>
    <definedName name="TESTE9" localSheetId="11">#REF!</definedName>
    <definedName name="TESTE9" localSheetId="6">#REF!</definedName>
    <definedName name="TESTE9" localSheetId="39">#REF!</definedName>
    <definedName name="TESTE9" localSheetId="45">#REF!</definedName>
    <definedName name="TESTE9" localSheetId="33">#REF!</definedName>
    <definedName name="TESTE9" localSheetId="18">#REF!</definedName>
    <definedName name="TESTE9" localSheetId="13">#REF!</definedName>
    <definedName name="TESTE9" localSheetId="8">#REF!</definedName>
    <definedName name="TESTE9" localSheetId="24">#REF!</definedName>
    <definedName name="TESTE9" localSheetId="36">#REF!</definedName>
    <definedName name="TESTE9" localSheetId="27">#REF!</definedName>
    <definedName name="TESTE9" localSheetId="30">#REF!</definedName>
    <definedName name="TESTE9" localSheetId="15">#REF!</definedName>
    <definedName name="TESTE9">#REF!</definedName>
    <definedName name="UF">[4]Apoio!$N$2:$N$15</definedName>
    <definedName name="UsoFInal">[3]Apoio!$N$2:$N$15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3" i="61" l="1"/>
  <c r="C72" i="61"/>
  <c r="C71" i="61"/>
  <c r="C70" i="61"/>
  <c r="C69" i="61"/>
  <c r="C68" i="61"/>
  <c r="C67" i="61"/>
  <c r="C66" i="61"/>
  <c r="C65" i="61"/>
  <c r="C64" i="61"/>
  <c r="C63" i="61"/>
  <c r="C6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C21" i="61"/>
  <c r="C20" i="61"/>
  <c r="C19" i="61"/>
  <c r="C18" i="61"/>
  <c r="C17" i="61"/>
  <c r="C16" i="61"/>
  <c r="C15" i="61"/>
  <c r="C14" i="61"/>
  <c r="C13" i="61"/>
  <c r="C12" i="61"/>
  <c r="C11" i="61"/>
  <c r="C10" i="61"/>
  <c r="L60" i="73"/>
  <c r="I6" i="60" l="1"/>
  <c r="M6" i="60" s="1"/>
  <c r="M8" i="73"/>
  <c r="H11" i="75"/>
  <c r="K19" i="64"/>
  <c r="K18" i="64"/>
  <c r="K17" i="64"/>
  <c r="K16" i="64"/>
  <c r="L15" i="64"/>
  <c r="K15" i="64"/>
  <c r="L14" i="64"/>
  <c r="K14" i="64"/>
  <c r="L13" i="64"/>
  <c r="K13" i="64"/>
  <c r="L12" i="64"/>
  <c r="K12" i="64"/>
  <c r="L11" i="64"/>
  <c r="K11" i="64"/>
  <c r="L10" i="64"/>
  <c r="K10" i="64"/>
  <c r="L9" i="64"/>
  <c r="K9" i="64"/>
  <c r="L8" i="64"/>
  <c r="K8" i="64"/>
  <c r="C19" i="64"/>
  <c r="C18" i="64"/>
  <c r="C17" i="64"/>
  <c r="C16" i="64"/>
  <c r="C15" i="64"/>
  <c r="C14" i="64"/>
  <c r="C13" i="64"/>
  <c r="C12" i="64"/>
  <c r="C11" i="64"/>
  <c r="C10" i="64"/>
  <c r="C9" i="64"/>
  <c r="C8" i="64"/>
  <c r="I19" i="64"/>
  <c r="I18" i="64"/>
  <c r="I17" i="64"/>
  <c r="I16" i="64"/>
  <c r="I15" i="64"/>
  <c r="I14" i="64"/>
  <c r="I13" i="64"/>
  <c r="I12" i="64"/>
  <c r="I11" i="64"/>
  <c r="I10" i="64"/>
  <c r="I9" i="64"/>
  <c r="I8" i="64"/>
  <c r="O35" i="41"/>
  <c r="N35" i="41"/>
  <c r="M35" i="41"/>
  <c r="L35" i="41"/>
  <c r="K35" i="41"/>
  <c r="J35" i="41"/>
  <c r="I35" i="41"/>
  <c r="H35" i="41"/>
  <c r="O34" i="41"/>
  <c r="N34" i="41"/>
  <c r="M34" i="41"/>
  <c r="L34" i="41"/>
  <c r="K34" i="41"/>
  <c r="J34" i="41"/>
  <c r="I34" i="41"/>
  <c r="H34" i="41"/>
  <c r="O33" i="41"/>
  <c r="N33" i="41"/>
  <c r="M33" i="41"/>
  <c r="L33" i="41"/>
  <c r="K33" i="41"/>
  <c r="J33" i="41"/>
  <c r="I33" i="41"/>
  <c r="H33" i="41"/>
  <c r="S30" i="41"/>
  <c r="R30" i="41"/>
  <c r="Q30" i="41"/>
  <c r="P30" i="41"/>
  <c r="O30" i="41"/>
  <c r="N30" i="41"/>
  <c r="M30" i="41"/>
  <c r="L30" i="41"/>
  <c r="K30" i="41"/>
  <c r="J30" i="41"/>
  <c r="I30" i="41"/>
  <c r="H30" i="41"/>
  <c r="S26" i="41"/>
  <c r="R26" i="41"/>
  <c r="Q26" i="41"/>
  <c r="P26" i="41"/>
  <c r="O26" i="41"/>
  <c r="N26" i="41"/>
  <c r="M26" i="41"/>
  <c r="L26" i="41"/>
  <c r="K26" i="41"/>
  <c r="J26" i="41"/>
  <c r="I26" i="41"/>
  <c r="H26" i="41"/>
  <c r="K6" i="60" l="1"/>
  <c r="L6" i="60"/>
  <c r="AC29" i="57"/>
  <c r="AC28" i="57"/>
  <c r="AC26" i="57"/>
  <c r="AC21" i="57"/>
  <c r="AC6" i="57"/>
  <c r="AC7" i="57"/>
  <c r="AC8" i="57"/>
  <c r="AC9" i="57"/>
  <c r="AC10" i="57"/>
  <c r="AC11" i="57"/>
  <c r="AC12" i="57"/>
  <c r="AC13" i="57"/>
  <c r="AC14" i="57"/>
  <c r="AC15" i="57"/>
  <c r="AC16" i="57"/>
  <c r="AC17" i="57"/>
  <c r="AC18" i="57"/>
  <c r="AC19" i="57"/>
  <c r="AC20" i="57"/>
  <c r="AC22" i="57"/>
  <c r="AC23" i="57"/>
  <c r="AC24" i="57"/>
  <c r="AC25" i="57"/>
  <c r="AC5" i="57"/>
  <c r="AC4" i="57"/>
  <c r="AB33" i="57"/>
  <c r="AA33" i="57"/>
  <c r="Z33" i="57"/>
  <c r="Y33" i="57"/>
  <c r="X33" i="57"/>
  <c r="W33" i="57"/>
  <c r="V33" i="57"/>
  <c r="U33" i="57"/>
  <c r="T33" i="57"/>
  <c r="S33" i="57"/>
  <c r="R33" i="57"/>
  <c r="Q33" i="57"/>
  <c r="AB32" i="57"/>
  <c r="AA32" i="57"/>
  <c r="Z32" i="57"/>
  <c r="Y32" i="57"/>
  <c r="X32" i="57"/>
  <c r="W32" i="57"/>
  <c r="V32" i="57"/>
  <c r="U32" i="57"/>
  <c r="T32" i="57"/>
  <c r="S32" i="57"/>
  <c r="R32" i="57"/>
  <c r="Q32" i="57"/>
  <c r="W98" i="35"/>
  <c r="V98" i="35"/>
  <c r="W94" i="35"/>
  <c r="V94" i="35"/>
  <c r="W93" i="35"/>
  <c r="V93" i="35"/>
  <c r="AV180" i="35"/>
  <c r="AU180" i="35"/>
  <c r="AT180" i="35"/>
  <c r="AS180" i="35"/>
  <c r="W87" i="35"/>
  <c r="V87" i="35"/>
  <c r="W83" i="35"/>
  <c r="V83" i="35"/>
  <c r="W82" i="35"/>
  <c r="V82" i="35"/>
  <c r="W76" i="35"/>
  <c r="V76" i="35"/>
  <c r="V62" i="35" l="1"/>
  <c r="W62" i="35"/>
  <c r="V63" i="35"/>
  <c r="W63" i="35"/>
  <c r="V64" i="35"/>
  <c r="W64" i="35"/>
  <c r="V65" i="35"/>
  <c r="W65" i="35"/>
  <c r="W61" i="35"/>
  <c r="V61" i="35"/>
  <c r="V57" i="35"/>
  <c r="W57" i="35"/>
  <c r="V58" i="35"/>
  <c r="W58" i="35"/>
  <c r="V59" i="35"/>
  <c r="W59" i="35"/>
  <c r="V60" i="35"/>
  <c r="W60" i="35"/>
  <c r="W56" i="35"/>
  <c r="V56" i="35"/>
  <c r="AX117" i="35"/>
  <c r="AW117" i="35"/>
  <c r="AX96" i="35" l="1"/>
  <c r="AW96" i="35"/>
  <c r="AX95" i="35"/>
  <c r="AW95" i="35"/>
  <c r="AX74" i="35" l="1"/>
  <c r="AW74" i="35"/>
  <c r="AX73" i="35"/>
  <c r="AW73" i="35"/>
  <c r="AX72" i="35"/>
  <c r="AW72" i="35"/>
  <c r="AX71" i="35"/>
  <c r="AW71" i="35"/>
  <c r="AX75" i="35" l="1"/>
  <c r="AW75" i="35"/>
  <c r="AX66" i="35"/>
  <c r="AW66" i="35"/>
  <c r="AX65" i="35"/>
  <c r="AW65" i="35"/>
  <c r="AX64" i="35"/>
  <c r="AW64" i="35"/>
  <c r="AX63" i="35"/>
  <c r="AW63" i="35"/>
  <c r="AW55" i="35"/>
  <c r="AX55" i="35"/>
  <c r="AW56" i="35"/>
  <c r="AX56" i="35"/>
  <c r="AW57" i="35"/>
  <c r="AX57" i="35"/>
  <c r="AW58" i="35"/>
  <c r="AX58" i="35"/>
  <c r="AW59" i="35"/>
  <c r="AX59" i="35"/>
  <c r="AW60" i="35"/>
  <c r="AX60" i="35"/>
  <c r="AW61" i="35"/>
  <c r="AX61" i="35"/>
  <c r="AW62" i="35"/>
  <c r="AX62" i="35"/>
  <c r="V27" i="35" l="1"/>
  <c r="W27" i="35"/>
  <c r="J335" i="37" l="1"/>
  <c r="I335" i="37"/>
  <c r="I17" i="50" l="1"/>
  <c r="I18" i="50"/>
  <c r="I19" i="50"/>
  <c r="I20" i="50"/>
  <c r="I21" i="50"/>
  <c r="I22" i="50"/>
  <c r="I23" i="50"/>
  <c r="J53" i="35" l="1"/>
  <c r="I53" i="35"/>
  <c r="J51" i="35"/>
  <c r="K6" i="65" l="1"/>
  <c r="J17" i="67"/>
  <c r="V17" i="35"/>
  <c r="AX19" i="35" l="1"/>
  <c r="V4" i="63" l="1"/>
  <c r="U4" i="37"/>
  <c r="H32" i="58"/>
  <c r="AX31" i="35"/>
  <c r="AW31" i="35"/>
  <c r="AX30" i="35"/>
  <c r="AW30" i="35"/>
  <c r="AX29" i="35"/>
  <c r="AW29" i="35"/>
  <c r="AX28" i="35"/>
  <c r="AW28" i="35"/>
  <c r="AX32" i="35"/>
  <c r="AW32" i="35"/>
  <c r="X21" i="35" l="1"/>
  <c r="V15" i="35"/>
  <c r="F52" i="35"/>
  <c r="F51" i="35"/>
  <c r="AX15" i="35" l="1"/>
  <c r="AW15" i="35"/>
  <c r="D5" i="4" l="1"/>
  <c r="AW19" i="35" l="1"/>
  <c r="AX25" i="35"/>
  <c r="Y16" i="35" s="1"/>
  <c r="AW25" i="35"/>
  <c r="X16" i="35" s="1"/>
  <c r="D53" i="33"/>
  <c r="W17" i="35" l="1"/>
  <c r="I28" i="51" l="1"/>
  <c r="J28" i="51"/>
  <c r="K28" i="51"/>
  <c r="L28" i="51"/>
  <c r="M28" i="51"/>
  <c r="N28" i="51"/>
  <c r="O28" i="51"/>
  <c r="P28" i="51"/>
  <c r="Q28" i="51"/>
  <c r="R28" i="51"/>
  <c r="S28" i="51"/>
  <c r="T28" i="51"/>
  <c r="U28" i="51"/>
  <c r="V28" i="51"/>
  <c r="W28" i="51"/>
  <c r="X28" i="51"/>
  <c r="Y28" i="51"/>
  <c r="Z28" i="51"/>
  <c r="AA28" i="51"/>
  <c r="H28" i="51"/>
  <c r="I8" i="51"/>
  <c r="J8" i="51"/>
  <c r="K8" i="51"/>
  <c r="L8" i="51"/>
  <c r="M8" i="51"/>
  <c r="N8" i="51"/>
  <c r="O8" i="51"/>
  <c r="P8" i="51"/>
  <c r="Q8" i="51"/>
  <c r="R8" i="51"/>
  <c r="S8" i="51"/>
  <c r="T8" i="51"/>
  <c r="U8" i="51"/>
  <c r="V8" i="51"/>
  <c r="W8" i="51"/>
  <c r="X8" i="51"/>
  <c r="Y8" i="51"/>
  <c r="Z8" i="51"/>
  <c r="AA8" i="51"/>
  <c r="H8" i="51"/>
  <c r="I82" i="52"/>
  <c r="I83" i="52"/>
  <c r="I67" i="52"/>
  <c r="I68" i="52"/>
  <c r="H10" i="45"/>
  <c r="H11" i="45" s="1"/>
  <c r="G23" i="49"/>
  <c r="V51" i="35"/>
  <c r="W51" i="35"/>
  <c r="V52" i="35"/>
  <c r="W52" i="35"/>
  <c r="V53" i="35"/>
  <c r="W53" i="35"/>
  <c r="V54" i="35"/>
  <c r="W54" i="35"/>
  <c r="W50" i="35"/>
  <c r="V50" i="35"/>
  <c r="V46" i="35"/>
  <c r="W46" i="35"/>
  <c r="V47" i="35"/>
  <c r="W47" i="35"/>
  <c r="V48" i="35"/>
  <c r="W48" i="35"/>
  <c r="V49" i="35"/>
  <c r="W49" i="35"/>
  <c r="W45" i="35"/>
  <c r="V45" i="35"/>
  <c r="I3" i="35" l="1"/>
  <c r="H3" i="35"/>
  <c r="G3" i="35"/>
  <c r="F3" i="35"/>
  <c r="E3" i="35"/>
  <c r="D3" i="35"/>
  <c r="C3" i="35"/>
  <c r="B3" i="35"/>
  <c r="F18" i="76" l="1"/>
  <c r="F16" i="76"/>
  <c r="F14" i="76"/>
  <c r="I15" i="76" l="1"/>
  <c r="D6" i="76" l="1"/>
  <c r="D5" i="76"/>
  <c r="D4" i="76"/>
  <c r="F31" i="55" l="1"/>
  <c r="G31" i="55"/>
  <c r="H31" i="55"/>
  <c r="H33" i="55" s="1"/>
  <c r="I31" i="55"/>
  <c r="I33" i="55" s="1"/>
  <c r="J31" i="55"/>
  <c r="J33" i="55" s="1"/>
  <c r="K31" i="55"/>
  <c r="K33" i="55" s="1"/>
  <c r="L31" i="55"/>
  <c r="L33" i="55" s="1"/>
  <c r="M31" i="55"/>
  <c r="M33" i="55" s="1"/>
  <c r="N31" i="55"/>
  <c r="N33" i="55" s="1"/>
  <c r="O31" i="55"/>
  <c r="O33" i="55" s="1"/>
  <c r="P31" i="55"/>
  <c r="P33" i="55" s="1"/>
  <c r="E31" i="55"/>
  <c r="F33" i="55"/>
  <c r="G33" i="55"/>
  <c r="F30" i="57"/>
  <c r="G30" i="57"/>
  <c r="G30" i="55" s="1"/>
  <c r="H30" i="57"/>
  <c r="H30" i="55" s="1"/>
  <c r="I30" i="57"/>
  <c r="I30" i="55" s="1"/>
  <c r="J30" i="57"/>
  <c r="J30" i="55" s="1"/>
  <c r="K30" i="57"/>
  <c r="K30" i="55" s="1"/>
  <c r="L30" i="57"/>
  <c r="L30" i="55" s="1"/>
  <c r="M30" i="57"/>
  <c r="M30" i="55" s="1"/>
  <c r="N30" i="57"/>
  <c r="N30" i="55" s="1"/>
  <c r="O30" i="57"/>
  <c r="O30" i="55" s="1"/>
  <c r="P30" i="57"/>
  <c r="P30" i="55" s="1"/>
  <c r="E30" i="57"/>
  <c r="E30" i="55" s="1"/>
  <c r="G32" i="57"/>
  <c r="H32" i="57"/>
  <c r="I32" i="57"/>
  <c r="J32" i="57"/>
  <c r="K32" i="57"/>
  <c r="L32" i="57"/>
  <c r="M32" i="57"/>
  <c r="N32" i="57"/>
  <c r="O32" i="57"/>
  <c r="P32" i="57"/>
  <c r="G33" i="57"/>
  <c r="H33" i="57"/>
  <c r="I33" i="57"/>
  <c r="J33" i="57"/>
  <c r="K33" i="57"/>
  <c r="L33" i="57"/>
  <c r="M33" i="57"/>
  <c r="N33" i="57"/>
  <c r="O33" i="57"/>
  <c r="P33" i="57"/>
  <c r="F32" i="57"/>
  <c r="F33" i="57"/>
  <c r="E33" i="57"/>
  <c r="E32" i="57"/>
  <c r="E6" i="55"/>
  <c r="F6" i="55"/>
  <c r="G6" i="55"/>
  <c r="H6" i="55"/>
  <c r="I6" i="55"/>
  <c r="J6" i="55"/>
  <c r="K6" i="55"/>
  <c r="L6" i="55"/>
  <c r="M6" i="55"/>
  <c r="N6" i="55"/>
  <c r="O6" i="55"/>
  <c r="P6" i="55"/>
  <c r="E8" i="55"/>
  <c r="F8" i="55"/>
  <c r="G8" i="55"/>
  <c r="H8" i="55"/>
  <c r="I8" i="55"/>
  <c r="J8" i="55"/>
  <c r="K8" i="55"/>
  <c r="L8" i="55"/>
  <c r="M8" i="55"/>
  <c r="N8" i="55"/>
  <c r="O8" i="55"/>
  <c r="P8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E16" i="55"/>
  <c r="F16" i="55"/>
  <c r="G16" i="55"/>
  <c r="H16" i="55"/>
  <c r="I16" i="55"/>
  <c r="J16" i="55"/>
  <c r="K16" i="55"/>
  <c r="L16" i="55"/>
  <c r="M16" i="55"/>
  <c r="N16" i="55"/>
  <c r="O16" i="55"/>
  <c r="P16" i="55"/>
  <c r="E18" i="55"/>
  <c r="F18" i="55"/>
  <c r="G18" i="55"/>
  <c r="H18" i="55"/>
  <c r="I18" i="55"/>
  <c r="J18" i="55"/>
  <c r="K18" i="55"/>
  <c r="L18" i="55"/>
  <c r="M18" i="55"/>
  <c r="N18" i="55"/>
  <c r="O18" i="55"/>
  <c r="P18" i="55"/>
  <c r="E20" i="55"/>
  <c r="F20" i="55"/>
  <c r="G20" i="55"/>
  <c r="H20" i="55"/>
  <c r="I20" i="55"/>
  <c r="J20" i="55"/>
  <c r="K20" i="55"/>
  <c r="L20" i="55"/>
  <c r="M20" i="55"/>
  <c r="N20" i="55"/>
  <c r="O20" i="55"/>
  <c r="P20" i="55"/>
  <c r="E22" i="55"/>
  <c r="F22" i="55"/>
  <c r="G22" i="55"/>
  <c r="H22" i="55"/>
  <c r="I22" i="55"/>
  <c r="J22" i="55"/>
  <c r="K22" i="55"/>
  <c r="L22" i="55"/>
  <c r="M22" i="55"/>
  <c r="N22" i="55"/>
  <c r="O22" i="55"/>
  <c r="P22" i="55"/>
  <c r="E24" i="55"/>
  <c r="F24" i="55"/>
  <c r="G24" i="55"/>
  <c r="H24" i="55"/>
  <c r="I24" i="55"/>
  <c r="J24" i="55"/>
  <c r="K24" i="55"/>
  <c r="L24" i="55"/>
  <c r="M24" i="55"/>
  <c r="N24" i="55"/>
  <c r="O24" i="55"/>
  <c r="P24" i="55"/>
  <c r="E26" i="55"/>
  <c r="F26" i="55"/>
  <c r="G26" i="55"/>
  <c r="H26" i="55"/>
  <c r="I26" i="55"/>
  <c r="J26" i="55"/>
  <c r="K26" i="55"/>
  <c r="L26" i="55"/>
  <c r="M26" i="55"/>
  <c r="N26" i="55"/>
  <c r="O26" i="55"/>
  <c r="P26" i="55"/>
  <c r="E28" i="55"/>
  <c r="F28" i="55"/>
  <c r="G28" i="55"/>
  <c r="H28" i="55"/>
  <c r="I28" i="55"/>
  <c r="J28" i="55"/>
  <c r="K28" i="55"/>
  <c r="L28" i="55"/>
  <c r="M28" i="55"/>
  <c r="N28" i="55"/>
  <c r="O28" i="55"/>
  <c r="P28" i="55"/>
  <c r="F30" i="55"/>
  <c r="F4" i="55"/>
  <c r="G4" i="55"/>
  <c r="H4" i="55"/>
  <c r="I4" i="55"/>
  <c r="J4" i="55"/>
  <c r="K4" i="55"/>
  <c r="L4" i="55"/>
  <c r="M4" i="55"/>
  <c r="N4" i="55"/>
  <c r="O4" i="55"/>
  <c r="P4" i="55"/>
  <c r="E4" i="55"/>
  <c r="E6" i="54"/>
  <c r="F6" i="54"/>
  <c r="G6" i="54"/>
  <c r="H6" i="54"/>
  <c r="I6" i="54"/>
  <c r="J6" i="54"/>
  <c r="K6" i="54"/>
  <c r="L6" i="54"/>
  <c r="M6" i="54"/>
  <c r="N6" i="54"/>
  <c r="O6" i="54"/>
  <c r="P6" i="54"/>
  <c r="E8" i="54"/>
  <c r="F8" i="54"/>
  <c r="G8" i="54"/>
  <c r="H8" i="54"/>
  <c r="I8" i="54"/>
  <c r="J8" i="54"/>
  <c r="K8" i="54"/>
  <c r="L8" i="54"/>
  <c r="M8" i="54"/>
  <c r="N8" i="54"/>
  <c r="O8" i="54"/>
  <c r="P8" i="54"/>
  <c r="E10" i="54"/>
  <c r="F10" i="54"/>
  <c r="G10" i="54"/>
  <c r="H10" i="54"/>
  <c r="I10" i="54"/>
  <c r="J10" i="54"/>
  <c r="K10" i="54"/>
  <c r="L10" i="54"/>
  <c r="M10" i="54"/>
  <c r="N10" i="54"/>
  <c r="O10" i="54"/>
  <c r="P10" i="54"/>
  <c r="E12" i="54"/>
  <c r="F12" i="54"/>
  <c r="G12" i="54"/>
  <c r="H12" i="54"/>
  <c r="I12" i="54"/>
  <c r="J12" i="54"/>
  <c r="K12" i="54"/>
  <c r="L12" i="54"/>
  <c r="M12" i="54"/>
  <c r="N12" i="54"/>
  <c r="O12" i="54"/>
  <c r="P12" i="54"/>
  <c r="E14" i="54"/>
  <c r="F14" i="54"/>
  <c r="G14" i="54"/>
  <c r="H14" i="54"/>
  <c r="I14" i="54"/>
  <c r="J14" i="54"/>
  <c r="K14" i="54"/>
  <c r="L14" i="54"/>
  <c r="M14" i="54"/>
  <c r="N14" i="54"/>
  <c r="O14" i="54"/>
  <c r="P14" i="54"/>
  <c r="E16" i="54"/>
  <c r="F16" i="54"/>
  <c r="G16" i="54"/>
  <c r="H16" i="54"/>
  <c r="I16" i="54"/>
  <c r="J16" i="54"/>
  <c r="K16" i="54"/>
  <c r="L16" i="54"/>
  <c r="M16" i="54"/>
  <c r="N16" i="54"/>
  <c r="O16" i="54"/>
  <c r="P16" i="54"/>
  <c r="E18" i="54"/>
  <c r="F18" i="54"/>
  <c r="G18" i="54"/>
  <c r="H18" i="54"/>
  <c r="I18" i="54"/>
  <c r="J18" i="54"/>
  <c r="K18" i="54"/>
  <c r="L18" i="54"/>
  <c r="M18" i="54"/>
  <c r="N18" i="54"/>
  <c r="O18" i="54"/>
  <c r="P18" i="54"/>
  <c r="E20" i="54"/>
  <c r="F20" i="54"/>
  <c r="G20" i="54"/>
  <c r="H20" i="54"/>
  <c r="I20" i="54"/>
  <c r="J20" i="54"/>
  <c r="K20" i="54"/>
  <c r="L20" i="54"/>
  <c r="M20" i="54"/>
  <c r="N20" i="54"/>
  <c r="O20" i="54"/>
  <c r="P20" i="54"/>
  <c r="E22" i="54"/>
  <c r="F22" i="54"/>
  <c r="G22" i="54"/>
  <c r="H22" i="54"/>
  <c r="I22" i="54"/>
  <c r="J22" i="54"/>
  <c r="K22" i="54"/>
  <c r="L22" i="54"/>
  <c r="M22" i="54"/>
  <c r="N22" i="54"/>
  <c r="O22" i="54"/>
  <c r="P22" i="54"/>
  <c r="E24" i="54"/>
  <c r="F24" i="54"/>
  <c r="G24" i="54"/>
  <c r="H24" i="54"/>
  <c r="I24" i="54"/>
  <c r="J24" i="54"/>
  <c r="K24" i="54"/>
  <c r="L24" i="54"/>
  <c r="M24" i="54"/>
  <c r="N24" i="54"/>
  <c r="O24" i="54"/>
  <c r="P24" i="54"/>
  <c r="E26" i="54"/>
  <c r="F26" i="54"/>
  <c r="G26" i="54"/>
  <c r="H26" i="54"/>
  <c r="I26" i="54"/>
  <c r="J26" i="54"/>
  <c r="K26" i="54"/>
  <c r="L26" i="54"/>
  <c r="M26" i="54"/>
  <c r="N26" i="54"/>
  <c r="O26" i="54"/>
  <c r="P26" i="54"/>
  <c r="E28" i="54"/>
  <c r="F28" i="54"/>
  <c r="G28" i="54"/>
  <c r="H28" i="54"/>
  <c r="I28" i="54"/>
  <c r="J28" i="54"/>
  <c r="K28" i="54"/>
  <c r="L28" i="54"/>
  <c r="M28" i="54"/>
  <c r="N28" i="54"/>
  <c r="O28" i="54"/>
  <c r="P28" i="54"/>
  <c r="E30" i="54"/>
  <c r="F30" i="54"/>
  <c r="G30" i="54"/>
  <c r="H30" i="54"/>
  <c r="I30" i="54"/>
  <c r="J30" i="54"/>
  <c r="K30" i="54"/>
  <c r="L30" i="54"/>
  <c r="M30" i="54"/>
  <c r="N30" i="54"/>
  <c r="O30" i="54"/>
  <c r="P30" i="54"/>
  <c r="F4" i="54"/>
  <c r="G4" i="54"/>
  <c r="H4" i="54"/>
  <c r="I4" i="54"/>
  <c r="J4" i="54"/>
  <c r="K4" i="54"/>
  <c r="L4" i="54"/>
  <c r="M4" i="54"/>
  <c r="N4" i="54"/>
  <c r="O4" i="54"/>
  <c r="P4" i="54"/>
  <c r="E4" i="54"/>
  <c r="I447" i="37"/>
  <c r="J447" i="37"/>
  <c r="I448" i="37"/>
  <c r="J448" i="37"/>
  <c r="I449" i="37"/>
  <c r="J449" i="37"/>
  <c r="I450" i="37"/>
  <c r="J450" i="37"/>
  <c r="I451" i="37"/>
  <c r="J451" i="37"/>
  <c r="I452" i="37"/>
  <c r="J452" i="37"/>
  <c r="I453" i="37"/>
  <c r="J453" i="37"/>
  <c r="I454" i="37"/>
  <c r="J454" i="37"/>
  <c r="I455" i="37"/>
  <c r="J455" i="37"/>
  <c r="I456" i="37"/>
  <c r="J456" i="37"/>
  <c r="I457" i="37"/>
  <c r="J457" i="37"/>
  <c r="I458" i="37"/>
  <c r="J458" i="37"/>
  <c r="I459" i="37"/>
  <c r="J459" i="37"/>
  <c r="I460" i="37"/>
  <c r="J460" i="37"/>
  <c r="I461" i="37"/>
  <c r="J461" i="37"/>
  <c r="I462" i="37"/>
  <c r="J462" i="37"/>
  <c r="I463" i="37"/>
  <c r="J463" i="37"/>
  <c r="I464" i="37"/>
  <c r="J464" i="37"/>
  <c r="I465" i="37"/>
  <c r="J465" i="37"/>
  <c r="C447" i="37"/>
  <c r="C448" i="37"/>
  <c r="C449" i="37"/>
  <c r="C450" i="37"/>
  <c r="C451" i="37"/>
  <c r="C452" i="37"/>
  <c r="C453" i="37"/>
  <c r="C454" i="37"/>
  <c r="C455" i="37"/>
  <c r="C456" i="37"/>
  <c r="C457" i="37"/>
  <c r="C458" i="37"/>
  <c r="C459" i="37"/>
  <c r="C460" i="37"/>
  <c r="C461" i="37"/>
  <c r="C462" i="37"/>
  <c r="C463" i="37"/>
  <c r="C464" i="37"/>
  <c r="C465" i="37"/>
  <c r="J446" i="37"/>
  <c r="I446" i="37"/>
  <c r="C446" i="37"/>
  <c r="P466" i="37"/>
  <c r="N79" i="74" s="1"/>
  <c r="O466" i="37"/>
  <c r="M79" i="74" s="1"/>
  <c r="O444" i="37"/>
  <c r="L444" i="61"/>
  <c r="L465" i="37" s="1"/>
  <c r="K444" i="61"/>
  <c r="K465" i="37" s="1"/>
  <c r="L443" i="61"/>
  <c r="L464" i="37" s="1"/>
  <c r="K443" i="61"/>
  <c r="K464" i="37" s="1"/>
  <c r="L442" i="61"/>
  <c r="L463" i="37" s="1"/>
  <c r="K442" i="61"/>
  <c r="K463" i="37" s="1"/>
  <c r="L441" i="61"/>
  <c r="L462" i="37" s="1"/>
  <c r="K441" i="61"/>
  <c r="K462" i="37" s="1"/>
  <c r="L440" i="61"/>
  <c r="L461" i="37" s="1"/>
  <c r="K440" i="61"/>
  <c r="K461" i="37" s="1"/>
  <c r="L439" i="61"/>
  <c r="L460" i="37" s="1"/>
  <c r="K439" i="61"/>
  <c r="K460" i="37" s="1"/>
  <c r="L438" i="61"/>
  <c r="L459" i="37" s="1"/>
  <c r="K438" i="61"/>
  <c r="K459" i="37" s="1"/>
  <c r="L437" i="61"/>
  <c r="L458" i="37" s="1"/>
  <c r="K437" i="61"/>
  <c r="K458" i="37" s="1"/>
  <c r="L436" i="61"/>
  <c r="L457" i="37" s="1"/>
  <c r="K436" i="61"/>
  <c r="K457" i="37" s="1"/>
  <c r="L435" i="61"/>
  <c r="L456" i="37" s="1"/>
  <c r="K435" i="61"/>
  <c r="K456" i="37" s="1"/>
  <c r="L434" i="61"/>
  <c r="L455" i="37" s="1"/>
  <c r="K434" i="61"/>
  <c r="K455" i="37" s="1"/>
  <c r="L433" i="61"/>
  <c r="L454" i="37" s="1"/>
  <c r="K433" i="61"/>
  <c r="K454" i="37" s="1"/>
  <c r="L432" i="61"/>
  <c r="L453" i="37" s="1"/>
  <c r="K432" i="61"/>
  <c r="K453" i="37" s="1"/>
  <c r="L431" i="61"/>
  <c r="L452" i="37" s="1"/>
  <c r="K431" i="61"/>
  <c r="K452" i="37" s="1"/>
  <c r="L430" i="61"/>
  <c r="L451" i="37" s="1"/>
  <c r="K430" i="61"/>
  <c r="K451" i="37" s="1"/>
  <c r="L429" i="61"/>
  <c r="L450" i="37" s="1"/>
  <c r="K429" i="61"/>
  <c r="K450" i="37" s="1"/>
  <c r="L428" i="61"/>
  <c r="L449" i="37" s="1"/>
  <c r="K428" i="61"/>
  <c r="K449" i="37" s="1"/>
  <c r="L427" i="61"/>
  <c r="L448" i="37" s="1"/>
  <c r="K427" i="61"/>
  <c r="K448" i="37" s="1"/>
  <c r="L426" i="61"/>
  <c r="L447" i="37" s="1"/>
  <c r="K426" i="61"/>
  <c r="K447" i="37" s="1"/>
  <c r="L425" i="61"/>
  <c r="L446" i="37" s="1"/>
  <c r="K425" i="61"/>
  <c r="K446" i="37" s="1"/>
  <c r="I34" i="75"/>
  <c r="J34" i="75"/>
  <c r="K34" i="75"/>
  <c r="L34" i="75"/>
  <c r="M34" i="75"/>
  <c r="N34" i="75"/>
  <c r="O34" i="75"/>
  <c r="P34" i="75"/>
  <c r="Q34" i="75"/>
  <c r="R34" i="75"/>
  <c r="S34" i="75"/>
  <c r="T34" i="75"/>
  <c r="U34" i="75"/>
  <c r="V34" i="75"/>
  <c r="W34" i="75"/>
  <c r="X34" i="75"/>
  <c r="Y34" i="75"/>
  <c r="Z34" i="75"/>
  <c r="AA34" i="75"/>
  <c r="H34" i="75"/>
  <c r="I43" i="75"/>
  <c r="J43" i="75"/>
  <c r="K43" i="75"/>
  <c r="L43" i="75"/>
  <c r="M43" i="75"/>
  <c r="N43" i="75"/>
  <c r="O43" i="75"/>
  <c r="P43" i="75"/>
  <c r="Q43" i="75"/>
  <c r="R43" i="75"/>
  <c r="S43" i="75"/>
  <c r="T43" i="75"/>
  <c r="U43" i="75"/>
  <c r="V43" i="75"/>
  <c r="W43" i="75"/>
  <c r="X43" i="75"/>
  <c r="Y43" i="75"/>
  <c r="Z43" i="75"/>
  <c r="AA43" i="75"/>
  <c r="I44" i="75"/>
  <c r="J44" i="75"/>
  <c r="K44" i="75"/>
  <c r="L44" i="75"/>
  <c r="M44" i="75"/>
  <c r="N44" i="75"/>
  <c r="O44" i="75"/>
  <c r="P44" i="75"/>
  <c r="Q44" i="75"/>
  <c r="R44" i="75"/>
  <c r="S44" i="75"/>
  <c r="T44" i="75"/>
  <c r="U44" i="75"/>
  <c r="V44" i="75"/>
  <c r="W44" i="75"/>
  <c r="X44" i="75"/>
  <c r="Y44" i="75"/>
  <c r="Z44" i="75"/>
  <c r="AA44" i="75"/>
  <c r="I45" i="75"/>
  <c r="J45" i="75"/>
  <c r="K45" i="75"/>
  <c r="L45" i="75"/>
  <c r="M45" i="75"/>
  <c r="N45" i="75"/>
  <c r="O45" i="75"/>
  <c r="P45" i="75"/>
  <c r="Q45" i="75"/>
  <c r="R45" i="75"/>
  <c r="S45" i="75"/>
  <c r="T45" i="75"/>
  <c r="U45" i="75"/>
  <c r="V45" i="75"/>
  <c r="W45" i="75"/>
  <c r="X45" i="75"/>
  <c r="Y45" i="75"/>
  <c r="Z45" i="75"/>
  <c r="AA45" i="75"/>
  <c r="I46" i="75"/>
  <c r="J46" i="75"/>
  <c r="K46" i="75"/>
  <c r="L46" i="75"/>
  <c r="M46" i="75"/>
  <c r="N46" i="75"/>
  <c r="O46" i="75"/>
  <c r="P46" i="75"/>
  <c r="Q46" i="75"/>
  <c r="R46" i="75"/>
  <c r="S46" i="75"/>
  <c r="T46" i="75"/>
  <c r="U46" i="75"/>
  <c r="V46" i="75"/>
  <c r="W46" i="75"/>
  <c r="X46" i="75"/>
  <c r="Y46" i="75"/>
  <c r="Z46" i="75"/>
  <c r="AA46" i="75"/>
  <c r="H46" i="75"/>
  <c r="H45" i="75"/>
  <c r="G21" i="75"/>
  <c r="H44" i="75"/>
  <c r="H43" i="75"/>
  <c r="G8" i="75"/>
  <c r="G7" i="75"/>
  <c r="I5" i="75"/>
  <c r="J5" i="75"/>
  <c r="K5" i="75"/>
  <c r="L5" i="75"/>
  <c r="M5" i="75"/>
  <c r="N5" i="75"/>
  <c r="O5" i="75"/>
  <c r="P5" i="75"/>
  <c r="Q5" i="75"/>
  <c r="R5" i="75"/>
  <c r="S5" i="75"/>
  <c r="T5" i="75"/>
  <c r="U5" i="75"/>
  <c r="V5" i="75"/>
  <c r="W5" i="75"/>
  <c r="X5" i="75"/>
  <c r="Y5" i="75"/>
  <c r="Z5" i="75"/>
  <c r="AA5" i="75"/>
  <c r="H5" i="75"/>
  <c r="I20" i="75"/>
  <c r="J20" i="75"/>
  <c r="K20" i="75"/>
  <c r="L20" i="75"/>
  <c r="M20" i="75"/>
  <c r="N20" i="75"/>
  <c r="O20" i="75"/>
  <c r="P20" i="75"/>
  <c r="Q20" i="75"/>
  <c r="R20" i="75"/>
  <c r="S20" i="75"/>
  <c r="T20" i="75"/>
  <c r="U20" i="75"/>
  <c r="V20" i="75"/>
  <c r="W20" i="75"/>
  <c r="X20" i="75"/>
  <c r="Y20" i="75"/>
  <c r="Z20" i="75"/>
  <c r="AA20" i="75"/>
  <c r="I23" i="75"/>
  <c r="J23" i="75"/>
  <c r="K23" i="75"/>
  <c r="L23" i="75"/>
  <c r="M23" i="75"/>
  <c r="N23" i="75"/>
  <c r="O23" i="75"/>
  <c r="P23" i="75"/>
  <c r="Q23" i="75"/>
  <c r="R23" i="75"/>
  <c r="S23" i="75"/>
  <c r="T23" i="75"/>
  <c r="U23" i="75"/>
  <c r="V23" i="75"/>
  <c r="W23" i="75"/>
  <c r="X23" i="75"/>
  <c r="Y23" i="75"/>
  <c r="Z23" i="75"/>
  <c r="AA23" i="75"/>
  <c r="I25" i="75"/>
  <c r="J25" i="75"/>
  <c r="K25" i="75"/>
  <c r="L25" i="75"/>
  <c r="M25" i="75"/>
  <c r="N25" i="75"/>
  <c r="O25" i="75"/>
  <c r="P25" i="75"/>
  <c r="Q25" i="75"/>
  <c r="R25" i="75"/>
  <c r="S25" i="75"/>
  <c r="T25" i="75"/>
  <c r="U25" i="75"/>
  <c r="V25" i="75"/>
  <c r="W25" i="75"/>
  <c r="X25" i="75"/>
  <c r="Y25" i="75"/>
  <c r="Z25" i="75"/>
  <c r="AA25" i="75"/>
  <c r="I26" i="75"/>
  <c r="I41" i="75" s="1"/>
  <c r="J26" i="75"/>
  <c r="J41" i="75" s="1"/>
  <c r="K26" i="75"/>
  <c r="K41" i="75" s="1"/>
  <c r="L26" i="75"/>
  <c r="L41" i="75" s="1"/>
  <c r="M26" i="75"/>
  <c r="M41" i="75" s="1"/>
  <c r="N26" i="75"/>
  <c r="N41" i="75" s="1"/>
  <c r="O26" i="75"/>
  <c r="O41" i="75" s="1"/>
  <c r="P26" i="75"/>
  <c r="P41" i="75" s="1"/>
  <c r="Q26" i="75"/>
  <c r="Q41" i="75" s="1"/>
  <c r="R26" i="75"/>
  <c r="R41" i="75" s="1"/>
  <c r="S26" i="75"/>
  <c r="S41" i="75" s="1"/>
  <c r="T26" i="75"/>
  <c r="T41" i="75" s="1"/>
  <c r="U26" i="75"/>
  <c r="U41" i="75" s="1"/>
  <c r="V26" i="75"/>
  <c r="V41" i="75" s="1"/>
  <c r="W26" i="75"/>
  <c r="W41" i="75" s="1"/>
  <c r="X26" i="75"/>
  <c r="X41" i="75" s="1"/>
  <c r="Y26" i="75"/>
  <c r="Y41" i="75" s="1"/>
  <c r="Z26" i="75"/>
  <c r="Z41" i="75" s="1"/>
  <c r="AA26" i="75"/>
  <c r="AA41" i="75" s="1"/>
  <c r="H26" i="75"/>
  <c r="H41" i="75" s="1"/>
  <c r="H25" i="75"/>
  <c r="H23" i="75"/>
  <c r="G24" i="75"/>
  <c r="G25" i="75" s="1"/>
  <c r="H20" i="75"/>
  <c r="H9" i="75"/>
  <c r="I9" i="75"/>
  <c r="J9" i="75"/>
  <c r="K9" i="75"/>
  <c r="L9" i="75"/>
  <c r="M9" i="75"/>
  <c r="N9" i="75"/>
  <c r="O9" i="75"/>
  <c r="P9" i="75"/>
  <c r="Q9" i="75"/>
  <c r="R9" i="75"/>
  <c r="S9" i="75"/>
  <c r="T9" i="75"/>
  <c r="U9" i="75"/>
  <c r="V9" i="75"/>
  <c r="W9" i="75"/>
  <c r="X9" i="75"/>
  <c r="Y9" i="75"/>
  <c r="Z9" i="75"/>
  <c r="AA9" i="75"/>
  <c r="H12" i="75"/>
  <c r="I12" i="75"/>
  <c r="J12" i="75"/>
  <c r="K12" i="75"/>
  <c r="L12" i="75"/>
  <c r="M12" i="75"/>
  <c r="N12" i="75"/>
  <c r="O12" i="75"/>
  <c r="P12" i="75"/>
  <c r="Q12" i="75"/>
  <c r="R12" i="75"/>
  <c r="S12" i="75"/>
  <c r="T12" i="75"/>
  <c r="U12" i="75"/>
  <c r="V12" i="75"/>
  <c r="W12" i="75"/>
  <c r="X12" i="75"/>
  <c r="Y12" i="75"/>
  <c r="Z12" i="75"/>
  <c r="AA12" i="75"/>
  <c r="B25" i="36"/>
  <c r="B26" i="36"/>
  <c r="B27" i="36"/>
  <c r="B28" i="36"/>
  <c r="B29" i="36"/>
  <c r="B30" i="36"/>
  <c r="B31" i="36"/>
  <c r="B32" i="36"/>
  <c r="AA37" i="75"/>
  <c r="Z37" i="75"/>
  <c r="Y37" i="75"/>
  <c r="X37" i="75"/>
  <c r="W37" i="75"/>
  <c r="V37" i="75"/>
  <c r="U37" i="75"/>
  <c r="T37" i="75"/>
  <c r="S37" i="75"/>
  <c r="R37" i="75"/>
  <c r="Q37" i="75"/>
  <c r="P37" i="75"/>
  <c r="O37" i="75"/>
  <c r="N37" i="75"/>
  <c r="M37" i="75"/>
  <c r="L37" i="75"/>
  <c r="K37" i="75"/>
  <c r="J37" i="75"/>
  <c r="I37" i="75"/>
  <c r="H37" i="75"/>
  <c r="AA36" i="75"/>
  <c r="AA38" i="75" s="1"/>
  <c r="Z36" i="75"/>
  <c r="Z38" i="75" s="1"/>
  <c r="Y36" i="75"/>
  <c r="Y38" i="75" s="1"/>
  <c r="X36" i="75"/>
  <c r="X38" i="75" s="1"/>
  <c r="W36" i="75"/>
  <c r="W38" i="75" s="1"/>
  <c r="V36" i="75"/>
  <c r="V38" i="75" s="1"/>
  <c r="U36" i="75"/>
  <c r="U38" i="75" s="1"/>
  <c r="T36" i="75"/>
  <c r="T38" i="75" s="1"/>
  <c r="S36" i="75"/>
  <c r="S38" i="75" s="1"/>
  <c r="R36" i="75"/>
  <c r="R38" i="75" s="1"/>
  <c r="Q36" i="75"/>
  <c r="Q38" i="75" s="1"/>
  <c r="P36" i="75"/>
  <c r="P38" i="75" s="1"/>
  <c r="O36" i="75"/>
  <c r="O38" i="75" s="1"/>
  <c r="N36" i="75"/>
  <c r="N38" i="75" s="1"/>
  <c r="M36" i="75"/>
  <c r="M38" i="75" s="1"/>
  <c r="L36" i="75"/>
  <c r="L38" i="75" s="1"/>
  <c r="K36" i="75"/>
  <c r="K38" i="75" s="1"/>
  <c r="J36" i="75"/>
  <c r="J38" i="75" s="1"/>
  <c r="I36" i="75"/>
  <c r="I38" i="75" s="1"/>
  <c r="H36" i="75"/>
  <c r="H38" i="75" s="1"/>
  <c r="AA35" i="75"/>
  <c r="Z35" i="75"/>
  <c r="Y35" i="75"/>
  <c r="X35" i="75"/>
  <c r="W35" i="75"/>
  <c r="V35" i="75"/>
  <c r="U35" i="75"/>
  <c r="T35" i="75"/>
  <c r="S35" i="75"/>
  <c r="R35" i="75"/>
  <c r="Q35" i="75"/>
  <c r="P35" i="75"/>
  <c r="O35" i="75"/>
  <c r="N35" i="75"/>
  <c r="M35" i="75"/>
  <c r="L35" i="75"/>
  <c r="K35" i="75"/>
  <c r="J35" i="75"/>
  <c r="I35" i="75"/>
  <c r="H35" i="75"/>
  <c r="N84" i="74"/>
  <c r="M84" i="74"/>
  <c r="I83" i="74"/>
  <c r="C83" i="74"/>
  <c r="I82" i="74"/>
  <c r="C82" i="74"/>
  <c r="I81" i="74"/>
  <c r="C81" i="74"/>
  <c r="K78" i="74"/>
  <c r="N69" i="74"/>
  <c r="N70" i="74" s="1"/>
  <c r="M69" i="74"/>
  <c r="M70" i="74" s="1"/>
  <c r="I68" i="74"/>
  <c r="C68" i="74"/>
  <c r="I67" i="74"/>
  <c r="C67" i="74"/>
  <c r="I66" i="74"/>
  <c r="C66" i="74"/>
  <c r="N60" i="74"/>
  <c r="M60" i="74"/>
  <c r="I59" i="74"/>
  <c r="H59" i="74"/>
  <c r="C59" i="74"/>
  <c r="I58" i="74"/>
  <c r="H58" i="74"/>
  <c r="C58" i="74"/>
  <c r="I57" i="74"/>
  <c r="H57" i="74"/>
  <c r="C57" i="74"/>
  <c r="I56" i="74"/>
  <c r="H56" i="74"/>
  <c r="C56" i="74"/>
  <c r="I55" i="74"/>
  <c r="H55" i="74"/>
  <c r="C55" i="74"/>
  <c r="N49" i="74"/>
  <c r="M49" i="74"/>
  <c r="I48" i="74"/>
  <c r="H48" i="74"/>
  <c r="V48" i="74" s="1"/>
  <c r="C48" i="74"/>
  <c r="Q48" i="74" s="1"/>
  <c r="P47" i="74"/>
  <c r="I47" i="74"/>
  <c r="H47" i="74"/>
  <c r="V47" i="74" s="1"/>
  <c r="C47" i="74"/>
  <c r="Q47" i="74" s="1"/>
  <c r="P46" i="74"/>
  <c r="I46" i="74"/>
  <c r="H46" i="74"/>
  <c r="V46" i="74" s="1"/>
  <c r="C46" i="74"/>
  <c r="Q46" i="74" s="1"/>
  <c r="P45" i="74"/>
  <c r="I45" i="74"/>
  <c r="H45" i="74"/>
  <c r="V45" i="74" s="1"/>
  <c r="C45" i="74"/>
  <c r="Q45" i="74" s="1"/>
  <c r="P44" i="74"/>
  <c r="I44" i="74"/>
  <c r="H44" i="74"/>
  <c r="V44" i="74" s="1"/>
  <c r="C44" i="74"/>
  <c r="Q44" i="74" s="1"/>
  <c r="P43" i="74"/>
  <c r="I43" i="74"/>
  <c r="H43" i="74"/>
  <c r="V43" i="74" s="1"/>
  <c r="C43" i="74"/>
  <c r="Q43" i="74" s="1"/>
  <c r="P42" i="74"/>
  <c r="I42" i="74"/>
  <c r="H42" i="74"/>
  <c r="V42" i="74" s="1"/>
  <c r="C42" i="74"/>
  <c r="Q42" i="74" s="1"/>
  <c r="P41" i="74"/>
  <c r="I41" i="74"/>
  <c r="H41" i="74"/>
  <c r="V41" i="74" s="1"/>
  <c r="C41" i="74"/>
  <c r="Q41" i="74" s="1"/>
  <c r="P40" i="74"/>
  <c r="I40" i="74"/>
  <c r="H40" i="74"/>
  <c r="V40" i="74" s="1"/>
  <c r="C40" i="74"/>
  <c r="Q40" i="74" s="1"/>
  <c r="P39" i="74"/>
  <c r="I39" i="74"/>
  <c r="H39" i="74"/>
  <c r="V39" i="74" s="1"/>
  <c r="C39" i="74"/>
  <c r="Q39" i="74" s="1"/>
  <c r="P38" i="74"/>
  <c r="I38" i="74"/>
  <c r="H38" i="74"/>
  <c r="V38" i="74" s="1"/>
  <c r="C38" i="74"/>
  <c r="Q38" i="74" s="1"/>
  <c r="P37" i="74"/>
  <c r="I37" i="74"/>
  <c r="H37" i="74"/>
  <c r="V37" i="74" s="1"/>
  <c r="C37" i="74"/>
  <c r="Q37" i="74" s="1"/>
  <c r="P36" i="74"/>
  <c r="I36" i="74"/>
  <c r="H36" i="74"/>
  <c r="V36" i="74" s="1"/>
  <c r="C36" i="74"/>
  <c r="Q36" i="74" s="1"/>
  <c r="P35" i="74"/>
  <c r="I35" i="74"/>
  <c r="H35" i="74"/>
  <c r="V35" i="74" s="1"/>
  <c r="C35" i="74"/>
  <c r="Q35" i="74" s="1"/>
  <c r="P34" i="74"/>
  <c r="I34" i="74"/>
  <c r="H34" i="74"/>
  <c r="V34" i="74" s="1"/>
  <c r="C34" i="74"/>
  <c r="Q34" i="74" s="1"/>
  <c r="P33" i="74"/>
  <c r="I33" i="74"/>
  <c r="H33" i="74"/>
  <c r="V33" i="74" s="1"/>
  <c r="C33" i="74"/>
  <c r="Q33" i="74" s="1"/>
  <c r="P32" i="74"/>
  <c r="I32" i="74"/>
  <c r="H32" i="74"/>
  <c r="V32" i="74" s="1"/>
  <c r="C32" i="74"/>
  <c r="Q32" i="74" s="1"/>
  <c r="P31" i="74"/>
  <c r="I31" i="74"/>
  <c r="H31" i="74"/>
  <c r="V31" i="74" s="1"/>
  <c r="C31" i="74"/>
  <c r="Q31" i="74" s="1"/>
  <c r="P30" i="74"/>
  <c r="I30" i="74"/>
  <c r="H30" i="74"/>
  <c r="V30" i="74" s="1"/>
  <c r="C30" i="74"/>
  <c r="Q30" i="74" s="1"/>
  <c r="P29" i="74"/>
  <c r="I29" i="74"/>
  <c r="H29" i="74"/>
  <c r="V29" i="74" s="1"/>
  <c r="C29" i="74"/>
  <c r="Q29" i="74" s="1"/>
  <c r="P28" i="74"/>
  <c r="I28" i="74"/>
  <c r="H28" i="74"/>
  <c r="V28" i="74" s="1"/>
  <c r="C28" i="74"/>
  <c r="Q28" i="74" s="1"/>
  <c r="P27" i="74"/>
  <c r="I27" i="74"/>
  <c r="H27" i="74"/>
  <c r="V27" i="74" s="1"/>
  <c r="C27" i="74"/>
  <c r="Q27" i="74" s="1"/>
  <c r="P26" i="74"/>
  <c r="I26" i="74"/>
  <c r="H26" i="74"/>
  <c r="V26" i="74" s="1"/>
  <c r="C26" i="74"/>
  <c r="Q26" i="74" s="1"/>
  <c r="P25" i="74"/>
  <c r="I25" i="74"/>
  <c r="H25" i="74"/>
  <c r="V25" i="74" s="1"/>
  <c r="C25" i="74"/>
  <c r="Q25" i="74" s="1"/>
  <c r="P24" i="74"/>
  <c r="I24" i="74"/>
  <c r="H24" i="74"/>
  <c r="V24" i="74" s="1"/>
  <c r="C24" i="74"/>
  <c r="Q24" i="74" s="1"/>
  <c r="P23" i="74"/>
  <c r="I23" i="74"/>
  <c r="H23" i="74"/>
  <c r="V23" i="74" s="1"/>
  <c r="C23" i="74"/>
  <c r="Q23" i="74" s="1"/>
  <c r="P22" i="74"/>
  <c r="I22" i="74"/>
  <c r="H22" i="74"/>
  <c r="V22" i="74" s="1"/>
  <c r="C22" i="74"/>
  <c r="Q22" i="74" s="1"/>
  <c r="P21" i="74"/>
  <c r="I21" i="74"/>
  <c r="H21" i="74"/>
  <c r="V21" i="74" s="1"/>
  <c r="C21" i="74"/>
  <c r="Q21" i="74" s="1"/>
  <c r="P20" i="74"/>
  <c r="I20" i="74"/>
  <c r="H20" i="74"/>
  <c r="V20" i="74" s="1"/>
  <c r="C20" i="74"/>
  <c r="Q20" i="74" s="1"/>
  <c r="P19" i="74"/>
  <c r="I19" i="74"/>
  <c r="H19" i="74"/>
  <c r="V19" i="74" s="1"/>
  <c r="C19" i="74"/>
  <c r="Q19" i="74" s="1"/>
  <c r="P18" i="74"/>
  <c r="I18" i="74"/>
  <c r="H18" i="74"/>
  <c r="V18" i="74" s="1"/>
  <c r="C18" i="74"/>
  <c r="Q18" i="74" s="1"/>
  <c r="P17" i="74"/>
  <c r="I17" i="74"/>
  <c r="H17" i="74"/>
  <c r="V17" i="74" s="1"/>
  <c r="C17" i="74"/>
  <c r="Q17" i="74" s="1"/>
  <c r="P16" i="74"/>
  <c r="I16" i="74"/>
  <c r="H16" i="74"/>
  <c r="V16" i="74" s="1"/>
  <c r="C16" i="74"/>
  <c r="Q16" i="74" s="1"/>
  <c r="P15" i="74"/>
  <c r="I15" i="74"/>
  <c r="H15" i="74"/>
  <c r="V15" i="74" s="1"/>
  <c r="C15" i="74"/>
  <c r="Q15" i="74" s="1"/>
  <c r="P14" i="74"/>
  <c r="I14" i="74"/>
  <c r="H14" i="74"/>
  <c r="V14" i="74" s="1"/>
  <c r="C14" i="74"/>
  <c r="Q14" i="74" s="1"/>
  <c r="P13" i="74"/>
  <c r="I13" i="74"/>
  <c r="H13" i="74"/>
  <c r="V13" i="74" s="1"/>
  <c r="C13" i="74"/>
  <c r="Q13" i="74" s="1"/>
  <c r="P12" i="74"/>
  <c r="I12" i="74"/>
  <c r="H12" i="74"/>
  <c r="V12" i="74" s="1"/>
  <c r="C12" i="74"/>
  <c r="Q12" i="74" s="1"/>
  <c r="P11" i="74"/>
  <c r="I11" i="74"/>
  <c r="H11" i="74"/>
  <c r="V11" i="74" s="1"/>
  <c r="C11" i="74"/>
  <c r="Q11" i="74" s="1"/>
  <c r="P10" i="74"/>
  <c r="I10" i="74"/>
  <c r="H10" i="74"/>
  <c r="V10" i="74" s="1"/>
  <c r="C10" i="74"/>
  <c r="Q10" i="74" s="1"/>
  <c r="P9" i="74"/>
  <c r="I9" i="74"/>
  <c r="H9" i="74"/>
  <c r="V9" i="74" s="1"/>
  <c r="C9" i="74"/>
  <c r="Q9" i="74" s="1"/>
  <c r="P8" i="74"/>
  <c r="I8" i="74"/>
  <c r="H8" i="74"/>
  <c r="V8" i="74" s="1"/>
  <c r="C8" i="74"/>
  <c r="Q8" i="74" s="1"/>
  <c r="P7" i="74"/>
  <c r="P2" i="74"/>
  <c r="J92" i="73"/>
  <c r="J83" i="74" s="1"/>
  <c r="J91" i="73"/>
  <c r="J82" i="74" s="1"/>
  <c r="J90" i="73"/>
  <c r="J81" i="74" s="1"/>
  <c r="J78" i="73"/>
  <c r="J68" i="74" s="1"/>
  <c r="J77" i="73"/>
  <c r="J67" i="74" s="1"/>
  <c r="J76" i="73"/>
  <c r="J66" i="74" s="1"/>
  <c r="J64" i="73"/>
  <c r="J59" i="74" s="1"/>
  <c r="J63" i="73"/>
  <c r="J58" i="74" s="1"/>
  <c r="J62" i="73"/>
  <c r="J57" i="74" s="1"/>
  <c r="J61" i="73"/>
  <c r="J56" i="74" s="1"/>
  <c r="J60" i="73"/>
  <c r="J55" i="74" s="1"/>
  <c r="J48" i="73"/>
  <c r="J48" i="74" s="1"/>
  <c r="J47" i="73"/>
  <c r="J47" i="74" s="1"/>
  <c r="J46" i="73"/>
  <c r="J46" i="74" s="1"/>
  <c r="J45" i="73"/>
  <c r="J45" i="74" s="1"/>
  <c r="J44" i="73"/>
  <c r="J44" i="74" s="1"/>
  <c r="J43" i="73"/>
  <c r="J43" i="74" s="1"/>
  <c r="J42" i="73"/>
  <c r="J42" i="74" s="1"/>
  <c r="J41" i="73"/>
  <c r="J41" i="74" s="1"/>
  <c r="J40" i="73"/>
  <c r="J40" i="74" s="1"/>
  <c r="J39" i="73"/>
  <c r="J39" i="74" s="1"/>
  <c r="J38" i="73"/>
  <c r="J38" i="74" s="1"/>
  <c r="J37" i="73"/>
  <c r="J37" i="74" s="1"/>
  <c r="J36" i="73"/>
  <c r="J36" i="74" s="1"/>
  <c r="J35" i="73"/>
  <c r="J35" i="74" s="1"/>
  <c r="J34" i="73"/>
  <c r="J34" i="74" s="1"/>
  <c r="J33" i="73"/>
  <c r="J33" i="74" s="1"/>
  <c r="J32" i="73"/>
  <c r="J32" i="74" s="1"/>
  <c r="J31" i="73"/>
  <c r="J31" i="74" s="1"/>
  <c r="J30" i="73"/>
  <c r="J30" i="74" s="1"/>
  <c r="J29" i="73"/>
  <c r="J29" i="74" s="1"/>
  <c r="J28" i="73"/>
  <c r="J28" i="74" s="1"/>
  <c r="J27" i="73"/>
  <c r="J27" i="74" s="1"/>
  <c r="J26" i="73"/>
  <c r="J26" i="74" s="1"/>
  <c r="J25" i="73"/>
  <c r="J25" i="74" s="1"/>
  <c r="J24" i="73"/>
  <c r="J24" i="74" s="1"/>
  <c r="J23" i="73"/>
  <c r="J23" i="74" s="1"/>
  <c r="J22" i="73"/>
  <c r="J22" i="74" s="1"/>
  <c r="J21" i="73"/>
  <c r="J21" i="74" s="1"/>
  <c r="J20" i="73"/>
  <c r="J20" i="74" s="1"/>
  <c r="J19" i="73"/>
  <c r="J19" i="74" s="1"/>
  <c r="J18" i="73"/>
  <c r="J18" i="74" s="1"/>
  <c r="J17" i="73"/>
  <c r="J17" i="74" s="1"/>
  <c r="J16" i="73"/>
  <c r="J16" i="74" s="1"/>
  <c r="J15" i="73"/>
  <c r="J15" i="74" s="1"/>
  <c r="J14" i="73"/>
  <c r="J14" i="74" s="1"/>
  <c r="J13" i="73"/>
  <c r="J13" i="74" s="1"/>
  <c r="J12" i="73"/>
  <c r="J12" i="74" s="1"/>
  <c r="J11" i="73"/>
  <c r="J11" i="74" s="1"/>
  <c r="J10" i="73"/>
  <c r="J10" i="74" s="1"/>
  <c r="J9" i="73"/>
  <c r="J9" i="74" s="1"/>
  <c r="J8" i="73"/>
  <c r="J8" i="74" s="1"/>
  <c r="C82" i="52"/>
  <c r="C83" i="52"/>
  <c r="I81" i="52"/>
  <c r="C81" i="52"/>
  <c r="C67" i="52"/>
  <c r="C68" i="52"/>
  <c r="I66" i="52"/>
  <c r="C66" i="52"/>
  <c r="C59" i="52"/>
  <c r="H56" i="52"/>
  <c r="I56" i="52"/>
  <c r="H57" i="52"/>
  <c r="I57" i="52"/>
  <c r="H58" i="52"/>
  <c r="I58" i="52"/>
  <c r="H59" i="52"/>
  <c r="I59" i="52"/>
  <c r="C56" i="52"/>
  <c r="C57" i="52"/>
  <c r="C58" i="52"/>
  <c r="I55" i="52"/>
  <c r="H55" i="52"/>
  <c r="C55" i="52"/>
  <c r="H9" i="52"/>
  <c r="I9" i="52"/>
  <c r="H10" i="52"/>
  <c r="I10" i="52"/>
  <c r="H11" i="52"/>
  <c r="I11" i="52"/>
  <c r="H12" i="52"/>
  <c r="I12" i="52"/>
  <c r="H13" i="52"/>
  <c r="I13" i="52"/>
  <c r="H14" i="52"/>
  <c r="I14" i="52"/>
  <c r="H15" i="52"/>
  <c r="I15" i="52"/>
  <c r="H16" i="52"/>
  <c r="I16" i="52"/>
  <c r="H17" i="52"/>
  <c r="I17" i="52"/>
  <c r="H18" i="52"/>
  <c r="I18" i="52"/>
  <c r="H19" i="52"/>
  <c r="I19" i="52"/>
  <c r="H20" i="52"/>
  <c r="I20" i="52"/>
  <c r="H21" i="52"/>
  <c r="I21" i="52"/>
  <c r="H22" i="52"/>
  <c r="I22" i="52"/>
  <c r="H23" i="52"/>
  <c r="I23" i="52"/>
  <c r="H24" i="52"/>
  <c r="I24" i="52"/>
  <c r="H25" i="52"/>
  <c r="I25" i="52"/>
  <c r="H26" i="52"/>
  <c r="I26" i="52"/>
  <c r="H27" i="52"/>
  <c r="I27" i="52"/>
  <c r="H28" i="52"/>
  <c r="I28" i="52"/>
  <c r="H29" i="52"/>
  <c r="I29" i="52"/>
  <c r="H30" i="52"/>
  <c r="I30" i="52"/>
  <c r="H31" i="52"/>
  <c r="I31" i="52"/>
  <c r="H32" i="52"/>
  <c r="I32" i="52"/>
  <c r="H33" i="52"/>
  <c r="I33" i="52"/>
  <c r="H34" i="52"/>
  <c r="I34" i="52"/>
  <c r="H35" i="52"/>
  <c r="I35" i="52"/>
  <c r="H36" i="52"/>
  <c r="I36" i="52"/>
  <c r="H37" i="52"/>
  <c r="I37" i="52"/>
  <c r="H38" i="52"/>
  <c r="I38" i="52"/>
  <c r="H39" i="52"/>
  <c r="I39" i="52"/>
  <c r="H40" i="52"/>
  <c r="I40" i="52"/>
  <c r="H41" i="52"/>
  <c r="I41" i="52"/>
  <c r="H42" i="52"/>
  <c r="I42" i="52"/>
  <c r="H43" i="52"/>
  <c r="I43" i="52"/>
  <c r="H44" i="52"/>
  <c r="I44" i="52"/>
  <c r="H45" i="52"/>
  <c r="I45" i="52"/>
  <c r="H46" i="52"/>
  <c r="I46" i="52"/>
  <c r="H47" i="52"/>
  <c r="I47" i="52"/>
  <c r="H48" i="52"/>
  <c r="I48" i="52"/>
  <c r="C9" i="52"/>
  <c r="C10" i="52"/>
  <c r="C11" i="52"/>
  <c r="C12" i="52"/>
  <c r="C13" i="52"/>
  <c r="C14" i="52"/>
  <c r="C15" i="52"/>
  <c r="C16" i="52"/>
  <c r="C17" i="52"/>
  <c r="C18" i="52"/>
  <c r="C19" i="52"/>
  <c r="C20" i="52"/>
  <c r="C21" i="52"/>
  <c r="C22" i="52"/>
  <c r="C23" i="52"/>
  <c r="C24" i="52"/>
  <c r="C25" i="52"/>
  <c r="C26" i="52"/>
  <c r="C27" i="52"/>
  <c r="C28" i="52"/>
  <c r="C29" i="52"/>
  <c r="C30" i="52"/>
  <c r="C31" i="52"/>
  <c r="C32" i="52"/>
  <c r="C33" i="52"/>
  <c r="C34" i="52"/>
  <c r="C35" i="52"/>
  <c r="C36" i="52"/>
  <c r="C37" i="52"/>
  <c r="C38" i="52"/>
  <c r="C39" i="52"/>
  <c r="C40" i="52"/>
  <c r="C41" i="52"/>
  <c r="C42" i="52"/>
  <c r="C43" i="52"/>
  <c r="C44" i="52"/>
  <c r="C45" i="52"/>
  <c r="C46" i="52"/>
  <c r="C47" i="52"/>
  <c r="C48" i="52"/>
  <c r="I8" i="52"/>
  <c r="H8" i="52"/>
  <c r="C8" i="52"/>
  <c r="J92" i="72"/>
  <c r="J83" i="52" s="1"/>
  <c r="J91" i="72"/>
  <c r="J82" i="52" s="1"/>
  <c r="J90" i="72"/>
  <c r="J81" i="52" s="1"/>
  <c r="J78" i="72"/>
  <c r="J68" i="52" s="1"/>
  <c r="J77" i="72"/>
  <c r="J67" i="52" s="1"/>
  <c r="J76" i="72"/>
  <c r="J66" i="52" s="1"/>
  <c r="J64" i="72"/>
  <c r="J59" i="52" s="1"/>
  <c r="J63" i="72"/>
  <c r="J58" i="52" s="1"/>
  <c r="J62" i="72"/>
  <c r="J57" i="52" s="1"/>
  <c r="J61" i="72"/>
  <c r="J56" i="52" s="1"/>
  <c r="J60" i="72"/>
  <c r="J55" i="52" s="1"/>
  <c r="J48" i="72"/>
  <c r="J48" i="52" s="1"/>
  <c r="J47" i="72"/>
  <c r="J47" i="52" s="1"/>
  <c r="J46" i="72"/>
  <c r="J46" i="52" s="1"/>
  <c r="J45" i="72"/>
  <c r="J45" i="52" s="1"/>
  <c r="J44" i="72"/>
  <c r="J44" i="52" s="1"/>
  <c r="J43" i="72"/>
  <c r="J43" i="52" s="1"/>
  <c r="J42" i="72"/>
  <c r="J42" i="52" s="1"/>
  <c r="J41" i="72"/>
  <c r="J41" i="52" s="1"/>
  <c r="J40" i="72"/>
  <c r="J40" i="52" s="1"/>
  <c r="J39" i="72"/>
  <c r="J39" i="52" s="1"/>
  <c r="J38" i="72"/>
  <c r="J38" i="52" s="1"/>
  <c r="J37" i="72"/>
  <c r="J37" i="52" s="1"/>
  <c r="J36" i="72"/>
  <c r="J36" i="52" s="1"/>
  <c r="J35" i="72"/>
  <c r="J35" i="52" s="1"/>
  <c r="J34" i="72"/>
  <c r="J34" i="52" s="1"/>
  <c r="J33" i="72"/>
  <c r="J33" i="52" s="1"/>
  <c r="J32" i="72"/>
  <c r="J32" i="52" s="1"/>
  <c r="J31" i="72"/>
  <c r="J31" i="52" s="1"/>
  <c r="J30" i="72"/>
  <c r="J30" i="52" s="1"/>
  <c r="J29" i="72"/>
  <c r="J29" i="52" s="1"/>
  <c r="J28" i="72"/>
  <c r="J28" i="52" s="1"/>
  <c r="J27" i="72"/>
  <c r="J27" i="52" s="1"/>
  <c r="J26" i="72"/>
  <c r="J26" i="52" s="1"/>
  <c r="J25" i="72"/>
  <c r="J25" i="52" s="1"/>
  <c r="J24" i="72"/>
  <c r="J24" i="52" s="1"/>
  <c r="J23" i="72"/>
  <c r="J23" i="52" s="1"/>
  <c r="J22" i="72"/>
  <c r="J22" i="52" s="1"/>
  <c r="J21" i="72"/>
  <c r="J21" i="52" s="1"/>
  <c r="J20" i="72"/>
  <c r="J20" i="52" s="1"/>
  <c r="J19" i="72"/>
  <c r="J19" i="52" s="1"/>
  <c r="J18" i="72"/>
  <c r="J18" i="52" s="1"/>
  <c r="J17" i="72"/>
  <c r="J17" i="52" s="1"/>
  <c r="J16" i="72"/>
  <c r="J16" i="52" s="1"/>
  <c r="J15" i="72"/>
  <c r="J15" i="52" s="1"/>
  <c r="J14" i="72"/>
  <c r="J14" i="52" s="1"/>
  <c r="J13" i="72"/>
  <c r="J13" i="52" s="1"/>
  <c r="J12" i="72"/>
  <c r="J12" i="52" s="1"/>
  <c r="J11" i="72"/>
  <c r="J11" i="52" s="1"/>
  <c r="J10" i="72"/>
  <c r="J10" i="52" s="1"/>
  <c r="J9" i="72"/>
  <c r="J9" i="52" s="1"/>
  <c r="J8" i="72"/>
  <c r="J8" i="52" s="1"/>
  <c r="I82" i="50"/>
  <c r="I83" i="50"/>
  <c r="C82" i="50"/>
  <c r="C83" i="50"/>
  <c r="I81" i="50"/>
  <c r="C81" i="50"/>
  <c r="I67" i="50"/>
  <c r="I68" i="50"/>
  <c r="C67" i="50"/>
  <c r="C68" i="50"/>
  <c r="I66" i="50"/>
  <c r="C66" i="50"/>
  <c r="H56" i="50"/>
  <c r="I56" i="50"/>
  <c r="H57" i="50"/>
  <c r="I57" i="50"/>
  <c r="H58" i="50"/>
  <c r="I58" i="50"/>
  <c r="H59" i="50"/>
  <c r="I59" i="50"/>
  <c r="C56" i="50"/>
  <c r="C57" i="50"/>
  <c r="C58" i="50"/>
  <c r="C59" i="50"/>
  <c r="I55" i="50"/>
  <c r="H55" i="50"/>
  <c r="C55" i="50"/>
  <c r="H9" i="50"/>
  <c r="I9" i="50"/>
  <c r="H10" i="50"/>
  <c r="I10" i="50"/>
  <c r="H11" i="50"/>
  <c r="I11" i="50"/>
  <c r="H12" i="50"/>
  <c r="I12" i="50"/>
  <c r="H13" i="50"/>
  <c r="I13" i="50"/>
  <c r="H14" i="50"/>
  <c r="I14" i="50"/>
  <c r="H15" i="50"/>
  <c r="I15" i="50"/>
  <c r="H16" i="50"/>
  <c r="I16" i="50"/>
  <c r="H17" i="50"/>
  <c r="H18" i="50"/>
  <c r="H19" i="50"/>
  <c r="H20" i="50"/>
  <c r="H21" i="50"/>
  <c r="H22" i="50"/>
  <c r="H23" i="50"/>
  <c r="H24" i="50"/>
  <c r="I24" i="50"/>
  <c r="H25" i="50"/>
  <c r="I25" i="50"/>
  <c r="H26" i="50"/>
  <c r="I26" i="50"/>
  <c r="H27" i="50"/>
  <c r="I27" i="50"/>
  <c r="H28" i="50"/>
  <c r="I28" i="50"/>
  <c r="H29" i="50"/>
  <c r="I29" i="50"/>
  <c r="H30" i="50"/>
  <c r="I30" i="50"/>
  <c r="H31" i="50"/>
  <c r="I31" i="50"/>
  <c r="H32" i="50"/>
  <c r="I32" i="50"/>
  <c r="H33" i="50"/>
  <c r="I33" i="50"/>
  <c r="H34" i="50"/>
  <c r="I34" i="50"/>
  <c r="H35" i="50"/>
  <c r="I35" i="50"/>
  <c r="H36" i="50"/>
  <c r="I36" i="50"/>
  <c r="H37" i="50"/>
  <c r="I37" i="50"/>
  <c r="H38" i="50"/>
  <c r="I38" i="50"/>
  <c r="H39" i="50"/>
  <c r="I39" i="50"/>
  <c r="H40" i="50"/>
  <c r="I40" i="50"/>
  <c r="H41" i="50"/>
  <c r="I41" i="50"/>
  <c r="H42" i="50"/>
  <c r="I42" i="50"/>
  <c r="H43" i="50"/>
  <c r="I43" i="50"/>
  <c r="H44" i="50"/>
  <c r="I44" i="50"/>
  <c r="H45" i="50"/>
  <c r="I45" i="50"/>
  <c r="H46" i="50"/>
  <c r="I46" i="50"/>
  <c r="H47" i="50"/>
  <c r="I47" i="50"/>
  <c r="H48" i="50"/>
  <c r="I48" i="50"/>
  <c r="C9" i="50"/>
  <c r="C10" i="50"/>
  <c r="C11" i="50"/>
  <c r="C12" i="50"/>
  <c r="C13" i="50"/>
  <c r="C14" i="50"/>
  <c r="C15" i="50"/>
  <c r="C16" i="50"/>
  <c r="C17" i="50"/>
  <c r="C18" i="50"/>
  <c r="C19" i="50"/>
  <c r="C20" i="50"/>
  <c r="C21" i="50"/>
  <c r="C22" i="50"/>
  <c r="C23" i="50"/>
  <c r="C24" i="50"/>
  <c r="C25" i="50"/>
  <c r="C26" i="50"/>
  <c r="C27" i="50"/>
  <c r="C28" i="50"/>
  <c r="C29" i="50"/>
  <c r="C30" i="50"/>
  <c r="C31" i="50"/>
  <c r="C32" i="50"/>
  <c r="C33" i="50"/>
  <c r="C34" i="50"/>
  <c r="C35" i="50"/>
  <c r="C36" i="50"/>
  <c r="C37" i="50"/>
  <c r="C38" i="50"/>
  <c r="C39" i="50"/>
  <c r="C40" i="50"/>
  <c r="C41" i="50"/>
  <c r="C42" i="50"/>
  <c r="C43" i="50"/>
  <c r="C44" i="50"/>
  <c r="C45" i="50"/>
  <c r="C46" i="50"/>
  <c r="C47" i="50"/>
  <c r="C48" i="50"/>
  <c r="I8" i="50"/>
  <c r="H8" i="50"/>
  <c r="C8" i="50"/>
  <c r="J92" i="71"/>
  <c r="J83" i="50" s="1"/>
  <c r="J91" i="71"/>
  <c r="J82" i="50" s="1"/>
  <c r="J90" i="71"/>
  <c r="J81" i="50" s="1"/>
  <c r="J78" i="71"/>
  <c r="J68" i="50" s="1"/>
  <c r="J77" i="71"/>
  <c r="J67" i="50" s="1"/>
  <c r="J76" i="71"/>
  <c r="J66" i="50" s="1"/>
  <c r="J64" i="71"/>
  <c r="J59" i="50" s="1"/>
  <c r="J63" i="71"/>
  <c r="J58" i="50" s="1"/>
  <c r="J62" i="71"/>
  <c r="J57" i="50" s="1"/>
  <c r="J61" i="71"/>
  <c r="J56" i="50" s="1"/>
  <c r="J60" i="71"/>
  <c r="J55" i="50" s="1"/>
  <c r="J48" i="71"/>
  <c r="J48" i="50" s="1"/>
  <c r="J47" i="71"/>
  <c r="J47" i="50" s="1"/>
  <c r="J46" i="71"/>
  <c r="J46" i="50" s="1"/>
  <c r="J45" i="71"/>
  <c r="J45" i="50" s="1"/>
  <c r="J44" i="71"/>
  <c r="J44" i="50" s="1"/>
  <c r="J43" i="71"/>
  <c r="J43" i="50" s="1"/>
  <c r="J42" i="71"/>
  <c r="J42" i="50" s="1"/>
  <c r="J41" i="71"/>
  <c r="J41" i="50" s="1"/>
  <c r="J40" i="71"/>
  <c r="J40" i="50" s="1"/>
  <c r="J39" i="71"/>
  <c r="J39" i="50" s="1"/>
  <c r="J38" i="71"/>
  <c r="J38" i="50" s="1"/>
  <c r="J37" i="71"/>
  <c r="J37" i="50" s="1"/>
  <c r="J36" i="71"/>
  <c r="J36" i="50" s="1"/>
  <c r="J35" i="71"/>
  <c r="J35" i="50" s="1"/>
  <c r="J34" i="71"/>
  <c r="J34" i="50" s="1"/>
  <c r="J33" i="71"/>
  <c r="J33" i="50" s="1"/>
  <c r="J32" i="71"/>
  <c r="J32" i="50" s="1"/>
  <c r="J31" i="71"/>
  <c r="J31" i="50" s="1"/>
  <c r="J30" i="71"/>
  <c r="J30" i="50" s="1"/>
  <c r="J29" i="71"/>
  <c r="J29" i="50" s="1"/>
  <c r="J28" i="71"/>
  <c r="J28" i="50" s="1"/>
  <c r="J27" i="71"/>
  <c r="J27" i="50" s="1"/>
  <c r="J26" i="71"/>
  <c r="J26" i="50" s="1"/>
  <c r="J25" i="71"/>
  <c r="J25" i="50" s="1"/>
  <c r="J24" i="71"/>
  <c r="J24" i="50" s="1"/>
  <c r="J23" i="71"/>
  <c r="J23" i="50" s="1"/>
  <c r="J22" i="71"/>
  <c r="J22" i="50" s="1"/>
  <c r="J21" i="71"/>
  <c r="J21" i="50" s="1"/>
  <c r="J20" i="71"/>
  <c r="J20" i="50" s="1"/>
  <c r="J19" i="71"/>
  <c r="J19" i="50" s="1"/>
  <c r="K19" i="50" s="1"/>
  <c r="L19" i="50" s="1"/>
  <c r="J18" i="71"/>
  <c r="J18" i="50" s="1"/>
  <c r="K18" i="50" s="1"/>
  <c r="L18" i="50" s="1"/>
  <c r="J17" i="71"/>
  <c r="J17" i="50" s="1"/>
  <c r="K17" i="50" s="1"/>
  <c r="L17" i="50" s="1"/>
  <c r="J16" i="71"/>
  <c r="J16" i="50" s="1"/>
  <c r="J15" i="71"/>
  <c r="J15" i="50" s="1"/>
  <c r="J14" i="71"/>
  <c r="J14" i="50" s="1"/>
  <c r="J13" i="71"/>
  <c r="J13" i="50" s="1"/>
  <c r="J12" i="71"/>
  <c r="J12" i="50" s="1"/>
  <c r="J11" i="71"/>
  <c r="J11" i="50" s="1"/>
  <c r="J10" i="71"/>
  <c r="J10" i="50" s="1"/>
  <c r="J9" i="71"/>
  <c r="J9" i="50" s="1"/>
  <c r="J8" i="71"/>
  <c r="J8" i="50" s="1"/>
  <c r="C82" i="48"/>
  <c r="C83" i="48"/>
  <c r="I82" i="48"/>
  <c r="I83" i="48"/>
  <c r="I81" i="48"/>
  <c r="C81" i="48"/>
  <c r="I67" i="48"/>
  <c r="I68" i="48"/>
  <c r="C67" i="48"/>
  <c r="C68" i="48"/>
  <c r="I66" i="48"/>
  <c r="C66" i="48"/>
  <c r="H56" i="48"/>
  <c r="I56" i="48"/>
  <c r="H57" i="48"/>
  <c r="I57" i="48"/>
  <c r="H58" i="48"/>
  <c r="I58" i="48"/>
  <c r="H59" i="48"/>
  <c r="I59" i="48"/>
  <c r="C56" i="48"/>
  <c r="C57" i="48"/>
  <c r="C58" i="48"/>
  <c r="C59" i="48"/>
  <c r="I55" i="48"/>
  <c r="H55" i="48"/>
  <c r="C55" i="48"/>
  <c r="H9" i="48"/>
  <c r="I9" i="48"/>
  <c r="H10" i="48"/>
  <c r="I10" i="48"/>
  <c r="H11" i="48"/>
  <c r="I11" i="48"/>
  <c r="H12" i="48"/>
  <c r="I12" i="48"/>
  <c r="H13" i="48"/>
  <c r="I13" i="48"/>
  <c r="H14" i="48"/>
  <c r="I14" i="48"/>
  <c r="H15" i="48"/>
  <c r="I15" i="48"/>
  <c r="H16" i="48"/>
  <c r="I16" i="48"/>
  <c r="H17" i="48"/>
  <c r="I17" i="48"/>
  <c r="H18" i="48"/>
  <c r="I18" i="48"/>
  <c r="H19" i="48"/>
  <c r="I19" i="48"/>
  <c r="H20" i="48"/>
  <c r="I20" i="48"/>
  <c r="H21" i="48"/>
  <c r="I21" i="48"/>
  <c r="H22" i="48"/>
  <c r="I22" i="48"/>
  <c r="H23" i="48"/>
  <c r="I23" i="48"/>
  <c r="H24" i="48"/>
  <c r="I24" i="48"/>
  <c r="H25" i="48"/>
  <c r="I25" i="48"/>
  <c r="H26" i="48"/>
  <c r="I26" i="48"/>
  <c r="H27" i="48"/>
  <c r="I27" i="48"/>
  <c r="H28" i="48"/>
  <c r="I28" i="48"/>
  <c r="H29" i="48"/>
  <c r="I29" i="48"/>
  <c r="H30" i="48"/>
  <c r="I30" i="48"/>
  <c r="H31" i="48"/>
  <c r="I31" i="48"/>
  <c r="H32" i="48"/>
  <c r="I32" i="48"/>
  <c r="H33" i="48"/>
  <c r="I33" i="48"/>
  <c r="H34" i="48"/>
  <c r="I34" i="48"/>
  <c r="H35" i="48"/>
  <c r="I35" i="48"/>
  <c r="H36" i="48"/>
  <c r="I36" i="48"/>
  <c r="H37" i="48"/>
  <c r="I37" i="48"/>
  <c r="H38" i="48"/>
  <c r="I38" i="48"/>
  <c r="H39" i="48"/>
  <c r="I39" i="48"/>
  <c r="H40" i="48"/>
  <c r="I40" i="48"/>
  <c r="H41" i="48"/>
  <c r="I41" i="48"/>
  <c r="H42" i="48"/>
  <c r="I42" i="48"/>
  <c r="H43" i="48"/>
  <c r="I43" i="48"/>
  <c r="H44" i="48"/>
  <c r="I44" i="48"/>
  <c r="H45" i="48"/>
  <c r="I45" i="48"/>
  <c r="H46" i="48"/>
  <c r="I46" i="48"/>
  <c r="H47" i="48"/>
  <c r="I47" i="48"/>
  <c r="H48" i="48"/>
  <c r="I48" i="48"/>
  <c r="C4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I8" i="48"/>
  <c r="H8" i="48"/>
  <c r="C8" i="48"/>
  <c r="J92" i="70"/>
  <c r="J83" i="48" s="1"/>
  <c r="J91" i="70"/>
  <c r="J82" i="48" s="1"/>
  <c r="J90" i="70"/>
  <c r="J81" i="48" s="1"/>
  <c r="J78" i="70"/>
  <c r="J68" i="48" s="1"/>
  <c r="J77" i="70"/>
  <c r="J67" i="48" s="1"/>
  <c r="J76" i="70"/>
  <c r="J66" i="48" s="1"/>
  <c r="J64" i="70"/>
  <c r="J59" i="48" s="1"/>
  <c r="J63" i="70"/>
  <c r="J58" i="48" s="1"/>
  <c r="J62" i="70"/>
  <c r="J57" i="48" s="1"/>
  <c r="J61" i="70"/>
  <c r="J56" i="48" s="1"/>
  <c r="J60" i="70"/>
  <c r="J55" i="48" s="1"/>
  <c r="J48" i="70"/>
  <c r="J48" i="48" s="1"/>
  <c r="J47" i="70"/>
  <c r="J47" i="48" s="1"/>
  <c r="J46" i="70"/>
  <c r="J46" i="48" s="1"/>
  <c r="J45" i="70"/>
  <c r="J45" i="48" s="1"/>
  <c r="J44" i="70"/>
  <c r="J44" i="48" s="1"/>
  <c r="J43" i="70"/>
  <c r="J43" i="48" s="1"/>
  <c r="J42" i="70"/>
  <c r="J42" i="48" s="1"/>
  <c r="J41" i="70"/>
  <c r="J41" i="48" s="1"/>
  <c r="J40" i="70"/>
  <c r="J40" i="48" s="1"/>
  <c r="J39" i="70"/>
  <c r="J39" i="48" s="1"/>
  <c r="J38" i="70"/>
  <c r="J38" i="48" s="1"/>
  <c r="J37" i="70"/>
  <c r="J37" i="48" s="1"/>
  <c r="J36" i="70"/>
  <c r="J36" i="48" s="1"/>
  <c r="J35" i="70"/>
  <c r="J35" i="48" s="1"/>
  <c r="J34" i="70"/>
  <c r="J34" i="48" s="1"/>
  <c r="J33" i="70"/>
  <c r="J33" i="48" s="1"/>
  <c r="J32" i="70"/>
  <c r="J32" i="48" s="1"/>
  <c r="J31" i="70"/>
  <c r="J31" i="48" s="1"/>
  <c r="J30" i="70"/>
  <c r="J30" i="48" s="1"/>
  <c r="J29" i="70"/>
  <c r="J29" i="48" s="1"/>
  <c r="J28" i="70"/>
  <c r="J28" i="48" s="1"/>
  <c r="J27" i="70"/>
  <c r="J27" i="48" s="1"/>
  <c r="J26" i="70"/>
  <c r="J26" i="48" s="1"/>
  <c r="J25" i="70"/>
  <c r="J25" i="48" s="1"/>
  <c r="J24" i="70"/>
  <c r="J24" i="48" s="1"/>
  <c r="J23" i="70"/>
  <c r="J23" i="48" s="1"/>
  <c r="J22" i="70"/>
  <c r="J22" i="48" s="1"/>
  <c r="J21" i="70"/>
  <c r="J21" i="48" s="1"/>
  <c r="J20" i="70"/>
  <c r="J20" i="48" s="1"/>
  <c r="J19" i="70"/>
  <c r="J19" i="48" s="1"/>
  <c r="J18" i="70"/>
  <c r="J18" i="48" s="1"/>
  <c r="J17" i="70"/>
  <c r="J17" i="48" s="1"/>
  <c r="J16" i="70"/>
  <c r="J16" i="48" s="1"/>
  <c r="J15" i="70"/>
  <c r="J15" i="48" s="1"/>
  <c r="J14" i="70"/>
  <c r="J14" i="48" s="1"/>
  <c r="J13" i="70"/>
  <c r="J13" i="48" s="1"/>
  <c r="J12" i="70"/>
  <c r="J12" i="48" s="1"/>
  <c r="J11" i="70"/>
  <c r="J11" i="48" s="1"/>
  <c r="J10" i="70"/>
  <c r="J10" i="48" s="1"/>
  <c r="J9" i="70"/>
  <c r="J9" i="48" s="1"/>
  <c r="J8" i="70"/>
  <c r="J8" i="48" s="1"/>
  <c r="G37" i="49"/>
  <c r="I82" i="46"/>
  <c r="I83" i="46"/>
  <c r="C82" i="46"/>
  <c r="C83" i="46"/>
  <c r="I81" i="46"/>
  <c r="C81" i="46"/>
  <c r="I67" i="46"/>
  <c r="I68" i="46"/>
  <c r="C67" i="46"/>
  <c r="C68" i="46"/>
  <c r="I66" i="46"/>
  <c r="C66" i="46"/>
  <c r="H56" i="46"/>
  <c r="I56" i="46"/>
  <c r="H57" i="46"/>
  <c r="I57" i="46"/>
  <c r="H58" i="46"/>
  <c r="I58" i="46"/>
  <c r="H59" i="46"/>
  <c r="I59" i="46"/>
  <c r="C56" i="46"/>
  <c r="C57" i="46"/>
  <c r="C58" i="46"/>
  <c r="C59" i="46"/>
  <c r="I55" i="46"/>
  <c r="H55" i="46"/>
  <c r="C55" i="46"/>
  <c r="H9" i="46"/>
  <c r="I9" i="46"/>
  <c r="H10" i="46"/>
  <c r="I10" i="46"/>
  <c r="H11" i="46"/>
  <c r="I11" i="46"/>
  <c r="H12" i="46"/>
  <c r="I12" i="46"/>
  <c r="H13" i="46"/>
  <c r="I13" i="46"/>
  <c r="H14" i="46"/>
  <c r="I14" i="46"/>
  <c r="H15" i="46"/>
  <c r="I15" i="46"/>
  <c r="H16" i="46"/>
  <c r="I16" i="46"/>
  <c r="H17" i="46"/>
  <c r="I17" i="46"/>
  <c r="H18" i="46"/>
  <c r="I18" i="46"/>
  <c r="H19" i="46"/>
  <c r="I19" i="46"/>
  <c r="H20" i="46"/>
  <c r="I20" i="46"/>
  <c r="H21" i="46"/>
  <c r="I21" i="46"/>
  <c r="H22" i="46"/>
  <c r="I22" i="46"/>
  <c r="H23" i="46"/>
  <c r="I23" i="46"/>
  <c r="H24" i="46"/>
  <c r="I24" i="46"/>
  <c r="H25" i="46"/>
  <c r="I25" i="46"/>
  <c r="H26" i="46"/>
  <c r="I26" i="46"/>
  <c r="H27" i="46"/>
  <c r="I27" i="46"/>
  <c r="H28" i="46"/>
  <c r="I28" i="46"/>
  <c r="H29" i="46"/>
  <c r="I29" i="46"/>
  <c r="H30" i="46"/>
  <c r="I30" i="46"/>
  <c r="H31" i="46"/>
  <c r="I31" i="46"/>
  <c r="H32" i="46"/>
  <c r="I32" i="46"/>
  <c r="H33" i="46"/>
  <c r="I33" i="46"/>
  <c r="H34" i="46"/>
  <c r="I34" i="46"/>
  <c r="H35" i="46"/>
  <c r="I35" i="46"/>
  <c r="H36" i="46"/>
  <c r="I36" i="46"/>
  <c r="H37" i="46"/>
  <c r="I37" i="46"/>
  <c r="H38" i="46"/>
  <c r="I38" i="46"/>
  <c r="H39" i="46"/>
  <c r="I39" i="46"/>
  <c r="H40" i="46"/>
  <c r="I40" i="46"/>
  <c r="H41" i="46"/>
  <c r="I41" i="46"/>
  <c r="H42" i="46"/>
  <c r="I42" i="46"/>
  <c r="H43" i="46"/>
  <c r="I43" i="46"/>
  <c r="H44" i="46"/>
  <c r="I44" i="46"/>
  <c r="H45" i="46"/>
  <c r="I45" i="46"/>
  <c r="H46" i="46"/>
  <c r="I46" i="46"/>
  <c r="H47" i="46"/>
  <c r="I47" i="46"/>
  <c r="H48" i="46"/>
  <c r="I4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I8" i="46"/>
  <c r="H8" i="46"/>
  <c r="C8" i="46"/>
  <c r="J92" i="69"/>
  <c r="J83" i="46" s="1"/>
  <c r="J91" i="69"/>
  <c r="J82" i="46" s="1"/>
  <c r="J90" i="69"/>
  <c r="J81" i="46" s="1"/>
  <c r="J78" i="69"/>
  <c r="J68" i="46" s="1"/>
  <c r="J77" i="69"/>
  <c r="J67" i="46" s="1"/>
  <c r="J76" i="69"/>
  <c r="J66" i="46" s="1"/>
  <c r="J64" i="69"/>
  <c r="J59" i="46" s="1"/>
  <c r="J63" i="69"/>
  <c r="J58" i="46" s="1"/>
  <c r="J62" i="69"/>
  <c r="J57" i="46" s="1"/>
  <c r="J61" i="69"/>
  <c r="J56" i="46" s="1"/>
  <c r="J60" i="69"/>
  <c r="J55" i="46" s="1"/>
  <c r="J48" i="69"/>
  <c r="J48" i="46" s="1"/>
  <c r="J47" i="69"/>
  <c r="J47" i="46" s="1"/>
  <c r="J46" i="69"/>
  <c r="J46" i="46" s="1"/>
  <c r="J45" i="69"/>
  <c r="J45" i="46" s="1"/>
  <c r="J44" i="69"/>
  <c r="J44" i="46" s="1"/>
  <c r="J43" i="69"/>
  <c r="J43" i="46" s="1"/>
  <c r="J42" i="69"/>
  <c r="J42" i="46" s="1"/>
  <c r="J41" i="69"/>
  <c r="J41" i="46" s="1"/>
  <c r="J40" i="69"/>
  <c r="J40" i="46" s="1"/>
  <c r="J39" i="69"/>
  <c r="J39" i="46" s="1"/>
  <c r="J38" i="69"/>
  <c r="J38" i="46" s="1"/>
  <c r="J37" i="69"/>
  <c r="J37" i="46" s="1"/>
  <c r="J36" i="69"/>
  <c r="J36" i="46" s="1"/>
  <c r="J35" i="69"/>
  <c r="J35" i="46" s="1"/>
  <c r="J34" i="69"/>
  <c r="J34" i="46" s="1"/>
  <c r="J33" i="69"/>
  <c r="J33" i="46" s="1"/>
  <c r="J32" i="69"/>
  <c r="J32" i="46" s="1"/>
  <c r="J31" i="69"/>
  <c r="J31" i="46" s="1"/>
  <c r="J30" i="69"/>
  <c r="J30" i="46" s="1"/>
  <c r="J29" i="69"/>
  <c r="J29" i="46" s="1"/>
  <c r="J28" i="69"/>
  <c r="J28" i="46" s="1"/>
  <c r="J27" i="69"/>
  <c r="J27" i="46" s="1"/>
  <c r="J26" i="69"/>
  <c r="J26" i="46" s="1"/>
  <c r="J25" i="69"/>
  <c r="J25" i="46" s="1"/>
  <c r="J24" i="69"/>
  <c r="J24" i="46" s="1"/>
  <c r="J23" i="69"/>
  <c r="J23" i="46" s="1"/>
  <c r="J22" i="69"/>
  <c r="J22" i="46" s="1"/>
  <c r="J21" i="69"/>
  <c r="J21" i="46" s="1"/>
  <c r="J20" i="69"/>
  <c r="J20" i="46" s="1"/>
  <c r="J19" i="69"/>
  <c r="J19" i="46" s="1"/>
  <c r="J18" i="69"/>
  <c r="J18" i="46" s="1"/>
  <c r="J17" i="69"/>
  <c r="J17" i="46" s="1"/>
  <c r="J16" i="69"/>
  <c r="J16" i="46" s="1"/>
  <c r="J15" i="69"/>
  <c r="J15" i="46" s="1"/>
  <c r="J14" i="69"/>
  <c r="J14" i="46" s="1"/>
  <c r="J13" i="69"/>
  <c r="J13" i="46" s="1"/>
  <c r="J12" i="69"/>
  <c r="J12" i="46" s="1"/>
  <c r="J11" i="69"/>
  <c r="J11" i="46" s="1"/>
  <c r="J10" i="69"/>
  <c r="J10" i="46" s="1"/>
  <c r="J9" i="69"/>
  <c r="J9" i="46" s="1"/>
  <c r="J8" i="69"/>
  <c r="J8" i="46" s="1"/>
  <c r="I142" i="44"/>
  <c r="I143" i="44"/>
  <c r="C142" i="44"/>
  <c r="C143" i="44"/>
  <c r="I141" i="44"/>
  <c r="C141" i="44"/>
  <c r="I127" i="44"/>
  <c r="I128" i="44"/>
  <c r="C127" i="44"/>
  <c r="C128" i="44"/>
  <c r="I126" i="44"/>
  <c r="C126" i="44"/>
  <c r="H116" i="44"/>
  <c r="I116" i="44"/>
  <c r="H117" i="44"/>
  <c r="I117" i="44"/>
  <c r="H118" i="44"/>
  <c r="I118" i="44"/>
  <c r="H119" i="44"/>
  <c r="I119" i="44"/>
  <c r="C116" i="44"/>
  <c r="C117" i="44"/>
  <c r="C118" i="44"/>
  <c r="C119" i="44"/>
  <c r="I115" i="44"/>
  <c r="H115" i="44"/>
  <c r="C115" i="44"/>
  <c r="H9" i="44"/>
  <c r="I9" i="44"/>
  <c r="H10" i="44"/>
  <c r="I10" i="44"/>
  <c r="H11" i="44"/>
  <c r="I11" i="44"/>
  <c r="H12" i="44"/>
  <c r="I12" i="44"/>
  <c r="H13" i="44"/>
  <c r="I13" i="44"/>
  <c r="H14" i="44"/>
  <c r="I14" i="44"/>
  <c r="H15" i="44"/>
  <c r="I15" i="44"/>
  <c r="H16" i="44"/>
  <c r="I16" i="44"/>
  <c r="H17" i="44"/>
  <c r="I17" i="44"/>
  <c r="H18" i="44"/>
  <c r="I18" i="44"/>
  <c r="H19" i="44"/>
  <c r="I19" i="44"/>
  <c r="H20" i="44"/>
  <c r="I20" i="44"/>
  <c r="H21" i="44"/>
  <c r="I21" i="44"/>
  <c r="H22" i="44"/>
  <c r="I22" i="44"/>
  <c r="H23" i="44"/>
  <c r="I23" i="44"/>
  <c r="H24" i="44"/>
  <c r="I24" i="44"/>
  <c r="H25" i="44"/>
  <c r="I25" i="44"/>
  <c r="H26" i="44"/>
  <c r="I26" i="44"/>
  <c r="H27" i="44"/>
  <c r="I27" i="44"/>
  <c r="H28" i="44"/>
  <c r="I28" i="44"/>
  <c r="H29" i="44"/>
  <c r="I29" i="44"/>
  <c r="H30" i="44"/>
  <c r="I30" i="44"/>
  <c r="H31" i="44"/>
  <c r="I31" i="44"/>
  <c r="H32" i="44"/>
  <c r="I32" i="44"/>
  <c r="H33" i="44"/>
  <c r="I33" i="44"/>
  <c r="H34" i="44"/>
  <c r="I34" i="44"/>
  <c r="H35" i="44"/>
  <c r="I35" i="44"/>
  <c r="H36" i="44"/>
  <c r="I36" i="44"/>
  <c r="H37" i="44"/>
  <c r="I37" i="44"/>
  <c r="H38" i="44"/>
  <c r="I38" i="44"/>
  <c r="H39" i="44"/>
  <c r="I39" i="44"/>
  <c r="H40" i="44"/>
  <c r="I40" i="44"/>
  <c r="H41" i="44"/>
  <c r="I41" i="44"/>
  <c r="H42" i="44"/>
  <c r="I42" i="44"/>
  <c r="H43" i="44"/>
  <c r="I43" i="44"/>
  <c r="H44" i="44"/>
  <c r="I44" i="44"/>
  <c r="H45" i="44"/>
  <c r="I45" i="44"/>
  <c r="H46" i="44"/>
  <c r="I46" i="44"/>
  <c r="H47" i="44"/>
  <c r="I47" i="44"/>
  <c r="H48" i="44"/>
  <c r="I48" i="44"/>
  <c r="H49" i="44"/>
  <c r="I49" i="44"/>
  <c r="H50" i="44"/>
  <c r="I50" i="44"/>
  <c r="H51" i="44"/>
  <c r="I51" i="44"/>
  <c r="H52" i="44"/>
  <c r="I52" i="44"/>
  <c r="H53" i="44"/>
  <c r="I53" i="44"/>
  <c r="H54" i="44"/>
  <c r="I54" i="44"/>
  <c r="H55" i="44"/>
  <c r="I55" i="44"/>
  <c r="H56" i="44"/>
  <c r="I56" i="44"/>
  <c r="H57" i="44"/>
  <c r="I57" i="44"/>
  <c r="H58" i="44"/>
  <c r="I58" i="44"/>
  <c r="H59" i="44"/>
  <c r="I59" i="44"/>
  <c r="H60" i="44"/>
  <c r="I60" i="44"/>
  <c r="H61" i="44"/>
  <c r="I61" i="44"/>
  <c r="H62" i="44"/>
  <c r="I62" i="44"/>
  <c r="H63" i="44"/>
  <c r="I63" i="44"/>
  <c r="H64" i="44"/>
  <c r="I64" i="44"/>
  <c r="H65" i="44"/>
  <c r="I65" i="44"/>
  <c r="H66" i="44"/>
  <c r="I66" i="44"/>
  <c r="H67" i="44"/>
  <c r="I67" i="44"/>
  <c r="H68" i="44"/>
  <c r="I68" i="44"/>
  <c r="H69" i="44"/>
  <c r="I69" i="44"/>
  <c r="H70" i="44"/>
  <c r="I70" i="44"/>
  <c r="H71" i="44"/>
  <c r="I71" i="44"/>
  <c r="H72" i="44"/>
  <c r="I72" i="44"/>
  <c r="H73" i="44"/>
  <c r="I73" i="44"/>
  <c r="H74" i="44"/>
  <c r="I74" i="44"/>
  <c r="H75" i="44"/>
  <c r="I75" i="44"/>
  <c r="H76" i="44"/>
  <c r="I76" i="44"/>
  <c r="H77" i="44"/>
  <c r="I77" i="44"/>
  <c r="H78" i="44"/>
  <c r="I78" i="44"/>
  <c r="H79" i="44"/>
  <c r="I79" i="44"/>
  <c r="H80" i="44"/>
  <c r="I80" i="44"/>
  <c r="H81" i="44"/>
  <c r="I81" i="44"/>
  <c r="H82" i="44"/>
  <c r="I82" i="44"/>
  <c r="H83" i="44"/>
  <c r="I83" i="44"/>
  <c r="H84" i="44"/>
  <c r="I84" i="44"/>
  <c r="H85" i="44"/>
  <c r="I85" i="44"/>
  <c r="H86" i="44"/>
  <c r="I86" i="44"/>
  <c r="H87" i="44"/>
  <c r="I87" i="44"/>
  <c r="H88" i="44"/>
  <c r="I88" i="44"/>
  <c r="H89" i="44"/>
  <c r="I89" i="44"/>
  <c r="H90" i="44"/>
  <c r="I90" i="44"/>
  <c r="H91" i="44"/>
  <c r="I91" i="44"/>
  <c r="H92" i="44"/>
  <c r="I92" i="44"/>
  <c r="H93" i="44"/>
  <c r="I93" i="44"/>
  <c r="H94" i="44"/>
  <c r="I94" i="44"/>
  <c r="H95" i="44"/>
  <c r="I95" i="44"/>
  <c r="H96" i="44"/>
  <c r="I96" i="44"/>
  <c r="H97" i="44"/>
  <c r="I97" i="44"/>
  <c r="H98" i="44"/>
  <c r="I98" i="44"/>
  <c r="H99" i="44"/>
  <c r="I99" i="44"/>
  <c r="H100" i="44"/>
  <c r="I100" i="44"/>
  <c r="H101" i="44"/>
  <c r="I101" i="44"/>
  <c r="H102" i="44"/>
  <c r="I102" i="44"/>
  <c r="H103" i="44"/>
  <c r="I103" i="44"/>
  <c r="H104" i="44"/>
  <c r="I104" i="44"/>
  <c r="H105" i="44"/>
  <c r="I105" i="44"/>
  <c r="H106" i="44"/>
  <c r="I106" i="44"/>
  <c r="H107" i="44"/>
  <c r="I107" i="44"/>
  <c r="H108" i="44"/>
  <c r="I108" i="44"/>
  <c r="C9" i="44"/>
  <c r="C10" i="44"/>
  <c r="C11" i="44"/>
  <c r="C12" i="44"/>
  <c r="C13" i="44"/>
  <c r="C14" i="44"/>
  <c r="C15" i="44"/>
  <c r="C16" i="44"/>
  <c r="C17" i="44"/>
  <c r="C18" i="44"/>
  <c r="C19" i="44"/>
  <c r="C20" i="44"/>
  <c r="C21" i="44"/>
  <c r="C22" i="44"/>
  <c r="C23" i="44"/>
  <c r="C24" i="44"/>
  <c r="C25" i="44"/>
  <c r="C26" i="44"/>
  <c r="C27" i="44"/>
  <c r="C28" i="44"/>
  <c r="C29" i="44"/>
  <c r="C30" i="44"/>
  <c r="C31" i="44"/>
  <c r="C33" i="44"/>
  <c r="C34" i="44"/>
  <c r="C35" i="44"/>
  <c r="C36" i="44"/>
  <c r="C37" i="44"/>
  <c r="C38" i="44"/>
  <c r="C39" i="44"/>
  <c r="C40" i="44"/>
  <c r="C41" i="44"/>
  <c r="C42" i="44"/>
  <c r="C43" i="44"/>
  <c r="C44" i="44"/>
  <c r="C45" i="44"/>
  <c r="C46" i="44"/>
  <c r="C47" i="44"/>
  <c r="C48" i="44"/>
  <c r="C49" i="44"/>
  <c r="C50" i="44"/>
  <c r="C51" i="44"/>
  <c r="C52" i="44"/>
  <c r="C53" i="44"/>
  <c r="C54" i="44"/>
  <c r="C55" i="44"/>
  <c r="C56" i="44"/>
  <c r="C57" i="44"/>
  <c r="C58" i="44"/>
  <c r="C59" i="44"/>
  <c r="C60" i="44"/>
  <c r="C61" i="44"/>
  <c r="C62" i="44"/>
  <c r="C63" i="44"/>
  <c r="C64" i="44"/>
  <c r="C65" i="44"/>
  <c r="C66" i="44"/>
  <c r="C67" i="44"/>
  <c r="C68" i="44"/>
  <c r="C69" i="44"/>
  <c r="C70" i="44"/>
  <c r="C71" i="44"/>
  <c r="C72" i="44"/>
  <c r="C73" i="44"/>
  <c r="C74" i="44"/>
  <c r="C75" i="44"/>
  <c r="C76" i="44"/>
  <c r="C77" i="44"/>
  <c r="C78" i="44"/>
  <c r="C79" i="44"/>
  <c r="C80" i="44"/>
  <c r="C81" i="44"/>
  <c r="C82" i="44"/>
  <c r="C83" i="44"/>
  <c r="C84" i="44"/>
  <c r="C85" i="44"/>
  <c r="C86" i="44"/>
  <c r="C87" i="44"/>
  <c r="C88" i="44"/>
  <c r="C89" i="44"/>
  <c r="C90" i="44"/>
  <c r="C91" i="44"/>
  <c r="C92" i="44"/>
  <c r="C93" i="44"/>
  <c r="C94" i="44"/>
  <c r="C95" i="44"/>
  <c r="C96" i="44"/>
  <c r="C97" i="44"/>
  <c r="C98" i="44"/>
  <c r="C99" i="44"/>
  <c r="C100" i="44"/>
  <c r="C101" i="44"/>
  <c r="C102" i="44"/>
  <c r="C103" i="44"/>
  <c r="C104" i="44"/>
  <c r="C105" i="44"/>
  <c r="C106" i="44"/>
  <c r="C107" i="44"/>
  <c r="C108" i="44"/>
  <c r="I8" i="44"/>
  <c r="H8" i="44"/>
  <c r="C8" i="44"/>
  <c r="J152" i="68"/>
  <c r="J143" i="44" s="1"/>
  <c r="J151" i="68"/>
  <c r="J142" i="44" s="1"/>
  <c r="J150" i="68"/>
  <c r="J141" i="44" s="1"/>
  <c r="J138" i="68"/>
  <c r="J128" i="44" s="1"/>
  <c r="J137" i="68"/>
  <c r="J127" i="44" s="1"/>
  <c r="J136" i="68"/>
  <c r="J126" i="44" s="1"/>
  <c r="J124" i="68"/>
  <c r="J119" i="44" s="1"/>
  <c r="J123" i="68"/>
  <c r="J118" i="44" s="1"/>
  <c r="J122" i="68"/>
  <c r="J117" i="44" s="1"/>
  <c r="J121" i="68"/>
  <c r="J116" i="44" s="1"/>
  <c r="J120" i="68"/>
  <c r="J115" i="44" s="1"/>
  <c r="J108" i="68"/>
  <c r="J108" i="44" s="1"/>
  <c r="J107" i="68"/>
  <c r="J107" i="44" s="1"/>
  <c r="J106" i="68"/>
  <c r="J106" i="44" s="1"/>
  <c r="J105" i="68"/>
  <c r="J105" i="44" s="1"/>
  <c r="J104" i="68"/>
  <c r="J104" i="44" s="1"/>
  <c r="J103" i="68"/>
  <c r="J103" i="44" s="1"/>
  <c r="J102" i="68"/>
  <c r="J102" i="44" s="1"/>
  <c r="J101" i="68"/>
  <c r="J101" i="44" s="1"/>
  <c r="J100" i="68"/>
  <c r="J100" i="44" s="1"/>
  <c r="J99" i="68"/>
  <c r="J99" i="44" s="1"/>
  <c r="J98" i="68"/>
  <c r="J98" i="44" s="1"/>
  <c r="J97" i="68"/>
  <c r="J97" i="44" s="1"/>
  <c r="J96" i="68"/>
  <c r="J96" i="44" s="1"/>
  <c r="J95" i="68"/>
  <c r="J95" i="44" s="1"/>
  <c r="J94" i="68"/>
  <c r="J94" i="44" s="1"/>
  <c r="J93" i="68"/>
  <c r="J93" i="44" s="1"/>
  <c r="J92" i="68"/>
  <c r="J92" i="44" s="1"/>
  <c r="J91" i="68"/>
  <c r="J91" i="44" s="1"/>
  <c r="J90" i="68"/>
  <c r="J90" i="44" s="1"/>
  <c r="J89" i="68"/>
  <c r="J89" i="44" s="1"/>
  <c r="J88" i="68"/>
  <c r="J88" i="44" s="1"/>
  <c r="J87" i="68"/>
  <c r="J87" i="44" s="1"/>
  <c r="J86" i="68"/>
  <c r="J86" i="44" s="1"/>
  <c r="J85" i="68"/>
  <c r="J85" i="44" s="1"/>
  <c r="J84" i="68"/>
  <c r="J84" i="44" s="1"/>
  <c r="J83" i="68"/>
  <c r="J83" i="44" s="1"/>
  <c r="J82" i="68"/>
  <c r="J82" i="44" s="1"/>
  <c r="J81" i="68"/>
  <c r="J81" i="44" s="1"/>
  <c r="J80" i="68"/>
  <c r="J80" i="44" s="1"/>
  <c r="J79" i="68"/>
  <c r="J79" i="44" s="1"/>
  <c r="J78" i="68"/>
  <c r="J78" i="44" s="1"/>
  <c r="J77" i="68"/>
  <c r="J77" i="44" s="1"/>
  <c r="J76" i="68"/>
  <c r="J76" i="44" s="1"/>
  <c r="J75" i="68"/>
  <c r="J75" i="44" s="1"/>
  <c r="J74" i="68"/>
  <c r="J74" i="44" s="1"/>
  <c r="J73" i="68"/>
  <c r="J73" i="44" s="1"/>
  <c r="J72" i="68"/>
  <c r="J72" i="44" s="1"/>
  <c r="J71" i="68"/>
  <c r="J71" i="44" s="1"/>
  <c r="J70" i="68"/>
  <c r="J70" i="44" s="1"/>
  <c r="J69" i="68"/>
  <c r="J69" i="44" s="1"/>
  <c r="J68" i="68"/>
  <c r="J68" i="44" s="1"/>
  <c r="J67" i="68"/>
  <c r="J67" i="44" s="1"/>
  <c r="J66" i="68"/>
  <c r="J66" i="44" s="1"/>
  <c r="J65" i="68"/>
  <c r="J65" i="44" s="1"/>
  <c r="J64" i="68"/>
  <c r="J64" i="44" s="1"/>
  <c r="J63" i="68"/>
  <c r="J63" i="44" s="1"/>
  <c r="J62" i="68"/>
  <c r="J62" i="44" s="1"/>
  <c r="J61" i="68"/>
  <c r="J61" i="44" s="1"/>
  <c r="J60" i="68"/>
  <c r="J60" i="44" s="1"/>
  <c r="J59" i="68"/>
  <c r="J59" i="44" s="1"/>
  <c r="J58" i="68"/>
  <c r="J58" i="44" s="1"/>
  <c r="J57" i="68"/>
  <c r="J57" i="44" s="1"/>
  <c r="J56" i="68"/>
  <c r="J56" i="44" s="1"/>
  <c r="J55" i="68"/>
  <c r="J55" i="44" s="1"/>
  <c r="J54" i="68"/>
  <c r="J54" i="44" s="1"/>
  <c r="J53" i="68"/>
  <c r="J53" i="44" s="1"/>
  <c r="J52" i="68"/>
  <c r="J52" i="44" s="1"/>
  <c r="J51" i="68"/>
  <c r="J51" i="44" s="1"/>
  <c r="J50" i="68"/>
  <c r="J50" i="44" s="1"/>
  <c r="J49" i="68"/>
  <c r="J49" i="44" s="1"/>
  <c r="J48" i="68"/>
  <c r="J48" i="44" s="1"/>
  <c r="J47" i="68"/>
  <c r="J47" i="44" s="1"/>
  <c r="J46" i="68"/>
  <c r="J46" i="44" s="1"/>
  <c r="J45" i="68"/>
  <c r="J45" i="44" s="1"/>
  <c r="J44" i="68"/>
  <c r="J44" i="44" s="1"/>
  <c r="J43" i="68"/>
  <c r="J43" i="44" s="1"/>
  <c r="J42" i="68"/>
  <c r="J42" i="44" s="1"/>
  <c r="J41" i="68"/>
  <c r="J41" i="44" s="1"/>
  <c r="J40" i="68"/>
  <c r="J40" i="44" s="1"/>
  <c r="J39" i="68"/>
  <c r="J39" i="44" s="1"/>
  <c r="J38" i="68"/>
  <c r="J38" i="44" s="1"/>
  <c r="J37" i="68"/>
  <c r="J37" i="44" s="1"/>
  <c r="J36" i="68"/>
  <c r="J36" i="44" s="1"/>
  <c r="J35" i="68"/>
  <c r="J35" i="44" s="1"/>
  <c r="J34" i="68"/>
  <c r="J34" i="44" s="1"/>
  <c r="J33" i="68"/>
  <c r="J33" i="44" s="1"/>
  <c r="J32" i="68"/>
  <c r="J32" i="44" s="1"/>
  <c r="J31" i="68"/>
  <c r="J31" i="44" s="1"/>
  <c r="J30" i="68"/>
  <c r="J30" i="44" s="1"/>
  <c r="J29" i="68"/>
  <c r="J29" i="44" s="1"/>
  <c r="J28" i="68"/>
  <c r="J28" i="44" s="1"/>
  <c r="J27" i="68"/>
  <c r="J27" i="44" s="1"/>
  <c r="J26" i="68"/>
  <c r="J26" i="44" s="1"/>
  <c r="J25" i="68"/>
  <c r="J25" i="44" s="1"/>
  <c r="J24" i="68"/>
  <c r="J24" i="44" s="1"/>
  <c r="J23" i="68"/>
  <c r="J23" i="44" s="1"/>
  <c r="J22" i="68"/>
  <c r="J22" i="44" s="1"/>
  <c r="J21" i="68"/>
  <c r="J21" i="44" s="1"/>
  <c r="J20" i="68"/>
  <c r="J20" i="44" s="1"/>
  <c r="J19" i="68"/>
  <c r="J19" i="44" s="1"/>
  <c r="J18" i="68"/>
  <c r="J18" i="44" s="1"/>
  <c r="J17" i="68"/>
  <c r="J17" i="44" s="1"/>
  <c r="J16" i="68"/>
  <c r="J16" i="44" s="1"/>
  <c r="J15" i="68"/>
  <c r="J15" i="44" s="1"/>
  <c r="J14" i="68"/>
  <c r="J14" i="44" s="1"/>
  <c r="J13" i="68"/>
  <c r="J13" i="44" s="1"/>
  <c r="J12" i="68"/>
  <c r="J12" i="44" s="1"/>
  <c r="J11" i="68"/>
  <c r="J11" i="44" s="1"/>
  <c r="J10" i="68"/>
  <c r="J10" i="44" s="1"/>
  <c r="J9" i="68"/>
  <c r="J9" i="44" s="1"/>
  <c r="J8" i="68"/>
  <c r="J8" i="44" s="1"/>
  <c r="C82" i="42"/>
  <c r="C83" i="42"/>
  <c r="I82" i="42"/>
  <c r="I83" i="42"/>
  <c r="I81" i="42"/>
  <c r="C81" i="42"/>
  <c r="I67" i="42"/>
  <c r="I68" i="42"/>
  <c r="C67" i="42"/>
  <c r="C68" i="42"/>
  <c r="I66" i="42"/>
  <c r="C66" i="42"/>
  <c r="C55" i="42"/>
  <c r="H56" i="42"/>
  <c r="I56" i="42"/>
  <c r="H57" i="42"/>
  <c r="I57" i="42"/>
  <c r="H58" i="42"/>
  <c r="I58" i="42"/>
  <c r="H59" i="42"/>
  <c r="I59" i="42"/>
  <c r="C56" i="42"/>
  <c r="C57" i="42"/>
  <c r="C58" i="42"/>
  <c r="C59" i="42"/>
  <c r="I55" i="42"/>
  <c r="H55" i="42"/>
  <c r="C48" i="42"/>
  <c r="H9" i="42"/>
  <c r="I9" i="42"/>
  <c r="H10" i="42"/>
  <c r="I10" i="42"/>
  <c r="H11" i="42"/>
  <c r="I11" i="42"/>
  <c r="H12" i="42"/>
  <c r="I12" i="42"/>
  <c r="H13" i="42"/>
  <c r="I13" i="42"/>
  <c r="H14" i="42"/>
  <c r="I14" i="42"/>
  <c r="H15" i="42"/>
  <c r="I15" i="42"/>
  <c r="H16" i="42"/>
  <c r="I16" i="42"/>
  <c r="H17" i="42"/>
  <c r="I17" i="42"/>
  <c r="H18" i="42"/>
  <c r="I18" i="42"/>
  <c r="H19" i="42"/>
  <c r="I19" i="42"/>
  <c r="H20" i="42"/>
  <c r="I20" i="42"/>
  <c r="H21" i="42"/>
  <c r="I21" i="42"/>
  <c r="H22" i="42"/>
  <c r="I22" i="42"/>
  <c r="H23" i="42"/>
  <c r="I23" i="42"/>
  <c r="H24" i="42"/>
  <c r="I24" i="42"/>
  <c r="H25" i="42"/>
  <c r="I25" i="42"/>
  <c r="H26" i="42"/>
  <c r="I26" i="42"/>
  <c r="H27" i="42"/>
  <c r="I27" i="42"/>
  <c r="H28" i="42"/>
  <c r="I28" i="42"/>
  <c r="H29" i="42"/>
  <c r="I29" i="42"/>
  <c r="H30" i="42"/>
  <c r="I30" i="42"/>
  <c r="H31" i="42"/>
  <c r="I31" i="42"/>
  <c r="H32" i="42"/>
  <c r="I32" i="42"/>
  <c r="H33" i="42"/>
  <c r="I33" i="42"/>
  <c r="H34" i="42"/>
  <c r="I34" i="42"/>
  <c r="H35" i="42"/>
  <c r="I35" i="42"/>
  <c r="H36" i="42"/>
  <c r="I36" i="42"/>
  <c r="H37" i="42"/>
  <c r="I37" i="42"/>
  <c r="H38" i="42"/>
  <c r="I38" i="42"/>
  <c r="H39" i="42"/>
  <c r="I39" i="42"/>
  <c r="H40" i="42"/>
  <c r="I40" i="42"/>
  <c r="H41" i="42"/>
  <c r="I41" i="42"/>
  <c r="H42" i="42"/>
  <c r="I42" i="42"/>
  <c r="H43" i="42"/>
  <c r="I43" i="42"/>
  <c r="H44" i="42"/>
  <c r="I44" i="42"/>
  <c r="H45" i="42"/>
  <c r="I45" i="42"/>
  <c r="H46" i="42"/>
  <c r="I46" i="42"/>
  <c r="H47" i="42"/>
  <c r="I47" i="42"/>
  <c r="H48" i="42"/>
  <c r="I48" i="42"/>
  <c r="C9" i="42"/>
  <c r="C10" i="42"/>
  <c r="C11" i="42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27" i="42"/>
  <c r="C28" i="42"/>
  <c r="C29" i="42"/>
  <c r="C30" i="42"/>
  <c r="C31" i="42"/>
  <c r="C32" i="42"/>
  <c r="C33" i="42"/>
  <c r="C34" i="42"/>
  <c r="C35" i="42"/>
  <c r="C36" i="42"/>
  <c r="C37" i="42"/>
  <c r="C38" i="42"/>
  <c r="C39" i="42"/>
  <c r="C40" i="42"/>
  <c r="C41" i="42"/>
  <c r="C42" i="42"/>
  <c r="C43" i="42"/>
  <c r="C44" i="42"/>
  <c r="C45" i="42"/>
  <c r="C46" i="42"/>
  <c r="C47" i="42"/>
  <c r="I8" i="42"/>
  <c r="H8" i="42"/>
  <c r="C8" i="42"/>
  <c r="C8" i="40"/>
  <c r="J92" i="67"/>
  <c r="J83" i="42" s="1"/>
  <c r="J91" i="67"/>
  <c r="J82" i="42" s="1"/>
  <c r="J90" i="67"/>
  <c r="J81" i="42" s="1"/>
  <c r="J78" i="67"/>
  <c r="J68" i="42" s="1"/>
  <c r="J77" i="67"/>
  <c r="J67" i="42" s="1"/>
  <c r="J76" i="67"/>
  <c r="J66" i="42" s="1"/>
  <c r="J64" i="67"/>
  <c r="J59" i="42" s="1"/>
  <c r="J63" i="67"/>
  <c r="J58" i="42" s="1"/>
  <c r="J62" i="67"/>
  <c r="J57" i="42" s="1"/>
  <c r="J61" i="67"/>
  <c r="J56" i="42" s="1"/>
  <c r="J60" i="67"/>
  <c r="J55" i="42" s="1"/>
  <c r="J48" i="67"/>
  <c r="J48" i="42" s="1"/>
  <c r="J47" i="67"/>
  <c r="J47" i="42" s="1"/>
  <c r="J46" i="67"/>
  <c r="J46" i="42" s="1"/>
  <c r="J45" i="67"/>
  <c r="J45" i="42" s="1"/>
  <c r="J44" i="67"/>
  <c r="J44" i="42" s="1"/>
  <c r="J43" i="67"/>
  <c r="J43" i="42" s="1"/>
  <c r="J42" i="67"/>
  <c r="J42" i="42" s="1"/>
  <c r="J41" i="67"/>
  <c r="J41" i="42" s="1"/>
  <c r="J40" i="67"/>
  <c r="J40" i="42" s="1"/>
  <c r="J39" i="67"/>
  <c r="J39" i="42" s="1"/>
  <c r="J38" i="67"/>
  <c r="J38" i="42" s="1"/>
  <c r="J37" i="67"/>
  <c r="J37" i="42" s="1"/>
  <c r="J36" i="67"/>
  <c r="J36" i="42" s="1"/>
  <c r="J35" i="67"/>
  <c r="J35" i="42" s="1"/>
  <c r="J34" i="67"/>
  <c r="J34" i="42" s="1"/>
  <c r="J33" i="67"/>
  <c r="J33" i="42" s="1"/>
  <c r="J32" i="67"/>
  <c r="J32" i="42" s="1"/>
  <c r="J31" i="67"/>
  <c r="J31" i="42" s="1"/>
  <c r="J30" i="67"/>
  <c r="J30" i="42" s="1"/>
  <c r="J29" i="67"/>
  <c r="J29" i="42" s="1"/>
  <c r="J28" i="67"/>
  <c r="J28" i="42" s="1"/>
  <c r="J27" i="67"/>
  <c r="J27" i="42" s="1"/>
  <c r="J26" i="67"/>
  <c r="J26" i="42" s="1"/>
  <c r="J25" i="67"/>
  <c r="J25" i="42" s="1"/>
  <c r="J24" i="67"/>
  <c r="J24" i="42" s="1"/>
  <c r="J23" i="67"/>
  <c r="J23" i="42" s="1"/>
  <c r="J22" i="67"/>
  <c r="J22" i="42" s="1"/>
  <c r="J21" i="67"/>
  <c r="J21" i="42" s="1"/>
  <c r="J20" i="67"/>
  <c r="J20" i="42" s="1"/>
  <c r="J19" i="67"/>
  <c r="J19" i="42" s="1"/>
  <c r="J18" i="67"/>
  <c r="J18" i="42" s="1"/>
  <c r="J17" i="42"/>
  <c r="J16" i="67"/>
  <c r="J16" i="42" s="1"/>
  <c r="J15" i="67"/>
  <c r="J15" i="42" s="1"/>
  <c r="J14" i="67"/>
  <c r="J14" i="42" s="1"/>
  <c r="J13" i="67"/>
  <c r="J13" i="42" s="1"/>
  <c r="J12" i="67"/>
  <c r="J12" i="42" s="1"/>
  <c r="J11" i="67"/>
  <c r="J11" i="42" s="1"/>
  <c r="J10" i="67"/>
  <c r="J10" i="42" s="1"/>
  <c r="J9" i="67"/>
  <c r="J9" i="42" s="1"/>
  <c r="J8" i="67"/>
  <c r="J8" i="42" s="1"/>
  <c r="I142" i="40"/>
  <c r="I143" i="40"/>
  <c r="I141" i="40"/>
  <c r="C142" i="40"/>
  <c r="C143" i="40"/>
  <c r="C141" i="40"/>
  <c r="I127" i="40"/>
  <c r="I128" i="40"/>
  <c r="C127" i="40"/>
  <c r="C128" i="40"/>
  <c r="I126" i="40"/>
  <c r="C126" i="40"/>
  <c r="H116" i="40"/>
  <c r="I116" i="40"/>
  <c r="H117" i="40"/>
  <c r="I117" i="40"/>
  <c r="H118" i="40"/>
  <c r="I118" i="40"/>
  <c r="H119" i="40"/>
  <c r="I119" i="40"/>
  <c r="C116" i="40"/>
  <c r="C117" i="40"/>
  <c r="C118" i="40"/>
  <c r="C119" i="40"/>
  <c r="I115" i="40"/>
  <c r="H115" i="40"/>
  <c r="C115" i="40"/>
  <c r="H108" i="40"/>
  <c r="I108" i="40"/>
  <c r="H9" i="40"/>
  <c r="I9" i="40"/>
  <c r="H10" i="40"/>
  <c r="I10" i="40"/>
  <c r="H11" i="40"/>
  <c r="I11" i="40"/>
  <c r="H12" i="40"/>
  <c r="I12" i="40"/>
  <c r="I13" i="40"/>
  <c r="I14" i="40"/>
  <c r="H15" i="40"/>
  <c r="I15" i="40"/>
  <c r="I16" i="40"/>
  <c r="H17" i="40"/>
  <c r="I17" i="40"/>
  <c r="I18" i="40"/>
  <c r="I19" i="40"/>
  <c r="H20" i="40"/>
  <c r="I20" i="40"/>
  <c r="H21" i="40"/>
  <c r="I21" i="40"/>
  <c r="H22" i="40"/>
  <c r="I22" i="40"/>
  <c r="H23" i="40"/>
  <c r="I23" i="40"/>
  <c r="H24" i="40"/>
  <c r="I24" i="40"/>
  <c r="H25" i="40"/>
  <c r="I25" i="40"/>
  <c r="H26" i="40"/>
  <c r="I26" i="40"/>
  <c r="H27" i="40"/>
  <c r="I27" i="40"/>
  <c r="H28" i="40"/>
  <c r="I28" i="40"/>
  <c r="H29" i="40"/>
  <c r="I29" i="40"/>
  <c r="H30" i="40"/>
  <c r="I30" i="40"/>
  <c r="H31" i="40"/>
  <c r="I31" i="40"/>
  <c r="H32" i="40"/>
  <c r="I32" i="40"/>
  <c r="H33" i="40"/>
  <c r="I33" i="40"/>
  <c r="H34" i="40"/>
  <c r="I34" i="40"/>
  <c r="H35" i="40"/>
  <c r="I35" i="40"/>
  <c r="H36" i="40"/>
  <c r="I36" i="40"/>
  <c r="H37" i="40"/>
  <c r="I37" i="40"/>
  <c r="H38" i="40"/>
  <c r="I38" i="40"/>
  <c r="H39" i="40"/>
  <c r="I39" i="40"/>
  <c r="H40" i="40"/>
  <c r="I40" i="40"/>
  <c r="H41" i="40"/>
  <c r="I41" i="40"/>
  <c r="H42" i="40"/>
  <c r="I42" i="40"/>
  <c r="H43" i="40"/>
  <c r="I43" i="40"/>
  <c r="H44" i="40"/>
  <c r="I44" i="40"/>
  <c r="H45" i="40"/>
  <c r="I45" i="40"/>
  <c r="H46" i="40"/>
  <c r="I46" i="40"/>
  <c r="H47" i="40"/>
  <c r="I47" i="40"/>
  <c r="H48" i="40"/>
  <c r="I48" i="40"/>
  <c r="H49" i="40"/>
  <c r="I49" i="40"/>
  <c r="H50" i="40"/>
  <c r="I50" i="40"/>
  <c r="H51" i="40"/>
  <c r="I51" i="40"/>
  <c r="H52" i="40"/>
  <c r="I52" i="40"/>
  <c r="H53" i="40"/>
  <c r="I53" i="40"/>
  <c r="H54" i="40"/>
  <c r="I54" i="40"/>
  <c r="H55" i="40"/>
  <c r="I55" i="40"/>
  <c r="H56" i="40"/>
  <c r="I56" i="40"/>
  <c r="H57" i="40"/>
  <c r="I57" i="40"/>
  <c r="H58" i="40"/>
  <c r="I58" i="40"/>
  <c r="H59" i="40"/>
  <c r="I59" i="40"/>
  <c r="H60" i="40"/>
  <c r="I60" i="40"/>
  <c r="H61" i="40"/>
  <c r="I61" i="40"/>
  <c r="H62" i="40"/>
  <c r="I62" i="40"/>
  <c r="H63" i="40"/>
  <c r="I63" i="40"/>
  <c r="H64" i="40"/>
  <c r="I64" i="40"/>
  <c r="H65" i="40"/>
  <c r="I65" i="40"/>
  <c r="H66" i="40"/>
  <c r="I66" i="40"/>
  <c r="H67" i="40"/>
  <c r="I67" i="40"/>
  <c r="H68" i="40"/>
  <c r="I68" i="40"/>
  <c r="H69" i="40"/>
  <c r="I69" i="40"/>
  <c r="H70" i="40"/>
  <c r="I70" i="40"/>
  <c r="H71" i="40"/>
  <c r="I71" i="40"/>
  <c r="H72" i="40"/>
  <c r="I72" i="40"/>
  <c r="H73" i="40"/>
  <c r="I73" i="40"/>
  <c r="H74" i="40"/>
  <c r="I74" i="40"/>
  <c r="H75" i="40"/>
  <c r="I75" i="40"/>
  <c r="H76" i="40"/>
  <c r="I76" i="40"/>
  <c r="H77" i="40"/>
  <c r="I77" i="40"/>
  <c r="H78" i="40"/>
  <c r="I78" i="40"/>
  <c r="H79" i="40"/>
  <c r="I79" i="40"/>
  <c r="H80" i="40"/>
  <c r="I80" i="40"/>
  <c r="H81" i="40"/>
  <c r="I81" i="40"/>
  <c r="H82" i="40"/>
  <c r="I82" i="40"/>
  <c r="H83" i="40"/>
  <c r="I83" i="40"/>
  <c r="H84" i="40"/>
  <c r="I84" i="40"/>
  <c r="H85" i="40"/>
  <c r="I85" i="40"/>
  <c r="H86" i="40"/>
  <c r="I86" i="40"/>
  <c r="H87" i="40"/>
  <c r="I87" i="40"/>
  <c r="H88" i="40"/>
  <c r="I88" i="40"/>
  <c r="H89" i="40"/>
  <c r="I89" i="40"/>
  <c r="H90" i="40"/>
  <c r="I90" i="40"/>
  <c r="H91" i="40"/>
  <c r="I91" i="40"/>
  <c r="H92" i="40"/>
  <c r="I92" i="40"/>
  <c r="H93" i="40"/>
  <c r="I93" i="40"/>
  <c r="H94" i="40"/>
  <c r="I94" i="40"/>
  <c r="H95" i="40"/>
  <c r="I95" i="40"/>
  <c r="H96" i="40"/>
  <c r="I96" i="40"/>
  <c r="H97" i="40"/>
  <c r="I97" i="40"/>
  <c r="H98" i="40"/>
  <c r="I98" i="40"/>
  <c r="H99" i="40"/>
  <c r="I99" i="40"/>
  <c r="H100" i="40"/>
  <c r="I100" i="40"/>
  <c r="H101" i="40"/>
  <c r="I101" i="40"/>
  <c r="H102" i="40"/>
  <c r="I102" i="40"/>
  <c r="H103" i="40"/>
  <c r="I103" i="40"/>
  <c r="H104" i="40"/>
  <c r="I104" i="40"/>
  <c r="H105" i="40"/>
  <c r="I105" i="40"/>
  <c r="H106" i="40"/>
  <c r="I106" i="40"/>
  <c r="H107" i="40"/>
  <c r="I107" i="40"/>
  <c r="I8" i="40"/>
  <c r="K5" i="65"/>
  <c r="K5" i="66" s="1"/>
  <c r="J5" i="66"/>
  <c r="J6" i="66"/>
  <c r="J7" i="66"/>
  <c r="J8" i="66"/>
  <c r="J9" i="66"/>
  <c r="C5" i="66"/>
  <c r="C6" i="66"/>
  <c r="C7" i="66"/>
  <c r="C8" i="66"/>
  <c r="O10" i="66"/>
  <c r="N10" i="66"/>
  <c r="I9" i="66"/>
  <c r="C9" i="66"/>
  <c r="I8" i="66"/>
  <c r="I7" i="66"/>
  <c r="I6" i="66"/>
  <c r="I5" i="66"/>
  <c r="K9" i="65"/>
  <c r="K9" i="66" s="1"/>
  <c r="K8" i="65"/>
  <c r="K8" i="66" s="1"/>
  <c r="K7" i="65"/>
  <c r="K7" i="66" s="1"/>
  <c r="K6" i="66"/>
  <c r="I19" i="63"/>
  <c r="I20" i="63"/>
  <c r="I21" i="63"/>
  <c r="I22" i="63"/>
  <c r="I23" i="63"/>
  <c r="I24" i="63"/>
  <c r="I25" i="63"/>
  <c r="I26" i="63"/>
  <c r="I27" i="63"/>
  <c r="I18" i="63"/>
  <c r="C19" i="63"/>
  <c r="C20" i="63"/>
  <c r="C21" i="63"/>
  <c r="C22" i="63"/>
  <c r="C23" i="63"/>
  <c r="C24" i="63"/>
  <c r="C25" i="63"/>
  <c r="C26" i="63"/>
  <c r="C27" i="63"/>
  <c r="C18" i="63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" i="37"/>
  <c r="J152" i="64"/>
  <c r="J143" i="40" s="1"/>
  <c r="J151" i="64"/>
  <c r="J142" i="40" s="1"/>
  <c r="J150" i="64"/>
  <c r="J141" i="40" s="1"/>
  <c r="J138" i="64"/>
  <c r="J128" i="40" s="1"/>
  <c r="J137" i="64"/>
  <c r="J127" i="40" s="1"/>
  <c r="J136" i="64"/>
  <c r="J126" i="40" s="1"/>
  <c r="J121" i="64"/>
  <c r="J116" i="40" s="1"/>
  <c r="J122" i="64"/>
  <c r="J117" i="40" s="1"/>
  <c r="J123" i="64"/>
  <c r="J118" i="40" s="1"/>
  <c r="J124" i="64"/>
  <c r="J119" i="40" s="1"/>
  <c r="J120" i="64"/>
  <c r="J115" i="40" s="1"/>
  <c r="J9" i="64"/>
  <c r="J9" i="40" s="1"/>
  <c r="J10" i="64"/>
  <c r="J10" i="40" s="1"/>
  <c r="J11" i="64"/>
  <c r="J11" i="40" s="1"/>
  <c r="J12" i="64"/>
  <c r="J12" i="40" s="1"/>
  <c r="J13" i="64"/>
  <c r="J13" i="40" s="1"/>
  <c r="J14" i="64"/>
  <c r="J14" i="40" s="1"/>
  <c r="J15" i="64"/>
  <c r="J15" i="40" s="1"/>
  <c r="J16" i="64"/>
  <c r="J16" i="40" s="1"/>
  <c r="J17" i="64"/>
  <c r="J17" i="40" s="1"/>
  <c r="J18" i="64"/>
  <c r="J18" i="40" s="1"/>
  <c r="J19" i="64"/>
  <c r="J19" i="40" s="1"/>
  <c r="J20" i="64"/>
  <c r="J20" i="40" s="1"/>
  <c r="J21" i="64"/>
  <c r="J21" i="40" s="1"/>
  <c r="J22" i="64"/>
  <c r="J22" i="40" s="1"/>
  <c r="J23" i="64"/>
  <c r="J23" i="40" s="1"/>
  <c r="J24" i="64"/>
  <c r="J24" i="40" s="1"/>
  <c r="J25" i="64"/>
  <c r="J25" i="40" s="1"/>
  <c r="J26" i="64"/>
  <c r="J26" i="40" s="1"/>
  <c r="J27" i="64"/>
  <c r="J27" i="40" s="1"/>
  <c r="J28" i="64"/>
  <c r="J28" i="40" s="1"/>
  <c r="J29" i="64"/>
  <c r="J29" i="40" s="1"/>
  <c r="J30" i="64"/>
  <c r="J30" i="40" s="1"/>
  <c r="J31" i="64"/>
  <c r="J31" i="40" s="1"/>
  <c r="J32" i="64"/>
  <c r="J32" i="40" s="1"/>
  <c r="J33" i="64"/>
  <c r="J33" i="40" s="1"/>
  <c r="J34" i="64"/>
  <c r="J34" i="40" s="1"/>
  <c r="J35" i="64"/>
  <c r="J35" i="40" s="1"/>
  <c r="J36" i="64"/>
  <c r="J36" i="40" s="1"/>
  <c r="J37" i="64"/>
  <c r="J37" i="40" s="1"/>
  <c r="J38" i="64"/>
  <c r="J38" i="40" s="1"/>
  <c r="J39" i="64"/>
  <c r="J39" i="40" s="1"/>
  <c r="J40" i="64"/>
  <c r="J40" i="40" s="1"/>
  <c r="J41" i="64"/>
  <c r="J41" i="40" s="1"/>
  <c r="J42" i="64"/>
  <c r="J42" i="40" s="1"/>
  <c r="J43" i="64"/>
  <c r="J43" i="40" s="1"/>
  <c r="J44" i="64"/>
  <c r="J44" i="40" s="1"/>
  <c r="J45" i="64"/>
  <c r="J45" i="40" s="1"/>
  <c r="J46" i="64"/>
  <c r="J46" i="40" s="1"/>
  <c r="J47" i="64"/>
  <c r="J47" i="40" s="1"/>
  <c r="J48" i="64"/>
  <c r="J48" i="40" s="1"/>
  <c r="J49" i="64"/>
  <c r="J49" i="40" s="1"/>
  <c r="J50" i="64"/>
  <c r="J50" i="40" s="1"/>
  <c r="J51" i="64"/>
  <c r="J51" i="40" s="1"/>
  <c r="J52" i="64"/>
  <c r="J52" i="40" s="1"/>
  <c r="J53" i="64"/>
  <c r="J53" i="40" s="1"/>
  <c r="J54" i="64"/>
  <c r="J54" i="40" s="1"/>
  <c r="J55" i="64"/>
  <c r="J55" i="40" s="1"/>
  <c r="J56" i="64"/>
  <c r="J56" i="40" s="1"/>
  <c r="J57" i="64"/>
  <c r="J57" i="40" s="1"/>
  <c r="J58" i="64"/>
  <c r="J58" i="40" s="1"/>
  <c r="J59" i="64"/>
  <c r="J59" i="40" s="1"/>
  <c r="J60" i="64"/>
  <c r="J60" i="40" s="1"/>
  <c r="J61" i="64"/>
  <c r="J61" i="40" s="1"/>
  <c r="J62" i="64"/>
  <c r="J62" i="40" s="1"/>
  <c r="J63" i="64"/>
  <c r="J63" i="40" s="1"/>
  <c r="J64" i="64"/>
  <c r="J64" i="40" s="1"/>
  <c r="J65" i="64"/>
  <c r="J65" i="40" s="1"/>
  <c r="J66" i="64"/>
  <c r="J66" i="40" s="1"/>
  <c r="J67" i="64"/>
  <c r="J67" i="40" s="1"/>
  <c r="J68" i="64"/>
  <c r="J68" i="40" s="1"/>
  <c r="J69" i="64"/>
  <c r="J69" i="40" s="1"/>
  <c r="J70" i="64"/>
  <c r="J70" i="40" s="1"/>
  <c r="J71" i="64"/>
  <c r="J71" i="40" s="1"/>
  <c r="J72" i="64"/>
  <c r="J72" i="40" s="1"/>
  <c r="J73" i="64"/>
  <c r="J73" i="40" s="1"/>
  <c r="J74" i="64"/>
  <c r="J74" i="40" s="1"/>
  <c r="J75" i="64"/>
  <c r="J75" i="40" s="1"/>
  <c r="J76" i="64"/>
  <c r="J76" i="40" s="1"/>
  <c r="J77" i="64"/>
  <c r="J77" i="40" s="1"/>
  <c r="J78" i="64"/>
  <c r="J78" i="40" s="1"/>
  <c r="J79" i="64"/>
  <c r="J79" i="40" s="1"/>
  <c r="J80" i="64"/>
  <c r="J80" i="40" s="1"/>
  <c r="J81" i="64"/>
  <c r="J81" i="40" s="1"/>
  <c r="J82" i="64"/>
  <c r="J82" i="40" s="1"/>
  <c r="J83" i="64"/>
  <c r="J83" i="40" s="1"/>
  <c r="J84" i="64"/>
  <c r="J84" i="40" s="1"/>
  <c r="J85" i="64"/>
  <c r="J85" i="40" s="1"/>
  <c r="J86" i="64"/>
  <c r="J86" i="40" s="1"/>
  <c r="J87" i="64"/>
  <c r="J87" i="40" s="1"/>
  <c r="J88" i="64"/>
  <c r="J88" i="40" s="1"/>
  <c r="J89" i="64"/>
  <c r="J89" i="40" s="1"/>
  <c r="J90" i="64"/>
  <c r="J90" i="40" s="1"/>
  <c r="J91" i="64"/>
  <c r="J91" i="40" s="1"/>
  <c r="J92" i="64"/>
  <c r="J92" i="40" s="1"/>
  <c r="J93" i="64"/>
  <c r="J93" i="40" s="1"/>
  <c r="J94" i="64"/>
  <c r="J94" i="40" s="1"/>
  <c r="J95" i="64"/>
  <c r="J95" i="40" s="1"/>
  <c r="J96" i="64"/>
  <c r="J96" i="40" s="1"/>
  <c r="J97" i="64"/>
  <c r="J97" i="40" s="1"/>
  <c r="J98" i="64"/>
  <c r="J98" i="40" s="1"/>
  <c r="J99" i="64"/>
  <c r="J99" i="40" s="1"/>
  <c r="J100" i="64"/>
  <c r="J100" i="40" s="1"/>
  <c r="J101" i="64"/>
  <c r="J101" i="40" s="1"/>
  <c r="J102" i="64"/>
  <c r="J102" i="40" s="1"/>
  <c r="J103" i="64"/>
  <c r="J103" i="40" s="1"/>
  <c r="J104" i="64"/>
  <c r="J104" i="40" s="1"/>
  <c r="J105" i="64"/>
  <c r="J105" i="40" s="1"/>
  <c r="J106" i="64"/>
  <c r="J106" i="40" s="1"/>
  <c r="J107" i="64"/>
  <c r="J107" i="40" s="1"/>
  <c r="J108" i="64"/>
  <c r="J108" i="40" s="1"/>
  <c r="J8" i="64"/>
  <c r="J8" i="40" s="1"/>
  <c r="J35" i="62"/>
  <c r="J27" i="63" s="1"/>
  <c r="J34" i="62"/>
  <c r="J26" i="63" s="1"/>
  <c r="J33" i="62"/>
  <c r="J25" i="63" s="1"/>
  <c r="J32" i="62"/>
  <c r="J24" i="63" s="1"/>
  <c r="J31" i="62"/>
  <c r="J23" i="63" s="1"/>
  <c r="J30" i="62"/>
  <c r="J22" i="63" s="1"/>
  <c r="J29" i="62"/>
  <c r="J21" i="63" s="1"/>
  <c r="J28" i="62"/>
  <c r="J20" i="63" s="1"/>
  <c r="J27" i="62"/>
  <c r="J19" i="63" s="1"/>
  <c r="J26" i="62"/>
  <c r="J18" i="63" s="1"/>
  <c r="J6" i="62"/>
  <c r="J7" i="62"/>
  <c r="J8" i="62"/>
  <c r="J9" i="62"/>
  <c r="J10" i="62"/>
  <c r="J11" i="62"/>
  <c r="J11" i="63" s="1"/>
  <c r="J12" i="62"/>
  <c r="J13" i="62"/>
  <c r="J14" i="62"/>
  <c r="J5" i="62"/>
  <c r="L421" i="61"/>
  <c r="L420" i="61"/>
  <c r="L419" i="61"/>
  <c r="L418" i="61"/>
  <c r="L417" i="61"/>
  <c r="L416" i="61"/>
  <c r="L415" i="61"/>
  <c r="L414" i="61"/>
  <c r="L413" i="61"/>
  <c r="L412" i="61"/>
  <c r="L411" i="61"/>
  <c r="L410" i="61"/>
  <c r="L409" i="61"/>
  <c r="L408" i="61"/>
  <c r="L407" i="61"/>
  <c r="L406" i="61"/>
  <c r="L405" i="61"/>
  <c r="L404" i="61"/>
  <c r="L403" i="61"/>
  <c r="L402" i="61"/>
  <c r="L399" i="61"/>
  <c r="L398" i="61"/>
  <c r="L397" i="61"/>
  <c r="L396" i="61"/>
  <c r="L395" i="61"/>
  <c r="L394" i="61"/>
  <c r="L393" i="61"/>
  <c r="L392" i="61"/>
  <c r="L391" i="61"/>
  <c r="L390" i="61"/>
  <c r="L389" i="61"/>
  <c r="L388" i="61"/>
  <c r="L387" i="61"/>
  <c r="L386" i="61"/>
  <c r="L385" i="61"/>
  <c r="L384" i="61"/>
  <c r="L383" i="61"/>
  <c r="L382" i="61"/>
  <c r="L381" i="61"/>
  <c r="L380" i="61"/>
  <c r="L376" i="61"/>
  <c r="L375" i="61"/>
  <c r="L374" i="61"/>
  <c r="L373" i="61"/>
  <c r="L372" i="61"/>
  <c r="L371" i="61"/>
  <c r="L370" i="61"/>
  <c r="L369" i="61"/>
  <c r="L368" i="61"/>
  <c r="L367" i="61"/>
  <c r="L366" i="61"/>
  <c r="L365" i="61"/>
  <c r="L364" i="61"/>
  <c r="L363" i="61"/>
  <c r="L362" i="61"/>
  <c r="L361" i="61"/>
  <c r="L360" i="61"/>
  <c r="L359" i="61"/>
  <c r="L358" i="61"/>
  <c r="L357" i="61"/>
  <c r="L336" i="61"/>
  <c r="L337" i="61"/>
  <c r="L338" i="61"/>
  <c r="L339" i="61"/>
  <c r="L340" i="61"/>
  <c r="L341" i="61"/>
  <c r="L342" i="61"/>
  <c r="L343" i="61"/>
  <c r="L344" i="61"/>
  <c r="L345" i="61"/>
  <c r="L346" i="61"/>
  <c r="L347" i="61"/>
  <c r="L348" i="61"/>
  <c r="L349" i="61"/>
  <c r="L350" i="61"/>
  <c r="L351" i="61"/>
  <c r="L352" i="61"/>
  <c r="L353" i="61"/>
  <c r="L354" i="61"/>
  <c r="L335" i="61"/>
  <c r="L331" i="61"/>
  <c r="L330" i="61"/>
  <c r="L329" i="61"/>
  <c r="L328" i="61"/>
  <c r="L327" i="61"/>
  <c r="L326" i="61"/>
  <c r="L325" i="61"/>
  <c r="L324" i="61"/>
  <c r="L323" i="61"/>
  <c r="L322" i="61"/>
  <c r="L311" i="61"/>
  <c r="L312" i="61"/>
  <c r="L313" i="61"/>
  <c r="L314" i="61"/>
  <c r="L315" i="61"/>
  <c r="L316" i="61"/>
  <c r="L317" i="61"/>
  <c r="L318" i="61"/>
  <c r="L319" i="61"/>
  <c r="L310" i="61"/>
  <c r="L306" i="61"/>
  <c r="L305" i="61"/>
  <c r="L304" i="61"/>
  <c r="L303" i="61"/>
  <c r="L302" i="61"/>
  <c r="L301" i="61"/>
  <c r="L300" i="61"/>
  <c r="L299" i="61"/>
  <c r="L298" i="61"/>
  <c r="L297" i="61"/>
  <c r="L296" i="61"/>
  <c r="L295" i="61"/>
  <c r="L294" i="61"/>
  <c r="L293" i="61"/>
  <c r="L292" i="61"/>
  <c r="L291" i="61"/>
  <c r="L290" i="61"/>
  <c r="L289" i="61"/>
  <c r="L288" i="61"/>
  <c r="L287" i="61"/>
  <c r="L266" i="61"/>
  <c r="L267" i="61"/>
  <c r="L268" i="61"/>
  <c r="L269" i="61"/>
  <c r="L270" i="61"/>
  <c r="L271" i="61"/>
  <c r="L272" i="61"/>
  <c r="L273" i="61"/>
  <c r="L274" i="61"/>
  <c r="L275" i="61"/>
  <c r="L276" i="61"/>
  <c r="L277" i="61"/>
  <c r="L278" i="61"/>
  <c r="L279" i="61"/>
  <c r="L280" i="61"/>
  <c r="L281" i="61"/>
  <c r="L282" i="61"/>
  <c r="L283" i="61"/>
  <c r="L284" i="61"/>
  <c r="L265" i="61"/>
  <c r="L213" i="61"/>
  <c r="L214" i="61"/>
  <c r="L215" i="61"/>
  <c r="L216" i="61"/>
  <c r="L217" i="61"/>
  <c r="L218" i="61"/>
  <c r="L219" i="61"/>
  <c r="L220" i="61"/>
  <c r="L221" i="61"/>
  <c r="L222" i="61"/>
  <c r="L223" i="61"/>
  <c r="L224" i="61"/>
  <c r="L225" i="61"/>
  <c r="L226" i="61"/>
  <c r="L227" i="61"/>
  <c r="L228" i="61"/>
  <c r="L229" i="61"/>
  <c r="L230" i="61"/>
  <c r="L231" i="61"/>
  <c r="L232" i="61"/>
  <c r="L233" i="61"/>
  <c r="L234" i="61"/>
  <c r="L235" i="61"/>
  <c r="L236" i="61"/>
  <c r="L237" i="61"/>
  <c r="L238" i="61"/>
  <c r="L239" i="61"/>
  <c r="L240" i="61"/>
  <c r="L241" i="61"/>
  <c r="L242" i="61"/>
  <c r="L243" i="61"/>
  <c r="L244" i="61"/>
  <c r="L245" i="61"/>
  <c r="L246" i="61"/>
  <c r="L247" i="61"/>
  <c r="L248" i="61"/>
  <c r="L249" i="61"/>
  <c r="L250" i="61"/>
  <c r="L251" i="61"/>
  <c r="L252" i="61"/>
  <c r="L253" i="61"/>
  <c r="L254" i="61"/>
  <c r="L255" i="61"/>
  <c r="L256" i="61"/>
  <c r="L257" i="61"/>
  <c r="L258" i="61"/>
  <c r="L259" i="61"/>
  <c r="L260" i="61"/>
  <c r="L261" i="61"/>
  <c r="L212" i="61"/>
  <c r="L161" i="61"/>
  <c r="L162" i="61"/>
  <c r="L163" i="61"/>
  <c r="L164" i="61"/>
  <c r="L165" i="61"/>
  <c r="L166" i="61"/>
  <c r="L167" i="61"/>
  <c r="L168" i="61"/>
  <c r="L169" i="61"/>
  <c r="L170" i="61"/>
  <c r="L171" i="61"/>
  <c r="L172" i="61"/>
  <c r="L173" i="61"/>
  <c r="L174" i="61"/>
  <c r="L175" i="61"/>
  <c r="L176" i="61"/>
  <c r="L177" i="61"/>
  <c r="L178" i="61"/>
  <c r="L179" i="61"/>
  <c r="L180" i="61"/>
  <c r="L181" i="61"/>
  <c r="L182" i="61"/>
  <c r="L183" i="61"/>
  <c r="L184" i="61"/>
  <c r="L185" i="61"/>
  <c r="L186" i="61"/>
  <c r="L187" i="61"/>
  <c r="L188" i="61"/>
  <c r="L189" i="61"/>
  <c r="L190" i="61"/>
  <c r="L191" i="61"/>
  <c r="L192" i="61"/>
  <c r="L193" i="61"/>
  <c r="L194" i="61"/>
  <c r="L195" i="61"/>
  <c r="L196" i="61"/>
  <c r="L197" i="61"/>
  <c r="L198" i="61"/>
  <c r="L199" i="61"/>
  <c r="L200" i="61"/>
  <c r="L201" i="61"/>
  <c r="L202" i="61"/>
  <c r="L203" i="61"/>
  <c r="L204" i="61"/>
  <c r="L205" i="61"/>
  <c r="L206" i="61"/>
  <c r="L207" i="61"/>
  <c r="L208" i="61"/>
  <c r="L209" i="61"/>
  <c r="L160" i="61"/>
  <c r="L156" i="61"/>
  <c r="L155" i="61"/>
  <c r="L154" i="61"/>
  <c r="L153" i="61"/>
  <c r="L152" i="61"/>
  <c r="L151" i="61"/>
  <c r="L150" i="61"/>
  <c r="L149" i="61"/>
  <c r="L148" i="61"/>
  <c r="L147" i="61"/>
  <c r="L146" i="61"/>
  <c r="L145" i="61"/>
  <c r="L144" i="61"/>
  <c r="L143" i="61"/>
  <c r="L142" i="61"/>
  <c r="L141" i="61"/>
  <c r="L140" i="61"/>
  <c r="L139" i="61"/>
  <c r="L138" i="61"/>
  <c r="L137" i="61"/>
  <c r="L116" i="61"/>
  <c r="L117" i="61"/>
  <c r="L118" i="61"/>
  <c r="L119" i="61"/>
  <c r="L120" i="61"/>
  <c r="L121" i="61"/>
  <c r="L122" i="61"/>
  <c r="L123" i="61"/>
  <c r="L124" i="61"/>
  <c r="L125" i="61"/>
  <c r="L126" i="61"/>
  <c r="L127" i="61"/>
  <c r="L128" i="61"/>
  <c r="L129" i="61"/>
  <c r="L130" i="61"/>
  <c r="L131" i="61"/>
  <c r="L132" i="61"/>
  <c r="L133" i="61"/>
  <c r="L134" i="61"/>
  <c r="L115" i="61"/>
  <c r="L111" i="61"/>
  <c r="L110" i="61"/>
  <c r="L109" i="61"/>
  <c r="L108" i="61"/>
  <c r="L107" i="61"/>
  <c r="L106" i="61"/>
  <c r="L105" i="61"/>
  <c r="L104" i="61"/>
  <c r="L103" i="61"/>
  <c r="L102" i="61"/>
  <c r="L101" i="61"/>
  <c r="L100" i="61"/>
  <c r="L99" i="61"/>
  <c r="L98" i="61"/>
  <c r="L97" i="61"/>
  <c r="L96" i="61"/>
  <c r="L95" i="61"/>
  <c r="L94" i="61"/>
  <c r="L93" i="61"/>
  <c r="L92" i="61"/>
  <c r="L91" i="61"/>
  <c r="L90" i="61"/>
  <c r="L89" i="61"/>
  <c r="L88" i="61"/>
  <c r="L87" i="61"/>
  <c r="L86" i="61"/>
  <c r="L85" i="61"/>
  <c r="L84" i="61"/>
  <c r="L83" i="61"/>
  <c r="L82" i="61"/>
  <c r="L81" i="61"/>
  <c r="L80" i="61"/>
  <c r="L79" i="61"/>
  <c r="L78" i="61"/>
  <c r="L77" i="61"/>
  <c r="L76" i="61"/>
  <c r="L75" i="61"/>
  <c r="L74" i="61"/>
  <c r="L73" i="61"/>
  <c r="L72" i="61"/>
  <c r="L71" i="61"/>
  <c r="L70" i="61"/>
  <c r="L69" i="61"/>
  <c r="L68" i="61"/>
  <c r="L67" i="61"/>
  <c r="L66" i="61"/>
  <c r="L65" i="61"/>
  <c r="L64" i="61"/>
  <c r="L63" i="61"/>
  <c r="L62" i="61"/>
  <c r="L11" i="61"/>
  <c r="L12" i="61"/>
  <c r="L13" i="61"/>
  <c r="L14" i="61"/>
  <c r="L15" i="61"/>
  <c r="L16" i="61"/>
  <c r="L17" i="61"/>
  <c r="L18" i="61"/>
  <c r="L19" i="61"/>
  <c r="L20" i="61"/>
  <c r="L21" i="61"/>
  <c r="L22" i="61"/>
  <c r="L23" i="61"/>
  <c r="L24" i="61"/>
  <c r="L25" i="61"/>
  <c r="L26" i="61"/>
  <c r="L27" i="61"/>
  <c r="L28" i="61"/>
  <c r="L29" i="61"/>
  <c r="L30" i="61"/>
  <c r="L31" i="61"/>
  <c r="L32" i="61"/>
  <c r="L33" i="61"/>
  <c r="L34" i="61"/>
  <c r="L35" i="61"/>
  <c r="L36" i="61"/>
  <c r="L37" i="61"/>
  <c r="L38" i="61"/>
  <c r="L39" i="61"/>
  <c r="L40" i="61"/>
  <c r="L41" i="61"/>
  <c r="L42" i="61"/>
  <c r="L43" i="61"/>
  <c r="L44" i="61"/>
  <c r="L45" i="61"/>
  <c r="L46" i="61"/>
  <c r="L47" i="61"/>
  <c r="L48" i="61"/>
  <c r="L49" i="61"/>
  <c r="L50" i="61"/>
  <c r="L51" i="61"/>
  <c r="L52" i="61"/>
  <c r="L53" i="61"/>
  <c r="L54" i="61"/>
  <c r="L55" i="61"/>
  <c r="L56" i="61"/>
  <c r="L57" i="61"/>
  <c r="L58" i="61"/>
  <c r="L59" i="61"/>
  <c r="L10" i="61"/>
  <c r="J6" i="59"/>
  <c r="J7" i="59"/>
  <c r="J8" i="59"/>
  <c r="J9" i="59"/>
  <c r="J10" i="59"/>
  <c r="J11" i="59"/>
  <c r="J12" i="59"/>
  <c r="J13" i="59"/>
  <c r="J14" i="59"/>
  <c r="J5" i="59"/>
  <c r="J141" i="60"/>
  <c r="J140" i="60"/>
  <c r="J139" i="60"/>
  <c r="J138" i="60"/>
  <c r="J137" i="60"/>
  <c r="J136" i="60"/>
  <c r="J135" i="60"/>
  <c r="J134" i="60"/>
  <c r="J133" i="60"/>
  <c r="J132" i="60"/>
  <c r="J120" i="60"/>
  <c r="J119" i="60"/>
  <c r="J118" i="60"/>
  <c r="J117" i="60"/>
  <c r="J116" i="60"/>
  <c r="J115" i="60"/>
  <c r="J114" i="60"/>
  <c r="J113" i="60"/>
  <c r="J112" i="60"/>
  <c r="J111" i="60"/>
  <c r="J99" i="60"/>
  <c r="J98" i="60"/>
  <c r="J97" i="60"/>
  <c r="J96" i="60"/>
  <c r="J95" i="60"/>
  <c r="J94" i="60"/>
  <c r="J93" i="60"/>
  <c r="J92" i="60"/>
  <c r="J91" i="60"/>
  <c r="J90" i="60"/>
  <c r="J78" i="60"/>
  <c r="J77" i="60"/>
  <c r="J76" i="60"/>
  <c r="J75" i="60"/>
  <c r="J74" i="60"/>
  <c r="J73" i="60"/>
  <c r="J72" i="60"/>
  <c r="J71" i="60"/>
  <c r="J70" i="60"/>
  <c r="J69" i="60"/>
  <c r="J57" i="60"/>
  <c r="J56" i="60"/>
  <c r="J55" i="60"/>
  <c r="J54" i="60"/>
  <c r="J53" i="60"/>
  <c r="J52" i="60"/>
  <c r="J51" i="60"/>
  <c r="J50" i="60"/>
  <c r="J49" i="60"/>
  <c r="J48" i="60"/>
  <c r="J36" i="60"/>
  <c r="J35" i="60"/>
  <c r="J34" i="60"/>
  <c r="J33" i="60"/>
  <c r="J32" i="60"/>
  <c r="J31" i="60"/>
  <c r="J30" i="60"/>
  <c r="J29" i="60"/>
  <c r="J28" i="60"/>
  <c r="J27" i="60"/>
  <c r="J7" i="60"/>
  <c r="J8" i="60"/>
  <c r="J9" i="60"/>
  <c r="J10" i="60"/>
  <c r="J11" i="60"/>
  <c r="J12" i="60"/>
  <c r="J13" i="60"/>
  <c r="J14" i="60"/>
  <c r="J15" i="60"/>
  <c r="J6" i="60"/>
  <c r="AC32" i="57" l="1"/>
  <c r="E35" i="57"/>
  <c r="AC33" i="57"/>
  <c r="K9" i="74"/>
  <c r="L9" i="74" s="1"/>
  <c r="K10" i="74"/>
  <c r="K11" i="74"/>
  <c r="K13" i="74"/>
  <c r="L13" i="74" s="1"/>
  <c r="K14" i="74"/>
  <c r="L14" i="74" s="1"/>
  <c r="K15" i="74"/>
  <c r="K17" i="74"/>
  <c r="K18" i="74"/>
  <c r="L18" i="74" s="1"/>
  <c r="K19" i="74"/>
  <c r="L19" i="74" s="1"/>
  <c r="K21" i="74"/>
  <c r="L21" i="74" s="1"/>
  <c r="K22" i="74"/>
  <c r="L22" i="74" s="1"/>
  <c r="K23" i="74"/>
  <c r="L23" i="74" s="1"/>
  <c r="K25" i="74"/>
  <c r="L25" i="74" s="1"/>
  <c r="K26" i="74"/>
  <c r="K27" i="74"/>
  <c r="K29" i="74"/>
  <c r="L29" i="74" s="1"/>
  <c r="K30" i="74"/>
  <c r="L30" i="74" s="1"/>
  <c r="K31" i="74"/>
  <c r="K33" i="74"/>
  <c r="K34" i="74"/>
  <c r="L34" i="74" s="1"/>
  <c r="K35" i="74"/>
  <c r="K37" i="74"/>
  <c r="L37" i="74" s="1"/>
  <c r="K38" i="74"/>
  <c r="L38" i="74" s="1"/>
  <c r="K39" i="74"/>
  <c r="L39" i="74" s="1"/>
  <c r="K41" i="74"/>
  <c r="L41" i="74" s="1"/>
  <c r="K42" i="74"/>
  <c r="K43" i="74"/>
  <c r="K45" i="74"/>
  <c r="L45" i="74" s="1"/>
  <c r="K46" i="74"/>
  <c r="L46" i="74" s="1"/>
  <c r="K47" i="74"/>
  <c r="K56" i="74"/>
  <c r="L56" i="74" s="1"/>
  <c r="K82" i="74"/>
  <c r="L82" i="74" s="1"/>
  <c r="F35" i="57"/>
  <c r="G35" i="57" s="1"/>
  <c r="H35" i="57" s="1"/>
  <c r="I35" i="57" s="1"/>
  <c r="J35" i="57" s="1"/>
  <c r="K35" i="57" s="1"/>
  <c r="L35" i="57" s="1"/>
  <c r="M35" i="57" s="1"/>
  <c r="N35" i="57" s="1"/>
  <c r="O35" i="57" s="1"/>
  <c r="P35" i="57" s="1"/>
  <c r="Q35" i="57" s="1"/>
  <c r="R35" i="57" s="1"/>
  <c r="S35" i="57" s="1"/>
  <c r="T35" i="57" s="1"/>
  <c r="U35" i="57" s="1"/>
  <c r="V35" i="57" s="1"/>
  <c r="W35" i="57" s="1"/>
  <c r="X35" i="57" s="1"/>
  <c r="Y35" i="57" s="1"/>
  <c r="Z35" i="57" s="1"/>
  <c r="AA35" i="57" s="1"/>
  <c r="AB35" i="57" s="1"/>
  <c r="AC35" i="57" s="1"/>
  <c r="N32" i="55"/>
  <c r="J32" i="55"/>
  <c r="F32" i="55"/>
  <c r="P32" i="55"/>
  <c r="L32" i="55"/>
  <c r="H32" i="55"/>
  <c r="O32" i="55"/>
  <c r="K32" i="55"/>
  <c r="G32" i="55"/>
  <c r="M32" i="55"/>
  <c r="I32" i="55"/>
  <c r="N21" i="66"/>
  <c r="G6" i="8"/>
  <c r="O21" i="66"/>
  <c r="H6" i="8"/>
  <c r="K8" i="74"/>
  <c r="L8" i="74" s="1"/>
  <c r="K12" i="74"/>
  <c r="L12" i="74" s="1"/>
  <c r="K16" i="74"/>
  <c r="L16" i="74" s="1"/>
  <c r="K20" i="74"/>
  <c r="L20" i="74" s="1"/>
  <c r="K24" i="74"/>
  <c r="L24" i="74" s="1"/>
  <c r="K28" i="74"/>
  <c r="L28" i="74" s="1"/>
  <c r="K32" i="74"/>
  <c r="L32" i="74" s="1"/>
  <c r="K36" i="74"/>
  <c r="L36" i="74" s="1"/>
  <c r="K40" i="74"/>
  <c r="L40" i="74" s="1"/>
  <c r="K44" i="74"/>
  <c r="L44" i="74" s="1"/>
  <c r="K48" i="74"/>
  <c r="L48" i="74" s="1"/>
  <c r="K55" i="74"/>
  <c r="L55" i="74" s="1"/>
  <c r="K59" i="74"/>
  <c r="L59" i="74" s="1"/>
  <c r="M447" i="37"/>
  <c r="N447" i="37" s="1"/>
  <c r="M449" i="37"/>
  <c r="N449" i="37" s="1"/>
  <c r="M451" i="37"/>
  <c r="N451" i="37" s="1"/>
  <c r="M453" i="37"/>
  <c r="N453" i="37" s="1"/>
  <c r="M455" i="37"/>
  <c r="N455" i="37" s="1"/>
  <c r="K58" i="74"/>
  <c r="L58" i="74" s="1"/>
  <c r="K57" i="74"/>
  <c r="L57" i="74" s="1"/>
  <c r="K67" i="74"/>
  <c r="L67" i="74" s="1"/>
  <c r="M448" i="37"/>
  <c r="N448" i="37" s="1"/>
  <c r="M450" i="37"/>
  <c r="N450" i="37" s="1"/>
  <c r="M452" i="37"/>
  <c r="N452" i="37" s="1"/>
  <c r="M454" i="37"/>
  <c r="N454" i="37" s="1"/>
  <c r="L7" i="66"/>
  <c r="M7" i="66" s="1"/>
  <c r="L6" i="66"/>
  <c r="L8" i="66"/>
  <c r="M8" i="66" s="1"/>
  <c r="L9" i="66"/>
  <c r="M9" i="66" s="1"/>
  <c r="M456" i="37"/>
  <c r="N456" i="37" s="1"/>
  <c r="M457" i="37"/>
  <c r="N457" i="37" s="1"/>
  <c r="K66" i="74"/>
  <c r="L66" i="74" s="1"/>
  <c r="K68" i="74"/>
  <c r="L68" i="74" s="1"/>
  <c r="K81" i="74"/>
  <c r="L81" i="74" s="1"/>
  <c r="K83" i="74"/>
  <c r="L83" i="74" s="1"/>
  <c r="K115" i="40"/>
  <c r="M458" i="37"/>
  <c r="N458" i="37" s="1"/>
  <c r="M459" i="37"/>
  <c r="N459" i="37" s="1"/>
  <c r="M460" i="37"/>
  <c r="N460" i="37" s="1"/>
  <c r="M461" i="37"/>
  <c r="N461" i="37" s="1"/>
  <c r="M462" i="37"/>
  <c r="N462" i="37" s="1"/>
  <c r="M463" i="37"/>
  <c r="N463" i="37" s="1"/>
  <c r="M464" i="37"/>
  <c r="N464" i="37" s="1"/>
  <c r="M446" i="37"/>
  <c r="N446" i="37" s="1"/>
  <c r="M465" i="37"/>
  <c r="N465" i="37" s="1"/>
  <c r="L5" i="66"/>
  <c r="E34" i="57"/>
  <c r="AC30" i="57"/>
  <c r="E32" i="55"/>
  <c r="H27" i="75"/>
  <c r="Z27" i="75"/>
  <c r="X27" i="75"/>
  <c r="V27" i="75"/>
  <c r="T27" i="75"/>
  <c r="R27" i="75"/>
  <c r="P27" i="75"/>
  <c r="N27" i="75"/>
  <c r="L27" i="75"/>
  <c r="J27" i="75"/>
  <c r="G9" i="75"/>
  <c r="AA27" i="75"/>
  <c r="Y27" i="75"/>
  <c r="W27" i="75"/>
  <c r="U27" i="75"/>
  <c r="S27" i="75"/>
  <c r="Q27" i="75"/>
  <c r="O27" i="75"/>
  <c r="M27" i="75"/>
  <c r="K27" i="75"/>
  <c r="I27" i="75"/>
  <c r="G26" i="75"/>
  <c r="C12" i="36" s="1"/>
  <c r="B7" i="75"/>
  <c r="B8" i="75" s="1"/>
  <c r="B9" i="75" s="1"/>
  <c r="B10" i="75" s="1"/>
  <c r="B13" i="75" s="1"/>
  <c r="B19" i="75" s="1"/>
  <c r="I39" i="75"/>
  <c r="I40" i="75" s="1"/>
  <c r="I42" i="75" s="1"/>
  <c r="K39" i="75"/>
  <c r="K40" i="75" s="1"/>
  <c r="K42" i="75" s="1"/>
  <c r="M39" i="75"/>
  <c r="M40" i="75" s="1"/>
  <c r="M42" i="75" s="1"/>
  <c r="O39" i="75"/>
  <c r="O40" i="75" s="1"/>
  <c r="O42" i="75" s="1"/>
  <c r="Q39" i="75"/>
  <c r="Q40" i="75" s="1"/>
  <c r="Q42" i="75" s="1"/>
  <c r="S39" i="75"/>
  <c r="S40" i="75" s="1"/>
  <c r="S42" i="75" s="1"/>
  <c r="U39" i="75"/>
  <c r="U40" i="75" s="1"/>
  <c r="U42" i="75" s="1"/>
  <c r="W39" i="75"/>
  <c r="W40" i="75" s="1"/>
  <c r="W42" i="75" s="1"/>
  <c r="Y39" i="75"/>
  <c r="Y40" i="75" s="1"/>
  <c r="Y42" i="75" s="1"/>
  <c r="AA39" i="75"/>
  <c r="AA40" i="75" s="1"/>
  <c r="AA42" i="75" s="1"/>
  <c r="H39" i="75"/>
  <c r="H40" i="75" s="1"/>
  <c r="H42" i="75" s="1"/>
  <c r="J39" i="75"/>
  <c r="J40" i="75" s="1"/>
  <c r="J42" i="75" s="1"/>
  <c r="L39" i="75"/>
  <c r="L40" i="75" s="1"/>
  <c r="L42" i="75" s="1"/>
  <c r="N39" i="75"/>
  <c r="N40" i="75" s="1"/>
  <c r="N42" i="75" s="1"/>
  <c r="P39" i="75"/>
  <c r="P40" i="75" s="1"/>
  <c r="P42" i="75" s="1"/>
  <c r="R39" i="75"/>
  <c r="R40" i="75" s="1"/>
  <c r="R42" i="75" s="1"/>
  <c r="T39" i="75"/>
  <c r="T40" i="75" s="1"/>
  <c r="T42" i="75" s="1"/>
  <c r="V39" i="75"/>
  <c r="V40" i="75" s="1"/>
  <c r="V42" i="75" s="1"/>
  <c r="X39" i="75"/>
  <c r="X40" i="75" s="1"/>
  <c r="X42" i="75" s="1"/>
  <c r="Z39" i="75"/>
  <c r="Z40" i="75" s="1"/>
  <c r="Z42" i="75" s="1"/>
  <c r="W48" i="74"/>
  <c r="L10" i="74"/>
  <c r="L11" i="74"/>
  <c r="L15" i="74"/>
  <c r="L17" i="74"/>
  <c r="L26" i="74"/>
  <c r="L27" i="74"/>
  <c r="L31" i="74"/>
  <c r="L33" i="74"/>
  <c r="L35" i="74"/>
  <c r="L42" i="74"/>
  <c r="L43" i="74"/>
  <c r="L47" i="74"/>
  <c r="W8" i="74"/>
  <c r="W9" i="74"/>
  <c r="W10" i="74"/>
  <c r="W11" i="74"/>
  <c r="W12" i="74"/>
  <c r="W13" i="74"/>
  <c r="W14" i="74"/>
  <c r="W15" i="74"/>
  <c r="W16" i="74"/>
  <c r="W17" i="74"/>
  <c r="W18" i="74"/>
  <c r="W19" i="74"/>
  <c r="W20" i="74"/>
  <c r="W21" i="74"/>
  <c r="W22" i="74"/>
  <c r="W23" i="74"/>
  <c r="W24" i="74"/>
  <c r="W25" i="74"/>
  <c r="W26" i="74"/>
  <c r="W27" i="74"/>
  <c r="W28" i="74"/>
  <c r="W29" i="74"/>
  <c r="W30" i="74"/>
  <c r="W31" i="74"/>
  <c r="W32" i="74"/>
  <c r="W33" i="74"/>
  <c r="W34" i="74"/>
  <c r="W35" i="74"/>
  <c r="W36" i="74"/>
  <c r="W37" i="74"/>
  <c r="W38" i="74"/>
  <c r="W39" i="74"/>
  <c r="W40" i="74"/>
  <c r="W41" i="74"/>
  <c r="W42" i="74"/>
  <c r="W43" i="74"/>
  <c r="W44" i="74"/>
  <c r="W45" i="74"/>
  <c r="W46" i="74"/>
  <c r="W47" i="74"/>
  <c r="M6" i="66"/>
  <c r="L69" i="74" l="1"/>
  <c r="K69" i="74"/>
  <c r="L84" i="74"/>
  <c r="K49" i="74"/>
  <c r="K36" i="8" s="1"/>
  <c r="L60" i="74"/>
  <c r="K60" i="74"/>
  <c r="K40" i="8" s="1"/>
  <c r="M466" i="37"/>
  <c r="N466" i="37"/>
  <c r="L79" i="74" s="1"/>
  <c r="Q32" i="55"/>
  <c r="F34" i="57"/>
  <c r="E34" i="55"/>
  <c r="K84" i="74"/>
  <c r="K49" i="8" s="1"/>
  <c r="B20" i="75"/>
  <c r="G44" i="75"/>
  <c r="K9" i="39" s="1"/>
  <c r="G46" i="75"/>
  <c r="K8" i="39" s="1"/>
  <c r="L49" i="74"/>
  <c r="L10" i="66"/>
  <c r="L21" i="66" s="1"/>
  <c r="M5" i="66"/>
  <c r="M10" i="66" s="1"/>
  <c r="F6" i="8" s="1"/>
  <c r="G34" i="57" l="1"/>
  <c r="F34" i="55"/>
  <c r="B21" i="75"/>
  <c r="B22" i="75" s="1"/>
  <c r="B23" i="75" s="1"/>
  <c r="G22" i="75"/>
  <c r="M21" i="66"/>
  <c r="H34" i="57" l="1"/>
  <c r="G34" i="55"/>
  <c r="B35" i="75"/>
  <c r="B36" i="75" s="1"/>
  <c r="B37" i="75" s="1"/>
  <c r="B38" i="75" s="1"/>
  <c r="B39" i="75" s="1"/>
  <c r="B40" i="75" s="1"/>
  <c r="B41" i="75" s="1"/>
  <c r="B42" i="75" s="1"/>
  <c r="B43" i="75" s="1"/>
  <c r="B44" i="75" s="1"/>
  <c r="B45" i="75" s="1"/>
  <c r="B46" i="75" s="1"/>
  <c r="B24" i="75"/>
  <c r="B25" i="75" s="1"/>
  <c r="B26" i="75" s="1"/>
  <c r="C32" i="36"/>
  <c r="G23" i="75"/>
  <c r="G27" i="75"/>
  <c r="G41" i="75"/>
  <c r="K6" i="39" s="1"/>
  <c r="I34" i="57" l="1"/>
  <c r="H34" i="55"/>
  <c r="G43" i="75"/>
  <c r="K5" i="39" s="1"/>
  <c r="G45" i="75"/>
  <c r="K7" i="39" s="1"/>
  <c r="F12" i="36"/>
  <c r="G19" i="75"/>
  <c r="G42" i="75"/>
  <c r="K4" i="39" s="1"/>
  <c r="J34" i="57" l="1"/>
  <c r="I34" i="55"/>
  <c r="D12" i="36"/>
  <c r="D32" i="36" s="1"/>
  <c r="G20" i="75"/>
  <c r="K34" i="57" l="1"/>
  <c r="J34" i="55"/>
  <c r="L34" i="57" l="1"/>
  <c r="K34" i="55"/>
  <c r="M34" i="57" l="1"/>
  <c r="L34" i="55"/>
  <c r="M15" i="63"/>
  <c r="M40" i="63" s="1"/>
  <c r="N15" i="63"/>
  <c r="N40" i="63" s="1"/>
  <c r="N28" i="63"/>
  <c r="M28" i="63"/>
  <c r="I14" i="63"/>
  <c r="C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I5" i="63"/>
  <c r="C5" i="63"/>
  <c r="J14" i="63"/>
  <c r="J13" i="63"/>
  <c r="J12" i="63"/>
  <c r="J10" i="63"/>
  <c r="J9" i="63"/>
  <c r="J8" i="63"/>
  <c r="J7" i="63"/>
  <c r="J6" i="63"/>
  <c r="J5" i="63"/>
  <c r="L439" i="37"/>
  <c r="L437" i="37"/>
  <c r="L435" i="37"/>
  <c r="L433" i="37"/>
  <c r="L431" i="37"/>
  <c r="L429" i="37"/>
  <c r="L427" i="37"/>
  <c r="L425" i="37"/>
  <c r="L423" i="37"/>
  <c r="L421" i="37"/>
  <c r="L274" i="37"/>
  <c r="L440" i="37"/>
  <c r="J440" i="37"/>
  <c r="I440" i="37"/>
  <c r="C440" i="37"/>
  <c r="J439" i="37"/>
  <c r="I439" i="37"/>
  <c r="C439" i="37"/>
  <c r="L438" i="37"/>
  <c r="J438" i="37"/>
  <c r="I438" i="37"/>
  <c r="C438" i="37"/>
  <c r="J437" i="37"/>
  <c r="I437" i="37"/>
  <c r="C437" i="37"/>
  <c r="L436" i="37"/>
  <c r="J436" i="37"/>
  <c r="I436" i="37"/>
  <c r="C436" i="37"/>
  <c r="J435" i="37"/>
  <c r="I435" i="37"/>
  <c r="C435" i="37"/>
  <c r="L434" i="37"/>
  <c r="J434" i="37"/>
  <c r="I434" i="37"/>
  <c r="C434" i="37"/>
  <c r="J433" i="37"/>
  <c r="I433" i="37"/>
  <c r="C433" i="37"/>
  <c r="L432" i="37"/>
  <c r="J432" i="37"/>
  <c r="I432" i="37"/>
  <c r="C432" i="37"/>
  <c r="J431" i="37"/>
  <c r="I431" i="37"/>
  <c r="C431" i="37"/>
  <c r="L430" i="37"/>
  <c r="J430" i="37"/>
  <c r="I430" i="37"/>
  <c r="C430" i="37"/>
  <c r="J429" i="37"/>
  <c r="I429" i="37"/>
  <c r="C429" i="37"/>
  <c r="L428" i="37"/>
  <c r="J428" i="37"/>
  <c r="I428" i="37"/>
  <c r="C428" i="37"/>
  <c r="J427" i="37"/>
  <c r="I427" i="37"/>
  <c r="C427" i="37"/>
  <c r="L426" i="37"/>
  <c r="J426" i="37"/>
  <c r="I426" i="37"/>
  <c r="C426" i="37"/>
  <c r="J425" i="37"/>
  <c r="I425" i="37"/>
  <c r="C425" i="37"/>
  <c r="L424" i="37"/>
  <c r="J424" i="37"/>
  <c r="I424" i="37"/>
  <c r="C424" i="37"/>
  <c r="J423" i="37"/>
  <c r="I423" i="37"/>
  <c r="C423" i="37"/>
  <c r="L422" i="37"/>
  <c r="J422" i="37"/>
  <c r="I422" i="37"/>
  <c r="C422" i="37"/>
  <c r="J421" i="37"/>
  <c r="I421" i="37"/>
  <c r="C421" i="37"/>
  <c r="L417" i="37"/>
  <c r="J417" i="37"/>
  <c r="I417" i="37"/>
  <c r="C417" i="37"/>
  <c r="L416" i="37"/>
  <c r="J416" i="37"/>
  <c r="I416" i="37"/>
  <c r="C416" i="37"/>
  <c r="L415" i="37"/>
  <c r="J415" i="37"/>
  <c r="I415" i="37"/>
  <c r="C415" i="37"/>
  <c r="L414" i="37"/>
  <c r="J414" i="37"/>
  <c r="I414" i="37"/>
  <c r="C414" i="37"/>
  <c r="L413" i="37"/>
  <c r="J413" i="37"/>
  <c r="I413" i="37"/>
  <c r="C413" i="37"/>
  <c r="L412" i="37"/>
  <c r="J412" i="37"/>
  <c r="I412" i="37"/>
  <c r="C412" i="37"/>
  <c r="L411" i="37"/>
  <c r="J411" i="37"/>
  <c r="I411" i="37"/>
  <c r="C411" i="37"/>
  <c r="L410" i="37"/>
  <c r="J410" i="37"/>
  <c r="I410" i="37"/>
  <c r="C410" i="37"/>
  <c r="L409" i="37"/>
  <c r="J409" i="37"/>
  <c r="I409" i="37"/>
  <c r="C409" i="37"/>
  <c r="L408" i="37"/>
  <c r="J408" i="37"/>
  <c r="I408" i="37"/>
  <c r="C408" i="37"/>
  <c r="L407" i="37"/>
  <c r="J407" i="37"/>
  <c r="I407" i="37"/>
  <c r="C407" i="37"/>
  <c r="L406" i="37"/>
  <c r="J406" i="37"/>
  <c r="I406" i="37"/>
  <c r="C406" i="37"/>
  <c r="L405" i="37"/>
  <c r="J405" i="37"/>
  <c r="I405" i="37"/>
  <c r="C405" i="37"/>
  <c r="L404" i="37"/>
  <c r="J404" i="37"/>
  <c r="I404" i="37"/>
  <c r="C404" i="37"/>
  <c r="L403" i="37"/>
  <c r="J403" i="37"/>
  <c r="I403" i="37"/>
  <c r="C403" i="37"/>
  <c r="L402" i="37"/>
  <c r="J402" i="37"/>
  <c r="I402" i="37"/>
  <c r="C402" i="37"/>
  <c r="L401" i="37"/>
  <c r="J401" i="37"/>
  <c r="I401" i="37"/>
  <c r="C401" i="37"/>
  <c r="L400" i="37"/>
  <c r="J400" i="37"/>
  <c r="I400" i="37"/>
  <c r="C400" i="37"/>
  <c r="L399" i="37"/>
  <c r="J399" i="37"/>
  <c r="I399" i="37"/>
  <c r="C399" i="37"/>
  <c r="L398" i="37"/>
  <c r="J398" i="37"/>
  <c r="I398" i="37"/>
  <c r="C398" i="37"/>
  <c r="L392" i="37"/>
  <c r="J392" i="37"/>
  <c r="I392" i="37"/>
  <c r="C392" i="37"/>
  <c r="L391" i="37"/>
  <c r="J391" i="37"/>
  <c r="I391" i="37"/>
  <c r="C391" i="37"/>
  <c r="L390" i="37"/>
  <c r="J390" i="37"/>
  <c r="I390" i="37"/>
  <c r="C390" i="37"/>
  <c r="L389" i="37"/>
  <c r="J389" i="37"/>
  <c r="I389" i="37"/>
  <c r="C389" i="37"/>
  <c r="L388" i="37"/>
  <c r="J388" i="37"/>
  <c r="I388" i="37"/>
  <c r="C388" i="37"/>
  <c r="L387" i="37"/>
  <c r="J387" i="37"/>
  <c r="I387" i="37"/>
  <c r="C387" i="37"/>
  <c r="L386" i="37"/>
  <c r="J386" i="37"/>
  <c r="I386" i="37"/>
  <c r="C386" i="37"/>
  <c r="L385" i="37"/>
  <c r="J385" i="37"/>
  <c r="I385" i="37"/>
  <c r="C385" i="37"/>
  <c r="L384" i="37"/>
  <c r="J384" i="37"/>
  <c r="I384" i="37"/>
  <c r="C384" i="37"/>
  <c r="L383" i="37"/>
  <c r="J383" i="37"/>
  <c r="I383" i="37"/>
  <c r="C383" i="37"/>
  <c r="L382" i="37"/>
  <c r="J382" i="37"/>
  <c r="I382" i="37"/>
  <c r="C382" i="37"/>
  <c r="L381" i="37"/>
  <c r="J381" i="37"/>
  <c r="I381" i="37"/>
  <c r="C381" i="37"/>
  <c r="L380" i="37"/>
  <c r="J380" i="37"/>
  <c r="I380" i="37"/>
  <c r="C380" i="37"/>
  <c r="L379" i="37"/>
  <c r="J379" i="37"/>
  <c r="I379" i="37"/>
  <c r="C379" i="37"/>
  <c r="L378" i="37"/>
  <c r="J378" i="37"/>
  <c r="I378" i="37"/>
  <c r="C378" i="37"/>
  <c r="L377" i="37"/>
  <c r="J377" i="37"/>
  <c r="I377" i="37"/>
  <c r="C377" i="37"/>
  <c r="L376" i="37"/>
  <c r="J376" i="37"/>
  <c r="I376" i="37"/>
  <c r="C376" i="37"/>
  <c r="L375" i="37"/>
  <c r="J375" i="37"/>
  <c r="I375" i="37"/>
  <c r="C375" i="37"/>
  <c r="L374" i="37"/>
  <c r="J374" i="37"/>
  <c r="I374" i="37"/>
  <c r="C374" i="37"/>
  <c r="L373" i="37"/>
  <c r="J373" i="37"/>
  <c r="I373" i="37"/>
  <c r="C373" i="37"/>
  <c r="L369" i="37"/>
  <c r="J369" i="37"/>
  <c r="I369" i="37"/>
  <c r="C369" i="37"/>
  <c r="L368" i="37"/>
  <c r="J368" i="37"/>
  <c r="I368" i="37"/>
  <c r="C368" i="37"/>
  <c r="L367" i="37"/>
  <c r="J367" i="37"/>
  <c r="I367" i="37"/>
  <c r="C367" i="37"/>
  <c r="L366" i="37"/>
  <c r="J366" i="37"/>
  <c r="I366" i="37"/>
  <c r="C366" i="37"/>
  <c r="L365" i="37"/>
  <c r="J365" i="37"/>
  <c r="I365" i="37"/>
  <c r="C365" i="37"/>
  <c r="L364" i="37"/>
  <c r="J364" i="37"/>
  <c r="I364" i="37"/>
  <c r="C364" i="37"/>
  <c r="L363" i="37"/>
  <c r="J363" i="37"/>
  <c r="I363" i="37"/>
  <c r="C363" i="37"/>
  <c r="L362" i="37"/>
  <c r="J362" i="37"/>
  <c r="I362" i="37"/>
  <c r="C362" i="37"/>
  <c r="L361" i="37"/>
  <c r="J361" i="37"/>
  <c r="I361" i="37"/>
  <c r="C361" i="37"/>
  <c r="L360" i="37"/>
  <c r="J360" i="37"/>
  <c r="I360" i="37"/>
  <c r="C360" i="37"/>
  <c r="L359" i="37"/>
  <c r="J359" i="37"/>
  <c r="I359" i="37"/>
  <c r="C359" i="37"/>
  <c r="L358" i="37"/>
  <c r="J358" i="37"/>
  <c r="I358" i="37"/>
  <c r="C358" i="37"/>
  <c r="L357" i="37"/>
  <c r="J357" i="37"/>
  <c r="I357" i="37"/>
  <c r="C357" i="37"/>
  <c r="L356" i="37"/>
  <c r="J356" i="37"/>
  <c r="I356" i="37"/>
  <c r="C356" i="37"/>
  <c r="L355" i="37"/>
  <c r="J355" i="37"/>
  <c r="I355" i="37"/>
  <c r="C355" i="37"/>
  <c r="L354" i="37"/>
  <c r="J354" i="37"/>
  <c r="I354" i="37"/>
  <c r="C354" i="37"/>
  <c r="L353" i="37"/>
  <c r="J353" i="37"/>
  <c r="I353" i="37"/>
  <c r="C353" i="37"/>
  <c r="L352" i="37"/>
  <c r="J352" i="37"/>
  <c r="I352" i="37"/>
  <c r="C352" i="37"/>
  <c r="L351" i="37"/>
  <c r="J351" i="37"/>
  <c r="I351" i="37"/>
  <c r="C351" i="37"/>
  <c r="L350" i="37"/>
  <c r="J350" i="37"/>
  <c r="I350" i="37"/>
  <c r="C350" i="37"/>
  <c r="L344" i="37"/>
  <c r="J344" i="37"/>
  <c r="I344" i="37"/>
  <c r="C344" i="37"/>
  <c r="L343" i="37"/>
  <c r="J343" i="37"/>
  <c r="I343" i="37"/>
  <c r="C343" i="37"/>
  <c r="L342" i="37"/>
  <c r="J342" i="37"/>
  <c r="I342" i="37"/>
  <c r="C342" i="37"/>
  <c r="L341" i="37"/>
  <c r="J341" i="37"/>
  <c r="I341" i="37"/>
  <c r="C341" i="37"/>
  <c r="L340" i="37"/>
  <c r="J340" i="37"/>
  <c r="I340" i="37"/>
  <c r="C340" i="37"/>
  <c r="L339" i="37"/>
  <c r="J339" i="37"/>
  <c r="I339" i="37"/>
  <c r="C339" i="37"/>
  <c r="L338" i="37"/>
  <c r="J338" i="37"/>
  <c r="I338" i="37"/>
  <c r="C338" i="37"/>
  <c r="L337" i="37"/>
  <c r="J337" i="37"/>
  <c r="I337" i="37"/>
  <c r="C337" i="37"/>
  <c r="L336" i="37"/>
  <c r="J336" i="37"/>
  <c r="I336" i="37"/>
  <c r="C336" i="37"/>
  <c r="L335" i="37"/>
  <c r="L331" i="37"/>
  <c r="J331" i="37"/>
  <c r="I331" i="37"/>
  <c r="C331" i="37"/>
  <c r="L330" i="37"/>
  <c r="J330" i="37"/>
  <c r="I330" i="37"/>
  <c r="C330" i="37"/>
  <c r="L329" i="37"/>
  <c r="J329" i="37"/>
  <c r="I329" i="37"/>
  <c r="C329" i="37"/>
  <c r="L328" i="37"/>
  <c r="J328" i="37"/>
  <c r="I328" i="37"/>
  <c r="C328" i="37"/>
  <c r="L327" i="37"/>
  <c r="J327" i="37"/>
  <c r="I327" i="37"/>
  <c r="C327" i="37"/>
  <c r="L326" i="37"/>
  <c r="J326" i="37"/>
  <c r="I326" i="37"/>
  <c r="C326" i="37"/>
  <c r="L325" i="37"/>
  <c r="J325" i="37"/>
  <c r="I325" i="37"/>
  <c r="C325" i="37"/>
  <c r="L324" i="37"/>
  <c r="J324" i="37"/>
  <c r="I324" i="37"/>
  <c r="C324" i="37"/>
  <c r="L323" i="37"/>
  <c r="J323" i="37"/>
  <c r="I323" i="37"/>
  <c r="C323" i="37"/>
  <c r="L322" i="37"/>
  <c r="J322" i="37"/>
  <c r="I322" i="37"/>
  <c r="C322" i="37"/>
  <c r="L316" i="37"/>
  <c r="J316" i="37"/>
  <c r="I316" i="37"/>
  <c r="C316" i="37"/>
  <c r="L315" i="37"/>
  <c r="J315" i="37"/>
  <c r="I315" i="37"/>
  <c r="C315" i="37"/>
  <c r="L314" i="37"/>
  <c r="J314" i="37"/>
  <c r="I314" i="37"/>
  <c r="C314" i="37"/>
  <c r="L313" i="37"/>
  <c r="J313" i="37"/>
  <c r="I313" i="37"/>
  <c r="C313" i="37"/>
  <c r="L312" i="37"/>
  <c r="J312" i="37"/>
  <c r="I312" i="37"/>
  <c r="C312" i="37"/>
  <c r="L311" i="37"/>
  <c r="J311" i="37"/>
  <c r="I311" i="37"/>
  <c r="C311" i="37"/>
  <c r="L310" i="37"/>
  <c r="J310" i="37"/>
  <c r="I310" i="37"/>
  <c r="C310" i="37"/>
  <c r="L309" i="37"/>
  <c r="J309" i="37"/>
  <c r="I309" i="37"/>
  <c r="C309" i="37"/>
  <c r="L308" i="37"/>
  <c r="J308" i="37"/>
  <c r="I308" i="37"/>
  <c r="C308" i="37"/>
  <c r="L307" i="37"/>
  <c r="J307" i="37"/>
  <c r="I307" i="37"/>
  <c r="C307" i="37"/>
  <c r="L306" i="37"/>
  <c r="J306" i="37"/>
  <c r="I306" i="37"/>
  <c r="C306" i="37"/>
  <c r="L305" i="37"/>
  <c r="J305" i="37"/>
  <c r="I305" i="37"/>
  <c r="C305" i="37"/>
  <c r="L304" i="37"/>
  <c r="J304" i="37"/>
  <c r="I304" i="37"/>
  <c r="C304" i="37"/>
  <c r="L303" i="37"/>
  <c r="J303" i="37"/>
  <c r="I303" i="37"/>
  <c r="C303" i="37"/>
  <c r="L302" i="37"/>
  <c r="J302" i="37"/>
  <c r="I302" i="37"/>
  <c r="C302" i="37"/>
  <c r="L301" i="37"/>
  <c r="J301" i="37"/>
  <c r="I301" i="37"/>
  <c r="C301" i="37"/>
  <c r="L300" i="37"/>
  <c r="J300" i="37"/>
  <c r="I300" i="37"/>
  <c r="C300" i="37"/>
  <c r="L299" i="37"/>
  <c r="J299" i="37"/>
  <c r="I299" i="37"/>
  <c r="C299" i="37"/>
  <c r="L298" i="37"/>
  <c r="J298" i="37"/>
  <c r="I298" i="37"/>
  <c r="C298" i="37"/>
  <c r="L297" i="37"/>
  <c r="J297" i="37"/>
  <c r="I297" i="37"/>
  <c r="C297" i="37"/>
  <c r="I275" i="37"/>
  <c r="J275" i="37"/>
  <c r="L275" i="37"/>
  <c r="I276" i="37"/>
  <c r="J276" i="37"/>
  <c r="L276" i="37"/>
  <c r="I277" i="37"/>
  <c r="J277" i="37"/>
  <c r="L277" i="37"/>
  <c r="I278" i="37"/>
  <c r="J278" i="37"/>
  <c r="L278" i="37"/>
  <c r="I279" i="37"/>
  <c r="J279" i="37"/>
  <c r="L279" i="37"/>
  <c r="I280" i="37"/>
  <c r="J280" i="37"/>
  <c r="L280" i="37"/>
  <c r="I281" i="37"/>
  <c r="J281" i="37"/>
  <c r="L281" i="37"/>
  <c r="I282" i="37"/>
  <c r="J282" i="37"/>
  <c r="L282" i="37"/>
  <c r="I283" i="37"/>
  <c r="J283" i="37"/>
  <c r="L283" i="37"/>
  <c r="I284" i="37"/>
  <c r="J284" i="37"/>
  <c r="L284" i="37"/>
  <c r="I285" i="37"/>
  <c r="J285" i="37"/>
  <c r="L285" i="37"/>
  <c r="I286" i="37"/>
  <c r="J286" i="37"/>
  <c r="L286" i="37"/>
  <c r="I287" i="37"/>
  <c r="J287" i="37"/>
  <c r="L287" i="37"/>
  <c r="I288" i="37"/>
  <c r="J288" i="37"/>
  <c r="L288" i="37"/>
  <c r="I289" i="37"/>
  <c r="J289" i="37"/>
  <c r="L289" i="37"/>
  <c r="I290" i="37"/>
  <c r="J290" i="37"/>
  <c r="L290" i="37"/>
  <c r="I291" i="37"/>
  <c r="J291" i="37"/>
  <c r="L291" i="37"/>
  <c r="I292" i="37"/>
  <c r="J292" i="37"/>
  <c r="L292" i="37"/>
  <c r="I293" i="37"/>
  <c r="J293" i="37"/>
  <c r="L293" i="37"/>
  <c r="C275" i="37"/>
  <c r="C276" i="37"/>
  <c r="C277" i="37"/>
  <c r="C278" i="37"/>
  <c r="C279" i="37"/>
  <c r="C280" i="37"/>
  <c r="C281" i="37"/>
  <c r="C282" i="37"/>
  <c r="C283" i="37"/>
  <c r="C284" i="37"/>
  <c r="C285" i="37"/>
  <c r="C286" i="37"/>
  <c r="C287" i="37"/>
  <c r="C288" i="37"/>
  <c r="C289" i="37"/>
  <c r="C290" i="37"/>
  <c r="C291" i="37"/>
  <c r="C292" i="37"/>
  <c r="C293" i="37"/>
  <c r="J274" i="37"/>
  <c r="I274" i="37"/>
  <c r="C274" i="37"/>
  <c r="L268" i="37"/>
  <c r="J268" i="37"/>
  <c r="I268" i="37"/>
  <c r="C268" i="37"/>
  <c r="L267" i="37"/>
  <c r="J267" i="37"/>
  <c r="I267" i="37"/>
  <c r="C267" i="37"/>
  <c r="L266" i="37"/>
  <c r="J266" i="37"/>
  <c r="I266" i="37"/>
  <c r="C266" i="37"/>
  <c r="L265" i="37"/>
  <c r="J265" i="37"/>
  <c r="I265" i="37"/>
  <c r="C265" i="37"/>
  <c r="L264" i="37"/>
  <c r="J264" i="37"/>
  <c r="I264" i="37"/>
  <c r="C264" i="37"/>
  <c r="L263" i="37"/>
  <c r="J263" i="37"/>
  <c r="I263" i="37"/>
  <c r="C263" i="37"/>
  <c r="L262" i="37"/>
  <c r="J262" i="37"/>
  <c r="I262" i="37"/>
  <c r="C262" i="37"/>
  <c r="L261" i="37"/>
  <c r="J261" i="37"/>
  <c r="I261" i="37"/>
  <c r="C261" i="37"/>
  <c r="L260" i="37"/>
  <c r="J260" i="37"/>
  <c r="I260" i="37"/>
  <c r="C260" i="37"/>
  <c r="L259" i="37"/>
  <c r="J259" i="37"/>
  <c r="I259" i="37"/>
  <c r="C259" i="37"/>
  <c r="L258" i="37"/>
  <c r="J258" i="37"/>
  <c r="I258" i="37"/>
  <c r="C258" i="37"/>
  <c r="L257" i="37"/>
  <c r="J257" i="37"/>
  <c r="I257" i="37"/>
  <c r="C257" i="37"/>
  <c r="L256" i="37"/>
  <c r="J256" i="37"/>
  <c r="I256" i="37"/>
  <c r="C256" i="37"/>
  <c r="L255" i="37"/>
  <c r="J255" i="37"/>
  <c r="I255" i="37"/>
  <c r="C255" i="37"/>
  <c r="L254" i="37"/>
  <c r="J254" i="37"/>
  <c r="I254" i="37"/>
  <c r="C254" i="37"/>
  <c r="L253" i="37"/>
  <c r="J253" i="37"/>
  <c r="I253" i="37"/>
  <c r="C253" i="37"/>
  <c r="L252" i="37"/>
  <c r="J252" i="37"/>
  <c r="I252" i="37"/>
  <c r="C252" i="37"/>
  <c r="L251" i="37"/>
  <c r="J251" i="37"/>
  <c r="I251" i="37"/>
  <c r="C251" i="37"/>
  <c r="L250" i="37"/>
  <c r="J250" i="37"/>
  <c r="I250" i="37"/>
  <c r="C250" i="37"/>
  <c r="L249" i="37"/>
  <c r="J249" i="37"/>
  <c r="I249" i="37"/>
  <c r="C249" i="37"/>
  <c r="L248" i="37"/>
  <c r="J248" i="37"/>
  <c r="I248" i="37"/>
  <c r="C248" i="37"/>
  <c r="L247" i="37"/>
  <c r="J247" i="37"/>
  <c r="I247" i="37"/>
  <c r="C247" i="37"/>
  <c r="L246" i="37"/>
  <c r="J246" i="37"/>
  <c r="I246" i="37"/>
  <c r="C246" i="37"/>
  <c r="L245" i="37"/>
  <c r="J245" i="37"/>
  <c r="I245" i="37"/>
  <c r="C245" i="37"/>
  <c r="L244" i="37"/>
  <c r="J244" i="37"/>
  <c r="I244" i="37"/>
  <c r="C244" i="37"/>
  <c r="L243" i="37"/>
  <c r="J243" i="37"/>
  <c r="I243" i="37"/>
  <c r="C243" i="37"/>
  <c r="L242" i="37"/>
  <c r="J242" i="37"/>
  <c r="I242" i="37"/>
  <c r="C242" i="37"/>
  <c r="L241" i="37"/>
  <c r="J241" i="37"/>
  <c r="I241" i="37"/>
  <c r="C241" i="37"/>
  <c r="L240" i="37"/>
  <c r="J240" i="37"/>
  <c r="I240" i="37"/>
  <c r="C240" i="37"/>
  <c r="L239" i="37"/>
  <c r="J239" i="37"/>
  <c r="I239" i="37"/>
  <c r="C239" i="37"/>
  <c r="L238" i="37"/>
  <c r="J238" i="37"/>
  <c r="I238" i="37"/>
  <c r="C238" i="37"/>
  <c r="L237" i="37"/>
  <c r="J237" i="37"/>
  <c r="I237" i="37"/>
  <c r="C237" i="37"/>
  <c r="L236" i="37"/>
  <c r="J236" i="37"/>
  <c r="I236" i="37"/>
  <c r="C236" i="37"/>
  <c r="L235" i="37"/>
  <c r="J235" i="37"/>
  <c r="I235" i="37"/>
  <c r="C235" i="37"/>
  <c r="L234" i="37"/>
  <c r="J234" i="37"/>
  <c r="I234" i="37"/>
  <c r="C234" i="37"/>
  <c r="L233" i="37"/>
  <c r="J233" i="37"/>
  <c r="I233" i="37"/>
  <c r="C233" i="37"/>
  <c r="L232" i="37"/>
  <c r="J232" i="37"/>
  <c r="I232" i="37"/>
  <c r="C232" i="37"/>
  <c r="L231" i="37"/>
  <c r="J231" i="37"/>
  <c r="I231" i="37"/>
  <c r="C231" i="37"/>
  <c r="L230" i="37"/>
  <c r="J230" i="37"/>
  <c r="I230" i="37"/>
  <c r="C230" i="37"/>
  <c r="L229" i="37"/>
  <c r="J229" i="37"/>
  <c r="I229" i="37"/>
  <c r="C229" i="37"/>
  <c r="L228" i="37"/>
  <c r="J228" i="37"/>
  <c r="I228" i="37"/>
  <c r="C228" i="37"/>
  <c r="L227" i="37"/>
  <c r="J227" i="37"/>
  <c r="I227" i="37"/>
  <c r="C227" i="37"/>
  <c r="L226" i="37"/>
  <c r="J226" i="37"/>
  <c r="I226" i="37"/>
  <c r="C226" i="37"/>
  <c r="L225" i="37"/>
  <c r="J225" i="37"/>
  <c r="I225" i="37"/>
  <c r="C225" i="37"/>
  <c r="L224" i="37"/>
  <c r="J224" i="37"/>
  <c r="I224" i="37"/>
  <c r="C224" i="37"/>
  <c r="L223" i="37"/>
  <c r="J223" i="37"/>
  <c r="I223" i="37"/>
  <c r="C223" i="37"/>
  <c r="L222" i="37"/>
  <c r="J222" i="37"/>
  <c r="I222" i="37"/>
  <c r="C222" i="37"/>
  <c r="L221" i="37"/>
  <c r="J221" i="37"/>
  <c r="I221" i="37"/>
  <c r="C221" i="37"/>
  <c r="L220" i="37"/>
  <c r="J220" i="37"/>
  <c r="I220" i="37"/>
  <c r="C220" i="37"/>
  <c r="L219" i="37"/>
  <c r="J219" i="37"/>
  <c r="I219" i="37"/>
  <c r="C219" i="37"/>
  <c r="I167" i="37"/>
  <c r="J167" i="37"/>
  <c r="L167" i="37"/>
  <c r="I168" i="37"/>
  <c r="J168" i="37"/>
  <c r="L168" i="37"/>
  <c r="I169" i="37"/>
  <c r="J169" i="37"/>
  <c r="L169" i="37"/>
  <c r="I170" i="37"/>
  <c r="J170" i="37"/>
  <c r="L170" i="37"/>
  <c r="I171" i="37"/>
  <c r="J171" i="37"/>
  <c r="L171" i="37"/>
  <c r="I172" i="37"/>
  <c r="J172" i="37"/>
  <c r="L172" i="37"/>
  <c r="I173" i="37"/>
  <c r="J173" i="37"/>
  <c r="L173" i="37"/>
  <c r="I174" i="37"/>
  <c r="J174" i="37"/>
  <c r="L174" i="37"/>
  <c r="I175" i="37"/>
  <c r="J175" i="37"/>
  <c r="L175" i="37"/>
  <c r="I176" i="37"/>
  <c r="J176" i="37"/>
  <c r="L176" i="37"/>
  <c r="I177" i="37"/>
  <c r="J177" i="37"/>
  <c r="L177" i="37"/>
  <c r="I178" i="37"/>
  <c r="J178" i="37"/>
  <c r="L178" i="37"/>
  <c r="I179" i="37"/>
  <c r="J179" i="37"/>
  <c r="L179" i="37"/>
  <c r="I180" i="37"/>
  <c r="J180" i="37"/>
  <c r="L180" i="37"/>
  <c r="I181" i="37"/>
  <c r="J181" i="37"/>
  <c r="L181" i="37"/>
  <c r="I182" i="37"/>
  <c r="J182" i="37"/>
  <c r="L182" i="37"/>
  <c r="I183" i="37"/>
  <c r="J183" i="37"/>
  <c r="L183" i="37"/>
  <c r="I184" i="37"/>
  <c r="J184" i="37"/>
  <c r="L184" i="37"/>
  <c r="I185" i="37"/>
  <c r="J185" i="37"/>
  <c r="L185" i="37"/>
  <c r="I186" i="37"/>
  <c r="J186" i="37"/>
  <c r="L186" i="37"/>
  <c r="I187" i="37"/>
  <c r="J187" i="37"/>
  <c r="L187" i="37"/>
  <c r="I188" i="37"/>
  <c r="J188" i="37"/>
  <c r="L188" i="37"/>
  <c r="I189" i="37"/>
  <c r="J189" i="37"/>
  <c r="L189" i="37"/>
  <c r="I190" i="37"/>
  <c r="J190" i="37"/>
  <c r="L190" i="37"/>
  <c r="I191" i="37"/>
  <c r="J191" i="37"/>
  <c r="L191" i="37"/>
  <c r="I192" i="37"/>
  <c r="J192" i="37"/>
  <c r="L192" i="37"/>
  <c r="I193" i="37"/>
  <c r="J193" i="37"/>
  <c r="L193" i="37"/>
  <c r="I194" i="37"/>
  <c r="J194" i="37"/>
  <c r="L194" i="37"/>
  <c r="I195" i="37"/>
  <c r="J195" i="37"/>
  <c r="L195" i="37"/>
  <c r="I196" i="37"/>
  <c r="J196" i="37"/>
  <c r="L196" i="37"/>
  <c r="I197" i="37"/>
  <c r="J197" i="37"/>
  <c r="L197" i="37"/>
  <c r="I198" i="37"/>
  <c r="J198" i="37"/>
  <c r="L198" i="37"/>
  <c r="I199" i="37"/>
  <c r="J199" i="37"/>
  <c r="L199" i="37"/>
  <c r="I200" i="37"/>
  <c r="J200" i="37"/>
  <c r="L200" i="37"/>
  <c r="I201" i="37"/>
  <c r="J201" i="37"/>
  <c r="L201" i="37"/>
  <c r="I202" i="37"/>
  <c r="J202" i="37"/>
  <c r="L202" i="37"/>
  <c r="I203" i="37"/>
  <c r="J203" i="37"/>
  <c r="L203" i="37"/>
  <c r="I204" i="37"/>
  <c r="J204" i="37"/>
  <c r="L204" i="37"/>
  <c r="I205" i="37"/>
  <c r="J205" i="37"/>
  <c r="L205" i="37"/>
  <c r="I206" i="37"/>
  <c r="J206" i="37"/>
  <c r="L206" i="37"/>
  <c r="I207" i="37"/>
  <c r="J207" i="37"/>
  <c r="L207" i="37"/>
  <c r="I208" i="37"/>
  <c r="J208" i="37"/>
  <c r="L208" i="37"/>
  <c r="I209" i="37"/>
  <c r="J209" i="37"/>
  <c r="L209" i="37"/>
  <c r="I210" i="37"/>
  <c r="J210" i="37"/>
  <c r="L210" i="37"/>
  <c r="I211" i="37"/>
  <c r="J211" i="37"/>
  <c r="L211" i="37"/>
  <c r="I212" i="37"/>
  <c r="J212" i="37"/>
  <c r="L212" i="37"/>
  <c r="I213" i="37"/>
  <c r="J213" i="37"/>
  <c r="L213" i="37"/>
  <c r="I214" i="37"/>
  <c r="J214" i="37"/>
  <c r="L214" i="37"/>
  <c r="I215" i="37"/>
  <c r="J215" i="37"/>
  <c r="L215" i="37"/>
  <c r="C167" i="37"/>
  <c r="C168" i="37"/>
  <c r="C169" i="37"/>
  <c r="C170" i="37"/>
  <c r="C171" i="37"/>
  <c r="C172" i="37"/>
  <c r="C173" i="37"/>
  <c r="C174" i="37"/>
  <c r="C175" i="37"/>
  <c r="C176" i="37"/>
  <c r="C177" i="37"/>
  <c r="C178" i="37"/>
  <c r="C179" i="37"/>
  <c r="C180" i="37"/>
  <c r="C181" i="37"/>
  <c r="C182" i="37"/>
  <c r="C183" i="37"/>
  <c r="C184" i="37"/>
  <c r="C185" i="37"/>
  <c r="C186" i="37"/>
  <c r="C187" i="37"/>
  <c r="C188" i="37"/>
  <c r="C189" i="37"/>
  <c r="C190" i="37"/>
  <c r="C191" i="37"/>
  <c r="C192" i="37"/>
  <c r="C193" i="37"/>
  <c r="C194" i="37"/>
  <c r="C195" i="37"/>
  <c r="C196" i="37"/>
  <c r="C197" i="37"/>
  <c r="C198" i="37"/>
  <c r="C199" i="37"/>
  <c r="C200" i="37"/>
  <c r="C201" i="37"/>
  <c r="C202" i="37"/>
  <c r="C203" i="37"/>
  <c r="C204" i="37"/>
  <c r="C205" i="37"/>
  <c r="C206" i="37"/>
  <c r="C207" i="37"/>
  <c r="C208" i="37"/>
  <c r="C209" i="37"/>
  <c r="C210" i="37"/>
  <c r="C211" i="37"/>
  <c r="C212" i="37"/>
  <c r="C213" i="37"/>
  <c r="C214" i="37"/>
  <c r="C215" i="37"/>
  <c r="L166" i="37"/>
  <c r="J166" i="37"/>
  <c r="I166" i="37"/>
  <c r="C166" i="37"/>
  <c r="L160" i="37"/>
  <c r="J160" i="37"/>
  <c r="I160" i="37"/>
  <c r="C160" i="37"/>
  <c r="L159" i="37"/>
  <c r="J159" i="37"/>
  <c r="I159" i="37"/>
  <c r="C159" i="37"/>
  <c r="L158" i="37"/>
  <c r="J158" i="37"/>
  <c r="I158" i="37"/>
  <c r="C158" i="37"/>
  <c r="L157" i="37"/>
  <c r="J157" i="37"/>
  <c r="I157" i="37"/>
  <c r="C157" i="37"/>
  <c r="L156" i="37"/>
  <c r="J156" i="37"/>
  <c r="I156" i="37"/>
  <c r="C156" i="37"/>
  <c r="L155" i="37"/>
  <c r="J155" i="37"/>
  <c r="I155" i="37"/>
  <c r="C155" i="37"/>
  <c r="L154" i="37"/>
  <c r="J154" i="37"/>
  <c r="I154" i="37"/>
  <c r="C154" i="37"/>
  <c r="L153" i="37"/>
  <c r="J153" i="37"/>
  <c r="I153" i="37"/>
  <c r="C153" i="37"/>
  <c r="L152" i="37"/>
  <c r="J152" i="37"/>
  <c r="I152" i="37"/>
  <c r="C152" i="37"/>
  <c r="L151" i="37"/>
  <c r="J151" i="37"/>
  <c r="I151" i="37"/>
  <c r="C151" i="37"/>
  <c r="L150" i="37"/>
  <c r="J150" i="37"/>
  <c r="I150" i="37"/>
  <c r="C150" i="37"/>
  <c r="L149" i="37"/>
  <c r="J149" i="37"/>
  <c r="I149" i="37"/>
  <c r="C149" i="37"/>
  <c r="L148" i="37"/>
  <c r="J148" i="37"/>
  <c r="I148" i="37"/>
  <c r="C148" i="37"/>
  <c r="L147" i="37"/>
  <c r="J147" i="37"/>
  <c r="I147" i="37"/>
  <c r="C147" i="37"/>
  <c r="L146" i="37"/>
  <c r="J146" i="37"/>
  <c r="I146" i="37"/>
  <c r="C146" i="37"/>
  <c r="L145" i="37"/>
  <c r="J145" i="37"/>
  <c r="I145" i="37"/>
  <c r="C145" i="37"/>
  <c r="L144" i="37"/>
  <c r="J144" i="37"/>
  <c r="I144" i="37"/>
  <c r="C144" i="37"/>
  <c r="L143" i="37"/>
  <c r="J143" i="37"/>
  <c r="I143" i="37"/>
  <c r="C143" i="37"/>
  <c r="L142" i="37"/>
  <c r="J142" i="37"/>
  <c r="I142" i="37"/>
  <c r="C142" i="37"/>
  <c r="L141" i="37"/>
  <c r="J141" i="37"/>
  <c r="I141" i="37"/>
  <c r="C141" i="37"/>
  <c r="I119" i="37"/>
  <c r="J119" i="37"/>
  <c r="L119" i="37"/>
  <c r="I120" i="37"/>
  <c r="J120" i="37"/>
  <c r="L120" i="37"/>
  <c r="I121" i="37"/>
  <c r="J121" i="37"/>
  <c r="L121" i="37"/>
  <c r="I122" i="37"/>
  <c r="J122" i="37"/>
  <c r="L122" i="37"/>
  <c r="I123" i="37"/>
  <c r="J123" i="37"/>
  <c r="L123" i="37"/>
  <c r="I124" i="37"/>
  <c r="J124" i="37"/>
  <c r="L124" i="37"/>
  <c r="I125" i="37"/>
  <c r="J125" i="37"/>
  <c r="L125" i="37"/>
  <c r="I126" i="37"/>
  <c r="J126" i="37"/>
  <c r="L126" i="37"/>
  <c r="I127" i="37"/>
  <c r="J127" i="37"/>
  <c r="L127" i="37"/>
  <c r="I128" i="37"/>
  <c r="J128" i="37"/>
  <c r="L128" i="37"/>
  <c r="I129" i="37"/>
  <c r="J129" i="37"/>
  <c r="L129" i="37"/>
  <c r="I130" i="37"/>
  <c r="J130" i="37"/>
  <c r="L130" i="37"/>
  <c r="I131" i="37"/>
  <c r="J131" i="37"/>
  <c r="L131" i="37"/>
  <c r="I132" i="37"/>
  <c r="J132" i="37"/>
  <c r="L132" i="37"/>
  <c r="I133" i="37"/>
  <c r="J133" i="37"/>
  <c r="L133" i="37"/>
  <c r="I134" i="37"/>
  <c r="J134" i="37"/>
  <c r="L134" i="37"/>
  <c r="I135" i="37"/>
  <c r="J135" i="37"/>
  <c r="L135" i="37"/>
  <c r="I136" i="37"/>
  <c r="J136" i="37"/>
  <c r="L136" i="37"/>
  <c r="I137" i="37"/>
  <c r="J137" i="37"/>
  <c r="L137" i="37"/>
  <c r="C119" i="37"/>
  <c r="C120" i="37"/>
  <c r="C121" i="37"/>
  <c r="C122" i="37"/>
  <c r="C123" i="37"/>
  <c r="C124" i="37"/>
  <c r="C125" i="37"/>
  <c r="C126" i="37"/>
  <c r="C127" i="37"/>
  <c r="C128" i="37"/>
  <c r="C129" i="37"/>
  <c r="C130" i="37"/>
  <c r="C131" i="37"/>
  <c r="C132" i="37"/>
  <c r="C133" i="37"/>
  <c r="C134" i="37"/>
  <c r="C135" i="37"/>
  <c r="C136" i="37"/>
  <c r="C137" i="37"/>
  <c r="L118" i="37"/>
  <c r="J118" i="37"/>
  <c r="I118" i="37"/>
  <c r="C118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11" i="37"/>
  <c r="C12" i="37"/>
  <c r="C13" i="37"/>
  <c r="C14" i="37"/>
  <c r="C15" i="37"/>
  <c r="C16" i="37"/>
  <c r="C17" i="37"/>
  <c r="C18" i="37"/>
  <c r="C19" i="37"/>
  <c r="C20" i="37"/>
  <c r="C21" i="37"/>
  <c r="C22" i="37"/>
  <c r="C23" i="37"/>
  <c r="C24" i="37"/>
  <c r="C25" i="37"/>
  <c r="C26" i="37"/>
  <c r="C27" i="37"/>
  <c r="C28" i="37"/>
  <c r="C29" i="37"/>
  <c r="C30" i="37"/>
  <c r="C31" i="37"/>
  <c r="C32" i="37"/>
  <c r="C33" i="37"/>
  <c r="C34" i="37"/>
  <c r="C35" i="37"/>
  <c r="C36" i="37"/>
  <c r="C37" i="37"/>
  <c r="C38" i="37"/>
  <c r="C39" i="37"/>
  <c r="C40" i="37"/>
  <c r="C41" i="37"/>
  <c r="C42" i="37"/>
  <c r="C43" i="37"/>
  <c r="C44" i="37"/>
  <c r="C45" i="37"/>
  <c r="C46" i="37"/>
  <c r="C47" i="37"/>
  <c r="C48" i="37"/>
  <c r="C49" i="37"/>
  <c r="C50" i="37"/>
  <c r="C51" i="37"/>
  <c r="C52" i="37"/>
  <c r="C53" i="37"/>
  <c r="C54" i="37"/>
  <c r="C55" i="37"/>
  <c r="C56" i="37"/>
  <c r="C57" i="37"/>
  <c r="C58" i="37"/>
  <c r="C59" i="37"/>
  <c r="L112" i="37"/>
  <c r="J112" i="37"/>
  <c r="I112" i="37"/>
  <c r="L111" i="37"/>
  <c r="J111" i="37"/>
  <c r="I111" i="37"/>
  <c r="L110" i="37"/>
  <c r="J110" i="37"/>
  <c r="I110" i="37"/>
  <c r="L109" i="37"/>
  <c r="J109" i="37"/>
  <c r="I109" i="37"/>
  <c r="L108" i="37"/>
  <c r="J108" i="37"/>
  <c r="I108" i="37"/>
  <c r="L107" i="37"/>
  <c r="J107" i="37"/>
  <c r="I107" i="37"/>
  <c r="L106" i="37"/>
  <c r="J106" i="37"/>
  <c r="I106" i="37"/>
  <c r="L105" i="37"/>
  <c r="J105" i="37"/>
  <c r="I105" i="37"/>
  <c r="L104" i="37"/>
  <c r="J104" i="37"/>
  <c r="I104" i="37"/>
  <c r="L103" i="37"/>
  <c r="J103" i="37"/>
  <c r="I103" i="37"/>
  <c r="L102" i="37"/>
  <c r="J102" i="37"/>
  <c r="I102" i="37"/>
  <c r="L101" i="37"/>
  <c r="J101" i="37"/>
  <c r="I101" i="37"/>
  <c r="L100" i="37"/>
  <c r="J100" i="37"/>
  <c r="I100" i="37"/>
  <c r="L99" i="37"/>
  <c r="J99" i="37"/>
  <c r="I99" i="37"/>
  <c r="L98" i="37"/>
  <c r="J98" i="37"/>
  <c r="I98" i="37"/>
  <c r="L97" i="37"/>
  <c r="J97" i="37"/>
  <c r="I97" i="37"/>
  <c r="L96" i="37"/>
  <c r="J96" i="37"/>
  <c r="I96" i="37"/>
  <c r="L95" i="37"/>
  <c r="J95" i="37"/>
  <c r="I95" i="37"/>
  <c r="L94" i="37"/>
  <c r="J94" i="37"/>
  <c r="I94" i="37"/>
  <c r="L93" i="37"/>
  <c r="J93" i="37"/>
  <c r="I93" i="37"/>
  <c r="L92" i="37"/>
  <c r="J92" i="37"/>
  <c r="I92" i="37"/>
  <c r="L91" i="37"/>
  <c r="J91" i="37"/>
  <c r="I91" i="37"/>
  <c r="L90" i="37"/>
  <c r="J90" i="37"/>
  <c r="I90" i="37"/>
  <c r="L89" i="37"/>
  <c r="J89" i="37"/>
  <c r="I89" i="37"/>
  <c r="L88" i="37"/>
  <c r="J88" i="37"/>
  <c r="I88" i="37"/>
  <c r="L87" i="37"/>
  <c r="J87" i="37"/>
  <c r="I87" i="37"/>
  <c r="L86" i="37"/>
  <c r="J86" i="37"/>
  <c r="I86" i="37"/>
  <c r="L85" i="37"/>
  <c r="J85" i="37"/>
  <c r="I85" i="37"/>
  <c r="L84" i="37"/>
  <c r="J84" i="37"/>
  <c r="I84" i="37"/>
  <c r="L83" i="37"/>
  <c r="J83" i="37"/>
  <c r="I83" i="37"/>
  <c r="L82" i="37"/>
  <c r="J82" i="37"/>
  <c r="I82" i="37"/>
  <c r="L81" i="37"/>
  <c r="J81" i="37"/>
  <c r="I81" i="37"/>
  <c r="L80" i="37"/>
  <c r="J80" i="37"/>
  <c r="I80" i="37"/>
  <c r="L79" i="37"/>
  <c r="J79" i="37"/>
  <c r="I79" i="37"/>
  <c r="L78" i="37"/>
  <c r="J78" i="37"/>
  <c r="I78" i="37"/>
  <c r="L77" i="37"/>
  <c r="J77" i="37"/>
  <c r="I77" i="37"/>
  <c r="L76" i="37"/>
  <c r="J76" i="37"/>
  <c r="I76" i="37"/>
  <c r="L75" i="37"/>
  <c r="J75" i="37"/>
  <c r="I75" i="37"/>
  <c r="L74" i="37"/>
  <c r="J74" i="37"/>
  <c r="I74" i="37"/>
  <c r="L73" i="37"/>
  <c r="J73" i="37"/>
  <c r="I73" i="37"/>
  <c r="L72" i="37"/>
  <c r="J72" i="37"/>
  <c r="I72" i="37"/>
  <c r="L71" i="37"/>
  <c r="J71" i="37"/>
  <c r="I71" i="37"/>
  <c r="L70" i="37"/>
  <c r="J70" i="37"/>
  <c r="I70" i="37"/>
  <c r="L69" i="37"/>
  <c r="J69" i="37"/>
  <c r="I69" i="37"/>
  <c r="L68" i="37"/>
  <c r="J68" i="37"/>
  <c r="I68" i="37"/>
  <c r="L67" i="37"/>
  <c r="J67" i="37"/>
  <c r="I67" i="37"/>
  <c r="L66" i="37"/>
  <c r="J66" i="37"/>
  <c r="I66" i="37"/>
  <c r="L65" i="37"/>
  <c r="J65" i="37"/>
  <c r="I65" i="37"/>
  <c r="L64" i="37"/>
  <c r="J64" i="37"/>
  <c r="I64" i="37"/>
  <c r="L63" i="37"/>
  <c r="J63" i="37"/>
  <c r="I63" i="37"/>
  <c r="I11" i="37"/>
  <c r="J11" i="37"/>
  <c r="L11" i="37"/>
  <c r="I12" i="37"/>
  <c r="J12" i="37"/>
  <c r="L12" i="37"/>
  <c r="I13" i="37"/>
  <c r="J13" i="37"/>
  <c r="L13" i="37"/>
  <c r="I14" i="37"/>
  <c r="J14" i="37"/>
  <c r="L14" i="37"/>
  <c r="I15" i="37"/>
  <c r="J15" i="37"/>
  <c r="L15" i="37"/>
  <c r="I16" i="37"/>
  <c r="J16" i="37"/>
  <c r="L16" i="37"/>
  <c r="I17" i="37"/>
  <c r="J17" i="37"/>
  <c r="L17" i="37"/>
  <c r="I18" i="37"/>
  <c r="J18" i="37"/>
  <c r="L18" i="37"/>
  <c r="I19" i="37"/>
  <c r="J19" i="37"/>
  <c r="L19" i="37"/>
  <c r="I20" i="37"/>
  <c r="J20" i="37"/>
  <c r="L20" i="37"/>
  <c r="I21" i="37"/>
  <c r="J21" i="37"/>
  <c r="L21" i="37"/>
  <c r="I22" i="37"/>
  <c r="J22" i="37"/>
  <c r="L22" i="37"/>
  <c r="I23" i="37"/>
  <c r="J23" i="37"/>
  <c r="L23" i="37"/>
  <c r="I24" i="37"/>
  <c r="J24" i="37"/>
  <c r="L24" i="37"/>
  <c r="I25" i="37"/>
  <c r="J25" i="37"/>
  <c r="L25" i="37"/>
  <c r="I26" i="37"/>
  <c r="J26" i="37"/>
  <c r="L26" i="37"/>
  <c r="I27" i="37"/>
  <c r="J27" i="37"/>
  <c r="L27" i="37"/>
  <c r="I28" i="37"/>
  <c r="J28" i="37"/>
  <c r="L28" i="37"/>
  <c r="I29" i="37"/>
  <c r="J29" i="37"/>
  <c r="L29" i="37"/>
  <c r="I30" i="37"/>
  <c r="J30" i="37"/>
  <c r="L30" i="37"/>
  <c r="I31" i="37"/>
  <c r="J31" i="37"/>
  <c r="L31" i="37"/>
  <c r="I32" i="37"/>
  <c r="J32" i="37"/>
  <c r="L32" i="37"/>
  <c r="I33" i="37"/>
  <c r="J33" i="37"/>
  <c r="L33" i="37"/>
  <c r="I34" i="37"/>
  <c r="J34" i="37"/>
  <c r="L34" i="37"/>
  <c r="I35" i="37"/>
  <c r="J35" i="37"/>
  <c r="L35" i="37"/>
  <c r="I36" i="37"/>
  <c r="J36" i="37"/>
  <c r="L36" i="37"/>
  <c r="I37" i="37"/>
  <c r="J37" i="37"/>
  <c r="L37" i="37"/>
  <c r="I38" i="37"/>
  <c r="J38" i="37"/>
  <c r="L38" i="37"/>
  <c r="I39" i="37"/>
  <c r="J39" i="37"/>
  <c r="L39" i="37"/>
  <c r="I40" i="37"/>
  <c r="J40" i="37"/>
  <c r="L40" i="37"/>
  <c r="I41" i="37"/>
  <c r="J41" i="37"/>
  <c r="L41" i="37"/>
  <c r="I42" i="37"/>
  <c r="J42" i="37"/>
  <c r="L42" i="37"/>
  <c r="I43" i="37"/>
  <c r="J43" i="37"/>
  <c r="L43" i="37"/>
  <c r="I44" i="37"/>
  <c r="J44" i="37"/>
  <c r="L44" i="37"/>
  <c r="I45" i="37"/>
  <c r="J45" i="37"/>
  <c r="L45" i="37"/>
  <c r="I46" i="37"/>
  <c r="J46" i="37"/>
  <c r="L46" i="37"/>
  <c r="I47" i="37"/>
  <c r="J47" i="37"/>
  <c r="L47" i="37"/>
  <c r="I48" i="37"/>
  <c r="J48" i="37"/>
  <c r="L48" i="37"/>
  <c r="I49" i="37"/>
  <c r="J49" i="37"/>
  <c r="L49" i="37"/>
  <c r="I50" i="37"/>
  <c r="J50" i="37"/>
  <c r="L50" i="37"/>
  <c r="I51" i="37"/>
  <c r="J51" i="37"/>
  <c r="L51" i="37"/>
  <c r="I52" i="37"/>
  <c r="J52" i="37"/>
  <c r="L52" i="37"/>
  <c r="I53" i="37"/>
  <c r="J53" i="37"/>
  <c r="L53" i="37"/>
  <c r="I54" i="37"/>
  <c r="J54" i="37"/>
  <c r="L54" i="37"/>
  <c r="I55" i="37"/>
  <c r="J55" i="37"/>
  <c r="L55" i="37"/>
  <c r="I56" i="37"/>
  <c r="J56" i="37"/>
  <c r="L56" i="37"/>
  <c r="I57" i="37"/>
  <c r="J57" i="37"/>
  <c r="L57" i="37"/>
  <c r="I58" i="37"/>
  <c r="J58" i="37"/>
  <c r="L58" i="37"/>
  <c r="I59" i="37"/>
  <c r="J59" i="37"/>
  <c r="L59" i="37"/>
  <c r="L10" i="37"/>
  <c r="J10" i="37"/>
  <c r="I10" i="37"/>
  <c r="M29" i="63" l="1"/>
  <c r="G18" i="8" s="1"/>
  <c r="N29" i="63"/>
  <c r="H18" i="8" s="1"/>
  <c r="N34" i="57"/>
  <c r="M34" i="55"/>
  <c r="K19" i="63"/>
  <c r="L19" i="63" s="1"/>
  <c r="K21" i="63"/>
  <c r="L21" i="63" s="1"/>
  <c r="K23" i="63"/>
  <c r="L23" i="63" s="1"/>
  <c r="K25" i="63"/>
  <c r="L25" i="63" s="1"/>
  <c r="K27" i="63"/>
  <c r="L27" i="63" s="1"/>
  <c r="K26" i="63"/>
  <c r="L26" i="63" s="1"/>
  <c r="K18" i="63"/>
  <c r="L18" i="63" s="1"/>
  <c r="K20" i="63"/>
  <c r="L20" i="63" s="1"/>
  <c r="K22" i="63"/>
  <c r="L22" i="63" s="1"/>
  <c r="K24" i="63"/>
  <c r="L24" i="63" s="1"/>
  <c r="K5" i="63"/>
  <c r="K6" i="63"/>
  <c r="L6" i="63" s="1"/>
  <c r="K7" i="63"/>
  <c r="L7" i="63" s="1"/>
  <c r="K8" i="63"/>
  <c r="L8" i="63" s="1"/>
  <c r="K9" i="63"/>
  <c r="L9" i="63" s="1"/>
  <c r="K10" i="63"/>
  <c r="L10" i="63" s="1"/>
  <c r="K11" i="63"/>
  <c r="L11" i="63" s="1"/>
  <c r="K12" i="63"/>
  <c r="L12" i="63" s="1"/>
  <c r="K13" i="63"/>
  <c r="L13" i="63" s="1"/>
  <c r="K14" i="63"/>
  <c r="L14" i="63" s="1"/>
  <c r="O34" i="57" l="1"/>
  <c r="N34" i="55"/>
  <c r="K15" i="63"/>
  <c r="K28" i="63"/>
  <c r="Q3" i="35" s="1"/>
  <c r="L28" i="63"/>
  <c r="L5" i="63"/>
  <c r="L15" i="63" s="1"/>
  <c r="P34" i="57" l="1"/>
  <c r="Q34" i="57" s="1"/>
  <c r="R34" i="57" s="1"/>
  <c r="S34" i="57" s="1"/>
  <c r="T34" i="57" s="1"/>
  <c r="U34" i="57" s="1"/>
  <c r="V34" i="57" s="1"/>
  <c r="W34" i="57" s="1"/>
  <c r="X34" i="57" s="1"/>
  <c r="Y34" i="57" s="1"/>
  <c r="Z34" i="57" s="1"/>
  <c r="AA34" i="57" s="1"/>
  <c r="AB34" i="57" s="1"/>
  <c r="AC34" i="57" s="1"/>
  <c r="O34" i="55"/>
  <c r="K40" i="63"/>
  <c r="O3" i="35"/>
  <c r="K29" i="63"/>
  <c r="L29" i="63"/>
  <c r="F18" i="8" s="1"/>
  <c r="L40" i="63"/>
  <c r="P34" i="55" l="1"/>
  <c r="Q34" i="55" s="1"/>
  <c r="K421" i="61"/>
  <c r="K440" i="37" s="1"/>
  <c r="K420" i="61"/>
  <c r="K439" i="37" s="1"/>
  <c r="K419" i="61"/>
  <c r="K438" i="37" s="1"/>
  <c r="K418" i="61"/>
  <c r="K437" i="37" s="1"/>
  <c r="K417" i="61"/>
  <c r="K436" i="37" s="1"/>
  <c r="K416" i="61"/>
  <c r="K435" i="37" s="1"/>
  <c r="K415" i="61"/>
  <c r="K434" i="37" s="1"/>
  <c r="K414" i="61"/>
  <c r="K433" i="37" s="1"/>
  <c r="K413" i="61"/>
  <c r="K432" i="37" s="1"/>
  <c r="K412" i="61"/>
  <c r="K431" i="37" s="1"/>
  <c r="K411" i="61"/>
  <c r="K430" i="37" s="1"/>
  <c r="K410" i="61"/>
  <c r="K429" i="37" s="1"/>
  <c r="K409" i="61"/>
  <c r="K428" i="37" s="1"/>
  <c r="K408" i="61"/>
  <c r="K427" i="37" s="1"/>
  <c r="K407" i="61"/>
  <c r="K426" i="37" s="1"/>
  <c r="K406" i="61"/>
  <c r="K425" i="37" s="1"/>
  <c r="K405" i="61"/>
  <c r="K424" i="37" s="1"/>
  <c r="K404" i="61"/>
  <c r="K423" i="37" s="1"/>
  <c r="K403" i="61"/>
  <c r="K422" i="37" s="1"/>
  <c r="K402" i="61"/>
  <c r="K421" i="37" s="1"/>
  <c r="K399" i="61"/>
  <c r="K417" i="37" s="1"/>
  <c r="K398" i="61"/>
  <c r="K416" i="37" s="1"/>
  <c r="K397" i="61"/>
  <c r="K415" i="37" s="1"/>
  <c r="K396" i="61"/>
  <c r="K414" i="37" s="1"/>
  <c r="K395" i="61"/>
  <c r="K413" i="37" s="1"/>
  <c r="K394" i="61"/>
  <c r="K412" i="37" s="1"/>
  <c r="K393" i="61"/>
  <c r="K411" i="37" s="1"/>
  <c r="K392" i="61"/>
  <c r="K410" i="37" s="1"/>
  <c r="K391" i="61"/>
  <c r="K409" i="37" s="1"/>
  <c r="K390" i="61"/>
  <c r="K408" i="37" s="1"/>
  <c r="K389" i="61"/>
  <c r="K407" i="37" s="1"/>
  <c r="K388" i="61"/>
  <c r="K406" i="37" s="1"/>
  <c r="K387" i="61"/>
  <c r="K405" i="37" s="1"/>
  <c r="K386" i="61"/>
  <c r="K404" i="37" s="1"/>
  <c r="K385" i="61"/>
  <c r="K403" i="37" s="1"/>
  <c r="K384" i="61"/>
  <c r="K402" i="37" s="1"/>
  <c r="K383" i="61"/>
  <c r="K401" i="37" s="1"/>
  <c r="K382" i="61"/>
  <c r="K400" i="37" s="1"/>
  <c r="K381" i="61"/>
  <c r="K399" i="37" s="1"/>
  <c r="K380" i="61"/>
  <c r="K398" i="37" s="1"/>
  <c r="K376" i="61"/>
  <c r="K392" i="37" s="1"/>
  <c r="K375" i="61"/>
  <c r="K391" i="37" s="1"/>
  <c r="K374" i="61"/>
  <c r="K390" i="37" s="1"/>
  <c r="K373" i="61"/>
  <c r="K389" i="37" s="1"/>
  <c r="K372" i="61"/>
  <c r="K388" i="37" s="1"/>
  <c r="K371" i="61"/>
  <c r="K387" i="37" s="1"/>
  <c r="K370" i="61"/>
  <c r="K386" i="37" s="1"/>
  <c r="K369" i="61"/>
  <c r="K385" i="37" s="1"/>
  <c r="K368" i="61"/>
  <c r="K384" i="37" s="1"/>
  <c r="K367" i="61"/>
  <c r="K383" i="37" s="1"/>
  <c r="K366" i="61"/>
  <c r="K382" i="37" s="1"/>
  <c r="K365" i="61"/>
  <c r="K381" i="37" s="1"/>
  <c r="K364" i="61"/>
  <c r="K380" i="37" s="1"/>
  <c r="K363" i="61"/>
  <c r="K379" i="37" s="1"/>
  <c r="K362" i="61"/>
  <c r="K378" i="37" s="1"/>
  <c r="K361" i="61"/>
  <c r="K377" i="37" s="1"/>
  <c r="K360" i="61"/>
  <c r="K376" i="37" s="1"/>
  <c r="K359" i="61"/>
  <c r="K375" i="37" s="1"/>
  <c r="K358" i="61"/>
  <c r="K374" i="37" s="1"/>
  <c r="K357" i="61"/>
  <c r="K373" i="37" s="1"/>
  <c r="K354" i="61"/>
  <c r="K369" i="37" s="1"/>
  <c r="K353" i="61"/>
  <c r="K368" i="37" s="1"/>
  <c r="K352" i="61"/>
  <c r="K367" i="37" s="1"/>
  <c r="K351" i="61"/>
  <c r="K366" i="37" s="1"/>
  <c r="K350" i="61"/>
  <c r="K365" i="37" s="1"/>
  <c r="K349" i="61"/>
  <c r="K364" i="37" s="1"/>
  <c r="K348" i="61"/>
  <c r="K363" i="37" s="1"/>
  <c r="K347" i="61"/>
  <c r="K362" i="37" s="1"/>
  <c r="K346" i="61"/>
  <c r="K361" i="37" s="1"/>
  <c r="K345" i="61"/>
  <c r="K360" i="37" s="1"/>
  <c r="K344" i="61"/>
  <c r="K359" i="37" s="1"/>
  <c r="K343" i="61"/>
  <c r="K358" i="37" s="1"/>
  <c r="K342" i="61"/>
  <c r="K357" i="37" s="1"/>
  <c r="K341" i="61"/>
  <c r="K356" i="37" s="1"/>
  <c r="K340" i="61"/>
  <c r="K355" i="37" s="1"/>
  <c r="K339" i="61"/>
  <c r="K354" i="37" s="1"/>
  <c r="K338" i="61"/>
  <c r="K353" i="37" s="1"/>
  <c r="K337" i="61"/>
  <c r="K352" i="37" s="1"/>
  <c r="K336" i="61"/>
  <c r="K351" i="37" s="1"/>
  <c r="K335" i="61"/>
  <c r="K350" i="37" s="1"/>
  <c r="K331" i="61"/>
  <c r="K344" i="37" s="1"/>
  <c r="K330" i="61"/>
  <c r="K343" i="37" s="1"/>
  <c r="K329" i="61"/>
  <c r="K342" i="37" s="1"/>
  <c r="K328" i="61"/>
  <c r="K341" i="37" s="1"/>
  <c r="K327" i="61"/>
  <c r="K340" i="37" s="1"/>
  <c r="K326" i="61"/>
  <c r="K339" i="37" s="1"/>
  <c r="K325" i="61"/>
  <c r="K338" i="37" s="1"/>
  <c r="K324" i="61"/>
  <c r="K337" i="37" s="1"/>
  <c r="K323" i="61"/>
  <c r="K336" i="37" s="1"/>
  <c r="K322" i="61"/>
  <c r="K335" i="37" s="1"/>
  <c r="K319" i="61"/>
  <c r="K331" i="37" s="1"/>
  <c r="K318" i="61"/>
  <c r="K330" i="37" s="1"/>
  <c r="K317" i="61"/>
  <c r="K329" i="37" s="1"/>
  <c r="K316" i="61"/>
  <c r="K328" i="37" s="1"/>
  <c r="K315" i="61"/>
  <c r="K327" i="37" s="1"/>
  <c r="K314" i="61"/>
  <c r="K326" i="37" s="1"/>
  <c r="K313" i="61"/>
  <c r="K325" i="37" s="1"/>
  <c r="K312" i="61"/>
  <c r="K324" i="37" s="1"/>
  <c r="K311" i="61"/>
  <c r="K323" i="37" s="1"/>
  <c r="K310" i="61"/>
  <c r="K322" i="37" s="1"/>
  <c r="K306" i="61"/>
  <c r="K316" i="37" s="1"/>
  <c r="K305" i="61"/>
  <c r="K315" i="37" s="1"/>
  <c r="K304" i="61"/>
  <c r="K314" i="37" s="1"/>
  <c r="K303" i="61"/>
  <c r="K313" i="37" s="1"/>
  <c r="K302" i="61"/>
  <c r="K312" i="37" s="1"/>
  <c r="K301" i="61"/>
  <c r="K311" i="37" s="1"/>
  <c r="K300" i="61"/>
  <c r="K310" i="37" s="1"/>
  <c r="K299" i="61"/>
  <c r="K309" i="37" s="1"/>
  <c r="K298" i="61"/>
  <c r="K308" i="37" s="1"/>
  <c r="K297" i="61"/>
  <c r="K307" i="37" s="1"/>
  <c r="K296" i="61"/>
  <c r="K306" i="37" s="1"/>
  <c r="K295" i="61"/>
  <c r="K305" i="37" s="1"/>
  <c r="K294" i="61"/>
  <c r="K304" i="37" s="1"/>
  <c r="K293" i="61"/>
  <c r="K303" i="37" s="1"/>
  <c r="K292" i="61"/>
  <c r="K302" i="37" s="1"/>
  <c r="K291" i="61"/>
  <c r="K301" i="37" s="1"/>
  <c r="K290" i="61"/>
  <c r="K300" i="37" s="1"/>
  <c r="K289" i="61"/>
  <c r="K299" i="37" s="1"/>
  <c r="K288" i="61"/>
  <c r="K298" i="37" s="1"/>
  <c r="K287" i="61"/>
  <c r="K297" i="37" s="1"/>
  <c r="K284" i="61"/>
  <c r="K293" i="37" s="1"/>
  <c r="K283" i="61"/>
  <c r="K292" i="37" s="1"/>
  <c r="K282" i="61"/>
  <c r="K291" i="37" s="1"/>
  <c r="K281" i="61"/>
  <c r="K290" i="37" s="1"/>
  <c r="K280" i="61"/>
  <c r="K289" i="37" s="1"/>
  <c r="K279" i="61"/>
  <c r="K288" i="37" s="1"/>
  <c r="K278" i="61"/>
  <c r="K287" i="37" s="1"/>
  <c r="K277" i="61"/>
  <c r="K286" i="37" s="1"/>
  <c r="K276" i="61"/>
  <c r="K285" i="37" s="1"/>
  <c r="K275" i="61"/>
  <c r="K284" i="37" s="1"/>
  <c r="K274" i="61"/>
  <c r="K283" i="37" s="1"/>
  <c r="K273" i="61"/>
  <c r="K282" i="37" s="1"/>
  <c r="K272" i="61"/>
  <c r="K281" i="37" s="1"/>
  <c r="K271" i="61"/>
  <c r="K280" i="37" s="1"/>
  <c r="K270" i="61"/>
  <c r="K279" i="37" s="1"/>
  <c r="K269" i="61"/>
  <c r="K278" i="37" s="1"/>
  <c r="K268" i="61"/>
  <c r="K277" i="37" s="1"/>
  <c r="K267" i="61"/>
  <c r="K276" i="37" s="1"/>
  <c r="K266" i="61"/>
  <c r="K275" i="37" s="1"/>
  <c r="K265" i="61"/>
  <c r="K274" i="37" s="1"/>
  <c r="K261" i="61"/>
  <c r="K268" i="37" s="1"/>
  <c r="K260" i="61"/>
  <c r="K267" i="37" s="1"/>
  <c r="K259" i="61"/>
  <c r="K266" i="37" s="1"/>
  <c r="K258" i="61"/>
  <c r="K265" i="37" s="1"/>
  <c r="K257" i="61"/>
  <c r="K264" i="37" s="1"/>
  <c r="K256" i="61"/>
  <c r="K263" i="37" s="1"/>
  <c r="K255" i="61"/>
  <c r="K262" i="37" s="1"/>
  <c r="K254" i="61"/>
  <c r="K261" i="37" s="1"/>
  <c r="K253" i="61"/>
  <c r="K260" i="37" s="1"/>
  <c r="K252" i="61"/>
  <c r="K259" i="37" s="1"/>
  <c r="K251" i="61"/>
  <c r="K258" i="37" s="1"/>
  <c r="K250" i="61"/>
  <c r="K257" i="37" s="1"/>
  <c r="K249" i="61"/>
  <c r="K256" i="37" s="1"/>
  <c r="K248" i="61"/>
  <c r="K255" i="37" s="1"/>
  <c r="K247" i="61"/>
  <c r="K254" i="37" s="1"/>
  <c r="K246" i="61"/>
  <c r="K253" i="37" s="1"/>
  <c r="K245" i="61"/>
  <c r="K252" i="37" s="1"/>
  <c r="K244" i="61"/>
  <c r="K251" i="37" s="1"/>
  <c r="K243" i="61"/>
  <c r="K250" i="37" s="1"/>
  <c r="K242" i="61"/>
  <c r="K249" i="37" s="1"/>
  <c r="K241" i="61"/>
  <c r="K248" i="37" s="1"/>
  <c r="K240" i="61"/>
  <c r="K247" i="37" s="1"/>
  <c r="K239" i="61"/>
  <c r="K246" i="37" s="1"/>
  <c r="K238" i="61"/>
  <c r="K245" i="37" s="1"/>
  <c r="K237" i="61"/>
  <c r="K244" i="37" s="1"/>
  <c r="K236" i="61"/>
  <c r="K243" i="37" s="1"/>
  <c r="K235" i="61"/>
  <c r="K242" i="37" s="1"/>
  <c r="K234" i="61"/>
  <c r="K241" i="37" s="1"/>
  <c r="K233" i="61"/>
  <c r="K240" i="37" s="1"/>
  <c r="K232" i="61"/>
  <c r="K239" i="37" s="1"/>
  <c r="K231" i="61"/>
  <c r="K238" i="37" s="1"/>
  <c r="K230" i="61"/>
  <c r="K237" i="37" s="1"/>
  <c r="K229" i="61"/>
  <c r="K236" i="37" s="1"/>
  <c r="K228" i="61"/>
  <c r="K235" i="37" s="1"/>
  <c r="K227" i="61"/>
  <c r="K234" i="37" s="1"/>
  <c r="K226" i="61"/>
  <c r="K233" i="37" s="1"/>
  <c r="K225" i="61"/>
  <c r="K232" i="37" s="1"/>
  <c r="K224" i="61"/>
  <c r="K231" i="37" s="1"/>
  <c r="K223" i="61"/>
  <c r="K230" i="37" s="1"/>
  <c r="K222" i="61"/>
  <c r="K229" i="37" s="1"/>
  <c r="K221" i="61"/>
  <c r="K228" i="37" s="1"/>
  <c r="K220" i="61"/>
  <c r="K227" i="37" s="1"/>
  <c r="K219" i="61"/>
  <c r="K226" i="37" s="1"/>
  <c r="K218" i="61"/>
  <c r="K225" i="37" s="1"/>
  <c r="K217" i="61"/>
  <c r="K224" i="37" s="1"/>
  <c r="K216" i="61"/>
  <c r="K223" i="37" s="1"/>
  <c r="K215" i="61"/>
  <c r="K222" i="37" s="1"/>
  <c r="K214" i="61"/>
  <c r="K221" i="37" s="1"/>
  <c r="K213" i="61"/>
  <c r="K220" i="37" s="1"/>
  <c r="K212" i="61"/>
  <c r="K219" i="37" s="1"/>
  <c r="K209" i="61"/>
  <c r="K215" i="37" s="1"/>
  <c r="K208" i="61"/>
  <c r="K214" i="37" s="1"/>
  <c r="K207" i="61"/>
  <c r="K213" i="37" s="1"/>
  <c r="K206" i="61"/>
  <c r="K212" i="37" s="1"/>
  <c r="K205" i="61"/>
  <c r="K211" i="37" s="1"/>
  <c r="K204" i="61"/>
  <c r="K210" i="37" s="1"/>
  <c r="K203" i="61"/>
  <c r="K209" i="37" s="1"/>
  <c r="K202" i="61"/>
  <c r="K208" i="37" s="1"/>
  <c r="K201" i="61"/>
  <c r="K207" i="37" s="1"/>
  <c r="K200" i="61"/>
  <c r="K206" i="37" s="1"/>
  <c r="K199" i="61"/>
  <c r="K205" i="37" s="1"/>
  <c r="K198" i="61"/>
  <c r="K204" i="37" s="1"/>
  <c r="K197" i="61"/>
  <c r="K203" i="37" s="1"/>
  <c r="K196" i="61"/>
  <c r="K202" i="37" s="1"/>
  <c r="K195" i="61"/>
  <c r="K201" i="37" s="1"/>
  <c r="K194" i="61"/>
  <c r="K200" i="37" s="1"/>
  <c r="K193" i="61"/>
  <c r="K199" i="37" s="1"/>
  <c r="K192" i="61"/>
  <c r="K198" i="37" s="1"/>
  <c r="K191" i="61"/>
  <c r="K197" i="37" s="1"/>
  <c r="K190" i="61"/>
  <c r="K196" i="37" s="1"/>
  <c r="K189" i="61"/>
  <c r="K195" i="37" s="1"/>
  <c r="K188" i="61"/>
  <c r="K194" i="37" s="1"/>
  <c r="K187" i="61"/>
  <c r="K193" i="37" s="1"/>
  <c r="K186" i="61"/>
  <c r="K192" i="37" s="1"/>
  <c r="K185" i="61"/>
  <c r="K191" i="37" s="1"/>
  <c r="K184" i="61"/>
  <c r="K190" i="37" s="1"/>
  <c r="K183" i="61"/>
  <c r="K189" i="37" s="1"/>
  <c r="K182" i="61"/>
  <c r="K188" i="37" s="1"/>
  <c r="K181" i="61"/>
  <c r="K187" i="37" s="1"/>
  <c r="K180" i="61"/>
  <c r="K186" i="37" s="1"/>
  <c r="K179" i="61"/>
  <c r="K185" i="37" s="1"/>
  <c r="K178" i="61"/>
  <c r="K184" i="37" s="1"/>
  <c r="K177" i="61"/>
  <c r="K183" i="37" s="1"/>
  <c r="K176" i="61"/>
  <c r="K182" i="37" s="1"/>
  <c r="K175" i="61"/>
  <c r="K181" i="37" s="1"/>
  <c r="K174" i="61"/>
  <c r="K180" i="37" s="1"/>
  <c r="K173" i="61"/>
  <c r="K179" i="37" s="1"/>
  <c r="K172" i="61"/>
  <c r="K178" i="37" s="1"/>
  <c r="K171" i="61"/>
  <c r="K177" i="37" s="1"/>
  <c r="K170" i="61"/>
  <c r="K176" i="37" s="1"/>
  <c r="K169" i="61"/>
  <c r="K175" i="37" s="1"/>
  <c r="K168" i="61"/>
  <c r="K174" i="37" s="1"/>
  <c r="K167" i="61"/>
  <c r="K173" i="37" s="1"/>
  <c r="K166" i="61"/>
  <c r="K172" i="37" s="1"/>
  <c r="K165" i="61"/>
  <c r="K171" i="37" s="1"/>
  <c r="K164" i="61"/>
  <c r="K170" i="37" s="1"/>
  <c r="K163" i="61"/>
  <c r="K169" i="37" s="1"/>
  <c r="K162" i="61"/>
  <c r="K168" i="37" s="1"/>
  <c r="K161" i="61"/>
  <c r="K167" i="37" s="1"/>
  <c r="K160" i="61"/>
  <c r="K166" i="37" s="1"/>
  <c r="K156" i="61"/>
  <c r="K160" i="37" s="1"/>
  <c r="K155" i="61"/>
  <c r="K159" i="37" s="1"/>
  <c r="K154" i="61"/>
  <c r="K158" i="37" s="1"/>
  <c r="K153" i="61"/>
  <c r="K157" i="37" s="1"/>
  <c r="K152" i="61"/>
  <c r="K156" i="37" s="1"/>
  <c r="K151" i="61"/>
  <c r="K155" i="37" s="1"/>
  <c r="K150" i="61"/>
  <c r="K154" i="37" s="1"/>
  <c r="K149" i="61"/>
  <c r="K153" i="37" s="1"/>
  <c r="K148" i="61"/>
  <c r="K152" i="37" s="1"/>
  <c r="K147" i="61"/>
  <c r="K151" i="37" s="1"/>
  <c r="K146" i="61"/>
  <c r="K150" i="37" s="1"/>
  <c r="K145" i="61"/>
  <c r="K149" i="37" s="1"/>
  <c r="K144" i="61"/>
  <c r="K148" i="37" s="1"/>
  <c r="K143" i="61"/>
  <c r="K147" i="37" s="1"/>
  <c r="K142" i="61"/>
  <c r="K146" i="37" s="1"/>
  <c r="K141" i="61"/>
  <c r="K145" i="37" s="1"/>
  <c r="K140" i="61"/>
  <c r="K144" i="37" s="1"/>
  <c r="K139" i="61"/>
  <c r="K143" i="37" s="1"/>
  <c r="K138" i="61"/>
  <c r="K142" i="37" s="1"/>
  <c r="K137" i="61"/>
  <c r="K141" i="37" s="1"/>
  <c r="K134" i="61"/>
  <c r="K137" i="37" s="1"/>
  <c r="K133" i="61"/>
  <c r="K136" i="37" s="1"/>
  <c r="K132" i="61"/>
  <c r="K135" i="37" s="1"/>
  <c r="K131" i="61"/>
  <c r="K134" i="37" s="1"/>
  <c r="K130" i="61"/>
  <c r="K133" i="37" s="1"/>
  <c r="K129" i="61"/>
  <c r="K132" i="37" s="1"/>
  <c r="K128" i="61"/>
  <c r="K131" i="37" s="1"/>
  <c r="K127" i="61"/>
  <c r="K130" i="37" s="1"/>
  <c r="K126" i="61"/>
  <c r="K129" i="37" s="1"/>
  <c r="K125" i="61"/>
  <c r="K128" i="37" s="1"/>
  <c r="K124" i="61"/>
  <c r="K127" i="37" s="1"/>
  <c r="K123" i="61"/>
  <c r="K126" i="37" s="1"/>
  <c r="K122" i="61"/>
  <c r="K125" i="37" s="1"/>
  <c r="K121" i="61"/>
  <c r="K124" i="37" s="1"/>
  <c r="K120" i="61"/>
  <c r="K123" i="37" s="1"/>
  <c r="K119" i="61"/>
  <c r="K122" i="37" s="1"/>
  <c r="K118" i="61"/>
  <c r="K121" i="37" s="1"/>
  <c r="K117" i="61"/>
  <c r="K120" i="37" s="1"/>
  <c r="K116" i="61"/>
  <c r="K119" i="37" s="1"/>
  <c r="K115" i="61"/>
  <c r="K118" i="37" s="1"/>
  <c r="K111" i="61"/>
  <c r="K112" i="37" s="1"/>
  <c r="K110" i="61"/>
  <c r="K111" i="37" s="1"/>
  <c r="K109" i="61"/>
  <c r="K110" i="37" s="1"/>
  <c r="K108" i="61"/>
  <c r="K109" i="37" s="1"/>
  <c r="K107" i="61"/>
  <c r="K108" i="37" s="1"/>
  <c r="K106" i="61"/>
  <c r="K107" i="37" s="1"/>
  <c r="K105" i="61"/>
  <c r="K106" i="37" s="1"/>
  <c r="K104" i="61"/>
  <c r="K105" i="37" s="1"/>
  <c r="K103" i="61"/>
  <c r="K104" i="37" s="1"/>
  <c r="K102" i="61"/>
  <c r="K103" i="37" s="1"/>
  <c r="K101" i="61"/>
  <c r="K102" i="37" s="1"/>
  <c r="K100" i="61"/>
  <c r="K101" i="37" s="1"/>
  <c r="K99" i="61"/>
  <c r="K100" i="37" s="1"/>
  <c r="K98" i="61"/>
  <c r="K99" i="37" s="1"/>
  <c r="K97" i="61"/>
  <c r="K98" i="37" s="1"/>
  <c r="K96" i="61"/>
  <c r="K97" i="37" s="1"/>
  <c r="K95" i="61"/>
  <c r="K96" i="37" s="1"/>
  <c r="K94" i="61"/>
  <c r="K95" i="37" s="1"/>
  <c r="K93" i="61"/>
  <c r="K94" i="37" s="1"/>
  <c r="K92" i="61"/>
  <c r="K93" i="37" s="1"/>
  <c r="K91" i="61"/>
  <c r="K92" i="37" s="1"/>
  <c r="K90" i="61"/>
  <c r="K91" i="37" s="1"/>
  <c r="K89" i="61"/>
  <c r="K90" i="37" s="1"/>
  <c r="K88" i="61"/>
  <c r="K89" i="37" s="1"/>
  <c r="K87" i="61"/>
  <c r="K88" i="37" s="1"/>
  <c r="K86" i="61"/>
  <c r="K87" i="37" s="1"/>
  <c r="K85" i="61"/>
  <c r="K86" i="37" s="1"/>
  <c r="K84" i="61"/>
  <c r="K85" i="37" s="1"/>
  <c r="K83" i="61"/>
  <c r="K84" i="37" s="1"/>
  <c r="K82" i="61"/>
  <c r="K83" i="37" s="1"/>
  <c r="K81" i="61"/>
  <c r="K82" i="37" s="1"/>
  <c r="K80" i="61"/>
  <c r="K81" i="37" s="1"/>
  <c r="K79" i="61"/>
  <c r="K80" i="37" s="1"/>
  <c r="K78" i="61"/>
  <c r="K79" i="37" s="1"/>
  <c r="K77" i="61"/>
  <c r="K78" i="37" s="1"/>
  <c r="K76" i="61"/>
  <c r="K77" i="37" s="1"/>
  <c r="K75" i="61"/>
  <c r="K76" i="37" s="1"/>
  <c r="K74" i="61"/>
  <c r="K75" i="37" s="1"/>
  <c r="K73" i="61"/>
  <c r="K74" i="37" s="1"/>
  <c r="K72" i="61"/>
  <c r="K73" i="37" s="1"/>
  <c r="K71" i="61"/>
  <c r="K72" i="37" s="1"/>
  <c r="K70" i="61"/>
  <c r="K71" i="37" s="1"/>
  <c r="K69" i="61"/>
  <c r="K70" i="37" s="1"/>
  <c r="K68" i="61"/>
  <c r="K69" i="37" s="1"/>
  <c r="K67" i="61"/>
  <c r="K68" i="37" s="1"/>
  <c r="K66" i="61"/>
  <c r="K67" i="37" s="1"/>
  <c r="K65" i="61"/>
  <c r="K66" i="37" s="1"/>
  <c r="K64" i="61"/>
  <c r="K65" i="37" s="1"/>
  <c r="K63" i="61"/>
  <c r="K64" i="37" s="1"/>
  <c r="K62" i="61"/>
  <c r="K63" i="37" s="1"/>
  <c r="K59" i="61"/>
  <c r="K59" i="37" s="1"/>
  <c r="K58" i="61"/>
  <c r="K58" i="37" s="1"/>
  <c r="K57" i="61"/>
  <c r="K57" i="37" s="1"/>
  <c r="K56" i="61"/>
  <c r="K56" i="37" s="1"/>
  <c r="K55" i="61"/>
  <c r="K55" i="37" s="1"/>
  <c r="K54" i="61"/>
  <c r="K54" i="37" s="1"/>
  <c r="K53" i="61"/>
  <c r="K53" i="37" s="1"/>
  <c r="K52" i="61"/>
  <c r="K52" i="37" s="1"/>
  <c r="K51" i="61"/>
  <c r="K51" i="37" s="1"/>
  <c r="K50" i="61"/>
  <c r="K50" i="37" s="1"/>
  <c r="K49" i="61"/>
  <c r="K49" i="37" s="1"/>
  <c r="K48" i="61"/>
  <c r="K48" i="37" s="1"/>
  <c r="K47" i="61"/>
  <c r="K47" i="37" s="1"/>
  <c r="K46" i="61"/>
  <c r="K46" i="37" s="1"/>
  <c r="K45" i="61"/>
  <c r="K45" i="37" s="1"/>
  <c r="K44" i="61"/>
  <c r="K44" i="37" s="1"/>
  <c r="K43" i="61"/>
  <c r="K43" i="37" s="1"/>
  <c r="K42" i="61"/>
  <c r="K42" i="37" s="1"/>
  <c r="K41" i="61"/>
  <c r="K41" i="37" s="1"/>
  <c r="K40" i="61"/>
  <c r="K40" i="37" s="1"/>
  <c r="K39" i="61"/>
  <c r="K39" i="37" s="1"/>
  <c r="K38" i="61"/>
  <c r="K38" i="37" s="1"/>
  <c r="K37" i="61"/>
  <c r="K37" i="37" s="1"/>
  <c r="K36" i="61"/>
  <c r="K36" i="37" s="1"/>
  <c r="K35" i="61"/>
  <c r="K35" i="37" s="1"/>
  <c r="K34" i="61"/>
  <c r="K34" i="37" s="1"/>
  <c r="K33" i="61"/>
  <c r="K33" i="37" s="1"/>
  <c r="K32" i="61"/>
  <c r="K32" i="37" s="1"/>
  <c r="K31" i="61"/>
  <c r="K31" i="37" s="1"/>
  <c r="K30" i="61"/>
  <c r="K30" i="37" s="1"/>
  <c r="K29" i="61"/>
  <c r="K29" i="37" s="1"/>
  <c r="K28" i="61"/>
  <c r="K28" i="37" s="1"/>
  <c r="K27" i="61"/>
  <c r="K27" i="37" s="1"/>
  <c r="K26" i="61"/>
  <c r="K26" i="37" s="1"/>
  <c r="K25" i="61"/>
  <c r="K25" i="37" s="1"/>
  <c r="K24" i="61"/>
  <c r="K24" i="37" s="1"/>
  <c r="K23" i="61"/>
  <c r="K23" i="37" s="1"/>
  <c r="K22" i="61"/>
  <c r="K22" i="37" s="1"/>
  <c r="K21" i="61"/>
  <c r="K21" i="37" s="1"/>
  <c r="K20" i="61"/>
  <c r="K20" i="37" s="1"/>
  <c r="K19" i="61"/>
  <c r="K19" i="37" s="1"/>
  <c r="K18" i="61"/>
  <c r="K18" i="37" s="1"/>
  <c r="K17" i="61"/>
  <c r="K17" i="37" s="1"/>
  <c r="K16" i="61"/>
  <c r="K16" i="37" s="1"/>
  <c r="K15" i="61"/>
  <c r="K15" i="37" s="1"/>
  <c r="K14" i="61"/>
  <c r="K14" i="37" s="1"/>
  <c r="K13" i="61"/>
  <c r="K13" i="37" s="1"/>
  <c r="K12" i="61"/>
  <c r="K12" i="37" s="1"/>
  <c r="K11" i="61"/>
  <c r="K11" i="37" s="1"/>
  <c r="K10" i="61"/>
  <c r="K10" i="37" s="1"/>
  <c r="I86" i="38"/>
  <c r="I87" i="38"/>
  <c r="I88" i="38"/>
  <c r="I89" i="38"/>
  <c r="I90" i="38"/>
  <c r="I91" i="38"/>
  <c r="I92" i="38"/>
  <c r="I93" i="38"/>
  <c r="I94" i="38"/>
  <c r="I85" i="38"/>
  <c r="C86" i="38"/>
  <c r="C87" i="38"/>
  <c r="C88" i="38"/>
  <c r="C89" i="38"/>
  <c r="C90" i="38"/>
  <c r="C91" i="38"/>
  <c r="C92" i="38"/>
  <c r="C93" i="38"/>
  <c r="C94" i="38"/>
  <c r="C85" i="38"/>
  <c r="I73" i="38"/>
  <c r="I74" i="38"/>
  <c r="I75" i="38"/>
  <c r="I76" i="38"/>
  <c r="I77" i="38"/>
  <c r="I78" i="38"/>
  <c r="I79" i="38"/>
  <c r="I80" i="38"/>
  <c r="I81" i="38"/>
  <c r="I72" i="38"/>
  <c r="C73" i="38"/>
  <c r="C74" i="38"/>
  <c r="C75" i="38"/>
  <c r="C76" i="38"/>
  <c r="C77" i="38"/>
  <c r="C78" i="38"/>
  <c r="C79" i="38"/>
  <c r="C80" i="38"/>
  <c r="C81" i="38"/>
  <c r="C72" i="38"/>
  <c r="I60" i="38"/>
  <c r="I61" i="38"/>
  <c r="I62" i="38"/>
  <c r="I63" i="38"/>
  <c r="I64" i="38"/>
  <c r="I65" i="38"/>
  <c r="I66" i="38"/>
  <c r="I67" i="38"/>
  <c r="I68" i="38"/>
  <c r="C60" i="38"/>
  <c r="C61" i="38"/>
  <c r="C62" i="38"/>
  <c r="C63" i="38"/>
  <c r="C64" i="38"/>
  <c r="C65" i="38"/>
  <c r="C66" i="38"/>
  <c r="C67" i="38"/>
  <c r="C68" i="38"/>
  <c r="I59" i="38"/>
  <c r="C59" i="38"/>
  <c r="I47" i="38"/>
  <c r="I48" i="38"/>
  <c r="I49" i="38"/>
  <c r="I50" i="38"/>
  <c r="I51" i="38"/>
  <c r="I52" i="38"/>
  <c r="I53" i="38"/>
  <c r="I54" i="38"/>
  <c r="I55" i="38"/>
  <c r="I46" i="38"/>
  <c r="C47" i="38"/>
  <c r="C48" i="38"/>
  <c r="C49" i="38"/>
  <c r="C50" i="38"/>
  <c r="C51" i="38"/>
  <c r="C52" i="38"/>
  <c r="C53" i="38"/>
  <c r="C54" i="38"/>
  <c r="C55" i="38"/>
  <c r="C46" i="38"/>
  <c r="I34" i="38"/>
  <c r="I35" i="38"/>
  <c r="I36" i="38"/>
  <c r="I37" i="38"/>
  <c r="I38" i="38"/>
  <c r="I39" i="38"/>
  <c r="I40" i="38"/>
  <c r="I41" i="38"/>
  <c r="I42" i="38"/>
  <c r="I33" i="38"/>
  <c r="C34" i="38"/>
  <c r="C35" i="38"/>
  <c r="C36" i="38"/>
  <c r="C37" i="38"/>
  <c r="C38" i="38"/>
  <c r="C39" i="38"/>
  <c r="C40" i="38"/>
  <c r="C41" i="38"/>
  <c r="C42" i="38"/>
  <c r="C33" i="38"/>
  <c r="I21" i="38"/>
  <c r="I22" i="38"/>
  <c r="I23" i="38"/>
  <c r="I24" i="38"/>
  <c r="I25" i="38"/>
  <c r="I26" i="38"/>
  <c r="I27" i="38"/>
  <c r="I28" i="38"/>
  <c r="I29" i="38"/>
  <c r="C21" i="38"/>
  <c r="C22" i="38"/>
  <c r="C23" i="38"/>
  <c r="C24" i="38"/>
  <c r="C25" i="38"/>
  <c r="C26" i="38"/>
  <c r="C27" i="38"/>
  <c r="C28" i="38"/>
  <c r="C29" i="38"/>
  <c r="I20" i="38"/>
  <c r="C20" i="38"/>
  <c r="I8" i="38"/>
  <c r="I9" i="38"/>
  <c r="I10" i="38"/>
  <c r="I11" i="38"/>
  <c r="I12" i="38"/>
  <c r="I13" i="38"/>
  <c r="I14" i="38"/>
  <c r="I15" i="38"/>
  <c r="I16" i="38"/>
  <c r="I7" i="38"/>
  <c r="C8" i="38"/>
  <c r="C9" i="38"/>
  <c r="C10" i="38"/>
  <c r="C11" i="38"/>
  <c r="C12" i="38"/>
  <c r="C13" i="38"/>
  <c r="C14" i="38"/>
  <c r="C15" i="38"/>
  <c r="C16" i="38"/>
  <c r="C7" i="38"/>
  <c r="J94" i="38"/>
  <c r="J93" i="38"/>
  <c r="J92" i="38"/>
  <c r="J91" i="38"/>
  <c r="J90" i="38"/>
  <c r="J89" i="38"/>
  <c r="J88" i="38"/>
  <c r="J87" i="38"/>
  <c r="J86" i="38"/>
  <c r="J85" i="38"/>
  <c r="J81" i="38"/>
  <c r="J80" i="38"/>
  <c r="J79" i="38"/>
  <c r="J78" i="38"/>
  <c r="J77" i="38"/>
  <c r="J76" i="38"/>
  <c r="J75" i="38"/>
  <c r="J74" i="38"/>
  <c r="J73" i="38"/>
  <c r="J72" i="38"/>
  <c r="J68" i="38"/>
  <c r="J67" i="38"/>
  <c r="J66" i="38"/>
  <c r="J65" i="38"/>
  <c r="J64" i="38"/>
  <c r="J63" i="38"/>
  <c r="J62" i="38"/>
  <c r="J61" i="38"/>
  <c r="J60" i="38"/>
  <c r="J59" i="38"/>
  <c r="J55" i="38"/>
  <c r="J54" i="38"/>
  <c r="J53" i="38"/>
  <c r="J52" i="38"/>
  <c r="J51" i="38"/>
  <c r="J50" i="38"/>
  <c r="J49" i="38"/>
  <c r="J48" i="38"/>
  <c r="J47" i="38"/>
  <c r="J46" i="38"/>
  <c r="J42" i="38"/>
  <c r="J41" i="38"/>
  <c r="J40" i="38"/>
  <c r="J39" i="38"/>
  <c r="J38" i="38"/>
  <c r="J37" i="38"/>
  <c r="J36" i="38"/>
  <c r="J35" i="38"/>
  <c r="J34" i="38"/>
  <c r="J33" i="38"/>
  <c r="J29" i="38"/>
  <c r="J28" i="38"/>
  <c r="J27" i="38"/>
  <c r="J26" i="38"/>
  <c r="J25" i="38"/>
  <c r="J24" i="38"/>
  <c r="J23" i="38"/>
  <c r="J22" i="38"/>
  <c r="J21" i="38"/>
  <c r="J20" i="38"/>
  <c r="J8" i="38"/>
  <c r="J9" i="38"/>
  <c r="J10" i="38"/>
  <c r="J11" i="38"/>
  <c r="J12" i="38"/>
  <c r="J13" i="38"/>
  <c r="J14" i="38"/>
  <c r="J15" i="38"/>
  <c r="J16" i="38"/>
  <c r="J7" i="38"/>
  <c r="C6" i="58"/>
  <c r="C7" i="58"/>
  <c r="C8" i="58"/>
  <c r="C9" i="58"/>
  <c r="C10" i="58"/>
  <c r="C11" i="58"/>
  <c r="C12" i="58"/>
  <c r="C13" i="58"/>
  <c r="C14" i="58"/>
  <c r="C5" i="58"/>
  <c r="I6" i="58"/>
  <c r="I7" i="58"/>
  <c r="I8" i="58"/>
  <c r="I9" i="58"/>
  <c r="I10" i="58"/>
  <c r="I11" i="58"/>
  <c r="I12" i="58"/>
  <c r="I13" i="58"/>
  <c r="I14" i="58"/>
  <c r="I5" i="58"/>
  <c r="J6" i="58"/>
  <c r="J7" i="58"/>
  <c r="J8" i="58"/>
  <c r="J9" i="58"/>
  <c r="J10" i="58"/>
  <c r="J11" i="58"/>
  <c r="J12" i="58"/>
  <c r="J13" i="58"/>
  <c r="J14" i="58"/>
  <c r="J5" i="58"/>
  <c r="N15" i="58"/>
  <c r="N26" i="58" s="1"/>
  <c r="M15" i="58"/>
  <c r="M26" i="58" s="1"/>
  <c r="K12" i="58" l="1"/>
  <c r="L12" i="58" s="1"/>
  <c r="K8" i="58"/>
  <c r="L8" i="58" s="1"/>
  <c r="K14" i="58"/>
  <c r="L14" i="58" s="1"/>
  <c r="K6" i="58"/>
  <c r="L6" i="58" s="1"/>
  <c r="G14" i="8"/>
  <c r="K5" i="58"/>
  <c r="L5" i="58" s="1"/>
  <c r="K11" i="58"/>
  <c r="L11" i="58" s="1"/>
  <c r="K7" i="58"/>
  <c r="L7" i="58" s="1"/>
  <c r="K10" i="58"/>
  <c r="L10" i="58" s="1"/>
  <c r="H14" i="8"/>
  <c r="K13" i="58"/>
  <c r="L13" i="58" s="1"/>
  <c r="K9" i="58"/>
  <c r="L9" i="58" s="1"/>
  <c r="L15" i="58" l="1"/>
  <c r="L26" i="58" s="1"/>
  <c r="K15" i="58"/>
  <c r="K26" i="58" s="1"/>
  <c r="F14" i="8" l="1"/>
  <c r="D14" i="8" s="1"/>
  <c r="P3" i="35"/>
  <c r="B6" i="57"/>
  <c r="B8" i="57" s="1"/>
  <c r="B10" i="57" s="1"/>
  <c r="B12" i="57" s="1"/>
  <c r="B14" i="57" s="1"/>
  <c r="B16" i="57" s="1"/>
  <c r="B18" i="57" s="1"/>
  <c r="B20" i="57" s="1"/>
  <c r="B22" i="57" s="1"/>
  <c r="B24" i="57" s="1"/>
  <c r="B26" i="57" s="1"/>
  <c r="B28" i="57" s="1"/>
  <c r="B30" i="57" s="1"/>
  <c r="B32" i="57" s="1"/>
  <c r="B34" i="57" s="1"/>
  <c r="B6" i="56"/>
  <c r="B8" i="56" s="1"/>
  <c r="B10" i="56" s="1"/>
  <c r="B12" i="56" s="1"/>
  <c r="B14" i="56" s="1"/>
  <c r="B16" i="56" s="1"/>
  <c r="B18" i="56" s="1"/>
  <c r="B20" i="56" s="1"/>
  <c r="B22" i="56" s="1"/>
  <c r="B24" i="56" s="1"/>
  <c r="B26" i="56" s="1"/>
  <c r="B28" i="56" s="1"/>
  <c r="B30" i="56" s="1"/>
  <c r="AX221" i="35" l="1"/>
  <c r="AW221" i="35"/>
  <c r="AX220" i="35"/>
  <c r="AW220" i="35"/>
  <c r="AX219" i="35"/>
  <c r="AW219" i="35"/>
  <c r="AX218" i="35"/>
  <c r="AW218" i="35"/>
  <c r="AX217" i="35"/>
  <c r="AW217" i="35"/>
  <c r="AX216" i="35"/>
  <c r="AW216" i="35"/>
  <c r="AX215" i="35"/>
  <c r="AW215" i="35"/>
  <c r="AX214" i="35"/>
  <c r="AW214" i="35"/>
  <c r="AX213" i="35"/>
  <c r="AW213" i="35"/>
  <c r="AX212" i="35"/>
  <c r="AW212" i="35"/>
  <c r="AM212" i="35"/>
  <c r="AM213" i="35" s="1"/>
  <c r="AM214" i="35" s="1"/>
  <c r="AX211" i="35"/>
  <c r="AW211" i="35"/>
  <c r="AM211" i="35"/>
  <c r="AX210" i="35"/>
  <c r="AW210" i="35"/>
  <c r="AX209" i="35"/>
  <c r="AW209" i="35"/>
  <c r="AX208" i="35"/>
  <c r="AW208" i="35"/>
  <c r="AX207" i="35"/>
  <c r="AW207" i="35"/>
  <c r="AX206" i="35"/>
  <c r="AW206" i="35"/>
  <c r="AM206" i="35"/>
  <c r="AX205" i="35"/>
  <c r="AW205" i="35"/>
  <c r="AM205" i="35"/>
  <c r="AM209" i="35" s="1"/>
  <c r="AX204" i="35"/>
  <c r="AW204" i="35"/>
  <c r="AM204" i="35"/>
  <c r="AM208" i="35" s="1"/>
  <c r="AX203" i="35"/>
  <c r="AW203" i="35"/>
  <c r="AM203" i="35"/>
  <c r="AM207" i="35" s="1"/>
  <c r="AL203" i="35"/>
  <c r="AL204" i="35" s="1"/>
  <c r="AL205" i="35" s="1"/>
  <c r="AL206" i="35" s="1"/>
  <c r="AX202" i="35"/>
  <c r="AW202" i="35"/>
  <c r="AX200" i="35"/>
  <c r="AW200" i="35"/>
  <c r="AX199" i="35"/>
  <c r="AW199" i="35"/>
  <c r="AX198" i="35"/>
  <c r="AW198" i="35"/>
  <c r="AX197" i="35"/>
  <c r="AW197" i="35"/>
  <c r="AX196" i="35"/>
  <c r="AW196" i="35"/>
  <c r="AX195" i="35"/>
  <c r="AW195" i="35"/>
  <c r="AX194" i="35"/>
  <c r="AW194" i="35"/>
  <c r="AX193" i="35"/>
  <c r="AW193" i="35"/>
  <c r="AX192" i="35"/>
  <c r="AW192" i="35"/>
  <c r="AX191" i="35"/>
  <c r="AW191" i="35"/>
  <c r="AM191" i="35"/>
  <c r="AM192" i="35" s="1"/>
  <c r="AM193" i="35" s="1"/>
  <c r="AX190" i="35"/>
  <c r="AW190" i="35"/>
  <c r="AM190" i="35"/>
  <c r="AX189" i="35"/>
  <c r="AW189" i="35"/>
  <c r="AX188" i="35"/>
  <c r="AW188" i="35"/>
  <c r="AX187" i="35"/>
  <c r="AW187" i="35"/>
  <c r="AX186" i="35"/>
  <c r="AW186" i="35"/>
  <c r="AX185" i="35"/>
  <c r="AW185" i="35"/>
  <c r="AM185" i="35"/>
  <c r="AX184" i="35"/>
  <c r="AW184" i="35"/>
  <c r="AM184" i="35"/>
  <c r="AM188" i="35" s="1"/>
  <c r="AX183" i="35"/>
  <c r="AW183" i="35"/>
  <c r="AM183" i="35"/>
  <c r="AM187" i="35" s="1"/>
  <c r="AX182" i="35"/>
  <c r="AW182" i="35"/>
  <c r="AM182" i="35"/>
  <c r="AM186" i="35" s="1"/>
  <c r="AL182" i="35"/>
  <c r="AL183" i="35" s="1"/>
  <c r="AL184" i="35" s="1"/>
  <c r="AL185" i="35" s="1"/>
  <c r="AX181" i="35"/>
  <c r="AW181" i="35"/>
  <c r="AX179" i="35"/>
  <c r="Y98" i="35" s="1"/>
  <c r="AW179" i="35"/>
  <c r="X98" i="35" s="1"/>
  <c r="X99" i="35" s="1"/>
  <c r="AX178" i="35"/>
  <c r="AW178" i="35"/>
  <c r="AX177" i="35"/>
  <c r="AW177" i="35"/>
  <c r="AX176" i="35"/>
  <c r="AW176" i="35"/>
  <c r="AX175" i="35"/>
  <c r="Y94" i="35" s="1"/>
  <c r="AW175" i="35"/>
  <c r="X94" i="35" s="1"/>
  <c r="AX174" i="35"/>
  <c r="AW174" i="35"/>
  <c r="AX173" i="35"/>
  <c r="AW173" i="35"/>
  <c r="AX172" i="35"/>
  <c r="Y93" i="35" s="1"/>
  <c r="AW172" i="35"/>
  <c r="X93" i="35" s="1"/>
  <c r="AX171" i="35"/>
  <c r="AW171" i="35"/>
  <c r="AX170" i="35"/>
  <c r="AW170" i="35"/>
  <c r="AM170" i="35"/>
  <c r="AM171" i="35" s="1"/>
  <c r="AM172" i="35" s="1"/>
  <c r="AX169" i="35"/>
  <c r="AW169" i="35"/>
  <c r="AM169" i="35"/>
  <c r="AX168" i="35"/>
  <c r="AW168" i="35"/>
  <c r="AX167" i="35"/>
  <c r="AW167" i="35"/>
  <c r="AX166" i="35"/>
  <c r="AW166" i="35"/>
  <c r="AX165" i="35"/>
  <c r="AW165" i="35"/>
  <c r="AX164" i="35"/>
  <c r="AW164" i="35"/>
  <c r="AM164" i="35"/>
  <c r="AX163" i="35"/>
  <c r="AW163" i="35"/>
  <c r="AM163" i="35"/>
  <c r="AM167" i="35" s="1"/>
  <c r="AX162" i="35"/>
  <c r="AW162" i="35"/>
  <c r="AM162" i="35"/>
  <c r="AM166" i="35" s="1"/>
  <c r="AX161" i="35"/>
  <c r="AW161" i="35"/>
  <c r="AM161" i="35"/>
  <c r="AM165" i="35" s="1"/>
  <c r="AL161" i="35"/>
  <c r="AL162" i="35" s="1"/>
  <c r="AL163" i="35" s="1"/>
  <c r="AL164" i="35" s="1"/>
  <c r="AX160" i="35"/>
  <c r="AW160" i="35"/>
  <c r="AX158" i="35"/>
  <c r="Y87" i="35" s="1"/>
  <c r="AW158" i="35"/>
  <c r="X87" i="35" s="1"/>
  <c r="AX157" i="35"/>
  <c r="AW157" i="35"/>
  <c r="AX156" i="35"/>
  <c r="AW156" i="35"/>
  <c r="AX155" i="35"/>
  <c r="AW155" i="35"/>
  <c r="AX154" i="35"/>
  <c r="Y83" i="35" s="1"/>
  <c r="AW154" i="35"/>
  <c r="X83" i="35" s="1"/>
  <c r="AX153" i="35"/>
  <c r="AW153" i="35"/>
  <c r="AX152" i="35"/>
  <c r="AW152" i="35"/>
  <c r="AX151" i="35"/>
  <c r="Y82" i="35" s="1"/>
  <c r="AW151" i="35"/>
  <c r="X82" i="35" s="1"/>
  <c r="AX150" i="35"/>
  <c r="AW150" i="35"/>
  <c r="AX149" i="35"/>
  <c r="AW149" i="35"/>
  <c r="AM149" i="35"/>
  <c r="AM150" i="35" s="1"/>
  <c r="AM151" i="35" s="1"/>
  <c r="AX148" i="35"/>
  <c r="AW148" i="35"/>
  <c r="AM148" i="35"/>
  <c r="AX147" i="35"/>
  <c r="AW147" i="35"/>
  <c r="AX146" i="35"/>
  <c r="AW146" i="35"/>
  <c r="AX145" i="35"/>
  <c r="AW145" i="35"/>
  <c r="AX144" i="35"/>
  <c r="AW144" i="35"/>
  <c r="AX143" i="35"/>
  <c r="AW143" i="35"/>
  <c r="AM143" i="35"/>
  <c r="AX142" i="35"/>
  <c r="AW142" i="35"/>
  <c r="AM142" i="35"/>
  <c r="AM146" i="35" s="1"/>
  <c r="AX141" i="35"/>
  <c r="AW141" i="35"/>
  <c r="AM141" i="35"/>
  <c r="AM145" i="35" s="1"/>
  <c r="AX140" i="35"/>
  <c r="AW140" i="35"/>
  <c r="AM140" i="35"/>
  <c r="AM144" i="35" s="1"/>
  <c r="AL140" i="35"/>
  <c r="AL141" i="35" s="1"/>
  <c r="AL142" i="35" s="1"/>
  <c r="AL143" i="35" s="1"/>
  <c r="AX139" i="35"/>
  <c r="AW139" i="35"/>
  <c r="AX137" i="35"/>
  <c r="Y76" i="35" s="1"/>
  <c r="AW137" i="35"/>
  <c r="X76" i="35" s="1"/>
  <c r="AX136" i="35"/>
  <c r="AW136" i="35"/>
  <c r="AX135" i="35"/>
  <c r="AW135" i="35"/>
  <c r="AX134" i="35"/>
  <c r="AW134" i="35"/>
  <c r="AX133" i="35"/>
  <c r="AW133" i="35"/>
  <c r="AX132" i="35"/>
  <c r="AW132" i="35"/>
  <c r="AX131" i="35"/>
  <c r="AW131" i="35"/>
  <c r="AX130" i="35"/>
  <c r="AW130" i="35"/>
  <c r="AX129" i="35"/>
  <c r="AW129" i="35"/>
  <c r="AX128" i="35"/>
  <c r="AW128" i="35"/>
  <c r="AM128" i="35"/>
  <c r="AM129" i="35" s="1"/>
  <c r="AM130" i="35" s="1"/>
  <c r="AX127" i="35"/>
  <c r="AW127" i="35"/>
  <c r="AM127" i="35"/>
  <c r="AX126" i="35"/>
  <c r="AW126" i="35"/>
  <c r="AX125" i="35"/>
  <c r="AW125" i="35"/>
  <c r="AX124" i="35"/>
  <c r="AW124" i="35"/>
  <c r="AX123" i="35"/>
  <c r="AW123" i="35"/>
  <c r="AX122" i="35"/>
  <c r="AW122" i="35"/>
  <c r="AM122" i="35"/>
  <c r="AX121" i="35"/>
  <c r="AW121" i="35"/>
  <c r="AM121" i="35"/>
  <c r="AM125" i="35" s="1"/>
  <c r="AX120" i="35"/>
  <c r="AW120" i="35"/>
  <c r="AM120" i="35"/>
  <c r="AM124" i="35" s="1"/>
  <c r="AX119" i="35"/>
  <c r="AW119" i="35"/>
  <c r="AM119" i="35"/>
  <c r="AM123" i="35" s="1"/>
  <c r="AL119" i="35"/>
  <c r="AL120" i="35" s="1"/>
  <c r="AL121" i="35" s="1"/>
  <c r="AL122" i="35" s="1"/>
  <c r="AX118" i="35"/>
  <c r="AW118" i="35"/>
  <c r="AX116" i="35"/>
  <c r="Y65" i="35" s="1"/>
  <c r="AW116" i="35"/>
  <c r="X65" i="35" s="1"/>
  <c r="AX115" i="35"/>
  <c r="Y64" i="35" s="1"/>
  <c r="AW115" i="35"/>
  <c r="X64" i="35" s="1"/>
  <c r="AX114" i="35"/>
  <c r="Y63" i="35" s="1"/>
  <c r="AW114" i="35"/>
  <c r="X63" i="35" s="1"/>
  <c r="AX113" i="35"/>
  <c r="Y62" i="35" s="1"/>
  <c r="AW113" i="35"/>
  <c r="X62" i="35" s="1"/>
  <c r="AX112" i="35"/>
  <c r="Y61" i="35" s="1"/>
  <c r="AW112" i="35"/>
  <c r="X61" i="35" s="1"/>
  <c r="AX111" i="35"/>
  <c r="AW111" i="35"/>
  <c r="AX110" i="35"/>
  <c r="AW110" i="35"/>
  <c r="AX109" i="35"/>
  <c r="Y60" i="35" s="1"/>
  <c r="AW109" i="35"/>
  <c r="X60" i="35" s="1"/>
  <c r="AX108" i="35"/>
  <c r="Y59" i="35" s="1"/>
  <c r="AW108" i="35"/>
  <c r="X59" i="35" s="1"/>
  <c r="AX107" i="35"/>
  <c r="Y58" i="35" s="1"/>
  <c r="AW107" i="35"/>
  <c r="X58" i="35" s="1"/>
  <c r="AM107" i="35"/>
  <c r="AM108" i="35" s="1"/>
  <c r="AM109" i="35" s="1"/>
  <c r="AX106" i="35"/>
  <c r="Y57" i="35" s="1"/>
  <c r="AW106" i="35"/>
  <c r="X57" i="35" s="1"/>
  <c r="AM106" i="35"/>
  <c r="AX105" i="35"/>
  <c r="Y56" i="35" s="1"/>
  <c r="AW105" i="35"/>
  <c r="X56" i="35" s="1"/>
  <c r="AX104" i="35"/>
  <c r="AW104" i="35"/>
  <c r="AX103" i="35"/>
  <c r="AW103" i="35"/>
  <c r="AX102" i="35"/>
  <c r="AW102" i="35"/>
  <c r="AX101" i="35"/>
  <c r="AW101" i="35"/>
  <c r="AM101" i="35"/>
  <c r="AX100" i="35"/>
  <c r="AW100" i="35"/>
  <c r="AM100" i="35"/>
  <c r="AM104" i="35" s="1"/>
  <c r="AX99" i="35"/>
  <c r="AW99" i="35"/>
  <c r="AM99" i="35"/>
  <c r="AM103" i="35" s="1"/>
  <c r="AX98" i="35"/>
  <c r="AW98" i="35"/>
  <c r="AM98" i="35"/>
  <c r="AM102" i="35" s="1"/>
  <c r="AL98" i="35"/>
  <c r="AL99" i="35" s="1"/>
  <c r="AL100" i="35" s="1"/>
  <c r="AL101" i="35" s="1"/>
  <c r="AX97" i="35"/>
  <c r="AW97" i="35"/>
  <c r="Y54" i="35"/>
  <c r="Y55" i="35" s="1"/>
  <c r="X54" i="35"/>
  <c r="X55" i="35" s="1"/>
  <c r="AX94" i="35"/>
  <c r="Y53" i="35" s="1"/>
  <c r="AW94" i="35"/>
  <c r="X53" i="35" s="1"/>
  <c r="AX93" i="35"/>
  <c r="Y52" i="35" s="1"/>
  <c r="AW93" i="35"/>
  <c r="X52" i="35" s="1"/>
  <c r="AX92" i="35"/>
  <c r="Y51" i="35" s="1"/>
  <c r="AW92" i="35"/>
  <c r="X51" i="35" s="1"/>
  <c r="AX91" i="35"/>
  <c r="Y50" i="35" s="1"/>
  <c r="AW91" i="35"/>
  <c r="X50" i="35" s="1"/>
  <c r="AX90" i="35"/>
  <c r="AW90" i="35"/>
  <c r="AX89" i="35"/>
  <c r="AW89" i="35"/>
  <c r="AX88" i="35"/>
  <c r="Y49" i="35" s="1"/>
  <c r="AW88" i="35"/>
  <c r="X49" i="35" s="1"/>
  <c r="AX87" i="35"/>
  <c r="Y48" i="35" s="1"/>
  <c r="AW87" i="35"/>
  <c r="X48" i="35" s="1"/>
  <c r="AX86" i="35"/>
  <c r="Y47" i="35" s="1"/>
  <c r="AW86" i="35"/>
  <c r="X47" i="35" s="1"/>
  <c r="AM86" i="35"/>
  <c r="AM87" i="35" s="1"/>
  <c r="AM88" i="35" s="1"/>
  <c r="AX85" i="35"/>
  <c r="Y46" i="35" s="1"/>
  <c r="AW85" i="35"/>
  <c r="X46" i="35" s="1"/>
  <c r="AM85" i="35"/>
  <c r="AX84" i="35"/>
  <c r="Y45" i="35" s="1"/>
  <c r="AW84" i="35"/>
  <c r="X45" i="35" s="1"/>
  <c r="AX83" i="35"/>
  <c r="AW83" i="35"/>
  <c r="AX82" i="35"/>
  <c r="AW82" i="35"/>
  <c r="AX81" i="35"/>
  <c r="AW81" i="35"/>
  <c r="AX80" i="35"/>
  <c r="AW80" i="35"/>
  <c r="AM80" i="35"/>
  <c r="AX79" i="35"/>
  <c r="AW79" i="35"/>
  <c r="AM79" i="35"/>
  <c r="AM83" i="35" s="1"/>
  <c r="AX78" i="35"/>
  <c r="AW78" i="35"/>
  <c r="AM78" i="35"/>
  <c r="AM82" i="35" s="1"/>
  <c r="AX77" i="35"/>
  <c r="AW77" i="35"/>
  <c r="AM77" i="35"/>
  <c r="AM81" i="35" s="1"/>
  <c r="AL77" i="35"/>
  <c r="AL78" i="35" s="1"/>
  <c r="AL79" i="35" s="1"/>
  <c r="AL80" i="35" s="1"/>
  <c r="AX76" i="35"/>
  <c r="AW76" i="35"/>
  <c r="Y43" i="35"/>
  <c r="Y44" i="35" s="1"/>
  <c r="Y42" i="35"/>
  <c r="X42" i="35"/>
  <c r="Y41" i="35"/>
  <c r="X41" i="35"/>
  <c r="Y40" i="35"/>
  <c r="X40" i="35"/>
  <c r="Y39" i="35"/>
  <c r="X39" i="35"/>
  <c r="Y38" i="35"/>
  <c r="X38" i="35"/>
  <c r="Y37" i="35"/>
  <c r="X37" i="35"/>
  <c r="Y36" i="35"/>
  <c r="X36" i="35"/>
  <c r="AM65" i="35"/>
  <c r="AM66" i="35" s="1"/>
  <c r="AM67" i="35" s="1"/>
  <c r="Y35" i="35"/>
  <c r="X35" i="35"/>
  <c r="AM64" i="35"/>
  <c r="Y34" i="35"/>
  <c r="X34" i="35"/>
  <c r="AM59" i="35"/>
  <c r="AM58" i="35"/>
  <c r="AM62" i="35" s="1"/>
  <c r="AM57" i="35"/>
  <c r="AM61" i="35" s="1"/>
  <c r="AM56" i="35"/>
  <c r="AM60" i="35" s="1"/>
  <c r="AL56" i="35"/>
  <c r="AL57" i="35" s="1"/>
  <c r="AL58" i="35" s="1"/>
  <c r="AL59" i="35" s="1"/>
  <c r="AX54" i="35"/>
  <c r="AW54" i="35"/>
  <c r="Y32" i="35"/>
  <c r="X32" i="35"/>
  <c r="Y28" i="35"/>
  <c r="X28" i="35"/>
  <c r="Y27" i="35"/>
  <c r="X27" i="35"/>
  <c r="AX45" i="35"/>
  <c r="Y26" i="35" s="1"/>
  <c r="AW45" i="35"/>
  <c r="X26" i="35" s="1"/>
  <c r="AX44" i="35"/>
  <c r="AW44" i="35"/>
  <c r="AM44" i="35"/>
  <c r="AM45" i="35" s="1"/>
  <c r="AM46" i="35" s="1"/>
  <c r="AX43" i="35"/>
  <c r="Y24" i="35" s="1"/>
  <c r="AW43" i="35"/>
  <c r="AM43" i="35"/>
  <c r="AX42" i="35"/>
  <c r="AW42" i="35"/>
  <c r="AX41" i="35"/>
  <c r="AW41" i="35"/>
  <c r="AX40" i="35"/>
  <c r="AW40" i="35"/>
  <c r="AX39" i="35"/>
  <c r="AW39" i="35"/>
  <c r="AX38" i="35"/>
  <c r="AW38" i="35"/>
  <c r="AM38" i="35"/>
  <c r="AX37" i="35"/>
  <c r="AW37" i="35"/>
  <c r="AM37" i="35"/>
  <c r="AM41" i="35" s="1"/>
  <c r="AX36" i="35"/>
  <c r="AW36" i="35"/>
  <c r="AM36" i="35"/>
  <c r="AM40" i="35" s="1"/>
  <c r="AX35" i="35"/>
  <c r="AW35" i="35"/>
  <c r="AM35" i="35"/>
  <c r="AM39" i="35" s="1"/>
  <c r="AL35" i="35"/>
  <c r="AL36" i="35" s="1"/>
  <c r="AL37" i="35" s="1"/>
  <c r="AL38" i="35" s="1"/>
  <c r="AX34" i="35"/>
  <c r="AW34" i="35"/>
  <c r="Y21" i="35"/>
  <c r="X22" i="35"/>
  <c r="X18" i="35"/>
  <c r="X19" i="35" s="1"/>
  <c r="Y17" i="35"/>
  <c r="X17" i="35"/>
  <c r="AX27" i="35"/>
  <c r="AW27" i="35"/>
  <c r="AX26" i="35"/>
  <c r="AW26" i="35"/>
  <c r="AX24" i="35"/>
  <c r="Y15" i="35" s="1"/>
  <c r="AW24" i="35"/>
  <c r="X15" i="35" s="1"/>
  <c r="AX23" i="35"/>
  <c r="Y14" i="35" s="1"/>
  <c r="AW23" i="35"/>
  <c r="X14" i="35" s="1"/>
  <c r="AM23" i="35"/>
  <c r="AM24" i="35" s="1"/>
  <c r="AM25" i="35" s="1"/>
  <c r="AX22" i="35"/>
  <c r="Y13" i="35" s="1"/>
  <c r="AW22" i="35"/>
  <c r="X13" i="35" s="1"/>
  <c r="AM22" i="35"/>
  <c r="AX21" i="35"/>
  <c r="AW21" i="35"/>
  <c r="X12" i="35" s="1"/>
  <c r="AX20" i="35"/>
  <c r="AW20" i="35"/>
  <c r="AX18" i="35"/>
  <c r="AW18" i="35"/>
  <c r="AX17" i="35"/>
  <c r="AW17" i="35"/>
  <c r="AM17" i="35"/>
  <c r="AX16" i="35"/>
  <c r="AW16" i="35"/>
  <c r="AM16" i="35"/>
  <c r="AM20" i="35" s="1"/>
  <c r="AM15" i="35"/>
  <c r="AM19" i="35" s="1"/>
  <c r="AX14" i="35"/>
  <c r="AW14" i="35"/>
  <c r="AM14" i="35"/>
  <c r="AM18" i="35" s="1"/>
  <c r="AL14" i="35"/>
  <c r="AL15" i="35" s="1"/>
  <c r="AL16" i="35" s="1"/>
  <c r="AL17" i="35" s="1"/>
  <c r="AX13" i="35"/>
  <c r="AW13" i="35"/>
  <c r="Y121" i="35"/>
  <c r="X121" i="35"/>
  <c r="W121" i="35"/>
  <c r="V121" i="35"/>
  <c r="AB112" i="35"/>
  <c r="AB113" i="35" s="1"/>
  <c r="AB114" i="35" s="1"/>
  <c r="AB115" i="35" s="1"/>
  <c r="AB116" i="35" s="1"/>
  <c r="AB117" i="35" s="1"/>
  <c r="AB118" i="35" s="1"/>
  <c r="AB119" i="35" s="1"/>
  <c r="AB120" i="35" s="1"/>
  <c r="AB121" i="35" s="1"/>
  <c r="Y110" i="35"/>
  <c r="X110" i="35"/>
  <c r="W110" i="35"/>
  <c r="V110" i="35"/>
  <c r="AB101" i="35"/>
  <c r="AB102" i="35" s="1"/>
  <c r="AB103" i="35" s="1"/>
  <c r="AB104" i="35" s="1"/>
  <c r="AB105" i="35" s="1"/>
  <c r="AB106" i="35" s="1"/>
  <c r="AB107" i="35" s="1"/>
  <c r="AB108" i="35" s="1"/>
  <c r="AB109" i="35" s="1"/>
  <c r="AB110" i="35" s="1"/>
  <c r="Y99" i="35"/>
  <c r="W99" i="35"/>
  <c r="V99" i="35"/>
  <c r="AB90" i="35"/>
  <c r="AB91" i="35" s="1"/>
  <c r="AB92" i="35" s="1"/>
  <c r="AB93" i="35" s="1"/>
  <c r="AB94" i="35" s="1"/>
  <c r="AB95" i="35" s="1"/>
  <c r="AB96" i="35" s="1"/>
  <c r="AB97" i="35" s="1"/>
  <c r="AB98" i="35" s="1"/>
  <c r="AB99" i="35" s="1"/>
  <c r="Y88" i="35"/>
  <c r="X88" i="35"/>
  <c r="W88" i="35"/>
  <c r="V88" i="35"/>
  <c r="AB79" i="35"/>
  <c r="AB80" i="35" s="1"/>
  <c r="AB81" i="35" s="1"/>
  <c r="AB82" i="35" s="1"/>
  <c r="AB83" i="35" s="1"/>
  <c r="AB84" i="35" s="1"/>
  <c r="AB85" i="35" s="1"/>
  <c r="AB86" i="35" s="1"/>
  <c r="AB87" i="35" s="1"/>
  <c r="AB88" i="35" s="1"/>
  <c r="Y77" i="35"/>
  <c r="X77" i="35"/>
  <c r="W77" i="35"/>
  <c r="V77" i="35"/>
  <c r="AB68" i="35"/>
  <c r="AB69" i="35" s="1"/>
  <c r="AB70" i="35" s="1"/>
  <c r="AB71" i="35" s="1"/>
  <c r="AB72" i="35" s="1"/>
  <c r="AB73" i="35" s="1"/>
  <c r="AB74" i="35" s="1"/>
  <c r="AB75" i="35" s="1"/>
  <c r="AB76" i="35" s="1"/>
  <c r="AB77" i="35" s="1"/>
  <c r="Y66" i="35"/>
  <c r="X66" i="35"/>
  <c r="W66" i="35"/>
  <c r="V66" i="35"/>
  <c r="AB57" i="35"/>
  <c r="AB58" i="35" s="1"/>
  <c r="AB59" i="35" s="1"/>
  <c r="AB60" i="35" s="1"/>
  <c r="AB61" i="35" s="1"/>
  <c r="AB62" i="35" s="1"/>
  <c r="AB63" i="35" s="1"/>
  <c r="AB64" i="35" s="1"/>
  <c r="AB65" i="35" s="1"/>
  <c r="AB66" i="35" s="1"/>
  <c r="W55" i="35"/>
  <c r="V55" i="35"/>
  <c r="AB46" i="35"/>
  <c r="AB47" i="35" s="1"/>
  <c r="AB48" i="35" s="1"/>
  <c r="AB49" i="35" s="1"/>
  <c r="AB50" i="35" s="1"/>
  <c r="AB51" i="35" s="1"/>
  <c r="AB52" i="35" s="1"/>
  <c r="AB53" i="35" s="1"/>
  <c r="AB54" i="35" s="1"/>
  <c r="AB55" i="35" s="1"/>
  <c r="X43" i="35"/>
  <c r="X44" i="35" s="1"/>
  <c r="W43" i="35"/>
  <c r="W44" i="35" s="1"/>
  <c r="V43" i="35"/>
  <c r="V44" i="35" s="1"/>
  <c r="W42" i="35"/>
  <c r="V42" i="35"/>
  <c r="W41" i="35"/>
  <c r="V41" i="35"/>
  <c r="W40" i="35"/>
  <c r="V40" i="35"/>
  <c r="W39" i="35"/>
  <c r="V39" i="35"/>
  <c r="W38" i="35"/>
  <c r="V38" i="35"/>
  <c r="W37" i="35"/>
  <c r="V37" i="35"/>
  <c r="W36" i="35"/>
  <c r="V36" i="35"/>
  <c r="AB35" i="35"/>
  <c r="AB36" i="35" s="1"/>
  <c r="AB37" i="35" s="1"/>
  <c r="AB38" i="35" s="1"/>
  <c r="AB39" i="35" s="1"/>
  <c r="AB40" i="35" s="1"/>
  <c r="AB41" i="35" s="1"/>
  <c r="AB42" i="35" s="1"/>
  <c r="AB43" i="35" s="1"/>
  <c r="AB44" i="35" s="1"/>
  <c r="W35" i="35"/>
  <c r="V35" i="35"/>
  <c r="W34" i="35"/>
  <c r="V34" i="35"/>
  <c r="W32" i="35"/>
  <c r="V32" i="35"/>
  <c r="W28" i="35"/>
  <c r="V28" i="35"/>
  <c r="W26" i="35"/>
  <c r="V26" i="35"/>
  <c r="X24" i="35"/>
  <c r="W24" i="35"/>
  <c r="V24" i="35"/>
  <c r="W21" i="35"/>
  <c r="V21" i="35"/>
  <c r="V22" i="35" s="1"/>
  <c r="Y18" i="35"/>
  <c r="Y20" i="35" s="1"/>
  <c r="W18" i="35"/>
  <c r="V18" i="35"/>
  <c r="V19" i="35" s="1"/>
  <c r="W16" i="35"/>
  <c r="V16" i="35"/>
  <c r="W15" i="35"/>
  <c r="W14" i="35"/>
  <c r="V14" i="35"/>
  <c r="AB13" i="35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B27" i="35" s="1"/>
  <c r="AB28" i="35" s="1"/>
  <c r="AB29" i="35" s="1"/>
  <c r="AB30" i="35" s="1"/>
  <c r="AB31" i="35" s="1"/>
  <c r="AB32" i="35" s="1"/>
  <c r="AB33" i="35" s="1"/>
  <c r="W13" i="35"/>
  <c r="V13" i="35"/>
  <c r="Y12" i="35"/>
  <c r="W12" i="35"/>
  <c r="V12" i="35"/>
  <c r="C21" i="33" l="1"/>
  <c r="Y22" i="35"/>
  <c r="W22" i="35"/>
  <c r="AL63" i="35"/>
  <c r="AL60" i="35"/>
  <c r="AL61" i="35" s="1"/>
  <c r="AL62" i="35" s="1"/>
  <c r="AL64" i="35"/>
  <c r="AL65" i="35" s="1"/>
  <c r="AL66" i="35" s="1"/>
  <c r="AL67" i="35" s="1"/>
  <c r="AL68" i="35" s="1"/>
  <c r="AL69" i="35" s="1"/>
  <c r="AL70" i="35" s="1"/>
  <c r="AL71" i="35" s="1"/>
  <c r="AL72" i="35" s="1"/>
  <c r="AL73" i="35" s="1"/>
  <c r="AL74" i="35" s="1"/>
  <c r="AL75" i="35" s="1"/>
  <c r="W20" i="35"/>
  <c r="W19" i="35"/>
  <c r="AL21" i="35"/>
  <c r="AL18" i="35"/>
  <c r="AL19" i="35" s="1"/>
  <c r="AL20" i="35" s="1"/>
  <c r="AL22" i="35"/>
  <c r="AL23" i="35" s="1"/>
  <c r="AL24" i="35" s="1"/>
  <c r="AL25" i="35" s="1"/>
  <c r="AL26" i="35" s="1"/>
  <c r="AL27" i="35" s="1"/>
  <c r="AL28" i="35" s="1"/>
  <c r="AL29" i="35" s="1"/>
  <c r="AL30" i="35" s="1"/>
  <c r="AL31" i="35" s="1"/>
  <c r="AL32" i="35" s="1"/>
  <c r="AL33" i="35" s="1"/>
  <c r="AL43" i="35"/>
  <c r="AL44" i="35" s="1"/>
  <c r="AL45" i="35" s="1"/>
  <c r="AL46" i="35" s="1"/>
  <c r="AL47" i="35" s="1"/>
  <c r="AL48" i="35" s="1"/>
  <c r="AL49" i="35" s="1"/>
  <c r="AL50" i="35" s="1"/>
  <c r="AL51" i="35" s="1"/>
  <c r="AL52" i="35" s="1"/>
  <c r="AL53" i="35" s="1"/>
  <c r="AL54" i="35" s="1"/>
  <c r="AL42" i="35"/>
  <c r="AL39" i="35"/>
  <c r="AL40" i="35" s="1"/>
  <c r="AL41" i="35" s="1"/>
  <c r="AL85" i="35"/>
  <c r="AL86" i="35" s="1"/>
  <c r="AL87" i="35" s="1"/>
  <c r="AL88" i="35" s="1"/>
  <c r="AL89" i="35" s="1"/>
  <c r="AL90" i="35" s="1"/>
  <c r="AL91" i="35" s="1"/>
  <c r="AL92" i="35" s="1"/>
  <c r="AL93" i="35" s="1"/>
  <c r="AL94" i="35" s="1"/>
  <c r="AL95" i="35" s="1"/>
  <c r="AL96" i="35" s="1"/>
  <c r="AL84" i="35"/>
  <c r="AL81" i="35"/>
  <c r="AL82" i="35" s="1"/>
  <c r="AL83" i="35" s="1"/>
  <c r="AL127" i="35"/>
  <c r="AL128" i="35" s="1"/>
  <c r="AL129" i="35" s="1"/>
  <c r="AL130" i="35" s="1"/>
  <c r="AL131" i="35" s="1"/>
  <c r="AL132" i="35" s="1"/>
  <c r="AL133" i="35" s="1"/>
  <c r="AL134" i="35" s="1"/>
  <c r="AL135" i="35" s="1"/>
  <c r="AL136" i="35" s="1"/>
  <c r="AL137" i="35" s="1"/>
  <c r="AL138" i="35" s="1"/>
  <c r="AL126" i="35"/>
  <c r="AL123" i="35"/>
  <c r="AL124" i="35" s="1"/>
  <c r="AL125" i="35" s="1"/>
  <c r="AL169" i="35"/>
  <c r="AL170" i="35" s="1"/>
  <c r="AL171" i="35" s="1"/>
  <c r="AL172" i="35" s="1"/>
  <c r="AL173" i="35" s="1"/>
  <c r="AL174" i="35" s="1"/>
  <c r="AL175" i="35" s="1"/>
  <c r="AL176" i="35" s="1"/>
  <c r="AL177" i="35" s="1"/>
  <c r="AL178" i="35" s="1"/>
  <c r="AL179" i="35" s="1"/>
  <c r="AL180" i="35" s="1"/>
  <c r="AL168" i="35"/>
  <c r="AL165" i="35"/>
  <c r="AL166" i="35" s="1"/>
  <c r="AL167" i="35" s="1"/>
  <c r="AL211" i="35"/>
  <c r="AL212" i="35" s="1"/>
  <c r="AL213" i="35" s="1"/>
  <c r="AL214" i="35" s="1"/>
  <c r="AL215" i="35" s="1"/>
  <c r="AL216" i="35" s="1"/>
  <c r="AL217" i="35" s="1"/>
  <c r="AL218" i="35" s="1"/>
  <c r="AL219" i="35" s="1"/>
  <c r="AL220" i="35" s="1"/>
  <c r="AL221" i="35" s="1"/>
  <c r="AL222" i="35" s="1"/>
  <c r="AL210" i="35"/>
  <c r="AL207" i="35"/>
  <c r="AL208" i="35" s="1"/>
  <c r="AL209" i="35" s="1"/>
  <c r="Y19" i="35"/>
  <c r="AL105" i="35"/>
  <c r="AL102" i="35"/>
  <c r="AL103" i="35" s="1"/>
  <c r="AL104" i="35" s="1"/>
  <c r="AL106" i="35"/>
  <c r="AL107" i="35" s="1"/>
  <c r="AL108" i="35" s="1"/>
  <c r="AL109" i="35" s="1"/>
  <c r="AL110" i="35" s="1"/>
  <c r="AL111" i="35" s="1"/>
  <c r="AL112" i="35" s="1"/>
  <c r="AL113" i="35" s="1"/>
  <c r="AL114" i="35" s="1"/>
  <c r="AL115" i="35" s="1"/>
  <c r="AL116" i="35" s="1"/>
  <c r="AL117" i="35" s="1"/>
  <c r="AL147" i="35"/>
  <c r="AL144" i="35"/>
  <c r="AL145" i="35" s="1"/>
  <c r="AL146" i="35" s="1"/>
  <c r="AL148" i="35"/>
  <c r="AL149" i="35" s="1"/>
  <c r="AL150" i="35" s="1"/>
  <c r="AL151" i="35" s="1"/>
  <c r="AL152" i="35" s="1"/>
  <c r="AL153" i="35" s="1"/>
  <c r="AL154" i="35" s="1"/>
  <c r="AL155" i="35" s="1"/>
  <c r="AL156" i="35" s="1"/>
  <c r="AL157" i="35" s="1"/>
  <c r="AL158" i="35" s="1"/>
  <c r="AL159" i="35" s="1"/>
  <c r="AL189" i="35"/>
  <c r="AL186" i="35"/>
  <c r="AL187" i="35" s="1"/>
  <c r="AL188" i="35" s="1"/>
  <c r="AL190" i="35"/>
  <c r="AL191" i="35" s="1"/>
  <c r="AL192" i="35" s="1"/>
  <c r="AL193" i="35" s="1"/>
  <c r="AL194" i="35" s="1"/>
  <c r="AL195" i="35" s="1"/>
  <c r="AL196" i="35" s="1"/>
  <c r="AL197" i="35" s="1"/>
  <c r="AL198" i="35" s="1"/>
  <c r="AL199" i="35" s="1"/>
  <c r="AL200" i="35" s="1"/>
  <c r="AL201" i="35" s="1"/>
  <c r="V20" i="35"/>
  <c r="X20" i="35"/>
  <c r="D7" i="4"/>
  <c r="D11" i="4" s="1"/>
  <c r="D15" i="4" s="1"/>
  <c r="D16" i="4" s="1"/>
  <c r="E7" i="4"/>
  <c r="E11" i="4" s="1"/>
  <c r="E15" i="4" s="1"/>
  <c r="E16" i="4" s="1"/>
  <c r="F7" i="4"/>
  <c r="F11" i="4" s="1"/>
  <c r="F15" i="4" s="1"/>
  <c r="F16" i="4" s="1"/>
  <c r="G7" i="4"/>
  <c r="G11" i="4" s="1"/>
  <c r="G15" i="4" s="1"/>
  <c r="G16" i="4" s="1"/>
  <c r="H7" i="4"/>
  <c r="H11" i="4" s="1"/>
  <c r="H15" i="4" s="1"/>
  <c r="H16" i="4" s="1"/>
  <c r="I7" i="4"/>
  <c r="I11" i="4" s="1"/>
  <c r="I15" i="4" s="1"/>
  <c r="I16" i="4" s="1"/>
  <c r="J7" i="4"/>
  <c r="J11" i="4" s="1"/>
  <c r="J15" i="4" s="1"/>
  <c r="J16" i="4" s="1"/>
  <c r="K7" i="4"/>
  <c r="K11" i="4" s="1"/>
  <c r="K15" i="4" s="1"/>
  <c r="K16" i="4" s="1"/>
  <c r="L7" i="4"/>
  <c r="L11" i="4" s="1"/>
  <c r="L15" i="4" s="1"/>
  <c r="L16" i="4" s="1"/>
  <c r="M7" i="4"/>
  <c r="M11" i="4" s="1"/>
  <c r="M15" i="4" s="1"/>
  <c r="M16" i="4" s="1"/>
  <c r="N7" i="4"/>
  <c r="N11" i="4" s="1"/>
  <c r="N15" i="4" s="1"/>
  <c r="N16" i="4" s="1"/>
  <c r="C7" i="4"/>
  <c r="C11" i="4" s="1"/>
  <c r="C15" i="4" s="1"/>
  <c r="C16" i="4" s="1"/>
  <c r="H55" i="41"/>
  <c r="O4" i="4" l="1"/>
  <c r="AM7" i="35" l="1"/>
  <c r="AL7" i="35"/>
  <c r="AK7" i="35"/>
  <c r="J38" i="35"/>
  <c r="U7" i="35"/>
  <c r="T7" i="35"/>
  <c r="X7" i="35" l="1"/>
  <c r="W7" i="35"/>
  <c r="Y7" i="35"/>
  <c r="AP7" i="35"/>
  <c r="AN7" i="35"/>
  <c r="AO7" i="35"/>
  <c r="AQ7" i="35"/>
  <c r="V7" i="35"/>
  <c r="AS7" i="35"/>
  <c r="AR7" i="35"/>
  <c r="K94" i="38" l="1"/>
  <c r="K93" i="38"/>
  <c r="K92" i="38"/>
  <c r="K91" i="38"/>
  <c r="K90" i="38"/>
  <c r="K89" i="38"/>
  <c r="K88" i="38"/>
  <c r="K87" i="38"/>
  <c r="K86" i="38"/>
  <c r="K85" i="38"/>
  <c r="K81" i="38"/>
  <c r="K80" i="38"/>
  <c r="K79" i="38"/>
  <c r="K78" i="38"/>
  <c r="K77" i="38"/>
  <c r="K76" i="38"/>
  <c r="K75" i="38"/>
  <c r="K74" i="38"/>
  <c r="K73" i="38"/>
  <c r="K72" i="38"/>
  <c r="K68" i="38"/>
  <c r="K67" i="38"/>
  <c r="K66" i="38"/>
  <c r="K65" i="38"/>
  <c r="K64" i="38"/>
  <c r="K63" i="38"/>
  <c r="K62" i="38"/>
  <c r="K61" i="38"/>
  <c r="K60" i="38"/>
  <c r="K59" i="38"/>
  <c r="K55" i="38"/>
  <c r="K54" i="38"/>
  <c r="K53" i="38"/>
  <c r="K52" i="38"/>
  <c r="K51" i="38"/>
  <c r="K50" i="38"/>
  <c r="K49" i="38"/>
  <c r="K48" i="38"/>
  <c r="K47" i="38"/>
  <c r="K46" i="38"/>
  <c r="K42" i="38"/>
  <c r="K41" i="38"/>
  <c r="K40" i="38"/>
  <c r="K39" i="38"/>
  <c r="K38" i="38"/>
  <c r="K37" i="38"/>
  <c r="K36" i="38"/>
  <c r="K35" i="38"/>
  <c r="K34" i="38"/>
  <c r="K33" i="38"/>
  <c r="K29" i="38"/>
  <c r="K28" i="38"/>
  <c r="K27" i="38"/>
  <c r="K26" i="38"/>
  <c r="K25" i="38"/>
  <c r="K24" i="38"/>
  <c r="K23" i="38"/>
  <c r="K22" i="38"/>
  <c r="K21" i="38"/>
  <c r="K20" i="38"/>
  <c r="K8" i="38"/>
  <c r="K9" i="38"/>
  <c r="K10" i="38"/>
  <c r="K11" i="38"/>
  <c r="K12" i="38"/>
  <c r="K13" i="38"/>
  <c r="K14" i="38"/>
  <c r="K15" i="38"/>
  <c r="K16" i="38"/>
  <c r="K7" i="38"/>
  <c r="M440" i="37"/>
  <c r="M439" i="37"/>
  <c r="M438" i="37"/>
  <c r="M437" i="37"/>
  <c r="M436" i="37"/>
  <c r="M435" i="37"/>
  <c r="M434" i="37"/>
  <c r="M433" i="37"/>
  <c r="M432" i="37"/>
  <c r="M431" i="37"/>
  <c r="M430" i="37"/>
  <c r="M429" i="37"/>
  <c r="M428" i="37"/>
  <c r="M427" i="37"/>
  <c r="M426" i="37"/>
  <c r="M425" i="37"/>
  <c r="M424" i="37"/>
  <c r="M423" i="37"/>
  <c r="M422" i="37"/>
  <c r="M421" i="37"/>
  <c r="M417" i="37"/>
  <c r="M416" i="37"/>
  <c r="M415" i="37"/>
  <c r="M414" i="37"/>
  <c r="M413" i="37"/>
  <c r="M412" i="37"/>
  <c r="M411" i="37"/>
  <c r="M410" i="37"/>
  <c r="M409" i="37"/>
  <c r="M408" i="37"/>
  <c r="M407" i="37"/>
  <c r="M406" i="37"/>
  <c r="M405" i="37"/>
  <c r="M404" i="37"/>
  <c r="M403" i="37"/>
  <c r="M402" i="37"/>
  <c r="M401" i="37"/>
  <c r="M400" i="37"/>
  <c r="M399" i="37"/>
  <c r="M398" i="37"/>
  <c r="M392" i="37"/>
  <c r="M391" i="37"/>
  <c r="M390" i="37"/>
  <c r="M389" i="37"/>
  <c r="M388" i="37"/>
  <c r="M387" i="37"/>
  <c r="M386" i="37"/>
  <c r="M385" i="37"/>
  <c r="M384" i="37"/>
  <c r="M383" i="37"/>
  <c r="M382" i="37"/>
  <c r="M381" i="37"/>
  <c r="M380" i="37"/>
  <c r="M379" i="37"/>
  <c r="M378" i="37"/>
  <c r="M377" i="37"/>
  <c r="M376" i="37"/>
  <c r="M375" i="37"/>
  <c r="M374" i="37"/>
  <c r="M373" i="37"/>
  <c r="M369" i="37"/>
  <c r="M368" i="37"/>
  <c r="M367" i="37"/>
  <c r="M366" i="37"/>
  <c r="M365" i="37"/>
  <c r="M364" i="37"/>
  <c r="M363" i="37"/>
  <c r="M362" i="37"/>
  <c r="M361" i="37"/>
  <c r="M360" i="37"/>
  <c r="M359" i="37"/>
  <c r="M358" i="37"/>
  <c r="M357" i="37"/>
  <c r="M356" i="37"/>
  <c r="M355" i="37"/>
  <c r="M354" i="37"/>
  <c r="M353" i="37"/>
  <c r="M352" i="37"/>
  <c r="M351" i="37"/>
  <c r="M350" i="37"/>
  <c r="M344" i="37"/>
  <c r="M343" i="37"/>
  <c r="M342" i="37"/>
  <c r="M341" i="37"/>
  <c r="M340" i="37"/>
  <c r="M339" i="37"/>
  <c r="M338" i="37"/>
  <c r="M337" i="37"/>
  <c r="M336" i="37"/>
  <c r="M335" i="37"/>
  <c r="M331" i="37"/>
  <c r="M330" i="37"/>
  <c r="M329" i="37"/>
  <c r="M328" i="37"/>
  <c r="M327" i="37"/>
  <c r="M326" i="37"/>
  <c r="M325" i="37"/>
  <c r="M324" i="37"/>
  <c r="M323" i="37"/>
  <c r="M322" i="37"/>
  <c r="M316" i="37"/>
  <c r="M315" i="37"/>
  <c r="M314" i="37"/>
  <c r="M313" i="37"/>
  <c r="M312" i="37"/>
  <c r="M311" i="37"/>
  <c r="M310" i="37"/>
  <c r="M309" i="37"/>
  <c r="M308" i="37"/>
  <c r="M307" i="37"/>
  <c r="M306" i="37"/>
  <c r="M305" i="37"/>
  <c r="M304" i="37"/>
  <c r="M303" i="37"/>
  <c r="M302" i="37"/>
  <c r="M301" i="37"/>
  <c r="M300" i="37"/>
  <c r="M299" i="37"/>
  <c r="M298" i="37"/>
  <c r="M297" i="37"/>
  <c r="M293" i="37"/>
  <c r="M292" i="37"/>
  <c r="M291" i="37"/>
  <c r="M290" i="37"/>
  <c r="M289" i="37"/>
  <c r="M288" i="37"/>
  <c r="M287" i="37"/>
  <c r="M286" i="37"/>
  <c r="M285" i="37"/>
  <c r="M284" i="37"/>
  <c r="M283" i="37"/>
  <c r="M282" i="37"/>
  <c r="M281" i="37"/>
  <c r="M280" i="37"/>
  <c r="M279" i="37"/>
  <c r="M278" i="37"/>
  <c r="M277" i="37"/>
  <c r="M276" i="37"/>
  <c r="M275" i="37"/>
  <c r="M274" i="37"/>
  <c r="M268" i="37"/>
  <c r="M267" i="37"/>
  <c r="M266" i="37"/>
  <c r="M265" i="37"/>
  <c r="M264" i="37"/>
  <c r="M263" i="37"/>
  <c r="M262" i="37"/>
  <c r="M261" i="37"/>
  <c r="M260" i="37"/>
  <c r="M259" i="37"/>
  <c r="M258" i="37"/>
  <c r="M257" i="37"/>
  <c r="M256" i="37"/>
  <c r="M255" i="37"/>
  <c r="M254" i="37"/>
  <c r="M253" i="37"/>
  <c r="M252" i="37"/>
  <c r="M251" i="37"/>
  <c r="M250" i="37"/>
  <c r="M249" i="37"/>
  <c r="M248" i="37"/>
  <c r="M247" i="37"/>
  <c r="M246" i="37"/>
  <c r="M245" i="37"/>
  <c r="M244" i="37"/>
  <c r="M243" i="37"/>
  <c r="M242" i="37"/>
  <c r="M241" i="37"/>
  <c r="M240" i="37"/>
  <c r="M239" i="37"/>
  <c r="M238" i="37"/>
  <c r="M237" i="37"/>
  <c r="M236" i="37"/>
  <c r="M235" i="37"/>
  <c r="M234" i="37"/>
  <c r="M233" i="37"/>
  <c r="M232" i="37"/>
  <c r="M231" i="37"/>
  <c r="M230" i="37"/>
  <c r="M229" i="37"/>
  <c r="M228" i="37"/>
  <c r="M227" i="37"/>
  <c r="M226" i="37"/>
  <c r="M225" i="37"/>
  <c r="M224" i="37"/>
  <c r="M223" i="37"/>
  <c r="M222" i="37"/>
  <c r="M221" i="37"/>
  <c r="M220" i="37"/>
  <c r="M219" i="37"/>
  <c r="M215" i="37"/>
  <c r="M214" i="37"/>
  <c r="M213" i="37"/>
  <c r="M212" i="37"/>
  <c r="M211" i="37"/>
  <c r="M210" i="37"/>
  <c r="M209" i="37"/>
  <c r="M208" i="37"/>
  <c r="M207" i="37"/>
  <c r="M206" i="37"/>
  <c r="M205" i="37"/>
  <c r="M204" i="37"/>
  <c r="M203" i="37"/>
  <c r="M202" i="37"/>
  <c r="M201" i="37"/>
  <c r="M200" i="37"/>
  <c r="M199" i="37"/>
  <c r="M198" i="37"/>
  <c r="M197" i="37"/>
  <c r="M196" i="37"/>
  <c r="M195" i="37"/>
  <c r="M194" i="37"/>
  <c r="M193" i="37"/>
  <c r="M192" i="37"/>
  <c r="M191" i="37"/>
  <c r="M190" i="37"/>
  <c r="M189" i="37"/>
  <c r="M188" i="37"/>
  <c r="M187" i="37"/>
  <c r="M186" i="37"/>
  <c r="M185" i="37"/>
  <c r="M184" i="37"/>
  <c r="M183" i="37"/>
  <c r="M182" i="37"/>
  <c r="M181" i="37"/>
  <c r="M180" i="37"/>
  <c r="M179" i="37"/>
  <c r="M178" i="37"/>
  <c r="M177" i="37"/>
  <c r="M176" i="37"/>
  <c r="M175" i="37"/>
  <c r="M174" i="37"/>
  <c r="M173" i="37"/>
  <c r="M172" i="37"/>
  <c r="M171" i="37"/>
  <c r="M170" i="37"/>
  <c r="M169" i="37"/>
  <c r="M168" i="37"/>
  <c r="M167" i="37"/>
  <c r="M166" i="37"/>
  <c r="M160" i="37"/>
  <c r="M159" i="37"/>
  <c r="M158" i="37"/>
  <c r="M157" i="37"/>
  <c r="M156" i="37"/>
  <c r="M155" i="37"/>
  <c r="M154" i="37"/>
  <c r="M153" i="37"/>
  <c r="M152" i="37"/>
  <c r="M151" i="37"/>
  <c r="M150" i="37"/>
  <c r="M149" i="37"/>
  <c r="M148" i="37"/>
  <c r="M147" i="37"/>
  <c r="M146" i="37"/>
  <c r="M145" i="37"/>
  <c r="M144" i="37"/>
  <c r="M143" i="37"/>
  <c r="M142" i="37"/>
  <c r="M141" i="37"/>
  <c r="M137" i="37"/>
  <c r="M136" i="37"/>
  <c r="M135" i="37"/>
  <c r="M134" i="37"/>
  <c r="M133" i="37"/>
  <c r="M132" i="37"/>
  <c r="M131" i="37"/>
  <c r="M130" i="37"/>
  <c r="M129" i="37"/>
  <c r="M128" i="37"/>
  <c r="M127" i="37"/>
  <c r="M126" i="37"/>
  <c r="M125" i="37"/>
  <c r="M124" i="37"/>
  <c r="M123" i="37"/>
  <c r="M122" i="37"/>
  <c r="M121" i="37"/>
  <c r="M120" i="37"/>
  <c r="M119" i="37"/>
  <c r="M118" i="37"/>
  <c r="M112" i="37"/>
  <c r="M111" i="37"/>
  <c r="M110" i="37"/>
  <c r="M109" i="37"/>
  <c r="M108" i="37"/>
  <c r="M107" i="37"/>
  <c r="M106" i="37"/>
  <c r="M105" i="37"/>
  <c r="M104" i="37"/>
  <c r="M103" i="37"/>
  <c r="M102" i="37"/>
  <c r="M101" i="37"/>
  <c r="M100" i="37"/>
  <c r="M99" i="37"/>
  <c r="M98" i="37"/>
  <c r="M97" i="37"/>
  <c r="M96" i="37"/>
  <c r="M95" i="37"/>
  <c r="M94" i="37"/>
  <c r="M93" i="37"/>
  <c r="M92" i="37"/>
  <c r="M91" i="37"/>
  <c r="M90" i="37"/>
  <c r="M89" i="37"/>
  <c r="M88" i="37"/>
  <c r="M87" i="37"/>
  <c r="M86" i="37"/>
  <c r="M85" i="37"/>
  <c r="M84" i="37"/>
  <c r="M83" i="37"/>
  <c r="M82" i="37"/>
  <c r="M81" i="37"/>
  <c r="M80" i="37"/>
  <c r="M79" i="37"/>
  <c r="M78" i="37"/>
  <c r="M77" i="37"/>
  <c r="M76" i="37"/>
  <c r="M75" i="37"/>
  <c r="M74" i="37"/>
  <c r="M73" i="37"/>
  <c r="M72" i="37"/>
  <c r="M71" i="37"/>
  <c r="M70" i="37"/>
  <c r="M69" i="37"/>
  <c r="M68" i="37"/>
  <c r="M67" i="37"/>
  <c r="M66" i="37"/>
  <c r="M65" i="37"/>
  <c r="M64" i="37"/>
  <c r="M63" i="37"/>
  <c r="M11" i="37"/>
  <c r="M12" i="37"/>
  <c r="M13" i="37"/>
  <c r="M14" i="37"/>
  <c r="M15" i="37"/>
  <c r="M16" i="37"/>
  <c r="M17" i="37"/>
  <c r="M18" i="37"/>
  <c r="M19" i="37"/>
  <c r="M20" i="37"/>
  <c r="M21" i="37"/>
  <c r="M22" i="37"/>
  <c r="M23" i="37"/>
  <c r="M24" i="37"/>
  <c r="M25" i="37"/>
  <c r="M26" i="37"/>
  <c r="M27" i="37"/>
  <c r="M28" i="37"/>
  <c r="M29" i="37"/>
  <c r="M30" i="37"/>
  <c r="M31" i="37"/>
  <c r="M32" i="37"/>
  <c r="M33" i="37"/>
  <c r="M34" i="37"/>
  <c r="M35" i="37"/>
  <c r="M36" i="37"/>
  <c r="M37" i="37"/>
  <c r="M38" i="37"/>
  <c r="M39" i="37"/>
  <c r="M40" i="37"/>
  <c r="M41" i="37"/>
  <c r="M42" i="37"/>
  <c r="M43" i="37"/>
  <c r="M44" i="37"/>
  <c r="M45" i="37"/>
  <c r="M46" i="37"/>
  <c r="M47" i="37"/>
  <c r="M48" i="37"/>
  <c r="M49" i="37"/>
  <c r="M50" i="37"/>
  <c r="M51" i="37"/>
  <c r="M52" i="37"/>
  <c r="M53" i="37"/>
  <c r="M54" i="37"/>
  <c r="M55" i="37"/>
  <c r="M56" i="37"/>
  <c r="M57" i="37"/>
  <c r="M58" i="37"/>
  <c r="M59" i="37"/>
  <c r="M10" i="37"/>
  <c r="I51" i="53"/>
  <c r="J51" i="53"/>
  <c r="K51" i="53"/>
  <c r="L51" i="53"/>
  <c r="M51" i="53"/>
  <c r="N51" i="53"/>
  <c r="O51" i="53"/>
  <c r="P51" i="53"/>
  <c r="Q51" i="53"/>
  <c r="R51" i="53"/>
  <c r="S51" i="53"/>
  <c r="T51" i="53"/>
  <c r="U51" i="53"/>
  <c r="V51" i="53"/>
  <c r="W51" i="53"/>
  <c r="X51" i="53"/>
  <c r="Y51" i="53"/>
  <c r="Z51" i="53"/>
  <c r="AA51" i="53"/>
  <c r="I52" i="53"/>
  <c r="I54" i="53" s="1"/>
  <c r="J52" i="53"/>
  <c r="J54" i="53" s="1"/>
  <c r="K52" i="53"/>
  <c r="K54" i="53" s="1"/>
  <c r="L52" i="53"/>
  <c r="M52" i="53"/>
  <c r="M54" i="53" s="1"/>
  <c r="N52" i="53"/>
  <c r="N54" i="53" s="1"/>
  <c r="O52" i="53"/>
  <c r="O54" i="53" s="1"/>
  <c r="P52" i="53"/>
  <c r="Q52" i="53"/>
  <c r="Q54" i="53" s="1"/>
  <c r="R52" i="53"/>
  <c r="R54" i="53" s="1"/>
  <c r="S52" i="53"/>
  <c r="S54" i="53" s="1"/>
  <c r="T52" i="53"/>
  <c r="T54" i="53" s="1"/>
  <c r="U52" i="53"/>
  <c r="U54" i="53" s="1"/>
  <c r="V52" i="53"/>
  <c r="V54" i="53" s="1"/>
  <c r="W52" i="53"/>
  <c r="W54" i="53" s="1"/>
  <c r="X52" i="53"/>
  <c r="X54" i="53" s="1"/>
  <c r="Y52" i="53"/>
  <c r="Y54" i="53" s="1"/>
  <c r="Z52" i="53"/>
  <c r="Z54" i="53" s="1"/>
  <c r="AA52" i="53"/>
  <c r="AA54" i="53" s="1"/>
  <c r="I53" i="53"/>
  <c r="I55" i="53" s="1"/>
  <c r="J53" i="53"/>
  <c r="K53" i="53"/>
  <c r="L53" i="53"/>
  <c r="M53" i="53"/>
  <c r="N53" i="53"/>
  <c r="O53" i="53"/>
  <c r="P53" i="53"/>
  <c r="Q53" i="53"/>
  <c r="R53" i="53"/>
  <c r="S53" i="53"/>
  <c r="T53" i="53"/>
  <c r="U53" i="53"/>
  <c r="V53" i="53"/>
  <c r="W53" i="53"/>
  <c r="X53" i="53"/>
  <c r="Y53" i="53"/>
  <c r="Z53" i="53"/>
  <c r="AA53" i="53"/>
  <c r="L54" i="53"/>
  <c r="P54" i="53"/>
  <c r="I25" i="53"/>
  <c r="J25" i="53"/>
  <c r="J32" i="53" s="1"/>
  <c r="J33" i="53" s="1"/>
  <c r="K25" i="53"/>
  <c r="K32" i="53" s="1"/>
  <c r="K33" i="53" s="1"/>
  <c r="K35" i="53" s="1"/>
  <c r="L25" i="53"/>
  <c r="L32" i="53" s="1"/>
  <c r="L33" i="53" s="1"/>
  <c r="L35" i="53" s="1"/>
  <c r="M25" i="53"/>
  <c r="M32" i="53" s="1"/>
  <c r="M33" i="53" s="1"/>
  <c r="N25" i="53"/>
  <c r="N32" i="53" s="1"/>
  <c r="N33" i="53" s="1"/>
  <c r="O25" i="53"/>
  <c r="P25" i="53"/>
  <c r="Q25" i="53"/>
  <c r="R25" i="53"/>
  <c r="R32" i="53" s="1"/>
  <c r="R33" i="53" s="1"/>
  <c r="R35" i="53" s="1"/>
  <c r="S25" i="53"/>
  <c r="S32" i="53" s="1"/>
  <c r="S33" i="53" s="1"/>
  <c r="T25" i="53"/>
  <c r="T32" i="53" s="1"/>
  <c r="T33" i="53" s="1"/>
  <c r="T35" i="53" s="1"/>
  <c r="U25" i="53"/>
  <c r="U32" i="53" s="1"/>
  <c r="U33" i="53" s="1"/>
  <c r="V25" i="53"/>
  <c r="V32" i="53" s="1"/>
  <c r="V33" i="53" s="1"/>
  <c r="W25" i="53"/>
  <c r="X25" i="53"/>
  <c r="Y25" i="53"/>
  <c r="Z25" i="53"/>
  <c r="Z32" i="53" s="1"/>
  <c r="Z33" i="53" s="1"/>
  <c r="Z35" i="53" s="1"/>
  <c r="AA25" i="53"/>
  <c r="AA32" i="53" s="1"/>
  <c r="AA33" i="53" s="1"/>
  <c r="I28" i="53"/>
  <c r="J28" i="53"/>
  <c r="K28" i="53"/>
  <c r="L28" i="53"/>
  <c r="M28" i="53"/>
  <c r="N28" i="53"/>
  <c r="O28" i="53"/>
  <c r="P28" i="53"/>
  <c r="P34" i="53" s="1"/>
  <c r="Q28" i="53"/>
  <c r="R28" i="53"/>
  <c r="S28" i="53"/>
  <c r="T28" i="53"/>
  <c r="U28" i="53"/>
  <c r="V28" i="53"/>
  <c r="W28" i="53"/>
  <c r="X28" i="53"/>
  <c r="X34" i="53" s="1"/>
  <c r="Y28" i="53"/>
  <c r="Z28" i="53"/>
  <c r="AA28" i="53"/>
  <c r="P32" i="53"/>
  <c r="P33" i="53" s="1"/>
  <c r="P35" i="53" s="1"/>
  <c r="X32" i="53"/>
  <c r="X33" i="53" s="1"/>
  <c r="X35" i="53" s="1"/>
  <c r="H28" i="53"/>
  <c r="H25" i="53"/>
  <c r="I8" i="53"/>
  <c r="J8" i="53"/>
  <c r="J15" i="53" s="1"/>
  <c r="J16" i="53" s="1"/>
  <c r="K8" i="53"/>
  <c r="L8" i="53"/>
  <c r="M8" i="53"/>
  <c r="N8" i="53"/>
  <c r="O8" i="53"/>
  <c r="O15" i="53" s="1"/>
  <c r="O16" i="53" s="1"/>
  <c r="O18" i="53" s="1"/>
  <c r="P8" i="53"/>
  <c r="P60" i="53" s="1"/>
  <c r="P62" i="53" s="1"/>
  <c r="Q8" i="53"/>
  <c r="R8" i="53"/>
  <c r="S8" i="53"/>
  <c r="S15" i="53" s="1"/>
  <c r="S16" i="53" s="1"/>
  <c r="S18" i="53" s="1"/>
  <c r="T8" i="53"/>
  <c r="U8" i="53"/>
  <c r="V8" i="53"/>
  <c r="W8" i="53"/>
  <c r="W15" i="53" s="1"/>
  <c r="W16" i="53" s="1"/>
  <c r="W18" i="53" s="1"/>
  <c r="X8" i="53"/>
  <c r="X60" i="53" s="1"/>
  <c r="X62" i="53" s="1"/>
  <c r="Y8" i="53"/>
  <c r="Z8" i="53"/>
  <c r="Z15" i="53" s="1"/>
  <c r="Z16" i="53" s="1"/>
  <c r="AA8" i="53"/>
  <c r="AA15" i="53" s="1"/>
  <c r="AA16" i="53" s="1"/>
  <c r="AA18" i="53" s="1"/>
  <c r="I11" i="53"/>
  <c r="J11" i="53"/>
  <c r="K11" i="53"/>
  <c r="L11" i="53"/>
  <c r="M11" i="53"/>
  <c r="N11" i="53"/>
  <c r="O11" i="53"/>
  <c r="P11" i="53"/>
  <c r="Q11" i="53"/>
  <c r="R11" i="53"/>
  <c r="S11" i="53"/>
  <c r="T11" i="53"/>
  <c r="U11" i="53"/>
  <c r="V11" i="53"/>
  <c r="W11" i="53"/>
  <c r="X11" i="53"/>
  <c r="Y11" i="53"/>
  <c r="Z11" i="53"/>
  <c r="AA11" i="53"/>
  <c r="K15" i="53"/>
  <c r="K16" i="53" s="1"/>
  <c r="K18" i="53" s="1"/>
  <c r="K39" i="53" s="1"/>
  <c r="H11" i="53"/>
  <c r="H8" i="53"/>
  <c r="K83" i="52"/>
  <c r="K82" i="52"/>
  <c r="K81" i="52"/>
  <c r="K67" i="52"/>
  <c r="K68" i="52"/>
  <c r="K66" i="52"/>
  <c r="K56" i="52"/>
  <c r="K57" i="52"/>
  <c r="K58" i="52"/>
  <c r="K59" i="52"/>
  <c r="K55" i="52"/>
  <c r="K9" i="52"/>
  <c r="K10" i="52"/>
  <c r="K11" i="52"/>
  <c r="K12" i="52"/>
  <c r="K13" i="52"/>
  <c r="K14" i="52"/>
  <c r="K15" i="52"/>
  <c r="K16" i="52"/>
  <c r="K17" i="52"/>
  <c r="K18" i="52"/>
  <c r="K19" i="52"/>
  <c r="K20" i="52"/>
  <c r="K21" i="52"/>
  <c r="K22" i="52"/>
  <c r="K23" i="52"/>
  <c r="K24" i="52"/>
  <c r="K25" i="52"/>
  <c r="K26" i="52"/>
  <c r="K27" i="52"/>
  <c r="K28" i="52"/>
  <c r="K29" i="52"/>
  <c r="K30" i="52"/>
  <c r="K31" i="52"/>
  <c r="K32" i="52"/>
  <c r="K33" i="52"/>
  <c r="K34" i="52"/>
  <c r="K35" i="52"/>
  <c r="K36" i="52"/>
  <c r="K37" i="52"/>
  <c r="K38" i="52"/>
  <c r="K39" i="52"/>
  <c r="K40" i="52"/>
  <c r="K41" i="52"/>
  <c r="K42" i="52"/>
  <c r="K43" i="52"/>
  <c r="K44" i="52"/>
  <c r="K45" i="52"/>
  <c r="K46" i="52"/>
  <c r="K47" i="52"/>
  <c r="K48" i="52"/>
  <c r="K8" i="52"/>
  <c r="I57" i="51"/>
  <c r="J57" i="51"/>
  <c r="K57" i="51"/>
  <c r="L57" i="51"/>
  <c r="M57" i="51"/>
  <c r="N57" i="51"/>
  <c r="O57" i="51"/>
  <c r="P57" i="51"/>
  <c r="Q57" i="51"/>
  <c r="R57" i="51"/>
  <c r="S57" i="51"/>
  <c r="T57" i="51"/>
  <c r="U57" i="51"/>
  <c r="V57" i="51"/>
  <c r="W57" i="51"/>
  <c r="X57" i="51"/>
  <c r="Y57" i="51"/>
  <c r="Z57" i="51"/>
  <c r="AA57" i="51"/>
  <c r="I58" i="51"/>
  <c r="I60" i="51" s="1"/>
  <c r="J58" i="51"/>
  <c r="J60" i="51" s="1"/>
  <c r="K58" i="51"/>
  <c r="L58" i="51"/>
  <c r="L60" i="51" s="1"/>
  <c r="M58" i="51"/>
  <c r="M60" i="51" s="1"/>
  <c r="N58" i="51"/>
  <c r="N60" i="51" s="1"/>
  <c r="O58" i="51"/>
  <c r="O60" i="51" s="1"/>
  <c r="P58" i="51"/>
  <c r="P60" i="51" s="1"/>
  <c r="Q58" i="51"/>
  <c r="R58" i="51"/>
  <c r="R60" i="51" s="1"/>
  <c r="S58" i="51"/>
  <c r="S60" i="51" s="1"/>
  <c r="T58" i="51"/>
  <c r="T60" i="51" s="1"/>
  <c r="U58" i="51"/>
  <c r="V58" i="51"/>
  <c r="V60" i="51" s="1"/>
  <c r="W58" i="51"/>
  <c r="W60" i="51" s="1"/>
  <c r="X58" i="51"/>
  <c r="X60" i="51" s="1"/>
  <c r="Y58" i="51"/>
  <c r="Y60" i="51" s="1"/>
  <c r="Z58" i="51"/>
  <c r="Z60" i="51" s="1"/>
  <c r="AA58" i="51"/>
  <c r="AA60" i="51" s="1"/>
  <c r="I59" i="51"/>
  <c r="J59" i="51"/>
  <c r="K59" i="51"/>
  <c r="L59" i="51"/>
  <c r="L61" i="51" s="1"/>
  <c r="M59" i="51"/>
  <c r="N59" i="51"/>
  <c r="O59" i="51"/>
  <c r="P59" i="51"/>
  <c r="P61" i="51" s="1"/>
  <c r="Q59" i="51"/>
  <c r="R59" i="51"/>
  <c r="S59" i="51"/>
  <c r="T59" i="51"/>
  <c r="T61" i="51" s="1"/>
  <c r="U59" i="51"/>
  <c r="V59" i="51"/>
  <c r="W59" i="51"/>
  <c r="X59" i="51"/>
  <c r="X61" i="51" s="1"/>
  <c r="Y59" i="51"/>
  <c r="Z59" i="51"/>
  <c r="AA59" i="51"/>
  <c r="K60" i="51"/>
  <c r="Q60" i="51"/>
  <c r="U60" i="51"/>
  <c r="I66" i="51"/>
  <c r="I68" i="51" s="1"/>
  <c r="J66" i="51"/>
  <c r="J68" i="51" s="1"/>
  <c r="K66" i="51"/>
  <c r="K68" i="51" s="1"/>
  <c r="L66" i="51"/>
  <c r="L68" i="51" s="1"/>
  <c r="M66" i="51"/>
  <c r="M68" i="51" s="1"/>
  <c r="N66" i="51"/>
  <c r="N68" i="51" s="1"/>
  <c r="O66" i="51"/>
  <c r="O68" i="51" s="1"/>
  <c r="P66" i="51"/>
  <c r="P68" i="51" s="1"/>
  <c r="Q66" i="51"/>
  <c r="Q68" i="51" s="1"/>
  <c r="R66" i="51"/>
  <c r="R68" i="51" s="1"/>
  <c r="S66" i="51"/>
  <c r="S68" i="51" s="1"/>
  <c r="T66" i="51"/>
  <c r="T68" i="51" s="1"/>
  <c r="U66" i="51"/>
  <c r="U68" i="51" s="1"/>
  <c r="V66" i="51"/>
  <c r="V68" i="51" s="1"/>
  <c r="W66" i="51"/>
  <c r="W68" i="51" s="1"/>
  <c r="X66" i="51"/>
  <c r="X68" i="51" s="1"/>
  <c r="Y66" i="51"/>
  <c r="Y68" i="51" s="1"/>
  <c r="Z66" i="51"/>
  <c r="Z68" i="51" s="1"/>
  <c r="AA66" i="51"/>
  <c r="AA68" i="51" s="1"/>
  <c r="H66" i="51"/>
  <c r="H57" i="51"/>
  <c r="I32" i="51"/>
  <c r="I40" i="51" s="1"/>
  <c r="J32" i="51"/>
  <c r="J40" i="51" s="1"/>
  <c r="K32" i="51"/>
  <c r="K40" i="51" s="1"/>
  <c r="L32" i="51"/>
  <c r="L40" i="51" s="1"/>
  <c r="M32" i="51"/>
  <c r="N32" i="51"/>
  <c r="N40" i="51" s="1"/>
  <c r="O32" i="51"/>
  <c r="O40" i="51" s="1"/>
  <c r="P32" i="51"/>
  <c r="P40" i="51" s="1"/>
  <c r="Q32" i="51"/>
  <c r="Q40" i="51" s="1"/>
  <c r="R32" i="51"/>
  <c r="R40" i="51" s="1"/>
  <c r="S32" i="51"/>
  <c r="S40" i="51" s="1"/>
  <c r="T32" i="51"/>
  <c r="T40" i="51" s="1"/>
  <c r="U32" i="51"/>
  <c r="U40" i="51" s="1"/>
  <c r="V32" i="51"/>
  <c r="V40" i="51" s="1"/>
  <c r="W32" i="51"/>
  <c r="W40" i="51" s="1"/>
  <c r="X32" i="51"/>
  <c r="X40" i="51" s="1"/>
  <c r="Y32" i="51"/>
  <c r="Y40" i="51" s="1"/>
  <c r="Z32" i="51"/>
  <c r="Z40" i="51" s="1"/>
  <c r="AA32" i="51"/>
  <c r="AA40" i="51" s="1"/>
  <c r="I36" i="51"/>
  <c r="I37" i="51" s="1"/>
  <c r="I41" i="51" s="1"/>
  <c r="J36" i="51"/>
  <c r="J37" i="51" s="1"/>
  <c r="J41" i="51" s="1"/>
  <c r="K36" i="51"/>
  <c r="K37" i="51" s="1"/>
  <c r="K41" i="51" s="1"/>
  <c r="L36" i="51"/>
  <c r="L37" i="51" s="1"/>
  <c r="L41" i="51" s="1"/>
  <c r="M36" i="51"/>
  <c r="M37" i="51" s="1"/>
  <c r="M41" i="51" s="1"/>
  <c r="N36" i="51"/>
  <c r="N37" i="51" s="1"/>
  <c r="N41" i="51" s="1"/>
  <c r="O36" i="51"/>
  <c r="O37" i="51" s="1"/>
  <c r="O41" i="51" s="1"/>
  <c r="P36" i="51"/>
  <c r="P37" i="51" s="1"/>
  <c r="P41" i="51" s="1"/>
  <c r="Q36" i="51"/>
  <c r="Q37" i="51" s="1"/>
  <c r="Q41" i="51" s="1"/>
  <c r="R36" i="51"/>
  <c r="R37" i="51" s="1"/>
  <c r="R41" i="51" s="1"/>
  <c r="S36" i="51"/>
  <c r="S37" i="51" s="1"/>
  <c r="S41" i="51" s="1"/>
  <c r="T36" i="51"/>
  <c r="T37" i="51" s="1"/>
  <c r="T41" i="51" s="1"/>
  <c r="U36" i="51"/>
  <c r="U37" i="51" s="1"/>
  <c r="U41" i="51" s="1"/>
  <c r="V36" i="51"/>
  <c r="V37" i="51" s="1"/>
  <c r="V41" i="51" s="1"/>
  <c r="W36" i="51"/>
  <c r="W37" i="51" s="1"/>
  <c r="W41" i="51" s="1"/>
  <c r="X36" i="51"/>
  <c r="X37" i="51" s="1"/>
  <c r="X41" i="51" s="1"/>
  <c r="Y36" i="51"/>
  <c r="Y37" i="51" s="1"/>
  <c r="Y41" i="51" s="1"/>
  <c r="Z36" i="51"/>
  <c r="Z37" i="51" s="1"/>
  <c r="Z41" i="51" s="1"/>
  <c r="AA36" i="51"/>
  <c r="AA37" i="51" s="1"/>
  <c r="AA41" i="51" s="1"/>
  <c r="I38" i="51"/>
  <c r="J38" i="51"/>
  <c r="K38" i="51"/>
  <c r="L38" i="51"/>
  <c r="M38" i="51"/>
  <c r="N38" i="51"/>
  <c r="O38" i="51"/>
  <c r="P38" i="51"/>
  <c r="Q38" i="51"/>
  <c r="R38" i="51"/>
  <c r="S38" i="51"/>
  <c r="T38" i="51"/>
  <c r="U38" i="51"/>
  <c r="V38" i="51"/>
  <c r="W38" i="51"/>
  <c r="X38" i="51"/>
  <c r="Y38" i="51"/>
  <c r="Z38" i="51"/>
  <c r="AA38" i="51"/>
  <c r="I39" i="51"/>
  <c r="J39" i="51"/>
  <c r="K39" i="51"/>
  <c r="L39" i="51"/>
  <c r="M39" i="51"/>
  <c r="N39" i="51"/>
  <c r="O39" i="51"/>
  <c r="P39" i="51"/>
  <c r="Q39" i="51"/>
  <c r="R39" i="51"/>
  <c r="S39" i="51"/>
  <c r="T39" i="51"/>
  <c r="U39" i="51"/>
  <c r="V39" i="51"/>
  <c r="W39" i="51"/>
  <c r="X39" i="51"/>
  <c r="Y39" i="51"/>
  <c r="Z39" i="51"/>
  <c r="AA39" i="51"/>
  <c r="M40" i="51"/>
  <c r="H39" i="51"/>
  <c r="H38" i="51"/>
  <c r="H32" i="51"/>
  <c r="H40" i="51" s="1"/>
  <c r="J19" i="51"/>
  <c r="L19" i="51"/>
  <c r="N19" i="51"/>
  <c r="P19" i="51"/>
  <c r="R19" i="51"/>
  <c r="T19" i="51"/>
  <c r="V19" i="51"/>
  <c r="X19" i="51"/>
  <c r="Z19" i="51"/>
  <c r="I12" i="51"/>
  <c r="I20" i="51" s="1"/>
  <c r="J12" i="51"/>
  <c r="J20" i="51" s="1"/>
  <c r="K12" i="51"/>
  <c r="K20" i="51" s="1"/>
  <c r="L12" i="51"/>
  <c r="L20" i="51" s="1"/>
  <c r="L47" i="51" s="1"/>
  <c r="M12" i="51"/>
  <c r="M20" i="51" s="1"/>
  <c r="N12" i="51"/>
  <c r="N20" i="51" s="1"/>
  <c r="O12" i="51"/>
  <c r="O20" i="51" s="1"/>
  <c r="P12" i="51"/>
  <c r="P20" i="51" s="1"/>
  <c r="Q12" i="51"/>
  <c r="Q20" i="51" s="1"/>
  <c r="R12" i="51"/>
  <c r="R20" i="51" s="1"/>
  <c r="S12" i="51"/>
  <c r="S20" i="51" s="1"/>
  <c r="T12" i="51"/>
  <c r="T20" i="51" s="1"/>
  <c r="U12" i="51"/>
  <c r="U20" i="51" s="1"/>
  <c r="V12" i="51"/>
  <c r="V20" i="51" s="1"/>
  <c r="W12" i="51"/>
  <c r="W20" i="51" s="1"/>
  <c r="X12" i="51"/>
  <c r="X20" i="51" s="1"/>
  <c r="Y12" i="51"/>
  <c r="Y20" i="51" s="1"/>
  <c r="Z12" i="51"/>
  <c r="Z20" i="51" s="1"/>
  <c r="AA12" i="51"/>
  <c r="AA20" i="51" s="1"/>
  <c r="I16" i="51"/>
  <c r="I17" i="51" s="1"/>
  <c r="I21" i="51" s="1"/>
  <c r="J16" i="51"/>
  <c r="J17" i="51" s="1"/>
  <c r="K16" i="51"/>
  <c r="K17" i="51" s="1"/>
  <c r="K21" i="51" s="1"/>
  <c r="L16" i="51"/>
  <c r="L17" i="51" s="1"/>
  <c r="M16" i="51"/>
  <c r="M17" i="51" s="1"/>
  <c r="M21" i="51" s="1"/>
  <c r="N16" i="51"/>
  <c r="N17" i="51" s="1"/>
  <c r="O16" i="51"/>
  <c r="O17" i="51" s="1"/>
  <c r="O21" i="51" s="1"/>
  <c r="P16" i="51"/>
  <c r="P17" i="51" s="1"/>
  <c r="Q16" i="51"/>
  <c r="Q17" i="51" s="1"/>
  <c r="Q21" i="51" s="1"/>
  <c r="R16" i="51"/>
  <c r="R17" i="51" s="1"/>
  <c r="S16" i="51"/>
  <c r="S17" i="51" s="1"/>
  <c r="S21" i="51" s="1"/>
  <c r="T16" i="51"/>
  <c r="T17" i="51" s="1"/>
  <c r="U16" i="51"/>
  <c r="U17" i="51" s="1"/>
  <c r="U21" i="51" s="1"/>
  <c r="V16" i="51"/>
  <c r="V17" i="51" s="1"/>
  <c r="W16" i="51"/>
  <c r="W17" i="51" s="1"/>
  <c r="W21" i="51" s="1"/>
  <c r="X16" i="51"/>
  <c r="X17" i="51" s="1"/>
  <c r="Y16" i="51"/>
  <c r="Y17" i="51" s="1"/>
  <c r="Y21" i="51" s="1"/>
  <c r="Z16" i="51"/>
  <c r="Z17" i="51" s="1"/>
  <c r="AA16" i="51"/>
  <c r="AA17" i="51" s="1"/>
  <c r="AA21" i="51" s="1"/>
  <c r="I18" i="51"/>
  <c r="J18" i="51"/>
  <c r="K18" i="51"/>
  <c r="L18" i="51"/>
  <c r="M18" i="51"/>
  <c r="N18" i="51"/>
  <c r="O18" i="51"/>
  <c r="P18" i="51"/>
  <c r="Q18" i="51"/>
  <c r="R18" i="51"/>
  <c r="S18" i="51"/>
  <c r="T18" i="51"/>
  <c r="U18" i="51"/>
  <c r="V18" i="51"/>
  <c r="W18" i="51"/>
  <c r="X18" i="51"/>
  <c r="Y18" i="51"/>
  <c r="Z18" i="51"/>
  <c r="AA18" i="51"/>
  <c r="I19" i="51"/>
  <c r="K19" i="51"/>
  <c r="M19" i="51"/>
  <c r="O19" i="51"/>
  <c r="Q19" i="51"/>
  <c r="S19" i="51"/>
  <c r="U19" i="51"/>
  <c r="W19" i="51"/>
  <c r="Y19" i="51"/>
  <c r="AA19" i="51"/>
  <c r="H19" i="51"/>
  <c r="H18" i="51"/>
  <c r="H12" i="51"/>
  <c r="H20" i="51" s="1"/>
  <c r="H47" i="51" s="1"/>
  <c r="K83" i="50"/>
  <c r="K82" i="50"/>
  <c r="K81" i="50"/>
  <c r="K67" i="50"/>
  <c r="K68" i="50"/>
  <c r="K66" i="50"/>
  <c r="K56" i="50"/>
  <c r="K57" i="50"/>
  <c r="K58" i="50"/>
  <c r="K59" i="50"/>
  <c r="K55" i="50"/>
  <c r="K9" i="50"/>
  <c r="K10" i="50"/>
  <c r="K11" i="50"/>
  <c r="K12" i="50"/>
  <c r="K13" i="50"/>
  <c r="K14" i="50"/>
  <c r="K15" i="50"/>
  <c r="K16" i="50"/>
  <c r="K20" i="50"/>
  <c r="K21" i="50"/>
  <c r="K22" i="50"/>
  <c r="K23" i="50"/>
  <c r="K24" i="50"/>
  <c r="K25" i="50"/>
  <c r="K26" i="50"/>
  <c r="K27" i="50"/>
  <c r="K28" i="50"/>
  <c r="K29" i="50"/>
  <c r="K30" i="50"/>
  <c r="K31" i="50"/>
  <c r="K32" i="50"/>
  <c r="K33" i="50"/>
  <c r="K34" i="50"/>
  <c r="K35" i="50"/>
  <c r="K36" i="50"/>
  <c r="K37" i="50"/>
  <c r="K38" i="50"/>
  <c r="K39" i="50"/>
  <c r="K40" i="50"/>
  <c r="K41" i="50"/>
  <c r="K42" i="50"/>
  <c r="K43" i="50"/>
  <c r="K44" i="50"/>
  <c r="K45" i="50"/>
  <c r="K46" i="50"/>
  <c r="K47" i="50"/>
  <c r="K48" i="50"/>
  <c r="K8" i="50"/>
  <c r="N9" i="49"/>
  <c r="G25" i="49" s="1"/>
  <c r="G19" i="49"/>
  <c r="G18" i="49"/>
  <c r="G10" i="49"/>
  <c r="K82" i="48"/>
  <c r="K83" i="48"/>
  <c r="K81" i="48"/>
  <c r="K67" i="48"/>
  <c r="K68" i="48"/>
  <c r="K66" i="48"/>
  <c r="K56" i="48"/>
  <c r="K57" i="48"/>
  <c r="K58" i="48"/>
  <c r="K59" i="48"/>
  <c r="K55" i="48"/>
  <c r="K9" i="48"/>
  <c r="K10" i="48"/>
  <c r="K11" i="48"/>
  <c r="K12" i="48"/>
  <c r="K13" i="48"/>
  <c r="K14" i="48"/>
  <c r="K15" i="48"/>
  <c r="K16" i="48"/>
  <c r="K17" i="48"/>
  <c r="K18" i="48"/>
  <c r="K19" i="48"/>
  <c r="K20" i="48"/>
  <c r="K21" i="48"/>
  <c r="K22" i="48"/>
  <c r="K23" i="48"/>
  <c r="K24" i="48"/>
  <c r="K25" i="48"/>
  <c r="K26" i="48"/>
  <c r="K27" i="48"/>
  <c r="K28" i="48"/>
  <c r="K29" i="48"/>
  <c r="K30" i="48"/>
  <c r="K31" i="48"/>
  <c r="K32" i="48"/>
  <c r="K33" i="48"/>
  <c r="K34" i="48"/>
  <c r="K35" i="48"/>
  <c r="K36" i="48"/>
  <c r="K37" i="48"/>
  <c r="K38" i="48"/>
  <c r="K39" i="48"/>
  <c r="K40" i="48"/>
  <c r="K41" i="48"/>
  <c r="K42" i="48"/>
  <c r="K43" i="48"/>
  <c r="K44" i="48"/>
  <c r="K45" i="48"/>
  <c r="K46" i="48"/>
  <c r="K47" i="48"/>
  <c r="K48" i="48"/>
  <c r="K8" i="48"/>
  <c r="I53" i="47"/>
  <c r="J53" i="47"/>
  <c r="K53" i="47"/>
  <c r="L53" i="47"/>
  <c r="M53" i="47"/>
  <c r="N53" i="47"/>
  <c r="O53" i="47"/>
  <c r="P53" i="47"/>
  <c r="Q53" i="47"/>
  <c r="R53" i="47"/>
  <c r="S53" i="47"/>
  <c r="T53" i="47"/>
  <c r="U53" i="47"/>
  <c r="V53" i="47"/>
  <c r="W53" i="47"/>
  <c r="X53" i="47"/>
  <c r="Y53" i="47"/>
  <c r="Z53" i="47"/>
  <c r="AA53" i="47"/>
  <c r="I54" i="47"/>
  <c r="I56" i="47" s="1"/>
  <c r="J54" i="47"/>
  <c r="J56" i="47" s="1"/>
  <c r="K54" i="47"/>
  <c r="K56" i="47" s="1"/>
  <c r="L54" i="47"/>
  <c r="L56" i="47" s="1"/>
  <c r="M54" i="47"/>
  <c r="M56" i="47" s="1"/>
  <c r="N54" i="47"/>
  <c r="N56" i="47" s="1"/>
  <c r="O54" i="47"/>
  <c r="O56" i="47" s="1"/>
  <c r="P54" i="47"/>
  <c r="P56" i="47" s="1"/>
  <c r="Q54" i="47"/>
  <c r="Q56" i="47" s="1"/>
  <c r="R54" i="47"/>
  <c r="R56" i="47" s="1"/>
  <c r="S54" i="47"/>
  <c r="S56" i="47" s="1"/>
  <c r="T54" i="47"/>
  <c r="T56" i="47" s="1"/>
  <c r="U54" i="47"/>
  <c r="U56" i="47" s="1"/>
  <c r="V54" i="47"/>
  <c r="V56" i="47" s="1"/>
  <c r="W54" i="47"/>
  <c r="W56" i="47" s="1"/>
  <c r="X54" i="47"/>
  <c r="X56" i="47" s="1"/>
  <c r="Y54" i="47"/>
  <c r="Y56" i="47" s="1"/>
  <c r="Z54" i="47"/>
  <c r="Z56" i="47" s="1"/>
  <c r="AA54" i="47"/>
  <c r="AA56" i="47" s="1"/>
  <c r="I55" i="47"/>
  <c r="J55" i="47"/>
  <c r="K55" i="47"/>
  <c r="L55" i="47"/>
  <c r="M55" i="47"/>
  <c r="N55" i="47"/>
  <c r="O55" i="47"/>
  <c r="O57" i="47" s="1"/>
  <c r="P55" i="47"/>
  <c r="Q55" i="47"/>
  <c r="R55" i="47"/>
  <c r="S55" i="47"/>
  <c r="T55" i="47"/>
  <c r="U55" i="47"/>
  <c r="V55" i="47"/>
  <c r="W55" i="47"/>
  <c r="W57" i="47" s="1"/>
  <c r="X55" i="47"/>
  <c r="Y55" i="47"/>
  <c r="Z55" i="47"/>
  <c r="AA55" i="47"/>
  <c r="I8" i="47"/>
  <c r="I16" i="47" s="1"/>
  <c r="I17" i="47" s="1"/>
  <c r="J8" i="47"/>
  <c r="J16" i="47" s="1"/>
  <c r="J17" i="47" s="1"/>
  <c r="J19" i="47" s="1"/>
  <c r="K8" i="47"/>
  <c r="L8" i="47"/>
  <c r="L16" i="47" s="1"/>
  <c r="L17" i="47" s="1"/>
  <c r="L19" i="47" s="1"/>
  <c r="M8" i="47"/>
  <c r="M16" i="47" s="1"/>
  <c r="M17" i="47" s="1"/>
  <c r="N8" i="47"/>
  <c r="N16" i="47" s="1"/>
  <c r="N17" i="47" s="1"/>
  <c r="N19" i="47" s="1"/>
  <c r="O8" i="47"/>
  <c r="P8" i="47"/>
  <c r="P16" i="47" s="1"/>
  <c r="P17" i="47" s="1"/>
  <c r="P19" i="47" s="1"/>
  <c r="Q8" i="47"/>
  <c r="Q16" i="47" s="1"/>
  <c r="Q17" i="47" s="1"/>
  <c r="R8" i="47"/>
  <c r="R16" i="47" s="1"/>
  <c r="R17" i="47" s="1"/>
  <c r="R19" i="47" s="1"/>
  <c r="S8" i="47"/>
  <c r="T8" i="47"/>
  <c r="T16" i="47" s="1"/>
  <c r="T17" i="47" s="1"/>
  <c r="T19" i="47" s="1"/>
  <c r="U8" i="47"/>
  <c r="U16" i="47" s="1"/>
  <c r="U17" i="47" s="1"/>
  <c r="V8" i="47"/>
  <c r="V16" i="47" s="1"/>
  <c r="V17" i="47" s="1"/>
  <c r="V19" i="47" s="1"/>
  <c r="W8" i="47"/>
  <c r="W16" i="47" s="1"/>
  <c r="W17" i="47" s="1"/>
  <c r="X8" i="47"/>
  <c r="X16" i="47" s="1"/>
  <c r="X17" i="47" s="1"/>
  <c r="X19" i="47" s="1"/>
  <c r="Y8" i="47"/>
  <c r="Z8" i="47"/>
  <c r="Z16" i="47" s="1"/>
  <c r="Z17" i="47" s="1"/>
  <c r="Z19" i="47" s="1"/>
  <c r="AA8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W18" i="47" s="1"/>
  <c r="X12" i="47"/>
  <c r="Y12" i="47"/>
  <c r="Z12" i="47"/>
  <c r="AA12" i="47"/>
  <c r="I26" i="47"/>
  <c r="I34" i="47" s="1"/>
  <c r="I35" i="47" s="1"/>
  <c r="J26" i="47"/>
  <c r="J34" i="47" s="1"/>
  <c r="J35" i="47" s="1"/>
  <c r="J37" i="47" s="1"/>
  <c r="K26" i="47"/>
  <c r="K34" i="47" s="1"/>
  <c r="K35" i="47" s="1"/>
  <c r="L26" i="47"/>
  <c r="M26" i="47"/>
  <c r="M34" i="47" s="1"/>
  <c r="M35" i="47" s="1"/>
  <c r="N26" i="47"/>
  <c r="N34" i="47" s="1"/>
  <c r="N35" i="47" s="1"/>
  <c r="N37" i="47" s="1"/>
  <c r="O26" i="47"/>
  <c r="P26" i="47"/>
  <c r="P34" i="47" s="1"/>
  <c r="P35" i="47" s="1"/>
  <c r="P37" i="47" s="1"/>
  <c r="Q26" i="47"/>
  <c r="Q34" i="47" s="1"/>
  <c r="Q35" i="47" s="1"/>
  <c r="R26" i="47"/>
  <c r="R34" i="47" s="1"/>
  <c r="R35" i="47" s="1"/>
  <c r="R37" i="47" s="1"/>
  <c r="S26" i="47"/>
  <c r="S34" i="47" s="1"/>
  <c r="S35" i="47" s="1"/>
  <c r="T26" i="47"/>
  <c r="T34" i="47" s="1"/>
  <c r="T35" i="47" s="1"/>
  <c r="T37" i="47" s="1"/>
  <c r="U26" i="47"/>
  <c r="U34" i="47" s="1"/>
  <c r="U35" i="47" s="1"/>
  <c r="V26" i="47"/>
  <c r="V34" i="47" s="1"/>
  <c r="V35" i="47" s="1"/>
  <c r="W26" i="47"/>
  <c r="X26" i="47"/>
  <c r="X34" i="47" s="1"/>
  <c r="X35" i="47" s="1"/>
  <c r="X37" i="47" s="1"/>
  <c r="Y26" i="47"/>
  <c r="Y34" i="47" s="1"/>
  <c r="Y35" i="47" s="1"/>
  <c r="Z26" i="47"/>
  <c r="Z34" i="47" s="1"/>
  <c r="Z35" i="47" s="1"/>
  <c r="Z37" i="47" s="1"/>
  <c r="AA26" i="47"/>
  <c r="AA34" i="47" s="1"/>
  <c r="AA35" i="47" s="1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L34" i="47"/>
  <c r="L35" i="47" s="1"/>
  <c r="L37" i="47" s="1"/>
  <c r="H30" i="47"/>
  <c r="H26" i="47"/>
  <c r="H12" i="47"/>
  <c r="H8" i="47"/>
  <c r="K56" i="46"/>
  <c r="K57" i="46"/>
  <c r="K58" i="46"/>
  <c r="K59" i="46"/>
  <c r="K55" i="46"/>
  <c r="K8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68" i="46"/>
  <c r="K67" i="46"/>
  <c r="K66" i="46"/>
  <c r="K82" i="46"/>
  <c r="K83" i="46"/>
  <c r="K81" i="46"/>
  <c r="I57" i="45"/>
  <c r="I61" i="45" s="1"/>
  <c r="J57" i="45"/>
  <c r="K57" i="45"/>
  <c r="L57" i="45"/>
  <c r="M57" i="45"/>
  <c r="M61" i="45" s="1"/>
  <c r="N57" i="45"/>
  <c r="O57" i="45"/>
  <c r="P57" i="45"/>
  <c r="Q57" i="45"/>
  <c r="R57" i="45"/>
  <c r="S57" i="45"/>
  <c r="T57" i="45"/>
  <c r="U57" i="45"/>
  <c r="V57" i="45"/>
  <c r="W57" i="45"/>
  <c r="X57" i="45"/>
  <c r="Y57" i="45"/>
  <c r="Z57" i="45"/>
  <c r="AA57" i="45"/>
  <c r="AB57" i="45"/>
  <c r="AC57" i="45"/>
  <c r="AD57" i="45"/>
  <c r="AE57" i="45"/>
  <c r="AF57" i="45"/>
  <c r="AG57" i="45"/>
  <c r="AH57" i="45"/>
  <c r="AI57" i="45"/>
  <c r="AJ57" i="45"/>
  <c r="AK57" i="45"/>
  <c r="AK61" i="45" s="1"/>
  <c r="AL57" i="45"/>
  <c r="AM57" i="45"/>
  <c r="AN57" i="45"/>
  <c r="AO57" i="45"/>
  <c r="AP57" i="45"/>
  <c r="AQ57" i="45"/>
  <c r="AR57" i="45"/>
  <c r="AS57" i="45"/>
  <c r="AT57" i="45"/>
  <c r="AU57" i="45"/>
  <c r="AV57" i="45"/>
  <c r="AW57" i="45"/>
  <c r="AX57" i="45"/>
  <c r="AY57" i="45"/>
  <c r="AZ57" i="45"/>
  <c r="BA57" i="45"/>
  <c r="BB57" i="45"/>
  <c r="BC57" i="45"/>
  <c r="BD57" i="45"/>
  <c r="BE57" i="45"/>
  <c r="I58" i="45"/>
  <c r="I60" i="45" s="1"/>
  <c r="J58" i="45"/>
  <c r="K58" i="45"/>
  <c r="K60" i="45" s="1"/>
  <c r="L58" i="45"/>
  <c r="L60" i="45" s="1"/>
  <c r="M58" i="45"/>
  <c r="M60" i="45" s="1"/>
  <c r="N58" i="45"/>
  <c r="N60" i="45" s="1"/>
  <c r="O58" i="45"/>
  <c r="O60" i="45" s="1"/>
  <c r="P58" i="45"/>
  <c r="P60" i="45" s="1"/>
  <c r="Q58" i="45"/>
  <c r="R58" i="45"/>
  <c r="S58" i="45"/>
  <c r="S60" i="45" s="1"/>
  <c r="T58" i="45"/>
  <c r="T60" i="45" s="1"/>
  <c r="U58" i="45"/>
  <c r="U60" i="45" s="1"/>
  <c r="V58" i="45"/>
  <c r="V60" i="45" s="1"/>
  <c r="W58" i="45"/>
  <c r="W60" i="45" s="1"/>
  <c r="X58" i="45"/>
  <c r="X60" i="45" s="1"/>
  <c r="Y58" i="45"/>
  <c r="Y60" i="45" s="1"/>
  <c r="Z58" i="45"/>
  <c r="AA58" i="45"/>
  <c r="AA60" i="45" s="1"/>
  <c r="AB58" i="45"/>
  <c r="AB60" i="45" s="1"/>
  <c r="AC58" i="45"/>
  <c r="AC60" i="45" s="1"/>
  <c r="AD58" i="45"/>
  <c r="AD60" i="45" s="1"/>
  <c r="AE58" i="45"/>
  <c r="AE60" i="45" s="1"/>
  <c r="AF58" i="45"/>
  <c r="AF60" i="45" s="1"/>
  <c r="AG58" i="45"/>
  <c r="AG60" i="45" s="1"/>
  <c r="AH58" i="45"/>
  <c r="AI58" i="45"/>
  <c r="AI60" i="45" s="1"/>
  <c r="AJ58" i="45"/>
  <c r="AJ60" i="45" s="1"/>
  <c r="AK58" i="45"/>
  <c r="AK60" i="45" s="1"/>
  <c r="AL58" i="45"/>
  <c r="AM58" i="45"/>
  <c r="AM60" i="45" s="1"/>
  <c r="AN58" i="45"/>
  <c r="AN60" i="45" s="1"/>
  <c r="AO58" i="45"/>
  <c r="AO60" i="45" s="1"/>
  <c r="AP58" i="45"/>
  <c r="AQ58" i="45"/>
  <c r="AQ60" i="45" s="1"/>
  <c r="AR58" i="45"/>
  <c r="AR60" i="45" s="1"/>
  <c r="AS58" i="45"/>
  <c r="AS60" i="45" s="1"/>
  <c r="AT58" i="45"/>
  <c r="AU58" i="45"/>
  <c r="AU60" i="45" s="1"/>
  <c r="AV58" i="45"/>
  <c r="AV60" i="45" s="1"/>
  <c r="AW58" i="45"/>
  <c r="AW60" i="45" s="1"/>
  <c r="AX58" i="45"/>
  <c r="AY58" i="45"/>
  <c r="AY60" i="45" s="1"/>
  <c r="AZ58" i="45"/>
  <c r="AZ60" i="45" s="1"/>
  <c r="BA58" i="45"/>
  <c r="BB58" i="45"/>
  <c r="BB60" i="45" s="1"/>
  <c r="BC58" i="45"/>
  <c r="BC60" i="45" s="1"/>
  <c r="BD58" i="45"/>
  <c r="BD60" i="45" s="1"/>
  <c r="BE58" i="45"/>
  <c r="BE60" i="45" s="1"/>
  <c r="I59" i="45"/>
  <c r="J59" i="45"/>
  <c r="K59" i="45"/>
  <c r="K61" i="45" s="1"/>
  <c r="L59" i="45"/>
  <c r="M59" i="45"/>
  <c r="N59" i="45"/>
  <c r="O59" i="45"/>
  <c r="P59" i="45"/>
  <c r="Q59" i="45"/>
  <c r="R59" i="45"/>
  <c r="S59" i="45"/>
  <c r="S61" i="45" s="1"/>
  <c r="T59" i="45"/>
  <c r="U59" i="45"/>
  <c r="V59" i="45"/>
  <c r="W59" i="45"/>
  <c r="X59" i="45"/>
  <c r="Y59" i="45"/>
  <c r="Z59" i="45"/>
  <c r="AA59" i="45"/>
  <c r="AA61" i="45" s="1"/>
  <c r="AB59" i="45"/>
  <c r="AC59" i="45"/>
  <c r="AD59" i="45"/>
  <c r="AE59" i="45"/>
  <c r="AF59" i="45"/>
  <c r="AG59" i="45"/>
  <c r="AH59" i="45"/>
  <c r="AI59" i="45"/>
  <c r="AI61" i="45" s="1"/>
  <c r="AJ59" i="45"/>
  <c r="AK59" i="45"/>
  <c r="AL59" i="45"/>
  <c r="AM59" i="45"/>
  <c r="AN59" i="45"/>
  <c r="AO59" i="45"/>
  <c r="AP59" i="45"/>
  <c r="AQ59" i="45"/>
  <c r="AQ61" i="45" s="1"/>
  <c r="AR59" i="45"/>
  <c r="AS59" i="45"/>
  <c r="AT59" i="45"/>
  <c r="AU59" i="45"/>
  <c r="AV59" i="45"/>
  <c r="AW59" i="45"/>
  <c r="AX59" i="45"/>
  <c r="AY59" i="45"/>
  <c r="AY61" i="45" s="1"/>
  <c r="AZ59" i="45"/>
  <c r="BA59" i="45"/>
  <c r="BB59" i="45"/>
  <c r="BC59" i="45"/>
  <c r="BD59" i="45"/>
  <c r="BE59" i="45"/>
  <c r="J60" i="45"/>
  <c r="Q60" i="45"/>
  <c r="R60" i="45"/>
  <c r="Z60" i="45"/>
  <c r="AH60" i="45"/>
  <c r="AL60" i="45"/>
  <c r="AP60" i="45"/>
  <c r="AT60" i="45"/>
  <c r="AX60" i="45"/>
  <c r="BA60" i="45"/>
  <c r="AO61" i="45"/>
  <c r="I30" i="45"/>
  <c r="I31" i="45" s="1"/>
  <c r="J30" i="45"/>
  <c r="K30" i="45"/>
  <c r="K31" i="45" s="1"/>
  <c r="L30" i="45"/>
  <c r="L31" i="45" s="1"/>
  <c r="L38" i="45" s="1"/>
  <c r="L39" i="45" s="1"/>
  <c r="M30" i="45"/>
  <c r="M31" i="45" s="1"/>
  <c r="N30" i="45"/>
  <c r="N31" i="45" s="1"/>
  <c r="N38" i="45" s="1"/>
  <c r="N39" i="45" s="1"/>
  <c r="N41" i="45" s="1"/>
  <c r="O30" i="45"/>
  <c r="O31" i="45" s="1"/>
  <c r="P30" i="45"/>
  <c r="P31" i="45" s="1"/>
  <c r="P38" i="45" s="1"/>
  <c r="P39" i="45" s="1"/>
  <c r="P41" i="45" s="1"/>
  <c r="Q30" i="45"/>
  <c r="Q31" i="45" s="1"/>
  <c r="R30" i="45"/>
  <c r="R31" i="45" s="1"/>
  <c r="R38" i="45" s="1"/>
  <c r="R39" i="45" s="1"/>
  <c r="R41" i="45" s="1"/>
  <c r="S30" i="45"/>
  <c r="S31" i="45" s="1"/>
  <c r="T30" i="45"/>
  <c r="T31" i="45" s="1"/>
  <c r="U30" i="45"/>
  <c r="U31" i="45" s="1"/>
  <c r="V30" i="45"/>
  <c r="V31" i="45" s="1"/>
  <c r="W30" i="45"/>
  <c r="W31" i="45" s="1"/>
  <c r="X30" i="45"/>
  <c r="X31" i="45" s="1"/>
  <c r="Y30" i="45"/>
  <c r="Y31" i="45" s="1"/>
  <c r="Z30" i="45"/>
  <c r="Z31" i="45" s="1"/>
  <c r="Z38" i="45" s="1"/>
  <c r="Z39" i="45" s="1"/>
  <c r="Z41" i="45" s="1"/>
  <c r="AA30" i="45"/>
  <c r="AA31" i="45" s="1"/>
  <c r="AB30" i="45"/>
  <c r="AB31" i="45" s="1"/>
  <c r="AC30" i="45"/>
  <c r="AC31" i="45" s="1"/>
  <c r="AD30" i="45"/>
  <c r="AD31" i="45" s="1"/>
  <c r="AD38" i="45" s="1"/>
  <c r="AD39" i="45" s="1"/>
  <c r="AD41" i="45" s="1"/>
  <c r="AE30" i="45"/>
  <c r="AE31" i="45" s="1"/>
  <c r="AF30" i="45"/>
  <c r="AF31" i="45" s="1"/>
  <c r="AG30" i="45"/>
  <c r="AG31" i="45" s="1"/>
  <c r="AH30" i="45"/>
  <c r="AH31" i="45" s="1"/>
  <c r="AH38" i="45" s="1"/>
  <c r="AH39" i="45" s="1"/>
  <c r="AH41" i="45" s="1"/>
  <c r="AI30" i="45"/>
  <c r="AI31" i="45" s="1"/>
  <c r="AJ30" i="45"/>
  <c r="AJ31" i="45" s="1"/>
  <c r="AJ38" i="45" s="1"/>
  <c r="AJ39" i="45" s="1"/>
  <c r="AJ41" i="45" s="1"/>
  <c r="AK30" i="45"/>
  <c r="AK31" i="45" s="1"/>
  <c r="AL30" i="45"/>
  <c r="AL31" i="45" s="1"/>
  <c r="AL38" i="45" s="1"/>
  <c r="AL39" i="45" s="1"/>
  <c r="AL41" i="45" s="1"/>
  <c r="AM30" i="45"/>
  <c r="AM31" i="45" s="1"/>
  <c r="AN30" i="45"/>
  <c r="AN31" i="45" s="1"/>
  <c r="AO30" i="45"/>
  <c r="AO31" i="45" s="1"/>
  <c r="AP30" i="45"/>
  <c r="AP31" i="45" s="1"/>
  <c r="AP38" i="45" s="1"/>
  <c r="AP39" i="45" s="1"/>
  <c r="AQ30" i="45"/>
  <c r="AQ31" i="45" s="1"/>
  <c r="AR30" i="45"/>
  <c r="AR31" i="45" s="1"/>
  <c r="AR38" i="45" s="1"/>
  <c r="AR39" i="45" s="1"/>
  <c r="AS30" i="45"/>
  <c r="AS31" i="45" s="1"/>
  <c r="AT30" i="45"/>
  <c r="AT31" i="45" s="1"/>
  <c r="AU30" i="45"/>
  <c r="AU31" i="45" s="1"/>
  <c r="AV30" i="45"/>
  <c r="AV31" i="45" s="1"/>
  <c r="AV38" i="45" s="1"/>
  <c r="AV39" i="45" s="1"/>
  <c r="AV41" i="45" s="1"/>
  <c r="AW30" i="45"/>
  <c r="AW31" i="45" s="1"/>
  <c r="AW38" i="45" s="1"/>
  <c r="AW39" i="45" s="1"/>
  <c r="AW41" i="45" s="1"/>
  <c r="AX30" i="45"/>
  <c r="AX31" i="45" s="1"/>
  <c r="AX38" i="45" s="1"/>
  <c r="AX39" i="45" s="1"/>
  <c r="AX41" i="45" s="1"/>
  <c r="AY30" i="45"/>
  <c r="AY31" i="45" s="1"/>
  <c r="AZ30" i="45"/>
  <c r="AZ31" i="45" s="1"/>
  <c r="BA30" i="45"/>
  <c r="BA31" i="45" s="1"/>
  <c r="BB30" i="45"/>
  <c r="BB31" i="45" s="1"/>
  <c r="BB38" i="45" s="1"/>
  <c r="BB39" i="45" s="1"/>
  <c r="BB41" i="45" s="1"/>
  <c r="BC30" i="45"/>
  <c r="BC31" i="45" s="1"/>
  <c r="BD30" i="45"/>
  <c r="BD31" i="45" s="1"/>
  <c r="BE30" i="45"/>
  <c r="BE31" i="45" s="1"/>
  <c r="BE38" i="45" s="1"/>
  <c r="BE39" i="45" s="1"/>
  <c r="BE41" i="45" s="1"/>
  <c r="J31" i="45"/>
  <c r="J38" i="45" s="1"/>
  <c r="J39" i="45" s="1"/>
  <c r="J41" i="45" s="1"/>
  <c r="I34" i="45"/>
  <c r="J34" i="45"/>
  <c r="K34" i="45"/>
  <c r="L34" i="45"/>
  <c r="M34" i="45"/>
  <c r="N34" i="45"/>
  <c r="O34" i="45"/>
  <c r="P34" i="45"/>
  <c r="Q34" i="45"/>
  <c r="R34" i="45"/>
  <c r="S34" i="45"/>
  <c r="T34" i="45"/>
  <c r="U34" i="45"/>
  <c r="V34" i="45"/>
  <c r="W34" i="45"/>
  <c r="X34" i="45"/>
  <c r="Y34" i="45"/>
  <c r="Z34" i="45"/>
  <c r="AA34" i="45"/>
  <c r="AB34" i="45"/>
  <c r="AC34" i="45"/>
  <c r="AD34" i="45"/>
  <c r="AE34" i="45"/>
  <c r="AF34" i="45"/>
  <c r="AG34" i="45"/>
  <c r="AH34" i="45"/>
  <c r="AI34" i="45"/>
  <c r="AJ34" i="45"/>
  <c r="AK34" i="45"/>
  <c r="AL34" i="45"/>
  <c r="AM34" i="45"/>
  <c r="AN34" i="45"/>
  <c r="AO34" i="45"/>
  <c r="AP34" i="45"/>
  <c r="AQ34" i="45"/>
  <c r="AR34" i="45"/>
  <c r="AS34" i="45"/>
  <c r="AT34" i="45"/>
  <c r="AU34" i="45"/>
  <c r="AV34" i="45"/>
  <c r="AW34" i="45"/>
  <c r="AX34" i="45"/>
  <c r="AY34" i="45"/>
  <c r="AZ34" i="45"/>
  <c r="BA34" i="45"/>
  <c r="BB34" i="45"/>
  <c r="BC34" i="45"/>
  <c r="BD34" i="45"/>
  <c r="BE34" i="45"/>
  <c r="Z40" i="45"/>
  <c r="AP41" i="45"/>
  <c r="H34" i="45"/>
  <c r="H30" i="45"/>
  <c r="H31" i="45" s="1"/>
  <c r="H66" i="45" s="1"/>
  <c r="I10" i="45"/>
  <c r="I11" i="45" s="1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Z10" i="45"/>
  <c r="AA10" i="45"/>
  <c r="AB10" i="45"/>
  <c r="AC10" i="45"/>
  <c r="AD10" i="45"/>
  <c r="AE10" i="45"/>
  <c r="AF10" i="45"/>
  <c r="AG10" i="45"/>
  <c r="AH10" i="45"/>
  <c r="AI10" i="45"/>
  <c r="AJ10" i="45"/>
  <c r="AK10" i="45"/>
  <c r="AL10" i="45"/>
  <c r="AM10" i="45"/>
  <c r="AN10" i="45"/>
  <c r="AO10" i="45"/>
  <c r="AP10" i="45"/>
  <c r="AQ10" i="45"/>
  <c r="AR10" i="45"/>
  <c r="AS10" i="45"/>
  <c r="AT10" i="45"/>
  <c r="AU10" i="45"/>
  <c r="AV10" i="45"/>
  <c r="AW10" i="45"/>
  <c r="AX10" i="45"/>
  <c r="AY10" i="45"/>
  <c r="AZ10" i="45"/>
  <c r="BA10" i="45"/>
  <c r="BB10" i="45"/>
  <c r="BC10" i="45"/>
  <c r="BD10" i="45"/>
  <c r="BE10" i="45"/>
  <c r="J11" i="45"/>
  <c r="K11" i="45"/>
  <c r="L11" i="45"/>
  <c r="M11" i="45"/>
  <c r="N11" i="45"/>
  <c r="N18" i="45" s="1"/>
  <c r="N19" i="45" s="1"/>
  <c r="N21" i="45" s="1"/>
  <c r="O11" i="45"/>
  <c r="O18" i="45" s="1"/>
  <c r="O19" i="45" s="1"/>
  <c r="O21" i="45" s="1"/>
  <c r="P11" i="45"/>
  <c r="Q11" i="45"/>
  <c r="R11" i="45"/>
  <c r="S11" i="45"/>
  <c r="S18" i="45" s="1"/>
  <c r="S19" i="45" s="1"/>
  <c r="S21" i="45" s="1"/>
  <c r="T11" i="45"/>
  <c r="U11" i="45"/>
  <c r="V11" i="45"/>
  <c r="V18" i="45" s="1"/>
  <c r="V19" i="45" s="1"/>
  <c r="V21" i="45" s="1"/>
  <c r="W11" i="45"/>
  <c r="X11" i="45"/>
  <c r="X18" i="45" s="1"/>
  <c r="X19" i="45" s="1"/>
  <c r="X21" i="45" s="1"/>
  <c r="Y11" i="45"/>
  <c r="Z11" i="45"/>
  <c r="AA11" i="45"/>
  <c r="AA18" i="45" s="1"/>
  <c r="AA19" i="45" s="1"/>
  <c r="AA21" i="45" s="1"/>
  <c r="AB11" i="45"/>
  <c r="AC11" i="45"/>
  <c r="AD11" i="45"/>
  <c r="AE11" i="45"/>
  <c r="AE18" i="45" s="1"/>
  <c r="AE19" i="45" s="1"/>
  <c r="AE21" i="45" s="1"/>
  <c r="AF11" i="45"/>
  <c r="AF18" i="45" s="1"/>
  <c r="AF19" i="45" s="1"/>
  <c r="AG11" i="45"/>
  <c r="AH11" i="45"/>
  <c r="AH66" i="45" s="1"/>
  <c r="AH68" i="45" s="1"/>
  <c r="AI11" i="45"/>
  <c r="AJ11" i="45"/>
  <c r="AK11" i="45"/>
  <c r="AL11" i="45"/>
  <c r="AM11" i="45"/>
  <c r="AM18" i="45" s="1"/>
  <c r="AM19" i="45" s="1"/>
  <c r="AM21" i="45" s="1"/>
  <c r="AN11" i="45"/>
  <c r="AN18" i="45" s="1"/>
  <c r="AN19" i="45" s="1"/>
  <c r="AN21" i="45" s="1"/>
  <c r="AO11" i="45"/>
  <c r="AP11" i="45"/>
  <c r="AP66" i="45" s="1"/>
  <c r="AP68" i="45" s="1"/>
  <c r="AQ11" i="45"/>
  <c r="AQ18" i="45" s="1"/>
  <c r="AQ19" i="45" s="1"/>
  <c r="AQ21" i="45" s="1"/>
  <c r="AR11" i="45"/>
  <c r="AR18" i="45" s="1"/>
  <c r="AR19" i="45" s="1"/>
  <c r="AS11" i="45"/>
  <c r="AT11" i="45"/>
  <c r="AT18" i="45" s="1"/>
  <c r="AT19" i="45" s="1"/>
  <c r="AT21" i="45" s="1"/>
  <c r="AU11" i="45"/>
  <c r="AU18" i="45" s="1"/>
  <c r="AU19" i="45" s="1"/>
  <c r="AU21" i="45" s="1"/>
  <c r="AV11" i="45"/>
  <c r="AW11" i="45"/>
  <c r="AX11" i="45"/>
  <c r="AX18" i="45" s="1"/>
  <c r="AX19" i="45" s="1"/>
  <c r="AX21" i="45" s="1"/>
  <c r="AY11" i="45"/>
  <c r="AZ11" i="45"/>
  <c r="AZ18" i="45" s="1"/>
  <c r="AZ19" i="45" s="1"/>
  <c r="AZ21" i="45" s="1"/>
  <c r="BA11" i="45"/>
  <c r="BB11" i="45"/>
  <c r="BB18" i="45" s="1"/>
  <c r="BB19" i="45" s="1"/>
  <c r="BB21" i="45" s="1"/>
  <c r="BC11" i="45"/>
  <c r="BD11" i="45"/>
  <c r="BE11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Z14" i="45"/>
  <c r="AA14" i="45"/>
  <c r="AB14" i="45"/>
  <c r="AC14" i="45"/>
  <c r="AD14" i="45"/>
  <c r="AE14" i="45"/>
  <c r="AF14" i="45"/>
  <c r="AG14" i="45"/>
  <c r="AH14" i="45"/>
  <c r="AI14" i="45"/>
  <c r="AJ14" i="45"/>
  <c r="AK14" i="45"/>
  <c r="AL14" i="45"/>
  <c r="AM14" i="45"/>
  <c r="AN14" i="45"/>
  <c r="AO14" i="45"/>
  <c r="AP14" i="45"/>
  <c r="AQ14" i="45"/>
  <c r="AR14" i="45"/>
  <c r="AS14" i="45"/>
  <c r="AT14" i="45"/>
  <c r="AU14" i="45"/>
  <c r="AV14" i="45"/>
  <c r="AW14" i="45"/>
  <c r="AX14" i="45"/>
  <c r="AY14" i="45"/>
  <c r="AZ14" i="45"/>
  <c r="BA14" i="45"/>
  <c r="BB14" i="45"/>
  <c r="BC14" i="45"/>
  <c r="BD14" i="45"/>
  <c r="BE14" i="45"/>
  <c r="K18" i="45"/>
  <c r="K19" i="45" s="1"/>
  <c r="K21" i="45" s="1"/>
  <c r="L18" i="45"/>
  <c r="L19" i="45" s="1"/>
  <c r="W18" i="45"/>
  <c r="W19" i="45" s="1"/>
  <c r="W21" i="45" s="1"/>
  <c r="BC18" i="45"/>
  <c r="BC19" i="45" s="1"/>
  <c r="BC21" i="45" s="1"/>
  <c r="H14" i="45"/>
  <c r="H20" i="45" s="1"/>
  <c r="K9" i="44"/>
  <c r="K10" i="44"/>
  <c r="K11" i="44"/>
  <c r="K12" i="44"/>
  <c r="K13" i="44"/>
  <c r="K14" i="44"/>
  <c r="K15" i="44"/>
  <c r="K16" i="44"/>
  <c r="K17" i="44"/>
  <c r="K18" i="44"/>
  <c r="K19" i="44"/>
  <c r="K20" i="44"/>
  <c r="K21" i="44"/>
  <c r="K22" i="44"/>
  <c r="K23" i="44"/>
  <c r="K24" i="44"/>
  <c r="K25" i="44"/>
  <c r="K26" i="44"/>
  <c r="K27" i="44"/>
  <c r="K28" i="44"/>
  <c r="K29" i="44"/>
  <c r="K30" i="44"/>
  <c r="K31" i="44"/>
  <c r="K32" i="44"/>
  <c r="K33" i="44"/>
  <c r="K34" i="44"/>
  <c r="K35" i="44"/>
  <c r="K36" i="44"/>
  <c r="K37" i="44"/>
  <c r="K38" i="44"/>
  <c r="K39" i="44"/>
  <c r="K40" i="44"/>
  <c r="K41" i="44"/>
  <c r="K42" i="44"/>
  <c r="K43" i="44"/>
  <c r="K44" i="44"/>
  <c r="K45" i="44"/>
  <c r="K46" i="44"/>
  <c r="K47" i="44"/>
  <c r="K48" i="44"/>
  <c r="K49" i="44"/>
  <c r="K50" i="44"/>
  <c r="K51" i="44"/>
  <c r="K52" i="44"/>
  <c r="K53" i="44"/>
  <c r="K54" i="44"/>
  <c r="K55" i="44"/>
  <c r="K56" i="44"/>
  <c r="K57" i="44"/>
  <c r="K58" i="44"/>
  <c r="K59" i="44"/>
  <c r="K60" i="44"/>
  <c r="K61" i="44"/>
  <c r="K62" i="44"/>
  <c r="K63" i="44"/>
  <c r="K64" i="44"/>
  <c r="K65" i="44"/>
  <c r="K66" i="44"/>
  <c r="K67" i="44"/>
  <c r="K68" i="44"/>
  <c r="K69" i="44"/>
  <c r="K70" i="44"/>
  <c r="K71" i="44"/>
  <c r="K72" i="44"/>
  <c r="K73" i="44"/>
  <c r="K74" i="44"/>
  <c r="K75" i="44"/>
  <c r="K76" i="44"/>
  <c r="K77" i="44"/>
  <c r="K78" i="44"/>
  <c r="K79" i="44"/>
  <c r="K80" i="44"/>
  <c r="K81" i="44"/>
  <c r="K82" i="44"/>
  <c r="K83" i="44"/>
  <c r="K84" i="44"/>
  <c r="K85" i="44"/>
  <c r="K86" i="44"/>
  <c r="K87" i="44"/>
  <c r="K88" i="44"/>
  <c r="K89" i="44"/>
  <c r="K90" i="44"/>
  <c r="K91" i="44"/>
  <c r="K92" i="44"/>
  <c r="K93" i="44"/>
  <c r="K94" i="44"/>
  <c r="K95" i="44"/>
  <c r="K96" i="44"/>
  <c r="K97" i="44"/>
  <c r="K98" i="44"/>
  <c r="K99" i="44"/>
  <c r="K100" i="44"/>
  <c r="K101" i="44"/>
  <c r="K102" i="44"/>
  <c r="K103" i="44"/>
  <c r="K104" i="44"/>
  <c r="K105" i="44"/>
  <c r="K106" i="44"/>
  <c r="K107" i="44"/>
  <c r="K108" i="44"/>
  <c r="K8" i="44"/>
  <c r="K116" i="44"/>
  <c r="K117" i="44"/>
  <c r="K118" i="44"/>
  <c r="K119" i="44"/>
  <c r="K115" i="44"/>
  <c r="K127" i="44"/>
  <c r="K128" i="44"/>
  <c r="K126" i="44"/>
  <c r="K142" i="44"/>
  <c r="K143" i="44"/>
  <c r="K141" i="44"/>
  <c r="I57" i="43"/>
  <c r="J57" i="43"/>
  <c r="K57" i="43"/>
  <c r="L57" i="43"/>
  <c r="M57" i="43"/>
  <c r="N57" i="43"/>
  <c r="O57" i="43"/>
  <c r="P57" i="43"/>
  <c r="Q57" i="43"/>
  <c r="R57" i="43"/>
  <c r="S57" i="43"/>
  <c r="T57" i="43"/>
  <c r="U57" i="43"/>
  <c r="V57" i="43"/>
  <c r="W57" i="43"/>
  <c r="X57" i="43"/>
  <c r="Y57" i="43"/>
  <c r="Z57" i="43"/>
  <c r="AA57" i="43"/>
  <c r="I58" i="43"/>
  <c r="I60" i="43" s="1"/>
  <c r="J58" i="43"/>
  <c r="J60" i="43" s="1"/>
  <c r="K58" i="43"/>
  <c r="K60" i="43" s="1"/>
  <c r="L58" i="43"/>
  <c r="L60" i="43" s="1"/>
  <c r="M58" i="43"/>
  <c r="M60" i="43" s="1"/>
  <c r="N58" i="43"/>
  <c r="N60" i="43" s="1"/>
  <c r="O58" i="43"/>
  <c r="O60" i="43" s="1"/>
  <c r="P58" i="43"/>
  <c r="P60" i="43" s="1"/>
  <c r="Q58" i="43"/>
  <c r="Q60" i="43" s="1"/>
  <c r="R58" i="43"/>
  <c r="R60" i="43" s="1"/>
  <c r="S58" i="43"/>
  <c r="S60" i="43" s="1"/>
  <c r="T58" i="43"/>
  <c r="T60" i="43" s="1"/>
  <c r="U58" i="43"/>
  <c r="U60" i="43" s="1"/>
  <c r="V58" i="43"/>
  <c r="V60" i="43" s="1"/>
  <c r="W58" i="43"/>
  <c r="W60" i="43" s="1"/>
  <c r="X58" i="43"/>
  <c r="X60" i="43" s="1"/>
  <c r="Y58" i="43"/>
  <c r="Y60" i="43" s="1"/>
  <c r="Z58" i="43"/>
  <c r="Z60" i="43" s="1"/>
  <c r="AA58" i="43"/>
  <c r="AA60" i="43" s="1"/>
  <c r="I59" i="43"/>
  <c r="J59" i="43"/>
  <c r="K59" i="43"/>
  <c r="L59" i="43"/>
  <c r="M59" i="43"/>
  <c r="N59" i="43"/>
  <c r="O59" i="43"/>
  <c r="P59" i="43"/>
  <c r="Q59" i="43"/>
  <c r="R59" i="43"/>
  <c r="S59" i="43"/>
  <c r="T59" i="43"/>
  <c r="U59" i="43"/>
  <c r="V59" i="43"/>
  <c r="W59" i="43"/>
  <c r="X59" i="43"/>
  <c r="Y59" i="43"/>
  <c r="Z59" i="43"/>
  <c r="AA59" i="43"/>
  <c r="I29" i="43"/>
  <c r="I31" i="43" s="1"/>
  <c r="J29" i="43"/>
  <c r="J31" i="43" s="1"/>
  <c r="J38" i="43" s="1"/>
  <c r="J39" i="43" s="1"/>
  <c r="K29" i="43"/>
  <c r="K31" i="43" s="1"/>
  <c r="L29" i="43"/>
  <c r="L31" i="43" s="1"/>
  <c r="M29" i="43"/>
  <c r="M31" i="43" s="1"/>
  <c r="N29" i="43"/>
  <c r="N31" i="43" s="1"/>
  <c r="O29" i="43"/>
  <c r="O31" i="43" s="1"/>
  <c r="P29" i="43"/>
  <c r="P31" i="43" s="1"/>
  <c r="Q29" i="43"/>
  <c r="Q31" i="43" s="1"/>
  <c r="R29" i="43"/>
  <c r="R31" i="43" s="1"/>
  <c r="R38" i="43" s="1"/>
  <c r="R39" i="43" s="1"/>
  <c r="S29" i="43"/>
  <c r="S31" i="43" s="1"/>
  <c r="T29" i="43"/>
  <c r="T31" i="43" s="1"/>
  <c r="U29" i="43"/>
  <c r="U31" i="43" s="1"/>
  <c r="V29" i="43"/>
  <c r="V31" i="43" s="1"/>
  <c r="W29" i="43"/>
  <c r="W31" i="43" s="1"/>
  <c r="X29" i="43"/>
  <c r="X31" i="43" s="1"/>
  <c r="Y29" i="43"/>
  <c r="Y31" i="43" s="1"/>
  <c r="Z29" i="43"/>
  <c r="Z31" i="43" s="1"/>
  <c r="Z38" i="43" s="1"/>
  <c r="Z39" i="43" s="1"/>
  <c r="AA29" i="43"/>
  <c r="AA31" i="43" s="1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Z34" i="43"/>
  <c r="AA34" i="43"/>
  <c r="H34" i="43"/>
  <c r="H29" i="43"/>
  <c r="H31" i="43" s="1"/>
  <c r="H38" i="43" s="1"/>
  <c r="I9" i="43"/>
  <c r="I11" i="43" s="1"/>
  <c r="J9" i="43"/>
  <c r="J11" i="43" s="1"/>
  <c r="K9" i="43"/>
  <c r="K11" i="43" s="1"/>
  <c r="K66" i="43" s="1"/>
  <c r="K68" i="43" s="1"/>
  <c r="L9" i="43"/>
  <c r="L11" i="43" s="1"/>
  <c r="M9" i="43"/>
  <c r="M11" i="43" s="1"/>
  <c r="N9" i="43"/>
  <c r="N11" i="43" s="1"/>
  <c r="O9" i="43"/>
  <c r="O11" i="43" s="1"/>
  <c r="O66" i="43" s="1"/>
  <c r="O68" i="43" s="1"/>
  <c r="P9" i="43"/>
  <c r="P11" i="43" s="1"/>
  <c r="Q9" i="43"/>
  <c r="Q11" i="43" s="1"/>
  <c r="R9" i="43"/>
  <c r="R11" i="43" s="1"/>
  <c r="S9" i="43"/>
  <c r="S11" i="43" s="1"/>
  <c r="S66" i="43" s="1"/>
  <c r="S68" i="43" s="1"/>
  <c r="T9" i="43"/>
  <c r="T11" i="43" s="1"/>
  <c r="U9" i="43"/>
  <c r="U11" i="43" s="1"/>
  <c r="V9" i="43"/>
  <c r="V11" i="43" s="1"/>
  <c r="W9" i="43"/>
  <c r="W11" i="43" s="1"/>
  <c r="W66" i="43" s="1"/>
  <c r="W68" i="43" s="1"/>
  <c r="X9" i="43"/>
  <c r="X11" i="43" s="1"/>
  <c r="X18" i="43" s="1"/>
  <c r="X19" i="43" s="1"/>
  <c r="Y9" i="43"/>
  <c r="Y11" i="43" s="1"/>
  <c r="Z9" i="43"/>
  <c r="Z11" i="43" s="1"/>
  <c r="AA9" i="43"/>
  <c r="AA11" i="43" s="1"/>
  <c r="AA66" i="43" s="1"/>
  <c r="AA68" i="43" s="1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Z14" i="43"/>
  <c r="AA14" i="43"/>
  <c r="H14" i="43"/>
  <c r="K82" i="42"/>
  <c r="K83" i="42"/>
  <c r="K81" i="42"/>
  <c r="K67" i="42"/>
  <c r="K68" i="42"/>
  <c r="K66" i="42"/>
  <c r="K56" i="42"/>
  <c r="K57" i="42"/>
  <c r="K58" i="42"/>
  <c r="K59" i="42"/>
  <c r="K55" i="42"/>
  <c r="K9" i="42"/>
  <c r="K10" i="42"/>
  <c r="K11" i="42"/>
  <c r="K12" i="42"/>
  <c r="K13" i="42"/>
  <c r="K14" i="42"/>
  <c r="K15" i="42"/>
  <c r="K16" i="42"/>
  <c r="K17" i="42"/>
  <c r="K18" i="42"/>
  <c r="K19" i="42"/>
  <c r="K20" i="42"/>
  <c r="K21" i="42"/>
  <c r="K22" i="42"/>
  <c r="K23" i="42"/>
  <c r="K24" i="42"/>
  <c r="K25" i="42"/>
  <c r="K26" i="42"/>
  <c r="K27" i="42"/>
  <c r="K28" i="42"/>
  <c r="K29" i="42"/>
  <c r="K30" i="42"/>
  <c r="K31" i="42"/>
  <c r="K32" i="42"/>
  <c r="K33" i="42"/>
  <c r="K34" i="42"/>
  <c r="K35" i="42"/>
  <c r="K36" i="42"/>
  <c r="K37" i="42"/>
  <c r="K38" i="42"/>
  <c r="K39" i="42"/>
  <c r="K40" i="42"/>
  <c r="K41" i="42"/>
  <c r="K42" i="42"/>
  <c r="K43" i="42"/>
  <c r="K44" i="42"/>
  <c r="K45" i="42"/>
  <c r="K46" i="42"/>
  <c r="K47" i="42"/>
  <c r="K48" i="42"/>
  <c r="K8" i="42"/>
  <c r="K142" i="40"/>
  <c r="K143" i="40"/>
  <c r="K141" i="40"/>
  <c r="K127" i="40"/>
  <c r="K128" i="40"/>
  <c r="K126" i="40"/>
  <c r="K119" i="40"/>
  <c r="K118" i="40"/>
  <c r="K117" i="40"/>
  <c r="K116" i="40"/>
  <c r="K9" i="40"/>
  <c r="K10" i="40"/>
  <c r="K11" i="40"/>
  <c r="K12" i="40"/>
  <c r="K13" i="40"/>
  <c r="K14" i="40"/>
  <c r="K15" i="40"/>
  <c r="K16" i="40"/>
  <c r="K17" i="40"/>
  <c r="K18" i="40"/>
  <c r="K19" i="40"/>
  <c r="K20" i="40"/>
  <c r="K21" i="40"/>
  <c r="K22" i="40"/>
  <c r="K23" i="40"/>
  <c r="K24" i="40"/>
  <c r="K25" i="40"/>
  <c r="K26" i="40"/>
  <c r="K27" i="40"/>
  <c r="K28" i="40"/>
  <c r="K29" i="40"/>
  <c r="K30" i="40"/>
  <c r="K31" i="40"/>
  <c r="K32" i="40"/>
  <c r="K33" i="40"/>
  <c r="K34" i="40"/>
  <c r="K35" i="40"/>
  <c r="K36" i="40"/>
  <c r="K37" i="40"/>
  <c r="K38" i="40"/>
  <c r="K39" i="40"/>
  <c r="K40" i="40"/>
  <c r="K41" i="40"/>
  <c r="K42" i="40"/>
  <c r="K43" i="40"/>
  <c r="K44" i="40"/>
  <c r="K45" i="40"/>
  <c r="K46" i="40"/>
  <c r="K47" i="40"/>
  <c r="K48" i="40"/>
  <c r="K49" i="40"/>
  <c r="K50" i="40"/>
  <c r="K51" i="40"/>
  <c r="K52" i="40"/>
  <c r="K53" i="40"/>
  <c r="K54" i="40"/>
  <c r="K55" i="40"/>
  <c r="K56" i="40"/>
  <c r="K57" i="40"/>
  <c r="K58" i="40"/>
  <c r="K59" i="40"/>
  <c r="K60" i="40"/>
  <c r="K61" i="40"/>
  <c r="K62" i="40"/>
  <c r="K63" i="40"/>
  <c r="K64" i="40"/>
  <c r="K65" i="40"/>
  <c r="K66" i="40"/>
  <c r="K67" i="40"/>
  <c r="K68" i="40"/>
  <c r="K69" i="40"/>
  <c r="K70" i="40"/>
  <c r="K71" i="40"/>
  <c r="K72" i="40"/>
  <c r="K73" i="40"/>
  <c r="K74" i="40"/>
  <c r="K75" i="40"/>
  <c r="K76" i="40"/>
  <c r="K77" i="40"/>
  <c r="K78" i="40"/>
  <c r="K79" i="40"/>
  <c r="K80" i="40"/>
  <c r="K81" i="40"/>
  <c r="K82" i="40"/>
  <c r="K83" i="40"/>
  <c r="K84" i="40"/>
  <c r="K85" i="40"/>
  <c r="K86" i="40"/>
  <c r="K87" i="40"/>
  <c r="K88" i="40"/>
  <c r="K89" i="40"/>
  <c r="K90" i="40"/>
  <c r="K91" i="40"/>
  <c r="K92" i="40"/>
  <c r="K93" i="40"/>
  <c r="K94" i="40"/>
  <c r="K95" i="40"/>
  <c r="K96" i="40"/>
  <c r="K97" i="40"/>
  <c r="K98" i="40"/>
  <c r="K99" i="40"/>
  <c r="K100" i="40"/>
  <c r="K101" i="40"/>
  <c r="K102" i="40"/>
  <c r="K103" i="40"/>
  <c r="K104" i="40"/>
  <c r="K105" i="40"/>
  <c r="K106" i="40"/>
  <c r="K107" i="40"/>
  <c r="K108" i="40"/>
  <c r="K8" i="40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AI55" i="41"/>
  <c r="AJ55" i="41"/>
  <c r="AK55" i="41"/>
  <c r="AL55" i="41"/>
  <c r="AM55" i="41"/>
  <c r="AM59" i="41" s="1"/>
  <c r="AN55" i="41"/>
  <c r="AO55" i="41"/>
  <c r="AP55" i="41"/>
  <c r="AQ55" i="41"/>
  <c r="AR55" i="41"/>
  <c r="AS55" i="41"/>
  <c r="AT55" i="41"/>
  <c r="AU55" i="41"/>
  <c r="AV55" i="41"/>
  <c r="AW55" i="41"/>
  <c r="AX55" i="41"/>
  <c r="AY55" i="41"/>
  <c r="AZ55" i="41"/>
  <c r="BA55" i="41"/>
  <c r="BB55" i="41"/>
  <c r="BC55" i="41"/>
  <c r="BD55" i="41"/>
  <c r="BE55" i="41"/>
  <c r="I56" i="41"/>
  <c r="I58" i="41" s="1"/>
  <c r="J56" i="41"/>
  <c r="J58" i="41" s="1"/>
  <c r="K56" i="41"/>
  <c r="L56" i="41"/>
  <c r="M56" i="41"/>
  <c r="M58" i="41" s="1"/>
  <c r="N56" i="41"/>
  <c r="N58" i="41" s="1"/>
  <c r="O56" i="41"/>
  <c r="O58" i="41" s="1"/>
  <c r="P56" i="41"/>
  <c r="Q56" i="41"/>
  <c r="Q58" i="41" s="1"/>
  <c r="R56" i="41"/>
  <c r="R58" i="41" s="1"/>
  <c r="S56" i="41"/>
  <c r="T56" i="41"/>
  <c r="U56" i="41"/>
  <c r="U58" i="41" s="1"/>
  <c r="V56" i="41"/>
  <c r="V58" i="41" s="1"/>
  <c r="W56" i="41"/>
  <c r="W58" i="41" s="1"/>
  <c r="X56" i="41"/>
  <c r="Y56" i="41"/>
  <c r="Y58" i="41" s="1"/>
  <c r="Z56" i="41"/>
  <c r="Z58" i="41" s="1"/>
  <c r="AA56" i="41"/>
  <c r="AA58" i="41" s="1"/>
  <c r="AB56" i="41"/>
  <c r="AC56" i="41"/>
  <c r="AC58" i="41" s="1"/>
  <c r="AD56" i="41"/>
  <c r="AD58" i="41" s="1"/>
  <c r="AE56" i="41"/>
  <c r="AE58" i="41" s="1"/>
  <c r="AF56" i="41"/>
  <c r="AG56" i="41"/>
  <c r="AG58" i="41" s="1"/>
  <c r="AH56" i="41"/>
  <c r="AH58" i="41" s="1"/>
  <c r="AI56" i="41"/>
  <c r="AI58" i="41" s="1"/>
  <c r="AJ56" i="41"/>
  <c r="AK56" i="41"/>
  <c r="AK58" i="41" s="1"/>
  <c r="AL56" i="41"/>
  <c r="AL58" i="41" s="1"/>
  <c r="AM56" i="41"/>
  <c r="AM58" i="41" s="1"/>
  <c r="AN56" i="41"/>
  <c r="AO56" i="41"/>
  <c r="AO58" i="41" s="1"/>
  <c r="AP56" i="41"/>
  <c r="AP58" i="41" s="1"/>
  <c r="AQ56" i="41"/>
  <c r="AR56" i="41"/>
  <c r="AS56" i="41"/>
  <c r="AS58" i="41" s="1"/>
  <c r="AT56" i="41"/>
  <c r="AT58" i="41" s="1"/>
  <c r="AU56" i="41"/>
  <c r="AU58" i="41" s="1"/>
  <c r="AV56" i="41"/>
  <c r="AW56" i="41"/>
  <c r="AW58" i="41" s="1"/>
  <c r="AX56" i="41"/>
  <c r="AX58" i="41" s="1"/>
  <c r="AY56" i="41"/>
  <c r="AY58" i="41" s="1"/>
  <c r="AZ56" i="41"/>
  <c r="BA56" i="41"/>
  <c r="BA58" i="41" s="1"/>
  <c r="BB56" i="41"/>
  <c r="BB58" i="41" s="1"/>
  <c r="BC56" i="41"/>
  <c r="BC58" i="41" s="1"/>
  <c r="BD56" i="41"/>
  <c r="BE56" i="41"/>
  <c r="BE58" i="41" s="1"/>
  <c r="I57" i="41"/>
  <c r="I59" i="41" s="1"/>
  <c r="J57" i="41"/>
  <c r="K57" i="41"/>
  <c r="L57" i="41"/>
  <c r="M57" i="41"/>
  <c r="M59" i="41" s="1"/>
  <c r="N57" i="41"/>
  <c r="O57" i="41"/>
  <c r="P57" i="41"/>
  <c r="Q57" i="41"/>
  <c r="Q59" i="41" s="1"/>
  <c r="R57" i="41"/>
  <c r="S57" i="41"/>
  <c r="T57" i="41"/>
  <c r="U57" i="41"/>
  <c r="U59" i="41" s="1"/>
  <c r="V57" i="41"/>
  <c r="W57" i="41"/>
  <c r="X57" i="41"/>
  <c r="Y57" i="41"/>
  <c r="Y59" i="41" s="1"/>
  <c r="Z57" i="41"/>
  <c r="AA57" i="41"/>
  <c r="AB57" i="41"/>
  <c r="AC57" i="41"/>
  <c r="AC59" i="41" s="1"/>
  <c r="AD57" i="41"/>
  <c r="AE57" i="41"/>
  <c r="AF57" i="41"/>
  <c r="AG57" i="41"/>
  <c r="AG59" i="41" s="1"/>
  <c r="AH57" i="41"/>
  <c r="AI57" i="41"/>
  <c r="AJ57" i="41"/>
  <c r="AK57" i="41"/>
  <c r="AK59" i="41" s="1"/>
  <c r="AL57" i="41"/>
  <c r="AM57" i="41"/>
  <c r="AN57" i="41"/>
  <c r="AO57" i="41"/>
  <c r="AO59" i="41" s="1"/>
  <c r="AP57" i="41"/>
  <c r="AQ57" i="41"/>
  <c r="AR57" i="41"/>
  <c r="AS57" i="41"/>
  <c r="AS59" i="41" s="1"/>
  <c r="AT57" i="41"/>
  <c r="AU57" i="41"/>
  <c r="AV57" i="41"/>
  <c r="AW57" i="41"/>
  <c r="AW59" i="41" s="1"/>
  <c r="AX57" i="41"/>
  <c r="AY57" i="41"/>
  <c r="AZ57" i="41"/>
  <c r="BA57" i="41"/>
  <c r="BA59" i="41" s="1"/>
  <c r="BB57" i="41"/>
  <c r="BC57" i="41"/>
  <c r="BD57" i="41"/>
  <c r="BE57" i="41"/>
  <c r="BE59" i="41" s="1"/>
  <c r="K58" i="41"/>
  <c r="L58" i="41"/>
  <c r="P58" i="41"/>
  <c r="S58" i="41"/>
  <c r="T58" i="41"/>
  <c r="X58" i="41"/>
  <c r="AB58" i="41"/>
  <c r="AF58" i="41"/>
  <c r="AJ58" i="41"/>
  <c r="AN58" i="41"/>
  <c r="AQ58" i="41"/>
  <c r="AR58" i="41"/>
  <c r="AV58" i="41"/>
  <c r="AZ58" i="41"/>
  <c r="BD58" i="41"/>
  <c r="H32" i="41"/>
  <c r="H8" i="64" s="1"/>
  <c r="H8" i="40" s="1"/>
  <c r="H29" i="41"/>
  <c r="W55" i="53" l="1"/>
  <c r="O55" i="53"/>
  <c r="Y55" i="53"/>
  <c r="Q55" i="53"/>
  <c r="Q56" i="53" s="1"/>
  <c r="Z61" i="43"/>
  <c r="N61" i="43"/>
  <c r="J61" i="43"/>
  <c r="J62" i="43" s="1"/>
  <c r="AH18" i="45"/>
  <c r="AH19" i="45" s="1"/>
  <c r="AH21" i="45" s="1"/>
  <c r="AH45" i="45" s="1"/>
  <c r="M62" i="45"/>
  <c r="BE61" i="45"/>
  <c r="AW61" i="45"/>
  <c r="AW62" i="45" s="1"/>
  <c r="AG61" i="45"/>
  <c r="AG62" i="45" s="1"/>
  <c r="Y61" i="45"/>
  <c r="U61" i="45"/>
  <c r="Q61" i="45"/>
  <c r="Y36" i="47"/>
  <c r="Y43" i="47" s="1"/>
  <c r="U36" i="47"/>
  <c r="M36" i="47"/>
  <c r="I36" i="47"/>
  <c r="M18" i="47"/>
  <c r="M43" i="47" s="1"/>
  <c r="U18" i="47"/>
  <c r="BB59" i="41"/>
  <c r="AL59" i="41"/>
  <c r="V59" i="41"/>
  <c r="V60" i="41" s="1"/>
  <c r="U61" i="43"/>
  <c r="M61" i="43"/>
  <c r="AY20" i="45"/>
  <c r="AQ20" i="45"/>
  <c r="AI20" i="45"/>
  <c r="AA20" i="45"/>
  <c r="S20" i="45"/>
  <c r="K20" i="45"/>
  <c r="BB61" i="45"/>
  <c r="AX61" i="45"/>
  <c r="AT61" i="45"/>
  <c r="AP61" i="45"/>
  <c r="AP62" i="45" s="1"/>
  <c r="AL61" i="45"/>
  <c r="AH61" i="45"/>
  <c r="AD61" i="45"/>
  <c r="Z61" i="45"/>
  <c r="Z62" i="45" s="1"/>
  <c r="V61" i="45"/>
  <c r="R61" i="45"/>
  <c r="N61" i="45"/>
  <c r="J61" i="45"/>
  <c r="J62" i="45" s="1"/>
  <c r="AJ61" i="45"/>
  <c r="U55" i="53"/>
  <c r="M55" i="53"/>
  <c r="AZ59" i="41"/>
  <c r="AZ60" i="41" s="1"/>
  <c r="AJ59" i="41"/>
  <c r="AJ60" i="41" s="1"/>
  <c r="T59" i="41"/>
  <c r="T60" i="41" s="1"/>
  <c r="O20" i="45"/>
  <c r="AV61" i="45"/>
  <c r="AV62" i="45" s="1"/>
  <c r="P61" i="45"/>
  <c r="Y57" i="47"/>
  <c r="I57" i="47"/>
  <c r="Y61" i="51"/>
  <c r="Y62" i="51" s="1"/>
  <c r="Q61" i="51"/>
  <c r="I61" i="51"/>
  <c r="BE20" i="45"/>
  <c r="AW40" i="45"/>
  <c r="Y18" i="47"/>
  <c r="AR59" i="41"/>
  <c r="AR60" i="41" s="1"/>
  <c r="AB59" i="41"/>
  <c r="AB60" i="41" s="1"/>
  <c r="L59" i="41"/>
  <c r="L60" i="41" s="1"/>
  <c r="AJ20" i="45"/>
  <c r="BA61" i="45"/>
  <c r="AS61" i="45"/>
  <c r="AS62" i="45" s="1"/>
  <c r="AC61" i="45"/>
  <c r="AC62" i="45" s="1"/>
  <c r="V57" i="47"/>
  <c r="N57" i="47"/>
  <c r="J17" i="53"/>
  <c r="M62" i="43"/>
  <c r="AA57" i="47"/>
  <c r="S57" i="47"/>
  <c r="K57" i="47"/>
  <c r="K58" i="47" s="1"/>
  <c r="T60" i="53"/>
  <c r="T62" i="53" s="1"/>
  <c r="L60" i="53"/>
  <c r="L62" i="53" s="1"/>
  <c r="Y16" i="47"/>
  <c r="Y17" i="47" s="1"/>
  <c r="Z57" i="47"/>
  <c r="Z58" i="47" s="1"/>
  <c r="R57" i="47"/>
  <c r="R58" i="47" s="1"/>
  <c r="J57" i="47"/>
  <c r="U61" i="51"/>
  <c r="M61" i="51"/>
  <c r="BC61" i="45"/>
  <c r="AU61" i="45"/>
  <c r="AM61" i="45"/>
  <c r="AE61" i="45"/>
  <c r="AE62" i="45" s="1"/>
  <c r="W61" i="45"/>
  <c r="W62" i="45" s="1"/>
  <c r="O61" i="45"/>
  <c r="U62" i="43"/>
  <c r="BC20" i="45"/>
  <c r="AU20" i="45"/>
  <c r="AM20" i="45"/>
  <c r="AE20" i="45"/>
  <c r="W20" i="45"/>
  <c r="T15" i="53"/>
  <c r="T16" i="53" s="1"/>
  <c r="T18" i="53" s="1"/>
  <c r="T39" i="53" s="1"/>
  <c r="AV59" i="41"/>
  <c r="AF59" i="41"/>
  <c r="Q18" i="47"/>
  <c r="I18" i="47"/>
  <c r="L15" i="53"/>
  <c r="L16" i="53" s="1"/>
  <c r="T34" i="53"/>
  <c r="AA55" i="53"/>
  <c r="AA56" i="53" s="1"/>
  <c r="S55" i="53"/>
  <c r="S56" i="53" s="1"/>
  <c r="K55" i="53"/>
  <c r="BD59" i="41"/>
  <c r="AN59" i="41"/>
  <c r="AN60" i="41" s="1"/>
  <c r="X59" i="41"/>
  <c r="X60" i="41" s="1"/>
  <c r="P59" i="41"/>
  <c r="AC20" i="45"/>
  <c r="U20" i="45"/>
  <c r="N45" i="45"/>
  <c r="N46" i="45" s="1"/>
  <c r="T61" i="43"/>
  <c r="AR40" i="45"/>
  <c r="BC59" i="41"/>
  <c r="AY59" i="41"/>
  <c r="AY60" i="41" s="1"/>
  <c r="AU59" i="41"/>
  <c r="AQ59" i="41"/>
  <c r="AI59" i="41"/>
  <c r="AI60" i="41" s="1"/>
  <c r="AE59" i="41"/>
  <c r="AA59" i="41"/>
  <c r="W59" i="41"/>
  <c r="W60" i="41" s="1"/>
  <c r="S59" i="41"/>
  <c r="S60" i="41" s="1"/>
  <c r="O59" i="41"/>
  <c r="O60" i="41" s="1"/>
  <c r="K59" i="41"/>
  <c r="AN61" i="45"/>
  <c r="V38" i="45"/>
  <c r="V39" i="45" s="1"/>
  <c r="V41" i="45" s="1"/>
  <c r="V45" i="45" s="1"/>
  <c r="V40" i="45"/>
  <c r="AX45" i="45"/>
  <c r="AA61" i="43"/>
  <c r="AA62" i="43" s="1"/>
  <c r="W61" i="43"/>
  <c r="S61" i="43"/>
  <c r="S62" i="43" s="1"/>
  <c r="O61" i="43"/>
  <c r="K61" i="43"/>
  <c r="K62" i="43" s="1"/>
  <c r="Y61" i="43"/>
  <c r="Y62" i="43" s="1"/>
  <c r="Q61" i="43"/>
  <c r="I61" i="43"/>
  <c r="I62" i="43" s="1"/>
  <c r="AP18" i="45"/>
  <c r="AP19" i="45" s="1"/>
  <c r="AP21" i="45" s="1"/>
  <c r="AP45" i="45" s="1"/>
  <c r="BD61" i="45"/>
  <c r="BD62" i="45" s="1"/>
  <c r="AZ61" i="45"/>
  <c r="AF61" i="45"/>
  <c r="AF62" i="45" s="1"/>
  <c r="X61" i="45"/>
  <c r="X62" i="45" s="1"/>
  <c r="T61" i="45"/>
  <c r="T62" i="45" s="1"/>
  <c r="U57" i="47"/>
  <c r="Q57" i="47"/>
  <c r="AX66" i="45"/>
  <c r="AX68" i="45" s="1"/>
  <c r="AX59" i="41"/>
  <c r="AT59" i="41"/>
  <c r="AP59" i="41"/>
  <c r="AP60" i="41" s="1"/>
  <c r="AH59" i="41"/>
  <c r="AH60" i="41" s="1"/>
  <c r="AD59" i="41"/>
  <c r="AD60" i="41" s="1"/>
  <c r="Z59" i="41"/>
  <c r="R59" i="41"/>
  <c r="R60" i="41" s="1"/>
  <c r="N59" i="41"/>
  <c r="N60" i="41" s="1"/>
  <c r="J59" i="41"/>
  <c r="J60" i="41" s="1"/>
  <c r="T62" i="43"/>
  <c r="Y62" i="45"/>
  <c r="Y34" i="53"/>
  <c r="Y32" i="53"/>
  <c r="Y33" i="53" s="1"/>
  <c r="Y35" i="53" s="1"/>
  <c r="Q32" i="53"/>
  <c r="Q33" i="53" s="1"/>
  <c r="Q34" i="53"/>
  <c r="I34" i="53"/>
  <c r="I32" i="53"/>
  <c r="I33" i="53" s="1"/>
  <c r="I35" i="53" s="1"/>
  <c r="AD66" i="45"/>
  <c r="AD68" i="45" s="1"/>
  <c r="AD18" i="45"/>
  <c r="AD19" i="45" s="1"/>
  <c r="AD21" i="45" s="1"/>
  <c r="R66" i="45"/>
  <c r="R68" i="45" s="1"/>
  <c r="R18" i="45"/>
  <c r="R19" i="45" s="1"/>
  <c r="R21" i="45" s="1"/>
  <c r="R45" i="45" s="1"/>
  <c r="Y60" i="53"/>
  <c r="Y62" i="53" s="1"/>
  <c r="U60" i="53"/>
  <c r="U62" i="53" s="1"/>
  <c r="Q60" i="53"/>
  <c r="Q62" i="53" s="1"/>
  <c r="M60" i="53"/>
  <c r="M62" i="53" s="1"/>
  <c r="I60" i="53"/>
  <c r="I62" i="53" s="1"/>
  <c r="X55" i="53"/>
  <c r="X56" i="53" s="1"/>
  <c r="T55" i="53"/>
  <c r="T56" i="53" s="1"/>
  <c r="P55" i="53"/>
  <c r="P56" i="53" s="1"/>
  <c r="L55" i="53"/>
  <c r="P61" i="43"/>
  <c r="P62" i="43" s="1"/>
  <c r="BB40" i="45"/>
  <c r="AX40" i="45"/>
  <c r="AP40" i="45"/>
  <c r="AL40" i="45"/>
  <c r="AH40" i="45"/>
  <c r="J40" i="45"/>
  <c r="AK62" i="45"/>
  <c r="AY62" i="45"/>
  <c r="AI62" i="45"/>
  <c r="S62" i="45"/>
  <c r="X18" i="47"/>
  <c r="T18" i="47"/>
  <c r="P18" i="47"/>
  <c r="L18" i="47"/>
  <c r="U62" i="51"/>
  <c r="M62" i="51"/>
  <c r="AA34" i="53"/>
  <c r="S34" i="53"/>
  <c r="K34" i="53"/>
  <c r="BD60" i="41"/>
  <c r="AV60" i="41"/>
  <c r="AF60" i="41"/>
  <c r="P60" i="41"/>
  <c r="BB60" i="41"/>
  <c r="AL60" i="41"/>
  <c r="D27" i="8"/>
  <c r="AO62" i="45"/>
  <c r="X36" i="47"/>
  <c r="X43" i="47" s="1"/>
  <c r="T36" i="47"/>
  <c r="P36" i="47"/>
  <c r="L36" i="47"/>
  <c r="V58" i="47"/>
  <c r="AA17" i="53"/>
  <c r="W17" i="53"/>
  <c r="S17" i="53"/>
  <c r="O17" i="53"/>
  <c r="K17" i="53"/>
  <c r="AA61" i="51"/>
  <c r="AA62" i="51" s="1"/>
  <c r="W61" i="51"/>
  <c r="W62" i="51" s="1"/>
  <c r="S61" i="51"/>
  <c r="S62" i="51" s="1"/>
  <c r="O61" i="51"/>
  <c r="O62" i="51" s="1"/>
  <c r="K61" i="51"/>
  <c r="K62" i="51" s="1"/>
  <c r="T47" i="51"/>
  <c r="Z47" i="51"/>
  <c r="Z63" i="51" s="1"/>
  <c r="J47" i="51"/>
  <c r="J63" i="51" s="1"/>
  <c r="X47" i="51"/>
  <c r="X63" i="51" s="1"/>
  <c r="AT60" i="41"/>
  <c r="Q62" i="43"/>
  <c r="AN62" i="45"/>
  <c r="Q62" i="51"/>
  <c r="Z55" i="53"/>
  <c r="V55" i="53"/>
  <c r="R55" i="53"/>
  <c r="R56" i="53" s="1"/>
  <c r="N55" i="53"/>
  <c r="J55" i="53"/>
  <c r="T40" i="45"/>
  <c r="BE62" i="45"/>
  <c r="AR61" i="45"/>
  <c r="AB61" i="45"/>
  <c r="AB62" i="45" s="1"/>
  <c r="L61" i="45"/>
  <c r="L62" i="45" s="1"/>
  <c r="Q36" i="47"/>
  <c r="Z61" i="51"/>
  <c r="Z62" i="51" s="1"/>
  <c r="V61" i="51"/>
  <c r="R61" i="51"/>
  <c r="R62" i="51" s="1"/>
  <c r="N61" i="51"/>
  <c r="J61" i="51"/>
  <c r="J62" i="51" s="1"/>
  <c r="X17" i="53"/>
  <c r="X41" i="53" s="1"/>
  <c r="X57" i="53" s="1"/>
  <c r="U34" i="53"/>
  <c r="M34" i="53"/>
  <c r="BE40" i="45"/>
  <c r="BE47" i="45" s="1"/>
  <c r="R40" i="45"/>
  <c r="N40" i="45"/>
  <c r="P17" i="53"/>
  <c r="X15" i="53"/>
  <c r="X16" i="53" s="1"/>
  <c r="X18" i="53" s="1"/>
  <c r="X39" i="53" s="1"/>
  <c r="P15" i="53"/>
  <c r="P16" i="53" s="1"/>
  <c r="P18" i="53" s="1"/>
  <c r="P39" i="53" s="1"/>
  <c r="S41" i="53"/>
  <c r="S42" i="53" s="1"/>
  <c r="V35" i="53"/>
  <c r="X61" i="43"/>
  <c r="X62" i="43" s="1"/>
  <c r="L61" i="43"/>
  <c r="L62" i="43" s="1"/>
  <c r="V61" i="43"/>
  <c r="V62" i="43" s="1"/>
  <c r="R61" i="43"/>
  <c r="BD20" i="45"/>
  <c r="AV20" i="45"/>
  <c r="T20" i="45"/>
  <c r="BA20" i="45"/>
  <c r="AW20" i="45"/>
  <c r="AS20" i="45"/>
  <c r="AO20" i="45"/>
  <c r="AK20" i="45"/>
  <c r="AG20" i="45"/>
  <c r="Y20" i="45"/>
  <c r="Q20" i="45"/>
  <c r="M20" i="45"/>
  <c r="AD40" i="45"/>
  <c r="U62" i="45"/>
  <c r="I62" i="45"/>
  <c r="H36" i="47"/>
  <c r="O36" i="47"/>
  <c r="M57" i="47"/>
  <c r="M58" i="47" s="1"/>
  <c r="BD40" i="45"/>
  <c r="BD38" i="45"/>
  <c r="BD39" i="45" s="1"/>
  <c r="BD41" i="45" s="1"/>
  <c r="AN40" i="45"/>
  <c r="AN38" i="45"/>
  <c r="AN39" i="45" s="1"/>
  <c r="AN41" i="45" s="1"/>
  <c r="AN45" i="45" s="1"/>
  <c r="AF38" i="45"/>
  <c r="AF39" i="45" s="1"/>
  <c r="AF41" i="45" s="1"/>
  <c r="AF40" i="45"/>
  <c r="X40" i="45"/>
  <c r="X38" i="45"/>
  <c r="X39" i="45" s="1"/>
  <c r="X41" i="45" s="1"/>
  <c r="X45" i="45" s="1"/>
  <c r="N40" i="43"/>
  <c r="N38" i="43"/>
  <c r="N39" i="43" s="1"/>
  <c r="BD66" i="45"/>
  <c r="BD68" i="45" s="1"/>
  <c r="AZ66" i="45"/>
  <c r="AZ68" i="45" s="1"/>
  <c r="AV66" i="45"/>
  <c r="AV68" i="45" s="1"/>
  <c r="AV18" i="45"/>
  <c r="AV19" i="45" s="1"/>
  <c r="AV21" i="45" s="1"/>
  <c r="AV45" i="45" s="1"/>
  <c r="AV67" i="45" s="1"/>
  <c r="AR66" i="45"/>
  <c r="AR68" i="45" s="1"/>
  <c r="AR20" i="45"/>
  <c r="AR21" i="45"/>
  <c r="AN66" i="45"/>
  <c r="AN68" i="45" s="1"/>
  <c r="AJ66" i="45"/>
  <c r="AJ68" i="45" s="1"/>
  <c r="AF66" i="45"/>
  <c r="AF68" i="45" s="1"/>
  <c r="AF21" i="45"/>
  <c r="AB66" i="45"/>
  <c r="AB68" i="45" s="1"/>
  <c r="AB20" i="45"/>
  <c r="X66" i="45"/>
  <c r="X68" i="45" s="1"/>
  <c r="T66" i="45"/>
  <c r="T68" i="45" s="1"/>
  <c r="T18" i="45"/>
  <c r="T19" i="45" s="1"/>
  <c r="T21" i="45" s="1"/>
  <c r="P66" i="45"/>
  <c r="P68" i="45" s="1"/>
  <c r="L66" i="45"/>
  <c r="L68" i="45" s="1"/>
  <c r="L20" i="45"/>
  <c r="L21" i="45"/>
  <c r="AV40" i="45"/>
  <c r="AT38" i="45"/>
  <c r="AT39" i="45" s="1"/>
  <c r="AT41" i="45" s="1"/>
  <c r="AT40" i="45"/>
  <c r="O34" i="47"/>
  <c r="O35" i="47" s="1"/>
  <c r="O37" i="47" s="1"/>
  <c r="AA36" i="47"/>
  <c r="S36" i="47"/>
  <c r="K36" i="47"/>
  <c r="Z17" i="53"/>
  <c r="W56" i="53"/>
  <c r="O56" i="53"/>
  <c r="K56" i="53"/>
  <c r="AX60" i="41"/>
  <c r="W34" i="47"/>
  <c r="W35" i="47" s="1"/>
  <c r="W37" i="47" s="1"/>
  <c r="W36" i="47"/>
  <c r="W43" i="47" s="1"/>
  <c r="N15" i="53"/>
  <c r="N16" i="53" s="1"/>
  <c r="N18" i="53" s="1"/>
  <c r="N17" i="53"/>
  <c r="W62" i="43"/>
  <c r="O62" i="43"/>
  <c r="Z62" i="43"/>
  <c r="R62" i="43"/>
  <c r="N62" i="43"/>
  <c r="AN20" i="45"/>
  <c r="AF20" i="45"/>
  <c r="AF47" i="45" s="1"/>
  <c r="AF48" i="45" s="1"/>
  <c r="AJ18" i="45"/>
  <c r="AJ19" i="45" s="1"/>
  <c r="AJ21" i="45" s="1"/>
  <c r="AJ45" i="45" s="1"/>
  <c r="AJ46" i="45" s="1"/>
  <c r="P18" i="45"/>
  <c r="P19" i="45" s="1"/>
  <c r="P21" i="45" s="1"/>
  <c r="P45" i="45" s="1"/>
  <c r="P67" i="45" s="1"/>
  <c r="P40" i="45"/>
  <c r="AZ38" i="45"/>
  <c r="AZ39" i="45" s="1"/>
  <c r="AZ41" i="45" s="1"/>
  <c r="AZ45" i="45" s="1"/>
  <c r="BA62" i="45"/>
  <c r="Z60" i="41"/>
  <c r="AB40" i="45"/>
  <c r="AB38" i="45"/>
  <c r="AB39" i="45" s="1"/>
  <c r="AB41" i="45" s="1"/>
  <c r="L40" i="45"/>
  <c r="L41" i="45"/>
  <c r="V15" i="53"/>
  <c r="V16" i="53" s="1"/>
  <c r="V18" i="53" s="1"/>
  <c r="V17" i="53"/>
  <c r="R15" i="53"/>
  <c r="R16" i="53" s="1"/>
  <c r="R18" i="53" s="1"/>
  <c r="R39" i="53" s="1"/>
  <c r="R17" i="53"/>
  <c r="AZ20" i="45"/>
  <c r="X20" i="45"/>
  <c r="P20" i="45"/>
  <c r="AB18" i="45"/>
  <c r="AB19" i="45" s="1"/>
  <c r="AB21" i="45" s="1"/>
  <c r="BB66" i="45"/>
  <c r="BB68" i="45" s="1"/>
  <c r="AT66" i="45"/>
  <c r="AT68" i="45" s="1"/>
  <c r="AL66" i="45"/>
  <c r="AL68" i="45" s="1"/>
  <c r="AL18" i="45"/>
  <c r="AL19" i="45" s="1"/>
  <c r="AL21" i="45" s="1"/>
  <c r="AL45" i="45" s="1"/>
  <c r="Z66" i="45"/>
  <c r="Z68" i="45" s="1"/>
  <c r="Z18" i="45"/>
  <c r="Z19" i="45" s="1"/>
  <c r="Z21" i="45" s="1"/>
  <c r="Z45" i="45" s="1"/>
  <c r="Z46" i="45" s="1"/>
  <c r="V66" i="45"/>
  <c r="V68" i="45" s="1"/>
  <c r="N66" i="45"/>
  <c r="N68" i="45" s="1"/>
  <c r="J66" i="45"/>
  <c r="J68" i="45" s="1"/>
  <c r="J18" i="45"/>
  <c r="J19" i="45" s="1"/>
  <c r="J21" i="45" s="1"/>
  <c r="J45" i="45" s="1"/>
  <c r="J67" i="45" s="1"/>
  <c r="AZ40" i="45"/>
  <c r="T38" i="45"/>
  <c r="T39" i="45" s="1"/>
  <c r="T41" i="45" s="1"/>
  <c r="BA38" i="45"/>
  <c r="BA39" i="45" s="1"/>
  <c r="BA41" i="45" s="1"/>
  <c r="BA40" i="45"/>
  <c r="BA47" i="45" s="1"/>
  <c r="BC62" i="45"/>
  <c r="AU62" i="45"/>
  <c r="AQ62" i="45"/>
  <c r="AM62" i="45"/>
  <c r="AA62" i="45"/>
  <c r="O62" i="45"/>
  <c r="K62" i="45"/>
  <c r="AZ62" i="45"/>
  <c r="AR62" i="45"/>
  <c r="AJ62" i="45"/>
  <c r="AA18" i="47"/>
  <c r="AA16" i="47"/>
  <c r="AA17" i="47" s="1"/>
  <c r="AA19" i="47" s="1"/>
  <c r="S18" i="47"/>
  <c r="S16" i="47"/>
  <c r="S17" i="47" s="1"/>
  <c r="S19" i="47" s="1"/>
  <c r="O16" i="47"/>
  <c r="O17" i="47" s="1"/>
  <c r="O19" i="47" s="1"/>
  <c r="O18" i="47"/>
  <c r="O43" i="47" s="1"/>
  <c r="K18" i="47"/>
  <c r="K43" i="47" s="1"/>
  <c r="K16" i="47"/>
  <c r="K17" i="47" s="1"/>
  <c r="K19" i="47" s="1"/>
  <c r="V47" i="51"/>
  <c r="V48" i="51" s="1"/>
  <c r="R47" i="51"/>
  <c r="R48" i="51" s="1"/>
  <c r="N47" i="51"/>
  <c r="N48" i="51" s="1"/>
  <c r="W32" i="53"/>
  <c r="W33" i="53" s="1"/>
  <c r="W34" i="53"/>
  <c r="W41" i="53" s="1"/>
  <c r="O32" i="53"/>
  <c r="O33" i="53" s="1"/>
  <c r="O35" i="53" s="1"/>
  <c r="O39" i="53" s="1"/>
  <c r="O34" i="53"/>
  <c r="BB20" i="45"/>
  <c r="AX20" i="45"/>
  <c r="AT20" i="45"/>
  <c r="AT47" i="45" s="1"/>
  <c r="AT48" i="45" s="1"/>
  <c r="AP20" i="45"/>
  <c r="AP47" i="45" s="1"/>
  <c r="AP63" i="45" s="1"/>
  <c r="AL20" i="45"/>
  <c r="AH20" i="45"/>
  <c r="AD20" i="45"/>
  <c r="Z20" i="45"/>
  <c r="Z47" i="45" s="1"/>
  <c r="Z63" i="45" s="1"/>
  <c r="V20" i="45"/>
  <c r="R20" i="45"/>
  <c r="N20" i="45"/>
  <c r="N47" i="45" s="1"/>
  <c r="N48" i="45" s="1"/>
  <c r="J20" i="45"/>
  <c r="BC66" i="45"/>
  <c r="BC68" i="45" s="1"/>
  <c r="AY66" i="45"/>
  <c r="AY68" i="45" s="1"/>
  <c r="AU66" i="45"/>
  <c r="AU68" i="45" s="1"/>
  <c r="AQ66" i="45"/>
  <c r="AQ68" i="45" s="1"/>
  <c r="AM66" i="45"/>
  <c r="AM68" i="45" s="1"/>
  <c r="AI66" i="45"/>
  <c r="AI68" i="45" s="1"/>
  <c r="AE66" i="45"/>
  <c r="AE68" i="45" s="1"/>
  <c r="AA66" i="45"/>
  <c r="AA68" i="45" s="1"/>
  <c r="W66" i="45"/>
  <c r="W68" i="45" s="1"/>
  <c r="S66" i="45"/>
  <c r="S68" i="45" s="1"/>
  <c r="O66" i="45"/>
  <c r="O68" i="45" s="1"/>
  <c r="K66" i="45"/>
  <c r="K68" i="45" s="1"/>
  <c r="Q62" i="45"/>
  <c r="N58" i="47"/>
  <c r="L56" i="53"/>
  <c r="Z18" i="47"/>
  <c r="P41" i="53"/>
  <c r="P42" i="53" s="1"/>
  <c r="Y56" i="53"/>
  <c r="U56" i="53"/>
  <c r="M56" i="53"/>
  <c r="I56" i="53"/>
  <c r="P62" i="45"/>
  <c r="X57" i="47"/>
  <c r="X58" i="47" s="1"/>
  <c r="T57" i="47"/>
  <c r="P57" i="47"/>
  <c r="P58" i="47" s="1"/>
  <c r="L57" i="47"/>
  <c r="L58" i="47" s="1"/>
  <c r="P47" i="51"/>
  <c r="P63" i="51" s="1"/>
  <c r="Y17" i="53"/>
  <c r="U17" i="53"/>
  <c r="U41" i="53" s="1"/>
  <c r="U42" i="53" s="1"/>
  <c r="Q17" i="53"/>
  <c r="M17" i="53"/>
  <c r="I17" i="53"/>
  <c r="N35" i="53"/>
  <c r="Z34" i="53"/>
  <c r="V34" i="53"/>
  <c r="R34" i="53"/>
  <c r="N34" i="53"/>
  <c r="J34" i="53"/>
  <c r="H60" i="53"/>
  <c r="T17" i="53"/>
  <c r="L17" i="53"/>
  <c r="Y15" i="53"/>
  <c r="Y16" i="53" s="1"/>
  <c r="Y18" i="53" s="1"/>
  <c r="U15" i="53"/>
  <c r="U16" i="53" s="1"/>
  <c r="U18" i="53" s="1"/>
  <c r="Q15" i="53"/>
  <c r="Q16" i="53" s="1"/>
  <c r="Q18" i="53" s="1"/>
  <c r="M15" i="53"/>
  <c r="M16" i="53" s="1"/>
  <c r="M18" i="53" s="1"/>
  <c r="I15" i="53"/>
  <c r="I16" i="53" s="1"/>
  <c r="I18" i="53" s="1"/>
  <c r="AA60" i="53"/>
  <c r="AA62" i="53" s="1"/>
  <c r="W60" i="53"/>
  <c r="W62" i="53" s="1"/>
  <c r="S60" i="53"/>
  <c r="S62" i="53" s="1"/>
  <c r="O60" i="53"/>
  <c r="O62" i="53" s="1"/>
  <c r="K60" i="53"/>
  <c r="K62" i="53" s="1"/>
  <c r="J35" i="53"/>
  <c r="V40" i="43"/>
  <c r="V38" i="43"/>
  <c r="V39" i="43" s="1"/>
  <c r="V41" i="43" s="1"/>
  <c r="BE60" i="41"/>
  <c r="BA60" i="41"/>
  <c r="AW60" i="41"/>
  <c r="AS60" i="41"/>
  <c r="AO60" i="41"/>
  <c r="AK60" i="41"/>
  <c r="AG60" i="41"/>
  <c r="AC60" i="41"/>
  <c r="Y60" i="41"/>
  <c r="U60" i="41"/>
  <c r="Q60" i="41"/>
  <c r="M60" i="41"/>
  <c r="AU60" i="41"/>
  <c r="AM60" i="41"/>
  <c r="AE60" i="41"/>
  <c r="Z40" i="43"/>
  <c r="J40" i="43"/>
  <c r="AQ60" i="41"/>
  <c r="AA60" i="41"/>
  <c r="Y66" i="43"/>
  <c r="Y68" i="43" s="1"/>
  <c r="U66" i="43"/>
  <c r="U68" i="43" s="1"/>
  <c r="Q66" i="43"/>
  <c r="Q68" i="43" s="1"/>
  <c r="M66" i="43"/>
  <c r="M68" i="43" s="1"/>
  <c r="I66" i="43"/>
  <c r="I68" i="43" s="1"/>
  <c r="BD18" i="45"/>
  <c r="BD19" i="45" s="1"/>
  <c r="BD21" i="45" s="1"/>
  <c r="AY18" i="45"/>
  <c r="AY19" i="45" s="1"/>
  <c r="AY21" i="45" s="1"/>
  <c r="AI18" i="45"/>
  <c r="AI19" i="45" s="1"/>
  <c r="AI21" i="45" s="1"/>
  <c r="J20" i="43"/>
  <c r="R40" i="43"/>
  <c r="BE66" i="45"/>
  <c r="BE68" i="45" s="1"/>
  <c r="BE18" i="45"/>
  <c r="BE19" i="45" s="1"/>
  <c r="BE21" i="45" s="1"/>
  <c r="BE45" i="45" s="1"/>
  <c r="BE46" i="45" s="1"/>
  <c r="BA66" i="45"/>
  <c r="BA68" i="45" s="1"/>
  <c r="BA18" i="45"/>
  <c r="BA19" i="45" s="1"/>
  <c r="BA21" i="45" s="1"/>
  <c r="BA45" i="45" s="1"/>
  <c r="BA46" i="45" s="1"/>
  <c r="AW66" i="45"/>
  <c r="AW68" i="45" s="1"/>
  <c r="AW18" i="45"/>
  <c r="AW19" i="45" s="1"/>
  <c r="AW21" i="45" s="1"/>
  <c r="AW45" i="45" s="1"/>
  <c r="AW46" i="45" s="1"/>
  <c r="AS66" i="45"/>
  <c r="AS68" i="45" s="1"/>
  <c r="AS18" i="45"/>
  <c r="AS19" i="45" s="1"/>
  <c r="AS21" i="45" s="1"/>
  <c r="AO66" i="45"/>
  <c r="AO68" i="45" s="1"/>
  <c r="AO18" i="45"/>
  <c r="AO19" i="45" s="1"/>
  <c r="AO21" i="45" s="1"/>
  <c r="AK66" i="45"/>
  <c r="AK68" i="45" s="1"/>
  <c r="AK18" i="45"/>
  <c r="AK19" i="45" s="1"/>
  <c r="AK21" i="45" s="1"/>
  <c r="AG66" i="45"/>
  <c r="AG68" i="45" s="1"/>
  <c r="AG18" i="45"/>
  <c r="AG19" i="45" s="1"/>
  <c r="AG21" i="45" s="1"/>
  <c r="AC66" i="45"/>
  <c r="AC68" i="45" s="1"/>
  <c r="AC18" i="45"/>
  <c r="AC19" i="45" s="1"/>
  <c r="AC21" i="45" s="1"/>
  <c r="Y66" i="45"/>
  <c r="Y68" i="45" s="1"/>
  <c r="Y18" i="45"/>
  <c r="Y19" i="45" s="1"/>
  <c r="Y21" i="45" s="1"/>
  <c r="U66" i="45"/>
  <c r="U68" i="45" s="1"/>
  <c r="U18" i="45"/>
  <c r="U19" i="45" s="1"/>
  <c r="U21" i="45" s="1"/>
  <c r="Q66" i="45"/>
  <c r="Q68" i="45" s="1"/>
  <c r="Q18" i="45"/>
  <c r="Q19" i="45" s="1"/>
  <c r="Q21" i="45" s="1"/>
  <c r="M66" i="45"/>
  <c r="M68" i="45" s="1"/>
  <c r="M18" i="45"/>
  <c r="M19" i="45" s="1"/>
  <c r="M21" i="45" s="1"/>
  <c r="BC60" i="41"/>
  <c r="K60" i="41"/>
  <c r="Z36" i="47"/>
  <c r="Z43" i="47" s="1"/>
  <c r="V36" i="47"/>
  <c r="R36" i="47"/>
  <c r="N36" i="47"/>
  <c r="J36" i="47"/>
  <c r="V18" i="47"/>
  <c r="R18" i="47"/>
  <c r="R43" i="47" s="1"/>
  <c r="N18" i="47"/>
  <c r="J18" i="47"/>
  <c r="L34" i="53"/>
  <c r="L41" i="53" s="1"/>
  <c r="H40" i="45"/>
  <c r="H47" i="45" s="1"/>
  <c r="AR41" i="45"/>
  <c r="AR45" i="45" s="1"/>
  <c r="AJ40" i="45"/>
  <c r="AJ47" i="45" s="1"/>
  <c r="H18" i="47"/>
  <c r="V37" i="47"/>
  <c r="V41" i="47" s="1"/>
  <c r="R41" i="47"/>
  <c r="R42" i="47" s="1"/>
  <c r="H17" i="53"/>
  <c r="N41" i="47"/>
  <c r="N42" i="47" s="1"/>
  <c r="J58" i="47"/>
  <c r="BB62" i="45"/>
  <c r="AX62" i="45"/>
  <c r="AT62" i="45"/>
  <c r="AL62" i="45"/>
  <c r="AH62" i="45"/>
  <c r="AD62" i="45"/>
  <c r="V62" i="45"/>
  <c r="R62" i="45"/>
  <c r="N62" i="45"/>
  <c r="Z41" i="47"/>
  <c r="Z63" i="47" s="1"/>
  <c r="J41" i="47"/>
  <c r="J63" i="47" s="1"/>
  <c r="X41" i="47"/>
  <c r="X63" i="47" s="1"/>
  <c r="T41" i="47"/>
  <c r="T63" i="47" s="1"/>
  <c r="P41" i="47"/>
  <c r="P42" i="47" s="1"/>
  <c r="L41" i="47"/>
  <c r="L63" i="47" s="1"/>
  <c r="T58" i="47"/>
  <c r="I62" i="51"/>
  <c r="Z56" i="53"/>
  <c r="V56" i="53"/>
  <c r="N56" i="53"/>
  <c r="J56" i="53"/>
  <c r="Z66" i="43"/>
  <c r="Z68" i="43" s="1"/>
  <c r="Z20" i="43"/>
  <c r="Z18" i="43"/>
  <c r="Z19" i="43" s="1"/>
  <c r="Z21" i="43" s="1"/>
  <c r="R66" i="43"/>
  <c r="R68" i="43" s="1"/>
  <c r="R20" i="43"/>
  <c r="R18" i="43"/>
  <c r="R19" i="43" s="1"/>
  <c r="R21" i="43" s="1"/>
  <c r="L40" i="43"/>
  <c r="L38" i="43"/>
  <c r="L39" i="43" s="1"/>
  <c r="X66" i="43"/>
  <c r="X68" i="43" s="1"/>
  <c r="X38" i="43"/>
  <c r="X39" i="43" s="1"/>
  <c r="X41" i="43" s="1"/>
  <c r="X40" i="43"/>
  <c r="T18" i="43"/>
  <c r="T19" i="43" s="1"/>
  <c r="T20" i="43"/>
  <c r="T66" i="43"/>
  <c r="T68" i="43" s="1"/>
  <c r="T40" i="43"/>
  <c r="T38" i="43"/>
  <c r="T39" i="43" s="1"/>
  <c r="T41" i="43" s="1"/>
  <c r="V66" i="43"/>
  <c r="V68" i="43" s="1"/>
  <c r="V18" i="43"/>
  <c r="V19" i="43" s="1"/>
  <c r="V21" i="43" s="1"/>
  <c r="V20" i="43"/>
  <c r="P38" i="43"/>
  <c r="P39" i="43" s="1"/>
  <c r="P40" i="43"/>
  <c r="X20" i="43"/>
  <c r="BC40" i="45"/>
  <c r="BC38" i="45"/>
  <c r="BC39" i="45" s="1"/>
  <c r="BC41" i="45" s="1"/>
  <c r="BC45" i="45" s="1"/>
  <c r="AY40" i="45"/>
  <c r="AY47" i="45" s="1"/>
  <c r="AY38" i="45"/>
  <c r="AY39" i="45" s="1"/>
  <c r="AY41" i="45" s="1"/>
  <c r="AU40" i="45"/>
  <c r="AU38" i="45"/>
  <c r="AU39" i="45" s="1"/>
  <c r="AU41" i="45" s="1"/>
  <c r="AU45" i="45" s="1"/>
  <c r="AQ40" i="45"/>
  <c r="AQ38" i="45"/>
  <c r="AQ39" i="45" s="1"/>
  <c r="AQ41" i="45" s="1"/>
  <c r="AQ45" i="45" s="1"/>
  <c r="AM40" i="45"/>
  <c r="AM47" i="45" s="1"/>
  <c r="AM38" i="45"/>
  <c r="AM39" i="45" s="1"/>
  <c r="AM41" i="45" s="1"/>
  <c r="AM45" i="45" s="1"/>
  <c r="AI40" i="45"/>
  <c r="AI47" i="45" s="1"/>
  <c r="AI38" i="45"/>
  <c r="AI39" i="45" s="1"/>
  <c r="AI41" i="45" s="1"/>
  <c r="AI45" i="45" s="1"/>
  <c r="AE40" i="45"/>
  <c r="AE47" i="45" s="1"/>
  <c r="AE38" i="45"/>
  <c r="AE39" i="45" s="1"/>
  <c r="AE41" i="45" s="1"/>
  <c r="AE45" i="45" s="1"/>
  <c r="AA40" i="45"/>
  <c r="AA47" i="45" s="1"/>
  <c r="AA38" i="45"/>
  <c r="AA39" i="45" s="1"/>
  <c r="AA41" i="45" s="1"/>
  <c r="AA45" i="45" s="1"/>
  <c r="W40" i="45"/>
  <c r="W38" i="45"/>
  <c r="W39" i="45" s="1"/>
  <c r="W41" i="45" s="1"/>
  <c r="W45" i="45" s="1"/>
  <c r="S40" i="45"/>
  <c r="S47" i="45" s="1"/>
  <c r="S38" i="45"/>
  <c r="S39" i="45" s="1"/>
  <c r="S41" i="45" s="1"/>
  <c r="S45" i="45" s="1"/>
  <c r="O40" i="45"/>
  <c r="O47" i="45" s="1"/>
  <c r="O38" i="45"/>
  <c r="O39" i="45" s="1"/>
  <c r="O41" i="45" s="1"/>
  <c r="O45" i="45" s="1"/>
  <c r="K40" i="45"/>
  <c r="K38" i="45"/>
  <c r="K39" i="45" s="1"/>
  <c r="K41" i="45" s="1"/>
  <c r="K45" i="45" s="1"/>
  <c r="BB45" i="45"/>
  <c r="AX46" i="45"/>
  <c r="AX67" i="45"/>
  <c r="AT45" i="45"/>
  <c r="AD45" i="45"/>
  <c r="J46" i="45"/>
  <c r="I60" i="41"/>
  <c r="BE67" i="45"/>
  <c r="AS38" i="45"/>
  <c r="AS39" i="45" s="1"/>
  <c r="AS41" i="45" s="1"/>
  <c r="AS40" i="45"/>
  <c r="AO38" i="45"/>
  <c r="AO39" i="45" s="1"/>
  <c r="AO41" i="45" s="1"/>
  <c r="AO40" i="45"/>
  <c r="AO47" i="45" s="1"/>
  <c r="AK38" i="45"/>
  <c r="AK39" i="45" s="1"/>
  <c r="AK41" i="45" s="1"/>
  <c r="AK40" i="45"/>
  <c r="AG38" i="45"/>
  <c r="AG39" i="45" s="1"/>
  <c r="AG41" i="45" s="1"/>
  <c r="AG40" i="45"/>
  <c r="AC38" i="45"/>
  <c r="AC39" i="45" s="1"/>
  <c r="AC41" i="45" s="1"/>
  <c r="AC40" i="45"/>
  <c r="AC47" i="45" s="1"/>
  <c r="Y38" i="45"/>
  <c r="Y39" i="45" s="1"/>
  <c r="Y41" i="45" s="1"/>
  <c r="Y40" i="45"/>
  <c r="U38" i="45"/>
  <c r="U39" i="45" s="1"/>
  <c r="U41" i="45" s="1"/>
  <c r="U40" i="45"/>
  <c r="Q38" i="45"/>
  <c r="Q39" i="45" s="1"/>
  <c r="Q41" i="45" s="1"/>
  <c r="Q40" i="45"/>
  <c r="Q47" i="45" s="1"/>
  <c r="M38" i="45"/>
  <c r="M39" i="45" s="1"/>
  <c r="M41" i="45" s="1"/>
  <c r="M40" i="45"/>
  <c r="I38" i="45"/>
  <c r="I39" i="45" s="1"/>
  <c r="I41" i="45" s="1"/>
  <c r="I40" i="45"/>
  <c r="X42" i="47"/>
  <c r="T42" i="47"/>
  <c r="U43" i="47"/>
  <c r="N43" i="47"/>
  <c r="Y62" i="47"/>
  <c r="Y64" i="47" s="1"/>
  <c r="U62" i="47"/>
  <c r="U64" i="47" s="1"/>
  <c r="Q62" i="47"/>
  <c r="Q64" i="47" s="1"/>
  <c r="M62" i="47"/>
  <c r="M64" i="47" s="1"/>
  <c r="I62" i="47"/>
  <c r="I64" i="47" s="1"/>
  <c r="H62" i="47"/>
  <c r="I43" i="47"/>
  <c r="P43" i="47"/>
  <c r="AA62" i="47"/>
  <c r="AA64" i="47" s="1"/>
  <c r="W62" i="47"/>
  <c r="W64" i="47" s="1"/>
  <c r="S62" i="47"/>
  <c r="S64" i="47" s="1"/>
  <c r="O62" i="47"/>
  <c r="O64" i="47" s="1"/>
  <c r="K62" i="47"/>
  <c r="K64" i="47" s="1"/>
  <c r="Z62" i="47"/>
  <c r="Z64" i="47" s="1"/>
  <c r="V62" i="47"/>
  <c r="V64" i="47" s="1"/>
  <c r="R62" i="47"/>
  <c r="R64" i="47" s="1"/>
  <c r="N62" i="47"/>
  <c r="N64" i="47" s="1"/>
  <c r="J62" i="47"/>
  <c r="J64" i="47" s="1"/>
  <c r="X62" i="47"/>
  <c r="X64" i="47" s="1"/>
  <c r="T62" i="47"/>
  <c r="T64" i="47" s="1"/>
  <c r="P62" i="47"/>
  <c r="P64" i="47" s="1"/>
  <c r="L62" i="47"/>
  <c r="L64" i="47" s="1"/>
  <c r="AA35" i="53"/>
  <c r="AA39" i="53" s="1"/>
  <c r="W35" i="53"/>
  <c r="W39" i="53" s="1"/>
  <c r="S35" i="53"/>
  <c r="S39" i="53" s="1"/>
  <c r="AA58" i="47"/>
  <c r="W58" i="47"/>
  <c r="S58" i="47"/>
  <c r="O58" i="47"/>
  <c r="K40" i="53"/>
  <c r="K61" i="53"/>
  <c r="S57" i="53"/>
  <c r="Z18" i="53"/>
  <c r="Z39" i="53" s="1"/>
  <c r="J18" i="53"/>
  <c r="U35" i="53"/>
  <c r="Q35" i="53"/>
  <c r="M35" i="53"/>
  <c r="Y58" i="47"/>
  <c r="U58" i="47"/>
  <c r="Q58" i="47"/>
  <c r="I58" i="47"/>
  <c r="X62" i="51"/>
  <c r="T62" i="51"/>
  <c r="P62" i="51"/>
  <c r="L62" i="51"/>
  <c r="L18" i="53"/>
  <c r="L39" i="53" s="1"/>
  <c r="Z60" i="53"/>
  <c r="Z62" i="53" s="1"/>
  <c r="V60" i="53"/>
  <c r="V62" i="53" s="1"/>
  <c r="R60" i="53"/>
  <c r="R62" i="53" s="1"/>
  <c r="N60" i="53"/>
  <c r="N62" i="53" s="1"/>
  <c r="J60" i="53"/>
  <c r="J62" i="53" s="1"/>
  <c r="V62" i="51"/>
  <c r="N62" i="51"/>
  <c r="H34" i="53"/>
  <c r="AA45" i="51"/>
  <c r="AA46" i="51" s="1"/>
  <c r="W45" i="51"/>
  <c r="W67" i="51" s="1"/>
  <c r="S45" i="51"/>
  <c r="S46" i="51" s="1"/>
  <c r="O45" i="51"/>
  <c r="O67" i="51" s="1"/>
  <c r="K45" i="51"/>
  <c r="K46" i="51" s="1"/>
  <c r="Y45" i="51"/>
  <c r="Y46" i="51" s="1"/>
  <c r="U45" i="51"/>
  <c r="U46" i="51" s="1"/>
  <c r="Q45" i="51"/>
  <c r="Q67" i="51" s="1"/>
  <c r="M45" i="51"/>
  <c r="M46" i="51" s="1"/>
  <c r="I45" i="51"/>
  <c r="I46" i="51" s="1"/>
  <c r="AA47" i="51"/>
  <c r="AA48" i="51" s="1"/>
  <c r="Y47" i="51"/>
  <c r="Y63" i="51" s="1"/>
  <c r="W47" i="51"/>
  <c r="W63" i="51" s="1"/>
  <c r="U47" i="51"/>
  <c r="S47" i="51"/>
  <c r="S48" i="51" s="1"/>
  <c r="Q47" i="51"/>
  <c r="Q48" i="51" s="1"/>
  <c r="O47" i="51"/>
  <c r="O63" i="51" s="1"/>
  <c r="M47" i="51"/>
  <c r="M63" i="51" s="1"/>
  <c r="K47" i="51"/>
  <c r="K48" i="51" s="1"/>
  <c r="I47" i="51"/>
  <c r="I63" i="51" s="1"/>
  <c r="Z48" i="51"/>
  <c r="V63" i="51"/>
  <c r="X48" i="51"/>
  <c r="T48" i="51"/>
  <c r="T63" i="51"/>
  <c r="L48" i="51"/>
  <c r="L63" i="51"/>
  <c r="L64" i="51" s="1"/>
  <c r="L65" i="51" s="1"/>
  <c r="AA63" i="51"/>
  <c r="H63" i="51"/>
  <c r="H48" i="51"/>
  <c r="J18" i="43"/>
  <c r="J19" i="43" s="1"/>
  <c r="J21" i="43" s="1"/>
  <c r="I66" i="45"/>
  <c r="I68" i="45" s="1"/>
  <c r="I18" i="45"/>
  <c r="I19" i="45" s="1"/>
  <c r="I21" i="45" s="1"/>
  <c r="I45" i="45" s="1"/>
  <c r="I20" i="45"/>
  <c r="I47" i="45" s="1"/>
  <c r="P18" i="43"/>
  <c r="P19" i="43" s="1"/>
  <c r="P21" i="43" s="1"/>
  <c r="P20" i="43"/>
  <c r="P66" i="43"/>
  <c r="P68" i="43" s="1"/>
  <c r="N20" i="43"/>
  <c r="N66" i="43"/>
  <c r="N68" i="43" s="1"/>
  <c r="N18" i="43"/>
  <c r="N19" i="43" s="1"/>
  <c r="L18" i="43"/>
  <c r="L19" i="43" s="1"/>
  <c r="L21" i="43" s="1"/>
  <c r="L20" i="43"/>
  <c r="L66" i="43"/>
  <c r="L68" i="43" s="1"/>
  <c r="J66" i="43"/>
  <c r="J68" i="43" s="1"/>
  <c r="K60" i="42"/>
  <c r="H38" i="41"/>
  <c r="Z21" i="51"/>
  <c r="Z45" i="51" s="1"/>
  <c r="X21" i="51"/>
  <c r="X45" i="51" s="1"/>
  <c r="V21" i="51"/>
  <c r="V45" i="51" s="1"/>
  <c r="T21" i="51"/>
  <c r="T45" i="51" s="1"/>
  <c r="R21" i="51"/>
  <c r="R45" i="51" s="1"/>
  <c r="P21" i="51"/>
  <c r="P45" i="51" s="1"/>
  <c r="N21" i="51"/>
  <c r="N45" i="51" s="1"/>
  <c r="L21" i="51"/>
  <c r="L45" i="51" s="1"/>
  <c r="J21" i="51"/>
  <c r="J45" i="51" s="1"/>
  <c r="Y19" i="47"/>
  <c r="W19" i="47"/>
  <c r="U19" i="47"/>
  <c r="Q19" i="47"/>
  <c r="M19" i="47"/>
  <c r="I19" i="47"/>
  <c r="AA37" i="47"/>
  <c r="Y37" i="47"/>
  <c r="U37" i="47"/>
  <c r="S37" i="47"/>
  <c r="Q37" i="47"/>
  <c r="M37" i="47"/>
  <c r="K37" i="47"/>
  <c r="I37" i="47"/>
  <c r="AA38" i="43"/>
  <c r="AA39" i="43" s="1"/>
  <c r="AA41" i="43" s="1"/>
  <c r="AA40" i="43"/>
  <c r="Y38" i="43"/>
  <c r="Y39" i="43" s="1"/>
  <c r="Y41" i="43" s="1"/>
  <c r="Y40" i="43"/>
  <c r="W38" i="43"/>
  <c r="W39" i="43" s="1"/>
  <c r="W41" i="43" s="1"/>
  <c r="W40" i="43"/>
  <c r="U38" i="43"/>
  <c r="U39" i="43" s="1"/>
  <c r="U41" i="43" s="1"/>
  <c r="U40" i="43"/>
  <c r="S38" i="43"/>
  <c r="S39" i="43" s="1"/>
  <c r="S41" i="43" s="1"/>
  <c r="S40" i="43"/>
  <c r="Q38" i="43"/>
  <c r="Q39" i="43" s="1"/>
  <c r="Q41" i="43" s="1"/>
  <c r="Q40" i="43"/>
  <c r="O38" i="43"/>
  <c r="O39" i="43" s="1"/>
  <c r="O41" i="43" s="1"/>
  <c r="O40" i="43"/>
  <c r="M38" i="43"/>
  <c r="M39" i="43" s="1"/>
  <c r="M41" i="43" s="1"/>
  <c r="M40" i="43"/>
  <c r="K38" i="43"/>
  <c r="K39" i="43" s="1"/>
  <c r="K41" i="43" s="1"/>
  <c r="K40" i="43"/>
  <c r="I38" i="43"/>
  <c r="I39" i="43" s="1"/>
  <c r="I41" i="43" s="1"/>
  <c r="I40" i="43"/>
  <c r="P41" i="43"/>
  <c r="L41" i="43"/>
  <c r="Z41" i="43"/>
  <c r="R41" i="43"/>
  <c r="N41" i="43"/>
  <c r="J41" i="43"/>
  <c r="H40" i="43"/>
  <c r="H39" i="43"/>
  <c r="H41" i="43" s="1"/>
  <c r="AA18" i="43"/>
  <c r="AA19" i="43" s="1"/>
  <c r="AA21" i="43" s="1"/>
  <c r="AA20" i="43"/>
  <c r="Y18" i="43"/>
  <c r="Y19" i="43" s="1"/>
  <c r="Y21" i="43" s="1"/>
  <c r="Y20" i="43"/>
  <c r="W18" i="43"/>
  <c r="W19" i="43" s="1"/>
  <c r="W21" i="43" s="1"/>
  <c r="W20" i="43"/>
  <c r="U18" i="43"/>
  <c r="U19" i="43" s="1"/>
  <c r="U21" i="43" s="1"/>
  <c r="U20" i="43"/>
  <c r="S18" i="43"/>
  <c r="S19" i="43" s="1"/>
  <c r="S21" i="43" s="1"/>
  <c r="S20" i="43"/>
  <c r="Q18" i="43"/>
  <c r="Q19" i="43" s="1"/>
  <c r="Q21" i="43" s="1"/>
  <c r="Q20" i="43"/>
  <c r="O18" i="43"/>
  <c r="O19" i="43" s="1"/>
  <c r="O21" i="43" s="1"/>
  <c r="O20" i="43"/>
  <c r="M18" i="43"/>
  <c r="M19" i="43" s="1"/>
  <c r="M21" i="43" s="1"/>
  <c r="M20" i="43"/>
  <c r="K18" i="43"/>
  <c r="K19" i="43" s="1"/>
  <c r="K21" i="43" s="1"/>
  <c r="K20" i="43"/>
  <c r="I18" i="43"/>
  <c r="I19" i="43" s="1"/>
  <c r="I21" i="43" s="1"/>
  <c r="I20" i="43"/>
  <c r="X21" i="43"/>
  <c r="T21" i="43"/>
  <c r="N21" i="43"/>
  <c r="I10" i="41"/>
  <c r="I17" i="41" s="1"/>
  <c r="I18" i="41" s="1"/>
  <c r="J10" i="41"/>
  <c r="J17" i="41" s="1"/>
  <c r="J18" i="41" s="1"/>
  <c r="K10" i="41"/>
  <c r="K17" i="41" s="1"/>
  <c r="K18" i="41" s="1"/>
  <c r="L10" i="41"/>
  <c r="L17" i="41" s="1"/>
  <c r="L18" i="41" s="1"/>
  <c r="L20" i="41" s="1"/>
  <c r="M10" i="41"/>
  <c r="M17" i="41" s="1"/>
  <c r="M18" i="41" s="1"/>
  <c r="N10" i="41"/>
  <c r="N17" i="41" s="1"/>
  <c r="N18" i="41" s="1"/>
  <c r="O10" i="41"/>
  <c r="P10" i="41"/>
  <c r="P17" i="41" s="1"/>
  <c r="P18" i="41" s="1"/>
  <c r="P20" i="41" s="1"/>
  <c r="Q10" i="41"/>
  <c r="Q17" i="41" s="1"/>
  <c r="Q18" i="41" s="1"/>
  <c r="R10" i="41"/>
  <c r="S10" i="41"/>
  <c r="T10" i="41"/>
  <c r="T17" i="41" s="1"/>
  <c r="T18" i="41" s="1"/>
  <c r="T20" i="41" s="1"/>
  <c r="U10" i="41"/>
  <c r="U17" i="41" s="1"/>
  <c r="U18" i="41" s="1"/>
  <c r="V10" i="41"/>
  <c r="V17" i="41" s="1"/>
  <c r="V18" i="41" s="1"/>
  <c r="W10" i="41"/>
  <c r="W17" i="41" s="1"/>
  <c r="W18" i="41" s="1"/>
  <c r="X10" i="41"/>
  <c r="X17" i="41" s="1"/>
  <c r="X18" i="41" s="1"/>
  <c r="X20" i="41" s="1"/>
  <c r="Y10" i="41"/>
  <c r="Y17" i="41" s="1"/>
  <c r="Y18" i="41" s="1"/>
  <c r="Z10" i="41"/>
  <c r="Z17" i="41" s="1"/>
  <c r="Z18" i="41" s="1"/>
  <c r="AA10" i="41"/>
  <c r="AB10" i="41"/>
  <c r="AC10" i="41"/>
  <c r="AC17" i="41" s="1"/>
  <c r="AC18" i="41" s="1"/>
  <c r="AD10" i="41"/>
  <c r="AD17" i="41" s="1"/>
  <c r="AD18" i="41" s="1"/>
  <c r="AD20" i="41" s="1"/>
  <c r="AE10" i="41"/>
  <c r="AE17" i="41" s="1"/>
  <c r="AE18" i="41" s="1"/>
  <c r="AF10" i="41"/>
  <c r="AF17" i="41" s="1"/>
  <c r="AF18" i="41" s="1"/>
  <c r="AF20" i="41" s="1"/>
  <c r="AG10" i="41"/>
  <c r="AG17" i="41" s="1"/>
  <c r="AG18" i="41" s="1"/>
  <c r="AH10" i="41"/>
  <c r="AI10" i="41"/>
  <c r="AI17" i="41" s="1"/>
  <c r="AI18" i="41" s="1"/>
  <c r="AJ10" i="41"/>
  <c r="AJ17" i="41" s="1"/>
  <c r="AJ18" i="41" s="1"/>
  <c r="AJ20" i="41" s="1"/>
  <c r="AK10" i="41"/>
  <c r="AK17" i="41" s="1"/>
  <c r="AK18" i="41" s="1"/>
  <c r="AL10" i="41"/>
  <c r="AL17" i="41" s="1"/>
  <c r="AL18" i="41" s="1"/>
  <c r="AM10" i="41"/>
  <c r="AN10" i="41"/>
  <c r="AN17" i="41" s="1"/>
  <c r="AN18" i="41" s="1"/>
  <c r="AN20" i="41" s="1"/>
  <c r="AO10" i="41"/>
  <c r="AO17" i="41" s="1"/>
  <c r="AO18" i="41" s="1"/>
  <c r="AP10" i="41"/>
  <c r="AP17" i="41" s="1"/>
  <c r="AP18" i="41" s="1"/>
  <c r="AQ10" i="41"/>
  <c r="AQ17" i="41" s="1"/>
  <c r="AQ18" i="41" s="1"/>
  <c r="AR10" i="41"/>
  <c r="AR17" i="41" s="1"/>
  <c r="AR18" i="41" s="1"/>
  <c r="AR20" i="41" s="1"/>
  <c r="AS10" i="41"/>
  <c r="AS17" i="41" s="1"/>
  <c r="AS18" i="41" s="1"/>
  <c r="AT10" i="41"/>
  <c r="AT17" i="41" s="1"/>
  <c r="AT18" i="41" s="1"/>
  <c r="AT20" i="41" s="1"/>
  <c r="AU10" i="41"/>
  <c r="AU19" i="41" s="1"/>
  <c r="AV10" i="41"/>
  <c r="AV17" i="41" s="1"/>
  <c r="AV18" i="41" s="1"/>
  <c r="AV20" i="41" s="1"/>
  <c r="AW10" i="41"/>
  <c r="AW17" i="41" s="1"/>
  <c r="AW18" i="41" s="1"/>
  <c r="AX10" i="41"/>
  <c r="AY10" i="41"/>
  <c r="AZ10" i="41"/>
  <c r="AZ17" i="41" s="1"/>
  <c r="AZ18" i="41" s="1"/>
  <c r="AZ20" i="41" s="1"/>
  <c r="BA10" i="41"/>
  <c r="BA17" i="41" s="1"/>
  <c r="BA18" i="41" s="1"/>
  <c r="BB10" i="41"/>
  <c r="BB17" i="41" s="1"/>
  <c r="BB18" i="41" s="1"/>
  <c r="BB20" i="41" s="1"/>
  <c r="BC10" i="41"/>
  <c r="BC17" i="41" s="1"/>
  <c r="BC18" i="41" s="1"/>
  <c r="BD10" i="41"/>
  <c r="BD17" i="41" s="1"/>
  <c r="BD18" i="41" s="1"/>
  <c r="BD20" i="41" s="1"/>
  <c r="BE10" i="41"/>
  <c r="BE17" i="41" s="1"/>
  <c r="BE18" i="41" s="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AQ13" i="41"/>
  <c r="AR13" i="41"/>
  <c r="AS13" i="41"/>
  <c r="AT13" i="41"/>
  <c r="AU13" i="41"/>
  <c r="AV13" i="41"/>
  <c r="AW13" i="41"/>
  <c r="AX13" i="41"/>
  <c r="AY13" i="41"/>
  <c r="AZ13" i="41"/>
  <c r="BA13" i="41"/>
  <c r="BB13" i="41"/>
  <c r="BC13" i="41"/>
  <c r="BD13" i="41"/>
  <c r="BE13" i="41"/>
  <c r="O17" i="41"/>
  <c r="O18" i="41" s="1"/>
  <c r="S17" i="41"/>
  <c r="S18" i="41" s="1"/>
  <c r="AA17" i="41"/>
  <c r="AA18" i="41" s="1"/>
  <c r="AB17" i="41"/>
  <c r="AB18" i="41" s="1"/>
  <c r="AB20" i="41" s="1"/>
  <c r="AM17" i="41"/>
  <c r="AM18" i="41" s="1"/>
  <c r="AU17" i="41"/>
  <c r="AU18" i="41" s="1"/>
  <c r="AY17" i="41"/>
  <c r="AY18" i="41" s="1"/>
  <c r="H13" i="41"/>
  <c r="H10" i="41"/>
  <c r="H64" i="41" s="1"/>
  <c r="O19" i="41" l="1"/>
  <c r="AJ67" i="45"/>
  <c r="N67" i="45"/>
  <c r="K47" i="45"/>
  <c r="K63" i="45" s="1"/>
  <c r="K64" i="45" s="1"/>
  <c r="K65" i="45" s="1"/>
  <c r="AQ47" i="45"/>
  <c r="AA43" i="47"/>
  <c r="AW47" i="45"/>
  <c r="AW48" i="45" s="1"/>
  <c r="Q43" i="47"/>
  <c r="Q59" i="47" s="1"/>
  <c r="Q60" i="47" s="1"/>
  <c r="Q61" i="47" s="1"/>
  <c r="V47" i="45"/>
  <c r="V63" i="45" s="1"/>
  <c r="U57" i="53"/>
  <c r="U58" i="53" s="1"/>
  <c r="U59" i="53" s="1"/>
  <c r="AU47" i="45"/>
  <c r="V47" i="43"/>
  <c r="V48" i="43" s="1"/>
  <c r="O41" i="53"/>
  <c r="AA41" i="53"/>
  <c r="AH46" i="45"/>
  <c r="AH67" i="45"/>
  <c r="T45" i="43"/>
  <c r="J48" i="51"/>
  <c r="J42" i="47"/>
  <c r="Z48" i="45"/>
  <c r="R63" i="51"/>
  <c r="Y64" i="51"/>
  <c r="Y65" i="51" s="1"/>
  <c r="AF63" i="45"/>
  <c r="AG47" i="45"/>
  <c r="AG48" i="45" s="1"/>
  <c r="N63" i="45"/>
  <c r="BC47" i="45"/>
  <c r="R47" i="45"/>
  <c r="AR47" i="45"/>
  <c r="J41" i="53"/>
  <c r="J57" i="53" s="1"/>
  <c r="J58" i="53" s="1"/>
  <c r="J59" i="53" s="1"/>
  <c r="AD47" i="45"/>
  <c r="AT63" i="45"/>
  <c r="AT64" i="45" s="1"/>
  <c r="AT65" i="45" s="1"/>
  <c r="Z67" i="45"/>
  <c r="R45" i="43"/>
  <c r="R46" i="43" s="1"/>
  <c r="Q39" i="53"/>
  <c r="T41" i="53"/>
  <c r="I41" i="53"/>
  <c r="I42" i="53" s="1"/>
  <c r="AL47" i="45"/>
  <c r="AL63" i="45" s="1"/>
  <c r="AL64" i="45" s="1"/>
  <c r="AL65" i="45" s="1"/>
  <c r="BB47" i="45"/>
  <c r="BB63" i="45" s="1"/>
  <c r="AA57" i="53"/>
  <c r="AA58" i="53" s="1"/>
  <c r="AA59" i="53" s="1"/>
  <c r="AA42" i="53"/>
  <c r="S67" i="51"/>
  <c r="M64" i="51"/>
  <c r="M65" i="51" s="1"/>
  <c r="J39" i="53"/>
  <c r="J40" i="53" s="1"/>
  <c r="Q45" i="45"/>
  <c r="Q46" i="45" s="1"/>
  <c r="AG45" i="45"/>
  <c r="AG67" i="45" s="1"/>
  <c r="S43" i="47"/>
  <c r="K63" i="51"/>
  <c r="K64" i="51" s="1"/>
  <c r="K65" i="51" s="1"/>
  <c r="U67" i="51"/>
  <c r="W46" i="51"/>
  <c r="O64" i="51"/>
  <c r="O65" i="51" s="1"/>
  <c r="AW67" i="45"/>
  <c r="N64" i="45"/>
  <c r="N65" i="45" s="1"/>
  <c r="S63" i="51"/>
  <c r="T64" i="51"/>
  <c r="T65" i="51" s="1"/>
  <c r="V39" i="53"/>
  <c r="V40" i="53" s="1"/>
  <c r="N63" i="47"/>
  <c r="AV46" i="45"/>
  <c r="U47" i="45"/>
  <c r="M67" i="51"/>
  <c r="U39" i="53"/>
  <c r="U40" i="53" s="1"/>
  <c r="AA67" i="51"/>
  <c r="W64" i="51"/>
  <c r="W65" i="51" s="1"/>
  <c r="Y45" i="45"/>
  <c r="Y46" i="45" s="1"/>
  <c r="AO45" i="45"/>
  <c r="AO46" i="45" s="1"/>
  <c r="W47" i="45"/>
  <c r="W48" i="45" s="1"/>
  <c r="M41" i="53"/>
  <c r="P48" i="51"/>
  <c r="R63" i="47"/>
  <c r="J47" i="43"/>
  <c r="J63" i="43" s="1"/>
  <c r="J64" i="43" s="1"/>
  <c r="J65" i="43" s="1"/>
  <c r="AH47" i="45"/>
  <c r="BD47" i="45"/>
  <c r="BD63" i="45" s="1"/>
  <c r="BD64" i="45" s="1"/>
  <c r="BD65" i="45" s="1"/>
  <c r="AP48" i="45"/>
  <c r="Y41" i="53"/>
  <c r="AV47" i="45"/>
  <c r="K41" i="53"/>
  <c r="K57" i="53" s="1"/>
  <c r="K58" i="53" s="1"/>
  <c r="K59" i="53" s="1"/>
  <c r="T43" i="47"/>
  <c r="AE19" i="41"/>
  <c r="J45" i="43"/>
  <c r="J46" i="43" s="1"/>
  <c r="L43" i="47"/>
  <c r="AP46" i="45"/>
  <c r="AP67" i="45"/>
  <c r="R46" i="45"/>
  <c r="R67" i="45"/>
  <c r="Z64" i="51"/>
  <c r="Z65" i="51" s="1"/>
  <c r="J64" i="51"/>
  <c r="J65" i="51" s="1"/>
  <c r="R64" i="51"/>
  <c r="R65" i="51" s="1"/>
  <c r="I64" i="51"/>
  <c r="I65" i="51" s="1"/>
  <c r="V48" i="45"/>
  <c r="BB48" i="45"/>
  <c r="X58" i="53"/>
  <c r="X59" i="53" s="1"/>
  <c r="BA19" i="41"/>
  <c r="AS19" i="41"/>
  <c r="AK19" i="41"/>
  <c r="AC19" i="41"/>
  <c r="U19" i="41"/>
  <c r="M19" i="41"/>
  <c r="P47" i="43"/>
  <c r="P63" i="43" s="1"/>
  <c r="N39" i="53"/>
  <c r="N61" i="53" s="1"/>
  <c r="X42" i="53"/>
  <c r="L42" i="47"/>
  <c r="M47" i="45"/>
  <c r="M63" i="45" s="1"/>
  <c r="M64" i="45" s="1"/>
  <c r="M65" i="45" s="1"/>
  <c r="AK47" i="45"/>
  <c r="AK63" i="45" s="1"/>
  <c r="AK64" i="45" s="1"/>
  <c r="AK65" i="45" s="1"/>
  <c r="AS47" i="45"/>
  <c r="AX47" i="45"/>
  <c r="BC19" i="41"/>
  <c r="AM19" i="41"/>
  <c r="W19" i="41"/>
  <c r="K47" i="43"/>
  <c r="K48" i="43" s="1"/>
  <c r="O47" i="43"/>
  <c r="O63" i="43" s="1"/>
  <c r="S47" i="43"/>
  <c r="S48" i="43" s="1"/>
  <c r="W47" i="43"/>
  <c r="AA47" i="43"/>
  <c r="AA48" i="43" s="1"/>
  <c r="L47" i="43"/>
  <c r="L48" i="43" s="1"/>
  <c r="N47" i="43"/>
  <c r="I67" i="51"/>
  <c r="Y47" i="45"/>
  <c r="Y48" i="45" s="1"/>
  <c r="AY45" i="45"/>
  <c r="AY46" i="45" s="1"/>
  <c r="Z47" i="43"/>
  <c r="Z48" i="43" s="1"/>
  <c r="Q41" i="53"/>
  <c r="Q42" i="53" s="1"/>
  <c r="J47" i="45"/>
  <c r="X47" i="45"/>
  <c r="X63" i="45" s="1"/>
  <c r="X64" i="45" s="1"/>
  <c r="X65" i="45" s="1"/>
  <c r="AN47" i="45"/>
  <c r="AN63" i="45" s="1"/>
  <c r="AN64" i="45" s="1"/>
  <c r="AN65" i="45" s="1"/>
  <c r="T47" i="45"/>
  <c r="S64" i="51"/>
  <c r="S65" i="51" s="1"/>
  <c r="AA64" i="51"/>
  <c r="AA65" i="51" s="1"/>
  <c r="U63" i="51"/>
  <c r="U64" i="51" s="1"/>
  <c r="U65" i="51" s="1"/>
  <c r="M48" i="51"/>
  <c r="V42" i="47"/>
  <c r="V63" i="47"/>
  <c r="J43" i="47"/>
  <c r="J59" i="47" s="1"/>
  <c r="J60" i="47" s="1"/>
  <c r="J61" i="47" s="1"/>
  <c r="H43" i="47"/>
  <c r="BE48" i="45"/>
  <c r="BE63" i="45"/>
  <c r="BE64" i="45" s="1"/>
  <c r="BE65" i="45" s="1"/>
  <c r="L42" i="53"/>
  <c r="L57" i="53"/>
  <c r="L58" i="53" s="1"/>
  <c r="L59" i="53" s="1"/>
  <c r="Q45" i="43"/>
  <c r="Q46" i="43" s="1"/>
  <c r="Q63" i="51"/>
  <c r="Q64" i="51" s="1"/>
  <c r="Q65" i="51" s="1"/>
  <c r="Y67" i="51"/>
  <c r="P47" i="45"/>
  <c r="V64" i="51"/>
  <c r="V65" i="51" s="1"/>
  <c r="BD45" i="45"/>
  <c r="Z64" i="45"/>
  <c r="Z65" i="45" s="1"/>
  <c r="AP64" i="45"/>
  <c r="AP65" i="45" s="1"/>
  <c r="V41" i="53"/>
  <c r="AY19" i="41"/>
  <c r="AQ19" i="41"/>
  <c r="AI19" i="41"/>
  <c r="AA19" i="41"/>
  <c r="S19" i="41"/>
  <c r="K19" i="41"/>
  <c r="K45" i="43"/>
  <c r="U48" i="51"/>
  <c r="Z45" i="43"/>
  <c r="Z67" i="43" s="1"/>
  <c r="AZ47" i="45"/>
  <c r="T45" i="45"/>
  <c r="T46" i="45" s="1"/>
  <c r="AV63" i="45"/>
  <c r="AV64" i="45" s="1"/>
  <c r="AV65" i="45" s="1"/>
  <c r="AV48" i="45"/>
  <c r="AJ48" i="45"/>
  <c r="AJ63" i="45"/>
  <c r="AJ64" i="45" s="1"/>
  <c r="AJ65" i="45" s="1"/>
  <c r="J48" i="43"/>
  <c r="O57" i="53"/>
  <c r="O42" i="53"/>
  <c r="AZ46" i="45"/>
  <c r="AZ67" i="45"/>
  <c r="X67" i="45"/>
  <c r="X46" i="45"/>
  <c r="W57" i="53"/>
  <c r="W58" i="53" s="1"/>
  <c r="W59" i="53" s="1"/>
  <c r="W42" i="53"/>
  <c r="BA63" i="45"/>
  <c r="BA64" i="45" s="1"/>
  <c r="BA65" i="45" s="1"/>
  <c r="BA48" i="45"/>
  <c r="AN67" i="45"/>
  <c r="AN46" i="45"/>
  <c r="X45" i="43"/>
  <c r="X67" i="43" s="1"/>
  <c r="S45" i="43"/>
  <c r="S46" i="43" s="1"/>
  <c r="Z41" i="53"/>
  <c r="AP20" i="41"/>
  <c r="Z20" i="41"/>
  <c r="N20" i="41"/>
  <c r="V45" i="43"/>
  <c r="V46" i="43" s="1"/>
  <c r="M47" i="43"/>
  <c r="M48" i="43" s="1"/>
  <c r="S58" i="53"/>
  <c r="S59" i="53" s="1"/>
  <c r="V64" i="45"/>
  <c r="V65" i="45" s="1"/>
  <c r="BB64" i="45"/>
  <c r="BB65" i="45" s="1"/>
  <c r="X47" i="43"/>
  <c r="X63" i="43" s="1"/>
  <c r="AB45" i="45"/>
  <c r="L47" i="45"/>
  <c r="AF45" i="45"/>
  <c r="I47" i="43"/>
  <c r="I63" i="43" s="1"/>
  <c r="H41" i="53"/>
  <c r="H57" i="53" s="1"/>
  <c r="P57" i="53"/>
  <c r="P58" i="53" s="1"/>
  <c r="P59" i="53" s="1"/>
  <c r="AL20" i="41"/>
  <c r="V20" i="41"/>
  <c r="J20" i="41"/>
  <c r="AX17" i="41"/>
  <c r="AX18" i="41" s="1"/>
  <c r="AX20" i="41" s="1"/>
  <c r="AH17" i="41"/>
  <c r="AH18" i="41" s="1"/>
  <c r="AH20" i="41" s="1"/>
  <c r="R17" i="41"/>
  <c r="R18" i="41" s="1"/>
  <c r="R20" i="41" s="1"/>
  <c r="I45" i="43"/>
  <c r="I67" i="43" s="1"/>
  <c r="M45" i="43"/>
  <c r="I48" i="51"/>
  <c r="Y48" i="51"/>
  <c r="Q46" i="51"/>
  <c r="N63" i="51"/>
  <c r="N64" i="51" s="1"/>
  <c r="N65" i="51" s="1"/>
  <c r="K67" i="51"/>
  <c r="I39" i="53"/>
  <c r="I61" i="53" s="1"/>
  <c r="Y39" i="53"/>
  <c r="Y61" i="53" s="1"/>
  <c r="P63" i="47"/>
  <c r="Z42" i="47"/>
  <c r="X48" i="45"/>
  <c r="P46" i="45"/>
  <c r="BA67" i="45"/>
  <c r="R47" i="43"/>
  <c r="L45" i="45"/>
  <c r="BE19" i="41"/>
  <c r="AW19" i="41"/>
  <c r="AO19" i="41"/>
  <c r="AG19" i="41"/>
  <c r="Y19" i="41"/>
  <c r="Q19" i="41"/>
  <c r="N45" i="43"/>
  <c r="O46" i="51"/>
  <c r="M39" i="53"/>
  <c r="M40" i="53" s="1"/>
  <c r="AF64" i="45"/>
  <c r="AF65" i="45" s="1"/>
  <c r="M45" i="45"/>
  <c r="M46" i="45" s="1"/>
  <c r="U45" i="45"/>
  <c r="U46" i="45" s="1"/>
  <c r="AC45" i="45"/>
  <c r="AC46" i="45" s="1"/>
  <c r="AK45" i="45"/>
  <c r="AK46" i="45" s="1"/>
  <c r="AS45" i="45"/>
  <c r="AS67" i="45" s="1"/>
  <c r="R41" i="53"/>
  <c r="N41" i="53"/>
  <c r="AB47" i="45"/>
  <c r="H48" i="45"/>
  <c r="H63" i="45"/>
  <c r="AR46" i="45"/>
  <c r="AR67" i="45"/>
  <c r="W45" i="43"/>
  <c r="W46" i="43" s="1"/>
  <c r="P64" i="51"/>
  <c r="P65" i="51" s="1"/>
  <c r="V43" i="47"/>
  <c r="X64" i="51"/>
  <c r="X65" i="51" s="1"/>
  <c r="S40" i="53"/>
  <c r="S61" i="53"/>
  <c r="O48" i="45"/>
  <c r="O63" i="45"/>
  <c r="O64" i="45" s="1"/>
  <c r="O65" i="45" s="1"/>
  <c r="AE48" i="45"/>
  <c r="AE63" i="45"/>
  <c r="AE64" i="45" s="1"/>
  <c r="AE65" i="45" s="1"/>
  <c r="AM48" i="45"/>
  <c r="AM63" i="45"/>
  <c r="AM64" i="45" s="1"/>
  <c r="AM65" i="45" s="1"/>
  <c r="AU48" i="45"/>
  <c r="AU63" i="45"/>
  <c r="AU64" i="45" s="1"/>
  <c r="AU65" i="45" s="1"/>
  <c r="BC48" i="45"/>
  <c r="BC63" i="45"/>
  <c r="BC64" i="45" s="1"/>
  <c r="BC65" i="45" s="1"/>
  <c r="AA45" i="43"/>
  <c r="W40" i="53"/>
  <c r="W61" i="53"/>
  <c r="AG46" i="45"/>
  <c r="AO67" i="45"/>
  <c r="K46" i="45"/>
  <c r="K67" i="45"/>
  <c r="S46" i="45"/>
  <c r="S67" i="45"/>
  <c r="AA46" i="45"/>
  <c r="AA67" i="45"/>
  <c r="AI46" i="45"/>
  <c r="AI67" i="45"/>
  <c r="AQ46" i="45"/>
  <c r="AQ67" i="45"/>
  <c r="AY67" i="45"/>
  <c r="U61" i="53"/>
  <c r="U48" i="45"/>
  <c r="U63" i="45"/>
  <c r="U64" i="45" s="1"/>
  <c r="U65" i="45" s="1"/>
  <c r="AC48" i="45"/>
  <c r="AC63" i="45"/>
  <c r="AC64" i="45" s="1"/>
  <c r="AC65" i="45" s="1"/>
  <c r="AK48" i="45"/>
  <c r="AS48" i="45"/>
  <c r="AS63" i="45"/>
  <c r="AS64" i="45" s="1"/>
  <c r="AS65" i="45" s="1"/>
  <c r="S48" i="45"/>
  <c r="S63" i="45"/>
  <c r="S64" i="45" s="1"/>
  <c r="S65" i="45" s="1"/>
  <c r="Q67" i="43"/>
  <c r="Y45" i="43"/>
  <c r="M67" i="45"/>
  <c r="U67" i="45"/>
  <c r="O46" i="45"/>
  <c r="O67" i="45"/>
  <c r="W46" i="45"/>
  <c r="W67" i="45"/>
  <c r="AE46" i="45"/>
  <c r="AE67" i="45"/>
  <c r="AM46" i="45"/>
  <c r="AM67" i="45"/>
  <c r="AU46" i="45"/>
  <c r="AU67" i="45"/>
  <c r="BC46" i="45"/>
  <c r="BC67" i="45"/>
  <c r="Z46" i="43"/>
  <c r="U45" i="43"/>
  <c r="W48" i="43"/>
  <c r="W63" i="43"/>
  <c r="K41" i="47"/>
  <c r="S41" i="47"/>
  <c r="AA41" i="47"/>
  <c r="T61" i="53"/>
  <c r="T40" i="53"/>
  <c r="Q61" i="53"/>
  <c r="Q40" i="53"/>
  <c r="Z61" i="53"/>
  <c r="Z40" i="53"/>
  <c r="O40" i="53"/>
  <c r="O61" i="53"/>
  <c r="W59" i="47"/>
  <c r="W60" i="47" s="1"/>
  <c r="W61" i="47" s="1"/>
  <c r="W44" i="47"/>
  <c r="T44" i="47"/>
  <c r="T59" i="47"/>
  <c r="T60" i="47" s="1"/>
  <c r="T61" i="47" s="1"/>
  <c r="Y59" i="47"/>
  <c r="Y60" i="47" s="1"/>
  <c r="Y61" i="47" s="1"/>
  <c r="Y44" i="47"/>
  <c r="S59" i="47"/>
  <c r="S60" i="47" s="1"/>
  <c r="S61" i="47" s="1"/>
  <c r="S44" i="47"/>
  <c r="N44" i="47"/>
  <c r="N59" i="47"/>
  <c r="N60" i="47" s="1"/>
  <c r="N61" i="47" s="1"/>
  <c r="U59" i="47"/>
  <c r="U60" i="47" s="1"/>
  <c r="U61" i="47" s="1"/>
  <c r="U44" i="47"/>
  <c r="Q48" i="45"/>
  <c r="Q63" i="45"/>
  <c r="Q64" i="45" s="1"/>
  <c r="Q65" i="45" s="1"/>
  <c r="V46" i="45"/>
  <c r="V67" i="45"/>
  <c r="BB46" i="45"/>
  <c r="BB67" i="45"/>
  <c r="AI48" i="45"/>
  <c r="AI63" i="45"/>
  <c r="AI64" i="45" s="1"/>
  <c r="AI65" i="45" s="1"/>
  <c r="AY48" i="45"/>
  <c r="AY63" i="45"/>
  <c r="AY64" i="45" s="1"/>
  <c r="AY65" i="45" s="1"/>
  <c r="BB19" i="41"/>
  <c r="AX19" i="41"/>
  <c r="AT19" i="41"/>
  <c r="AP19" i="41"/>
  <c r="AL19" i="41"/>
  <c r="AH19" i="41"/>
  <c r="AD19" i="41"/>
  <c r="Z19" i="41"/>
  <c r="V19" i="41"/>
  <c r="R19" i="41"/>
  <c r="N19" i="41"/>
  <c r="J19" i="41"/>
  <c r="T67" i="43"/>
  <c r="T46" i="43"/>
  <c r="O45" i="43"/>
  <c r="O67" i="43" s="1"/>
  <c r="U47" i="43"/>
  <c r="M41" i="47"/>
  <c r="U41" i="47"/>
  <c r="P45" i="43"/>
  <c r="P67" i="43" s="1"/>
  <c r="O48" i="51"/>
  <c r="W48" i="51"/>
  <c r="X61" i="53"/>
  <c r="X40" i="53"/>
  <c r="N40" i="53"/>
  <c r="X44" i="47"/>
  <c r="X59" i="47"/>
  <c r="X60" i="47" s="1"/>
  <c r="X61" i="47" s="1"/>
  <c r="AA59" i="47"/>
  <c r="AA60" i="47" s="1"/>
  <c r="AA61" i="47" s="1"/>
  <c r="AA44" i="47"/>
  <c r="R44" i="47"/>
  <c r="R59" i="47"/>
  <c r="R60" i="47" s="1"/>
  <c r="R61" i="47" s="1"/>
  <c r="AT46" i="45"/>
  <c r="AT67" i="45"/>
  <c r="V63" i="43"/>
  <c r="R67" i="43"/>
  <c r="S63" i="43"/>
  <c r="AA63" i="43"/>
  <c r="O41" i="47"/>
  <c r="W41" i="47"/>
  <c r="L61" i="53"/>
  <c r="L40" i="53"/>
  <c r="R61" i="53"/>
  <c r="R40" i="53"/>
  <c r="AA40" i="53"/>
  <c r="AA61" i="53"/>
  <c r="L44" i="47"/>
  <c r="L59" i="47"/>
  <c r="L60" i="47" s="1"/>
  <c r="L61" i="47" s="1"/>
  <c r="I59" i="47"/>
  <c r="I60" i="47" s="1"/>
  <c r="I61" i="47" s="1"/>
  <c r="I44" i="47"/>
  <c r="Z44" i="47"/>
  <c r="Z59" i="47"/>
  <c r="Z60" i="47" s="1"/>
  <c r="Z61" i="47" s="1"/>
  <c r="AO48" i="45"/>
  <c r="AO63" i="45"/>
  <c r="AO64" i="45" s="1"/>
  <c r="AO65" i="45" s="1"/>
  <c r="AL46" i="45"/>
  <c r="AL67" i="45"/>
  <c r="AA48" i="45"/>
  <c r="AA63" i="45"/>
  <c r="AA64" i="45" s="1"/>
  <c r="AA65" i="45" s="1"/>
  <c r="AQ48" i="45"/>
  <c r="AQ63" i="45"/>
  <c r="AQ64" i="45" s="1"/>
  <c r="AQ65" i="45" s="1"/>
  <c r="X48" i="43"/>
  <c r="Z63" i="43"/>
  <c r="BD19" i="41"/>
  <c r="AZ19" i="41"/>
  <c r="AV19" i="41"/>
  <c r="AR19" i="41"/>
  <c r="AN19" i="41"/>
  <c r="AJ19" i="41"/>
  <c r="AF19" i="41"/>
  <c r="AB19" i="41"/>
  <c r="X19" i="41"/>
  <c r="T19" i="41"/>
  <c r="P19" i="41"/>
  <c r="L19" i="41"/>
  <c r="V67" i="43"/>
  <c r="Q47" i="43"/>
  <c r="Y47" i="43"/>
  <c r="I41" i="47"/>
  <c r="Q41" i="47"/>
  <c r="Y41" i="47"/>
  <c r="L45" i="43"/>
  <c r="L46" i="43" s="1"/>
  <c r="P61" i="53"/>
  <c r="P40" i="53"/>
  <c r="V61" i="53"/>
  <c r="O59" i="47"/>
  <c r="O60" i="47" s="1"/>
  <c r="O61" i="47" s="1"/>
  <c r="O44" i="47"/>
  <c r="P44" i="47"/>
  <c r="P59" i="47"/>
  <c r="P60" i="47" s="1"/>
  <c r="P61" i="47" s="1"/>
  <c r="K59" i="47"/>
  <c r="K60" i="47" s="1"/>
  <c r="K61" i="47" s="1"/>
  <c r="K44" i="47"/>
  <c r="M59" i="47"/>
  <c r="M60" i="47" s="1"/>
  <c r="M61" i="47" s="1"/>
  <c r="M44" i="47"/>
  <c r="AD46" i="45"/>
  <c r="AD67" i="45"/>
  <c r="T47" i="43"/>
  <c r="R48" i="43"/>
  <c r="R63" i="43"/>
  <c r="L46" i="51"/>
  <c r="L67" i="51"/>
  <c r="P46" i="51"/>
  <c r="P67" i="51"/>
  <c r="T46" i="51"/>
  <c r="T67" i="51"/>
  <c r="X46" i="51"/>
  <c r="X67" i="51"/>
  <c r="J46" i="51"/>
  <c r="J67" i="51"/>
  <c r="N46" i="51"/>
  <c r="N67" i="51"/>
  <c r="R46" i="51"/>
  <c r="R67" i="51"/>
  <c r="V46" i="51"/>
  <c r="V67" i="51"/>
  <c r="Z46" i="51"/>
  <c r="Z67" i="51"/>
  <c r="I48" i="45"/>
  <c r="I63" i="45"/>
  <c r="I64" i="45" s="1"/>
  <c r="I65" i="45" s="1"/>
  <c r="I46" i="45"/>
  <c r="I67" i="45"/>
  <c r="O48" i="43"/>
  <c r="N46" i="43"/>
  <c r="N67" i="43"/>
  <c r="N63" i="43"/>
  <c r="N48" i="43"/>
  <c r="M46" i="43"/>
  <c r="M67" i="43"/>
  <c r="K63" i="43"/>
  <c r="K46" i="43"/>
  <c r="K67" i="43"/>
  <c r="I19" i="41"/>
  <c r="H19" i="41"/>
  <c r="H45" i="41" s="1"/>
  <c r="H61" i="41" s="1"/>
  <c r="BE20" i="41"/>
  <c r="BC20" i="41"/>
  <c r="BA20" i="41"/>
  <c r="AY20" i="41"/>
  <c r="AW20" i="41"/>
  <c r="AU20" i="41"/>
  <c r="AS20" i="41"/>
  <c r="AQ20" i="41"/>
  <c r="AO20" i="41"/>
  <c r="AM20" i="41"/>
  <c r="AK20" i="41"/>
  <c r="AI20" i="41"/>
  <c r="AG20" i="41"/>
  <c r="AE20" i="41"/>
  <c r="AC20" i="41"/>
  <c r="AA20" i="41"/>
  <c r="Y20" i="41"/>
  <c r="W20" i="41"/>
  <c r="U20" i="41"/>
  <c r="S20" i="41"/>
  <c r="Q20" i="41"/>
  <c r="O20" i="41"/>
  <c r="M20" i="41"/>
  <c r="K20" i="41"/>
  <c r="I20" i="41"/>
  <c r="K42" i="53" l="1"/>
  <c r="I40" i="53"/>
  <c r="M63" i="43"/>
  <c r="P48" i="43"/>
  <c r="Q44" i="47"/>
  <c r="K48" i="45"/>
  <c r="AG63" i="45"/>
  <c r="AG64" i="45" s="1"/>
  <c r="AG65" i="45" s="1"/>
  <c r="J61" i="53"/>
  <c r="Y67" i="45"/>
  <c r="AS46" i="45"/>
  <c r="AW63" i="45"/>
  <c r="AW64" i="45" s="1"/>
  <c r="AW65" i="45" s="1"/>
  <c r="AR63" i="45"/>
  <c r="AR64" i="45" s="1"/>
  <c r="AR65" i="45" s="1"/>
  <c r="AR48" i="45"/>
  <c r="Y63" i="45"/>
  <c r="Y64" i="45" s="1"/>
  <c r="Y65" i="45" s="1"/>
  <c r="I48" i="43"/>
  <c r="L67" i="43"/>
  <c r="J44" i="47"/>
  <c r="AC67" i="45"/>
  <c r="W63" i="45"/>
  <c r="W64" i="45" s="1"/>
  <c r="W65" i="45" s="1"/>
  <c r="M48" i="45"/>
  <c r="Q67" i="45"/>
  <c r="J42" i="53"/>
  <c r="AL48" i="45"/>
  <c r="I57" i="53"/>
  <c r="I58" i="53" s="1"/>
  <c r="I59" i="53" s="1"/>
  <c r="T57" i="53"/>
  <c r="T58" i="53" s="1"/>
  <c r="T59" i="53" s="1"/>
  <c r="T42" i="53"/>
  <c r="R63" i="45"/>
  <c r="R64" i="45" s="1"/>
  <c r="R65" i="45" s="1"/>
  <c r="R48" i="45"/>
  <c r="I46" i="43"/>
  <c r="P46" i="43"/>
  <c r="X46" i="43"/>
  <c r="AD48" i="45"/>
  <c r="AD63" i="45"/>
  <c r="AD64" i="45" s="1"/>
  <c r="AD65" i="45" s="1"/>
  <c r="J67" i="43"/>
  <c r="Q57" i="53"/>
  <c r="Q58" i="53" s="1"/>
  <c r="Q59" i="53" s="1"/>
  <c r="AH48" i="45"/>
  <c r="AH63" i="45"/>
  <c r="AH64" i="45" s="1"/>
  <c r="AH65" i="45" s="1"/>
  <c r="M61" i="53"/>
  <c r="S67" i="43"/>
  <c r="BD48" i="45"/>
  <c r="M42" i="53"/>
  <c r="M57" i="53"/>
  <c r="M58" i="53" s="1"/>
  <c r="M59" i="53" s="1"/>
  <c r="L63" i="43"/>
  <c r="L64" i="43" s="1"/>
  <c r="L65" i="43" s="1"/>
  <c r="Y42" i="53"/>
  <c r="Y57" i="53"/>
  <c r="Y58" i="53" s="1"/>
  <c r="Y59" i="53" s="1"/>
  <c r="W67" i="43"/>
  <c r="T67" i="45"/>
  <c r="O46" i="43"/>
  <c r="Y40" i="53"/>
  <c r="J63" i="45"/>
  <c r="J64" i="45" s="1"/>
  <c r="J65" i="45" s="1"/>
  <c r="J48" i="45"/>
  <c r="AK67" i="45"/>
  <c r="AN48" i="45"/>
  <c r="T48" i="45"/>
  <c r="T63" i="45"/>
  <c r="T64" i="45" s="1"/>
  <c r="T65" i="45" s="1"/>
  <c r="AX48" i="45"/>
  <c r="AX63" i="45"/>
  <c r="AX64" i="45" s="1"/>
  <c r="AX65" i="45" s="1"/>
  <c r="H42" i="53"/>
  <c r="H44" i="47"/>
  <c r="H59" i="47"/>
  <c r="V42" i="53"/>
  <c r="V57" i="53"/>
  <c r="V58" i="53" s="1"/>
  <c r="V59" i="53" s="1"/>
  <c r="BD67" i="45"/>
  <c r="BD46" i="45"/>
  <c r="AZ48" i="45"/>
  <c r="AZ63" i="45"/>
  <c r="AZ64" i="45" s="1"/>
  <c r="AZ65" i="45" s="1"/>
  <c r="P63" i="45"/>
  <c r="P64" i="45" s="1"/>
  <c r="P65" i="45" s="1"/>
  <c r="P48" i="45"/>
  <c r="AB48" i="45"/>
  <c r="AB63" i="45"/>
  <c r="AB64" i="45" s="1"/>
  <c r="AB65" i="45" s="1"/>
  <c r="AB46" i="45"/>
  <c r="AB67" i="45"/>
  <c r="Z57" i="53"/>
  <c r="Z58" i="53" s="1"/>
  <c r="Z59" i="53" s="1"/>
  <c r="Z42" i="53"/>
  <c r="N42" i="53"/>
  <c r="N57" i="53"/>
  <c r="N58" i="53" s="1"/>
  <c r="N59" i="53" s="1"/>
  <c r="L67" i="45"/>
  <c r="L46" i="45"/>
  <c r="O58" i="53"/>
  <c r="O59" i="53" s="1"/>
  <c r="R42" i="53"/>
  <c r="R57" i="53"/>
  <c r="R58" i="53" s="1"/>
  <c r="R59" i="53" s="1"/>
  <c r="AF67" i="45"/>
  <c r="AF46" i="45"/>
  <c r="L48" i="45"/>
  <c r="L63" i="45"/>
  <c r="L64" i="45" s="1"/>
  <c r="L65" i="45" s="1"/>
  <c r="V44" i="47"/>
  <c r="V59" i="47"/>
  <c r="V60" i="47" s="1"/>
  <c r="V61" i="47" s="1"/>
  <c r="Q48" i="43"/>
  <c r="Q63" i="43"/>
  <c r="S64" i="43"/>
  <c r="S65" i="43" s="1"/>
  <c r="W64" i="43"/>
  <c r="W65" i="43" s="1"/>
  <c r="R64" i="43"/>
  <c r="R65" i="43" s="1"/>
  <c r="Y63" i="47"/>
  <c r="Y42" i="47"/>
  <c r="W63" i="47"/>
  <c r="W42" i="47"/>
  <c r="U63" i="47"/>
  <c r="U42" i="47"/>
  <c r="AA46" i="43"/>
  <c r="AA67" i="43"/>
  <c r="Q63" i="47"/>
  <c r="Q42" i="47"/>
  <c r="X64" i="43"/>
  <c r="X65" i="43" s="1"/>
  <c r="O63" i="47"/>
  <c r="O42" i="47"/>
  <c r="V64" i="43"/>
  <c r="V65" i="43" s="1"/>
  <c r="M63" i="47"/>
  <c r="M42" i="47"/>
  <c r="AA63" i="47"/>
  <c r="AA42" i="47"/>
  <c r="T63" i="43"/>
  <c r="T48" i="43"/>
  <c r="I63" i="47"/>
  <c r="I42" i="47"/>
  <c r="Z64" i="43"/>
  <c r="Z65" i="43" s="1"/>
  <c r="AA64" i="43"/>
  <c r="AA65" i="43" s="1"/>
  <c r="U48" i="43"/>
  <c r="U63" i="43"/>
  <c r="S63" i="47"/>
  <c r="S42" i="47"/>
  <c r="U46" i="43"/>
  <c r="U67" i="43"/>
  <c r="Y48" i="43"/>
  <c r="Y63" i="43"/>
  <c r="K63" i="47"/>
  <c r="K42" i="47"/>
  <c r="Y46" i="43"/>
  <c r="Y67" i="43"/>
  <c r="P64" i="43"/>
  <c r="P65" i="43" s="1"/>
  <c r="O64" i="43"/>
  <c r="O65" i="43" s="1"/>
  <c r="N64" i="43"/>
  <c r="N65" i="43" s="1"/>
  <c r="M64" i="43"/>
  <c r="M65" i="43" s="1"/>
  <c r="K64" i="43"/>
  <c r="K65" i="43" s="1"/>
  <c r="I64" i="43"/>
  <c r="I65" i="43" s="1"/>
  <c r="H46" i="41"/>
  <c r="G6" i="33"/>
  <c r="U64" i="43" l="1"/>
  <c r="U65" i="43" s="1"/>
  <c r="T64" i="43"/>
  <c r="T65" i="43" s="1"/>
  <c r="Y64" i="43"/>
  <c r="Y65" i="43" s="1"/>
  <c r="Q64" i="43"/>
  <c r="Q65" i="43" s="1"/>
  <c r="N84" i="52"/>
  <c r="M84" i="52"/>
  <c r="L83" i="52"/>
  <c r="L82" i="52"/>
  <c r="L81" i="52"/>
  <c r="K84" i="52"/>
  <c r="J49" i="8" s="1"/>
  <c r="N69" i="52"/>
  <c r="N70" i="52" s="1"/>
  <c r="M69" i="52"/>
  <c r="M70" i="52" s="1"/>
  <c r="L68" i="52"/>
  <c r="L67" i="52"/>
  <c r="L66" i="52"/>
  <c r="K69" i="52"/>
  <c r="N60" i="52"/>
  <c r="M60" i="52"/>
  <c r="L59" i="52"/>
  <c r="L58" i="52"/>
  <c r="L57" i="52"/>
  <c r="L56" i="52"/>
  <c r="L55" i="52"/>
  <c r="K60" i="52"/>
  <c r="J40" i="8" s="1"/>
  <c r="N49" i="52"/>
  <c r="M49" i="52"/>
  <c r="V48" i="52"/>
  <c r="Q48" i="52"/>
  <c r="L48" i="52"/>
  <c r="V47" i="52"/>
  <c r="W47" i="52" s="1"/>
  <c r="Q47" i="52"/>
  <c r="P47" i="52"/>
  <c r="L47" i="52"/>
  <c r="V46" i="52"/>
  <c r="W46" i="52" s="1"/>
  <c r="Q46" i="52"/>
  <c r="P46" i="52"/>
  <c r="L46" i="52"/>
  <c r="V45" i="52"/>
  <c r="W45" i="52" s="1"/>
  <c r="Q45" i="52"/>
  <c r="P45" i="52"/>
  <c r="L45" i="52"/>
  <c r="V44" i="52"/>
  <c r="W44" i="52" s="1"/>
  <c r="Q44" i="52"/>
  <c r="P44" i="52"/>
  <c r="L44" i="52"/>
  <c r="V43" i="52"/>
  <c r="W43" i="52" s="1"/>
  <c r="Q43" i="52"/>
  <c r="P43" i="52"/>
  <c r="L43" i="52"/>
  <c r="V42" i="52"/>
  <c r="W42" i="52" s="1"/>
  <c r="Q42" i="52"/>
  <c r="P42" i="52"/>
  <c r="L42" i="52"/>
  <c r="V41" i="52"/>
  <c r="W41" i="52" s="1"/>
  <c r="Q41" i="52"/>
  <c r="P41" i="52"/>
  <c r="L41" i="52"/>
  <c r="V40" i="52"/>
  <c r="W40" i="52" s="1"/>
  <c r="Q40" i="52"/>
  <c r="P40" i="52"/>
  <c r="L40" i="52"/>
  <c r="V39" i="52"/>
  <c r="W39" i="52" s="1"/>
  <c r="Q39" i="52"/>
  <c r="P39" i="52"/>
  <c r="L39" i="52"/>
  <c r="V38" i="52"/>
  <c r="W38" i="52" s="1"/>
  <c r="Q38" i="52"/>
  <c r="P38" i="52"/>
  <c r="L38" i="52"/>
  <c r="V37" i="52"/>
  <c r="W37" i="52" s="1"/>
  <c r="Q37" i="52"/>
  <c r="P37" i="52"/>
  <c r="L37" i="52"/>
  <c r="V36" i="52"/>
  <c r="W36" i="52" s="1"/>
  <c r="Q36" i="52"/>
  <c r="P36" i="52"/>
  <c r="L36" i="52"/>
  <c r="V35" i="52"/>
  <c r="W35" i="52" s="1"/>
  <c r="Q35" i="52"/>
  <c r="P35" i="52"/>
  <c r="L35" i="52"/>
  <c r="V34" i="52"/>
  <c r="W34" i="52" s="1"/>
  <c r="Q34" i="52"/>
  <c r="P34" i="52"/>
  <c r="L34" i="52"/>
  <c r="V33" i="52"/>
  <c r="W33" i="52" s="1"/>
  <c r="Q33" i="52"/>
  <c r="P33" i="52"/>
  <c r="L33" i="52"/>
  <c r="V32" i="52"/>
  <c r="W32" i="52" s="1"/>
  <c r="Q32" i="52"/>
  <c r="P32" i="52"/>
  <c r="L32" i="52"/>
  <c r="V31" i="52"/>
  <c r="W31" i="52" s="1"/>
  <c r="Q31" i="52"/>
  <c r="P31" i="52"/>
  <c r="L31" i="52"/>
  <c r="V30" i="52"/>
  <c r="W30" i="52" s="1"/>
  <c r="Q30" i="52"/>
  <c r="P30" i="52"/>
  <c r="L30" i="52"/>
  <c r="V29" i="52"/>
  <c r="W29" i="52" s="1"/>
  <c r="Q29" i="52"/>
  <c r="P29" i="52"/>
  <c r="L29" i="52"/>
  <c r="V28" i="52"/>
  <c r="W28" i="52" s="1"/>
  <c r="Q28" i="52"/>
  <c r="P28" i="52"/>
  <c r="L28" i="52"/>
  <c r="V27" i="52"/>
  <c r="W27" i="52" s="1"/>
  <c r="Q27" i="52"/>
  <c r="P27" i="52"/>
  <c r="L27" i="52"/>
  <c r="V26" i="52"/>
  <c r="W26" i="52" s="1"/>
  <c r="Q26" i="52"/>
  <c r="P26" i="52"/>
  <c r="L26" i="52"/>
  <c r="V25" i="52"/>
  <c r="W25" i="52" s="1"/>
  <c r="Q25" i="52"/>
  <c r="P25" i="52"/>
  <c r="L25" i="52"/>
  <c r="V24" i="52"/>
  <c r="W24" i="52" s="1"/>
  <c r="Q24" i="52"/>
  <c r="P24" i="52"/>
  <c r="L24" i="52"/>
  <c r="V23" i="52"/>
  <c r="W23" i="52" s="1"/>
  <c r="Q23" i="52"/>
  <c r="P23" i="52"/>
  <c r="L23" i="52"/>
  <c r="V22" i="52"/>
  <c r="W22" i="52" s="1"/>
  <c r="Q22" i="52"/>
  <c r="P22" i="52"/>
  <c r="L22" i="52"/>
  <c r="V21" i="52"/>
  <c r="W21" i="52" s="1"/>
  <c r="Q21" i="52"/>
  <c r="P21" i="52"/>
  <c r="L21" i="52"/>
  <c r="V20" i="52"/>
  <c r="W20" i="52" s="1"/>
  <c r="Q20" i="52"/>
  <c r="P20" i="52"/>
  <c r="L20" i="52"/>
  <c r="V19" i="52"/>
  <c r="W19" i="52" s="1"/>
  <c r="Q19" i="52"/>
  <c r="P19" i="52"/>
  <c r="L19" i="52"/>
  <c r="V18" i="52"/>
  <c r="W18" i="52" s="1"/>
  <c r="Q18" i="52"/>
  <c r="P18" i="52"/>
  <c r="L18" i="52"/>
  <c r="V17" i="52"/>
  <c r="W17" i="52" s="1"/>
  <c r="Q17" i="52"/>
  <c r="P17" i="52"/>
  <c r="L17" i="52"/>
  <c r="V16" i="52"/>
  <c r="W16" i="52" s="1"/>
  <c r="Q16" i="52"/>
  <c r="P16" i="52"/>
  <c r="L16" i="52"/>
  <c r="V15" i="52"/>
  <c r="W15" i="52" s="1"/>
  <c r="Q15" i="52"/>
  <c r="P15" i="52"/>
  <c r="L15" i="52"/>
  <c r="V14" i="52"/>
  <c r="W14" i="52" s="1"/>
  <c r="Q14" i="52"/>
  <c r="P14" i="52"/>
  <c r="L14" i="52"/>
  <c r="V13" i="52"/>
  <c r="W13" i="52" s="1"/>
  <c r="Q13" i="52"/>
  <c r="P13" i="52"/>
  <c r="L13" i="52"/>
  <c r="V12" i="52"/>
  <c r="W12" i="52" s="1"/>
  <c r="Q12" i="52"/>
  <c r="P12" i="52"/>
  <c r="L12" i="52"/>
  <c r="V11" i="52"/>
  <c r="W11" i="52" s="1"/>
  <c r="Q11" i="52"/>
  <c r="P11" i="52"/>
  <c r="L11" i="52"/>
  <c r="V10" i="52"/>
  <c r="W10" i="52" s="1"/>
  <c r="Q10" i="52"/>
  <c r="P10" i="52"/>
  <c r="L10" i="52"/>
  <c r="V9" i="52"/>
  <c r="W9" i="52" s="1"/>
  <c r="Q9" i="52"/>
  <c r="P9" i="52"/>
  <c r="L9" i="52"/>
  <c r="V8" i="52"/>
  <c r="W8" i="52" s="1"/>
  <c r="Q8" i="52"/>
  <c r="P8" i="52"/>
  <c r="L8" i="52"/>
  <c r="P7" i="52"/>
  <c r="P2" i="52"/>
  <c r="H16" i="51"/>
  <c r="H17" i="51" s="1"/>
  <c r="H21" i="51" s="1"/>
  <c r="N84" i="50"/>
  <c r="M84" i="50"/>
  <c r="L83" i="50"/>
  <c r="L82" i="50"/>
  <c r="K84" i="50"/>
  <c r="I49" i="8" s="1"/>
  <c r="N69" i="50"/>
  <c r="N70" i="50" s="1"/>
  <c r="M69" i="50"/>
  <c r="M70" i="50" s="1"/>
  <c r="L68" i="50"/>
  <c r="L67" i="50"/>
  <c r="K69" i="50"/>
  <c r="N60" i="50"/>
  <c r="M60" i="50"/>
  <c r="L59" i="50"/>
  <c r="L58" i="50"/>
  <c r="L57" i="50"/>
  <c r="L56" i="50"/>
  <c r="K60" i="50"/>
  <c r="I40" i="8" s="1"/>
  <c r="N49" i="50"/>
  <c r="M49" i="50"/>
  <c r="V48" i="50"/>
  <c r="Q48" i="50"/>
  <c r="V47" i="50"/>
  <c r="Q47" i="50"/>
  <c r="P47" i="50"/>
  <c r="V46" i="50"/>
  <c r="Q46" i="50"/>
  <c r="P46" i="50"/>
  <c r="V45" i="50"/>
  <c r="Q45" i="50"/>
  <c r="P45" i="50"/>
  <c r="V44" i="50"/>
  <c r="Q44" i="50"/>
  <c r="P44" i="50"/>
  <c r="V43" i="50"/>
  <c r="Q43" i="50"/>
  <c r="P43" i="50"/>
  <c r="V42" i="50"/>
  <c r="Q42" i="50"/>
  <c r="P42" i="50"/>
  <c r="V41" i="50"/>
  <c r="Q41" i="50"/>
  <c r="P41" i="50"/>
  <c r="V40" i="50"/>
  <c r="Q40" i="50"/>
  <c r="P40" i="50"/>
  <c r="V39" i="50"/>
  <c r="Q39" i="50"/>
  <c r="P39" i="50"/>
  <c r="V38" i="50"/>
  <c r="Q38" i="50"/>
  <c r="P38" i="50"/>
  <c r="V37" i="50"/>
  <c r="Q37" i="50"/>
  <c r="P37" i="50"/>
  <c r="V36" i="50"/>
  <c r="Q36" i="50"/>
  <c r="P36" i="50"/>
  <c r="V35" i="50"/>
  <c r="Q35" i="50"/>
  <c r="P35" i="50"/>
  <c r="V34" i="50"/>
  <c r="Q34" i="50"/>
  <c r="P34" i="50"/>
  <c r="V33" i="50"/>
  <c r="Q33" i="50"/>
  <c r="P33" i="50"/>
  <c r="V32" i="50"/>
  <c r="Q32" i="50"/>
  <c r="P32" i="50"/>
  <c r="V31" i="50"/>
  <c r="Q31" i="50"/>
  <c r="P31" i="50"/>
  <c r="V30" i="50"/>
  <c r="Q30" i="50"/>
  <c r="P30" i="50"/>
  <c r="V29" i="50"/>
  <c r="Q29" i="50"/>
  <c r="P29" i="50"/>
  <c r="V28" i="50"/>
  <c r="Q28" i="50"/>
  <c r="P28" i="50"/>
  <c r="V27" i="50"/>
  <c r="Q27" i="50"/>
  <c r="P27" i="50"/>
  <c r="V26" i="50"/>
  <c r="Q26" i="50"/>
  <c r="P26" i="50"/>
  <c r="V25" i="50"/>
  <c r="Q25" i="50"/>
  <c r="P25" i="50"/>
  <c r="V24" i="50"/>
  <c r="Q24" i="50"/>
  <c r="P24" i="50"/>
  <c r="V23" i="50"/>
  <c r="Q23" i="50"/>
  <c r="P23" i="50"/>
  <c r="V22" i="50"/>
  <c r="Q22" i="50"/>
  <c r="P22" i="50"/>
  <c r="V21" i="50"/>
  <c r="Q21" i="50"/>
  <c r="P21" i="50"/>
  <c r="V20" i="50"/>
  <c r="Q20" i="50"/>
  <c r="P20" i="50"/>
  <c r="V19" i="50"/>
  <c r="Q19" i="50"/>
  <c r="P19" i="50"/>
  <c r="V18" i="50"/>
  <c r="Q18" i="50"/>
  <c r="P18" i="50"/>
  <c r="V17" i="50"/>
  <c r="Q17" i="50"/>
  <c r="P17" i="50"/>
  <c r="V16" i="50"/>
  <c r="Q16" i="50"/>
  <c r="P16" i="50"/>
  <c r="V15" i="50"/>
  <c r="Q15" i="50"/>
  <c r="P15" i="50"/>
  <c r="V14" i="50"/>
  <c r="Q14" i="50"/>
  <c r="P14" i="50"/>
  <c r="V13" i="50"/>
  <c r="Q13" i="50"/>
  <c r="P13" i="50"/>
  <c r="V12" i="50"/>
  <c r="Q12" i="50"/>
  <c r="P12" i="50"/>
  <c r="V11" i="50"/>
  <c r="Q11" i="50"/>
  <c r="P11" i="50"/>
  <c r="V10" i="50"/>
  <c r="Q10" i="50"/>
  <c r="P10" i="50"/>
  <c r="V9" i="50"/>
  <c r="Q9" i="50"/>
  <c r="P9" i="50"/>
  <c r="V8" i="50"/>
  <c r="Q8" i="50"/>
  <c r="P8" i="50"/>
  <c r="L8" i="50"/>
  <c r="P7" i="50"/>
  <c r="P2" i="50"/>
  <c r="G44" i="49"/>
  <c r="L84" i="52" l="1"/>
  <c r="L69" i="52"/>
  <c r="L60" i="52"/>
  <c r="L49" i="52"/>
  <c r="K49" i="52"/>
  <c r="J36" i="8" s="1"/>
  <c r="W48" i="52"/>
  <c r="W8" i="50"/>
  <c r="L9" i="50"/>
  <c r="W9" i="50"/>
  <c r="L10" i="50"/>
  <c r="W10" i="50"/>
  <c r="L11" i="50"/>
  <c r="W11" i="50"/>
  <c r="L12" i="50"/>
  <c r="W12" i="50"/>
  <c r="L13" i="50"/>
  <c r="W13" i="50"/>
  <c r="L14" i="50"/>
  <c r="W14" i="50"/>
  <c r="L15" i="50"/>
  <c r="W15" i="50"/>
  <c r="L16" i="50"/>
  <c r="W16" i="50"/>
  <c r="W17" i="50"/>
  <c r="W18" i="50"/>
  <c r="W19" i="50"/>
  <c r="L20" i="50"/>
  <c r="W20" i="50"/>
  <c r="L21" i="50"/>
  <c r="W21" i="50"/>
  <c r="L22" i="50"/>
  <c r="W22" i="50"/>
  <c r="L23" i="50"/>
  <c r="W23" i="50"/>
  <c r="L24" i="50"/>
  <c r="W24" i="50"/>
  <c r="L25" i="50"/>
  <c r="W25" i="50"/>
  <c r="L26" i="50"/>
  <c r="W26" i="50"/>
  <c r="L27" i="50"/>
  <c r="W27" i="50"/>
  <c r="L28" i="50"/>
  <c r="W28" i="50"/>
  <c r="L29" i="50"/>
  <c r="W29" i="50"/>
  <c r="L30" i="50"/>
  <c r="W30" i="50"/>
  <c r="L31" i="50"/>
  <c r="W31" i="50"/>
  <c r="L32" i="50"/>
  <c r="W32" i="50"/>
  <c r="L33" i="50"/>
  <c r="W33" i="50"/>
  <c r="L34" i="50"/>
  <c r="W34" i="50"/>
  <c r="L35" i="50"/>
  <c r="W35" i="50"/>
  <c r="L36" i="50"/>
  <c r="W36" i="50"/>
  <c r="L37" i="50"/>
  <c r="W37" i="50"/>
  <c r="L38" i="50"/>
  <c r="W38" i="50"/>
  <c r="L39" i="50"/>
  <c r="W39" i="50"/>
  <c r="L40" i="50"/>
  <c r="W40" i="50"/>
  <c r="L41" i="50"/>
  <c r="W41" i="50"/>
  <c r="L42" i="50"/>
  <c r="W42" i="50"/>
  <c r="L43" i="50"/>
  <c r="W43" i="50"/>
  <c r="L44" i="50"/>
  <c r="W44" i="50"/>
  <c r="L45" i="50"/>
  <c r="W45" i="50"/>
  <c r="L46" i="50"/>
  <c r="W46" i="50"/>
  <c r="L47" i="50"/>
  <c r="W47" i="50"/>
  <c r="L48" i="50"/>
  <c r="K49" i="50"/>
  <c r="I36" i="8" s="1"/>
  <c r="L55" i="50"/>
  <c r="L60" i="50" s="1"/>
  <c r="L66" i="50"/>
  <c r="L69" i="50" s="1"/>
  <c r="L81" i="50"/>
  <c r="L84" i="50" s="1"/>
  <c r="W48" i="50"/>
  <c r="N84" i="48"/>
  <c r="M84" i="48"/>
  <c r="L83" i="48"/>
  <c r="L82" i="48"/>
  <c r="L81" i="48"/>
  <c r="K84" i="48"/>
  <c r="H49" i="8" s="1"/>
  <c r="N69" i="48"/>
  <c r="N70" i="48" s="1"/>
  <c r="M69" i="48"/>
  <c r="M70" i="48" s="1"/>
  <c r="L68" i="48"/>
  <c r="L67" i="48"/>
  <c r="L66" i="48"/>
  <c r="K69" i="48"/>
  <c r="N60" i="48"/>
  <c r="M60" i="48"/>
  <c r="L59" i="48"/>
  <c r="L58" i="48"/>
  <c r="L57" i="48"/>
  <c r="L56" i="48"/>
  <c r="K60" i="48"/>
  <c r="H40" i="8" s="1"/>
  <c r="N49" i="48"/>
  <c r="M49" i="48"/>
  <c r="V48" i="48"/>
  <c r="Q48" i="48"/>
  <c r="L48" i="48"/>
  <c r="V47" i="48"/>
  <c r="W47" i="48" s="1"/>
  <c r="Q47" i="48"/>
  <c r="P47" i="48"/>
  <c r="L47" i="48"/>
  <c r="V46" i="48"/>
  <c r="W46" i="48" s="1"/>
  <c r="Q46" i="48"/>
  <c r="P46" i="48"/>
  <c r="L46" i="48"/>
  <c r="V45" i="48"/>
  <c r="W45" i="48" s="1"/>
  <c r="Q45" i="48"/>
  <c r="P45" i="48"/>
  <c r="L45" i="48"/>
  <c r="V44" i="48"/>
  <c r="W44" i="48" s="1"/>
  <c r="Q44" i="48"/>
  <c r="P44" i="48"/>
  <c r="L44" i="48"/>
  <c r="V43" i="48"/>
  <c r="W43" i="48" s="1"/>
  <c r="Q43" i="48"/>
  <c r="P43" i="48"/>
  <c r="L43" i="48"/>
  <c r="V42" i="48"/>
  <c r="W42" i="48" s="1"/>
  <c r="Q42" i="48"/>
  <c r="P42" i="48"/>
  <c r="L42" i="48"/>
  <c r="V41" i="48"/>
  <c r="W41" i="48" s="1"/>
  <c r="Q41" i="48"/>
  <c r="P41" i="48"/>
  <c r="L41" i="48"/>
  <c r="V40" i="48"/>
  <c r="W40" i="48" s="1"/>
  <c r="Q40" i="48"/>
  <c r="P40" i="48"/>
  <c r="L40" i="48"/>
  <c r="V39" i="48"/>
  <c r="W39" i="48" s="1"/>
  <c r="Q39" i="48"/>
  <c r="P39" i="48"/>
  <c r="L39" i="48"/>
  <c r="V38" i="48"/>
  <c r="W38" i="48" s="1"/>
  <c r="Q38" i="48"/>
  <c r="P38" i="48"/>
  <c r="L38" i="48"/>
  <c r="V37" i="48"/>
  <c r="W37" i="48" s="1"/>
  <c r="Q37" i="48"/>
  <c r="P37" i="48"/>
  <c r="L37" i="48"/>
  <c r="V36" i="48"/>
  <c r="W36" i="48" s="1"/>
  <c r="Q36" i="48"/>
  <c r="P36" i="48"/>
  <c r="L36" i="48"/>
  <c r="V35" i="48"/>
  <c r="W35" i="48" s="1"/>
  <c r="Q35" i="48"/>
  <c r="P35" i="48"/>
  <c r="L35" i="48"/>
  <c r="V34" i="48"/>
  <c r="W34" i="48" s="1"/>
  <c r="Q34" i="48"/>
  <c r="P34" i="48"/>
  <c r="L34" i="48"/>
  <c r="V33" i="48"/>
  <c r="W33" i="48" s="1"/>
  <c r="Q33" i="48"/>
  <c r="P33" i="48"/>
  <c r="L33" i="48"/>
  <c r="V32" i="48"/>
  <c r="W32" i="48" s="1"/>
  <c r="Q32" i="48"/>
  <c r="P32" i="48"/>
  <c r="L32" i="48"/>
  <c r="V31" i="48"/>
  <c r="W31" i="48" s="1"/>
  <c r="Q31" i="48"/>
  <c r="P31" i="48"/>
  <c r="L31" i="48"/>
  <c r="V30" i="48"/>
  <c r="W30" i="48" s="1"/>
  <c r="Q30" i="48"/>
  <c r="P30" i="48"/>
  <c r="L30" i="48"/>
  <c r="V29" i="48"/>
  <c r="W29" i="48" s="1"/>
  <c r="Q29" i="48"/>
  <c r="P29" i="48"/>
  <c r="L29" i="48"/>
  <c r="V28" i="48"/>
  <c r="W28" i="48" s="1"/>
  <c r="Q28" i="48"/>
  <c r="P28" i="48"/>
  <c r="L28" i="48"/>
  <c r="V27" i="48"/>
  <c r="W27" i="48" s="1"/>
  <c r="Q27" i="48"/>
  <c r="P27" i="48"/>
  <c r="L27" i="48"/>
  <c r="V26" i="48"/>
  <c r="W26" i="48" s="1"/>
  <c r="Q26" i="48"/>
  <c r="P26" i="48"/>
  <c r="L26" i="48"/>
  <c r="V25" i="48"/>
  <c r="W25" i="48" s="1"/>
  <c r="Q25" i="48"/>
  <c r="P25" i="48"/>
  <c r="L25" i="48"/>
  <c r="V24" i="48"/>
  <c r="W24" i="48" s="1"/>
  <c r="Q24" i="48"/>
  <c r="P24" i="48"/>
  <c r="L24" i="48"/>
  <c r="V23" i="48"/>
  <c r="W23" i="48" s="1"/>
  <c r="Q23" i="48"/>
  <c r="P23" i="48"/>
  <c r="L23" i="48"/>
  <c r="V22" i="48"/>
  <c r="W22" i="48" s="1"/>
  <c r="Q22" i="48"/>
  <c r="P22" i="48"/>
  <c r="L22" i="48"/>
  <c r="V21" i="48"/>
  <c r="W21" i="48" s="1"/>
  <c r="Q21" i="48"/>
  <c r="P21" i="48"/>
  <c r="L21" i="48"/>
  <c r="V20" i="48"/>
  <c r="W20" i="48" s="1"/>
  <c r="Q20" i="48"/>
  <c r="P20" i="48"/>
  <c r="L20" i="48"/>
  <c r="V19" i="48"/>
  <c r="W19" i="48" s="1"/>
  <c r="Q19" i="48"/>
  <c r="P19" i="48"/>
  <c r="L19" i="48"/>
  <c r="V18" i="48"/>
  <c r="W18" i="48" s="1"/>
  <c r="Q18" i="48"/>
  <c r="P18" i="48"/>
  <c r="L18" i="48"/>
  <c r="V17" i="48"/>
  <c r="W17" i="48" s="1"/>
  <c r="Q17" i="48"/>
  <c r="P17" i="48"/>
  <c r="L17" i="48"/>
  <c r="V16" i="48"/>
  <c r="W16" i="48" s="1"/>
  <c r="Q16" i="48"/>
  <c r="P16" i="48"/>
  <c r="L16" i="48"/>
  <c r="V15" i="48"/>
  <c r="W15" i="48" s="1"/>
  <c r="Q15" i="48"/>
  <c r="P15" i="48"/>
  <c r="L15" i="48"/>
  <c r="V14" i="48"/>
  <c r="W14" i="48" s="1"/>
  <c r="Q14" i="48"/>
  <c r="P14" i="48"/>
  <c r="L14" i="48"/>
  <c r="V13" i="48"/>
  <c r="W13" i="48" s="1"/>
  <c r="Q13" i="48"/>
  <c r="P13" i="48"/>
  <c r="L13" i="48"/>
  <c r="V12" i="48"/>
  <c r="W12" i="48" s="1"/>
  <c r="Q12" i="48"/>
  <c r="P12" i="48"/>
  <c r="L12" i="48"/>
  <c r="V11" i="48"/>
  <c r="W11" i="48" s="1"/>
  <c r="Q11" i="48"/>
  <c r="P11" i="48"/>
  <c r="L11" i="48"/>
  <c r="V10" i="48"/>
  <c r="W10" i="48" s="1"/>
  <c r="Q10" i="48"/>
  <c r="P10" i="48"/>
  <c r="L10" i="48"/>
  <c r="V9" i="48"/>
  <c r="W9" i="48" s="1"/>
  <c r="Q9" i="48"/>
  <c r="P9" i="48"/>
  <c r="L9" i="48"/>
  <c r="V8" i="48"/>
  <c r="W8" i="48" s="1"/>
  <c r="Q8" i="48"/>
  <c r="P8" i="48"/>
  <c r="L8" i="48"/>
  <c r="P7" i="48"/>
  <c r="P2" i="48"/>
  <c r="L69" i="48" l="1"/>
  <c r="L84" i="48"/>
  <c r="L49" i="50"/>
  <c r="L55" i="48"/>
  <c r="L60" i="48" s="1"/>
  <c r="L49" i="48"/>
  <c r="K49" i="48"/>
  <c r="H36" i="8" s="1"/>
  <c r="W48" i="48"/>
  <c r="N144" i="44" l="1"/>
  <c r="M144" i="44"/>
  <c r="L143" i="44"/>
  <c r="L142" i="44"/>
  <c r="K144" i="44"/>
  <c r="F49" i="8" s="1"/>
  <c r="N129" i="44"/>
  <c r="N130" i="44" s="1"/>
  <c r="M129" i="44"/>
  <c r="M130" i="44" s="1"/>
  <c r="L128" i="44"/>
  <c r="L127" i="44"/>
  <c r="K129" i="44"/>
  <c r="N120" i="44"/>
  <c r="M120" i="44"/>
  <c r="L119" i="44"/>
  <c r="L118" i="44"/>
  <c r="L117" i="44"/>
  <c r="L116" i="44"/>
  <c r="N109" i="44"/>
  <c r="M109" i="44"/>
  <c r="V108" i="44"/>
  <c r="W108" i="44" s="1"/>
  <c r="Q108" i="44"/>
  <c r="V107" i="44"/>
  <c r="Q107" i="44"/>
  <c r="P107" i="44"/>
  <c r="L107" i="44"/>
  <c r="V106" i="44"/>
  <c r="Q106" i="44"/>
  <c r="P106" i="44"/>
  <c r="L106" i="44"/>
  <c r="V105" i="44"/>
  <c r="Q105" i="44"/>
  <c r="P105" i="44"/>
  <c r="L105" i="44"/>
  <c r="V104" i="44"/>
  <c r="Q104" i="44"/>
  <c r="P104" i="44"/>
  <c r="L104" i="44"/>
  <c r="V103" i="44"/>
  <c r="Q103" i="44"/>
  <c r="P103" i="44"/>
  <c r="L103" i="44"/>
  <c r="V102" i="44"/>
  <c r="Q102" i="44"/>
  <c r="P102" i="44"/>
  <c r="L102" i="44"/>
  <c r="V101" i="44"/>
  <c r="Q101" i="44"/>
  <c r="P101" i="44"/>
  <c r="L101" i="44"/>
  <c r="V100" i="44"/>
  <c r="Q100" i="44"/>
  <c r="P100" i="44"/>
  <c r="L100" i="44"/>
  <c r="V99" i="44"/>
  <c r="Q99" i="44"/>
  <c r="P99" i="44"/>
  <c r="L99" i="44"/>
  <c r="V98" i="44"/>
  <c r="Q98" i="44"/>
  <c r="P98" i="44"/>
  <c r="L98" i="44"/>
  <c r="V97" i="44"/>
  <c r="Q97" i="44"/>
  <c r="P97" i="44"/>
  <c r="L97" i="44"/>
  <c r="V96" i="44"/>
  <c r="Q96" i="44"/>
  <c r="P96" i="44"/>
  <c r="L96" i="44"/>
  <c r="V95" i="44"/>
  <c r="Q95" i="44"/>
  <c r="P95" i="44"/>
  <c r="L95" i="44"/>
  <c r="V94" i="44"/>
  <c r="Q94" i="44"/>
  <c r="P94" i="44"/>
  <c r="L94" i="44"/>
  <c r="V93" i="44"/>
  <c r="Q93" i="44"/>
  <c r="P93" i="44"/>
  <c r="L93" i="44"/>
  <c r="V92" i="44"/>
  <c r="Q92" i="44"/>
  <c r="P92" i="44"/>
  <c r="L92" i="44"/>
  <c r="V91" i="44"/>
  <c r="Q91" i="44"/>
  <c r="P91" i="44"/>
  <c r="L91" i="44"/>
  <c r="V90" i="44"/>
  <c r="Q90" i="44"/>
  <c r="P90" i="44"/>
  <c r="L90" i="44"/>
  <c r="V89" i="44"/>
  <c r="Q89" i="44"/>
  <c r="P89" i="44"/>
  <c r="L89" i="44"/>
  <c r="V88" i="44"/>
  <c r="Q88" i="44"/>
  <c r="P88" i="44"/>
  <c r="L88" i="44"/>
  <c r="V87" i="44"/>
  <c r="Q87" i="44"/>
  <c r="P87" i="44"/>
  <c r="L87" i="44"/>
  <c r="V86" i="44"/>
  <c r="Q86" i="44"/>
  <c r="P86" i="44"/>
  <c r="L86" i="44"/>
  <c r="V85" i="44"/>
  <c r="Q85" i="44"/>
  <c r="P85" i="44"/>
  <c r="L85" i="44"/>
  <c r="V84" i="44"/>
  <c r="Q84" i="44"/>
  <c r="P84" i="44"/>
  <c r="L84" i="44"/>
  <c r="V83" i="44"/>
  <c r="Q83" i="44"/>
  <c r="P83" i="44"/>
  <c r="L83" i="44"/>
  <c r="V82" i="44"/>
  <c r="Q82" i="44"/>
  <c r="P82" i="44"/>
  <c r="L82" i="44"/>
  <c r="V81" i="44"/>
  <c r="Q81" i="44"/>
  <c r="P81" i="44"/>
  <c r="L81" i="44"/>
  <c r="V80" i="44"/>
  <c r="Q80" i="44"/>
  <c r="P80" i="44"/>
  <c r="L80" i="44"/>
  <c r="V79" i="44"/>
  <c r="Q79" i="44"/>
  <c r="P79" i="44"/>
  <c r="L79" i="44"/>
  <c r="V78" i="44"/>
  <c r="Q78" i="44"/>
  <c r="P78" i="44"/>
  <c r="L78" i="44"/>
  <c r="V77" i="44"/>
  <c r="Q77" i="44"/>
  <c r="P77" i="44"/>
  <c r="L77" i="44"/>
  <c r="V76" i="44"/>
  <c r="Q76" i="44"/>
  <c r="P76" i="44"/>
  <c r="L76" i="44"/>
  <c r="V75" i="44"/>
  <c r="Q75" i="44"/>
  <c r="P75" i="44"/>
  <c r="L75" i="44"/>
  <c r="V74" i="44"/>
  <c r="Q74" i="44"/>
  <c r="P74" i="44"/>
  <c r="L74" i="44"/>
  <c r="V73" i="44"/>
  <c r="Q73" i="44"/>
  <c r="P73" i="44"/>
  <c r="L73" i="44"/>
  <c r="V72" i="44"/>
  <c r="Q72" i="44"/>
  <c r="P72" i="44"/>
  <c r="L72" i="44"/>
  <c r="V71" i="44"/>
  <c r="Q71" i="44"/>
  <c r="P71" i="44"/>
  <c r="L71" i="44"/>
  <c r="V70" i="44"/>
  <c r="Q70" i="44"/>
  <c r="P70" i="44"/>
  <c r="L70" i="44"/>
  <c r="V69" i="44"/>
  <c r="Q69" i="44"/>
  <c r="P69" i="44"/>
  <c r="L69" i="44"/>
  <c r="V68" i="44"/>
  <c r="Q68" i="44"/>
  <c r="P68" i="44"/>
  <c r="L68" i="44"/>
  <c r="V67" i="44"/>
  <c r="Q67" i="44"/>
  <c r="P67" i="44"/>
  <c r="L67" i="44"/>
  <c r="V66" i="44"/>
  <c r="Q66" i="44"/>
  <c r="P66" i="44"/>
  <c r="L66" i="44"/>
  <c r="V65" i="44"/>
  <c r="Q65" i="44"/>
  <c r="P65" i="44"/>
  <c r="L65" i="44"/>
  <c r="V64" i="44"/>
  <c r="Q64" i="44"/>
  <c r="P64" i="44"/>
  <c r="L64" i="44"/>
  <c r="V63" i="44"/>
  <c r="Q63" i="44"/>
  <c r="P63" i="44"/>
  <c r="L63" i="44"/>
  <c r="V62" i="44"/>
  <c r="Q62" i="44"/>
  <c r="P62" i="44"/>
  <c r="L62" i="44"/>
  <c r="V61" i="44"/>
  <c r="Q61" i="44"/>
  <c r="P61" i="44"/>
  <c r="L61" i="44"/>
  <c r="V60" i="44"/>
  <c r="Q60" i="44"/>
  <c r="P60" i="44"/>
  <c r="L60" i="44"/>
  <c r="V59" i="44"/>
  <c r="Q59" i="44"/>
  <c r="P59" i="44"/>
  <c r="L59" i="44"/>
  <c r="V58" i="44"/>
  <c r="Q58" i="44"/>
  <c r="P58" i="44"/>
  <c r="L58" i="44"/>
  <c r="V57" i="44"/>
  <c r="Q57" i="44"/>
  <c r="P57" i="44"/>
  <c r="L57" i="44"/>
  <c r="V56" i="44"/>
  <c r="Q56" i="44"/>
  <c r="P56" i="44"/>
  <c r="L56" i="44"/>
  <c r="V55" i="44"/>
  <c r="Q55" i="44"/>
  <c r="P55" i="44"/>
  <c r="L55" i="44"/>
  <c r="V54" i="44"/>
  <c r="Q54" i="44"/>
  <c r="P54" i="44"/>
  <c r="L54" i="44"/>
  <c r="V53" i="44"/>
  <c r="Q53" i="44"/>
  <c r="P53" i="44"/>
  <c r="L53" i="44"/>
  <c r="V52" i="44"/>
  <c r="Q52" i="44"/>
  <c r="P52" i="44"/>
  <c r="L52" i="44"/>
  <c r="V51" i="44"/>
  <c r="Q51" i="44"/>
  <c r="P51" i="44"/>
  <c r="L51" i="44"/>
  <c r="V50" i="44"/>
  <c r="Q50" i="44"/>
  <c r="P50" i="44"/>
  <c r="L50" i="44"/>
  <c r="V49" i="44"/>
  <c r="Q49" i="44"/>
  <c r="P49" i="44"/>
  <c r="L49" i="44"/>
  <c r="V48" i="44"/>
  <c r="Q48" i="44"/>
  <c r="P48" i="44"/>
  <c r="L48" i="44"/>
  <c r="V47" i="44"/>
  <c r="Q47" i="44"/>
  <c r="P47" i="44"/>
  <c r="L47" i="44"/>
  <c r="V46" i="44"/>
  <c r="Q46" i="44"/>
  <c r="P46" i="44"/>
  <c r="L46" i="44"/>
  <c r="V45" i="44"/>
  <c r="Q45" i="44"/>
  <c r="P45" i="44"/>
  <c r="L45" i="44"/>
  <c r="V44" i="44"/>
  <c r="Q44" i="44"/>
  <c r="P44" i="44"/>
  <c r="L44" i="44"/>
  <c r="V43" i="44"/>
  <c r="Q43" i="44"/>
  <c r="P43" i="44"/>
  <c r="L43" i="44"/>
  <c r="V42" i="44"/>
  <c r="Q42" i="44"/>
  <c r="P42" i="44"/>
  <c r="L42" i="44"/>
  <c r="V41" i="44"/>
  <c r="Q41" i="44"/>
  <c r="P41" i="44"/>
  <c r="L41" i="44"/>
  <c r="V40" i="44"/>
  <c r="Q40" i="44"/>
  <c r="P40" i="44"/>
  <c r="L40" i="44"/>
  <c r="V39" i="44"/>
  <c r="Q39" i="44"/>
  <c r="P39" i="44"/>
  <c r="L39" i="44"/>
  <c r="V38" i="44"/>
  <c r="Q38" i="44"/>
  <c r="P38" i="44"/>
  <c r="L38" i="44"/>
  <c r="V37" i="44"/>
  <c r="Q37" i="44"/>
  <c r="P37" i="44"/>
  <c r="L37" i="44"/>
  <c r="V36" i="44"/>
  <c r="Q36" i="44"/>
  <c r="P36" i="44"/>
  <c r="L36" i="44"/>
  <c r="V35" i="44"/>
  <c r="Q35" i="44"/>
  <c r="P35" i="44"/>
  <c r="V34" i="44"/>
  <c r="Q34" i="44"/>
  <c r="P34" i="44"/>
  <c r="V33" i="44"/>
  <c r="Q33" i="44"/>
  <c r="P33" i="44"/>
  <c r="V32" i="44"/>
  <c r="Q32" i="44"/>
  <c r="P32" i="44"/>
  <c r="V31" i="44"/>
  <c r="Q31" i="44"/>
  <c r="P31" i="44"/>
  <c r="V30" i="44"/>
  <c r="Q30" i="44"/>
  <c r="P30" i="44"/>
  <c r="V29" i="44"/>
  <c r="Q29" i="44"/>
  <c r="P29" i="44"/>
  <c r="V28" i="44"/>
  <c r="Q28" i="44"/>
  <c r="P28" i="44"/>
  <c r="V27" i="44"/>
  <c r="Q27" i="44"/>
  <c r="P27" i="44"/>
  <c r="V26" i="44"/>
  <c r="Q26" i="44"/>
  <c r="P26" i="44"/>
  <c r="V25" i="44"/>
  <c r="Q25" i="44"/>
  <c r="P25" i="44"/>
  <c r="V24" i="44"/>
  <c r="Q24" i="44"/>
  <c r="P24" i="44"/>
  <c r="V23" i="44"/>
  <c r="Q23" i="44"/>
  <c r="P23" i="44"/>
  <c r="V22" i="44"/>
  <c r="Q22" i="44"/>
  <c r="P22" i="44"/>
  <c r="V21" i="44"/>
  <c r="Q21" i="44"/>
  <c r="P21" i="44"/>
  <c r="V20" i="44"/>
  <c r="Q20" i="44"/>
  <c r="P20" i="44"/>
  <c r="V19" i="44"/>
  <c r="Q19" i="44"/>
  <c r="P19" i="44"/>
  <c r="V18" i="44"/>
  <c r="Q18" i="44"/>
  <c r="P18" i="44"/>
  <c r="V17" i="44"/>
  <c r="Q17" i="44"/>
  <c r="P17" i="44"/>
  <c r="V16" i="44"/>
  <c r="Q16" i="44"/>
  <c r="P16" i="44"/>
  <c r="V15" i="44"/>
  <c r="Q15" i="44"/>
  <c r="P15" i="44"/>
  <c r="V14" i="44"/>
  <c r="Q14" i="44"/>
  <c r="P14" i="44"/>
  <c r="V13" i="44"/>
  <c r="Q13" i="44"/>
  <c r="P13" i="44"/>
  <c r="V12" i="44"/>
  <c r="Q12" i="44"/>
  <c r="P12" i="44"/>
  <c r="V11" i="44"/>
  <c r="Q11" i="44"/>
  <c r="P11" i="44"/>
  <c r="V10" i="44"/>
  <c r="Q10" i="44"/>
  <c r="P10" i="44"/>
  <c r="V9" i="44"/>
  <c r="Q9" i="44"/>
  <c r="P9" i="44"/>
  <c r="V8" i="44"/>
  <c r="Q8" i="44"/>
  <c r="P8" i="44"/>
  <c r="K109" i="44"/>
  <c r="F36" i="8" s="1"/>
  <c r="P7" i="44"/>
  <c r="P2" i="44"/>
  <c r="P2" i="40"/>
  <c r="N84" i="46"/>
  <c r="M84" i="46"/>
  <c r="L83" i="46"/>
  <c r="L82" i="46"/>
  <c r="K84" i="46"/>
  <c r="G49" i="8" s="1"/>
  <c r="N69" i="46"/>
  <c r="N70" i="46" s="1"/>
  <c r="M69" i="46"/>
  <c r="M70" i="46" s="1"/>
  <c r="L68" i="46"/>
  <c r="L67" i="46"/>
  <c r="K69" i="46"/>
  <c r="N60" i="46"/>
  <c r="M60" i="46"/>
  <c r="L59" i="46"/>
  <c r="L58" i="46"/>
  <c r="L57" i="46"/>
  <c r="L56" i="46"/>
  <c r="K60" i="46"/>
  <c r="G40" i="8" s="1"/>
  <c r="M49" i="46"/>
  <c r="V48" i="46"/>
  <c r="W48" i="46" s="1"/>
  <c r="Q48" i="46"/>
  <c r="V47" i="46"/>
  <c r="Q47" i="46"/>
  <c r="P47" i="46"/>
  <c r="V46" i="46"/>
  <c r="Q46" i="46"/>
  <c r="P46" i="46"/>
  <c r="V45" i="46"/>
  <c r="Q45" i="46"/>
  <c r="P45" i="46"/>
  <c r="V44" i="46"/>
  <c r="Q44" i="46"/>
  <c r="P44" i="46"/>
  <c r="V43" i="46"/>
  <c r="Q43" i="46"/>
  <c r="P43" i="46"/>
  <c r="V42" i="46"/>
  <c r="Q42" i="46"/>
  <c r="P42" i="46"/>
  <c r="V41" i="46"/>
  <c r="Q41" i="46"/>
  <c r="P41" i="46"/>
  <c r="V40" i="46"/>
  <c r="Q40" i="46"/>
  <c r="P40" i="46"/>
  <c r="V39" i="46"/>
  <c r="Q39" i="46"/>
  <c r="P39" i="46"/>
  <c r="V38" i="46"/>
  <c r="Q38" i="46"/>
  <c r="P38" i="46"/>
  <c r="V37" i="46"/>
  <c r="Q37" i="46"/>
  <c r="P37" i="46"/>
  <c r="V36" i="46"/>
  <c r="Q36" i="46"/>
  <c r="P36" i="46"/>
  <c r="V35" i="46"/>
  <c r="Q35" i="46"/>
  <c r="P35" i="46"/>
  <c r="V34" i="46"/>
  <c r="Q34" i="46"/>
  <c r="P34" i="46"/>
  <c r="V33" i="46"/>
  <c r="Q33" i="46"/>
  <c r="P33" i="46"/>
  <c r="V32" i="46"/>
  <c r="Q32" i="46"/>
  <c r="P32" i="46"/>
  <c r="V31" i="46"/>
  <c r="Q31" i="46"/>
  <c r="P31" i="46"/>
  <c r="V30" i="46"/>
  <c r="Q30" i="46"/>
  <c r="P30" i="46"/>
  <c r="V29" i="46"/>
  <c r="Q29" i="46"/>
  <c r="P29" i="46"/>
  <c r="V28" i="46"/>
  <c r="Q28" i="46"/>
  <c r="P28" i="46"/>
  <c r="V27" i="46"/>
  <c r="Q27" i="46"/>
  <c r="P27" i="46"/>
  <c r="V26" i="46"/>
  <c r="Q26" i="46"/>
  <c r="P26" i="46"/>
  <c r="V25" i="46"/>
  <c r="Q25" i="46"/>
  <c r="P25" i="46"/>
  <c r="V24" i="46"/>
  <c r="Q24" i="46"/>
  <c r="P24" i="46"/>
  <c r="V23" i="46"/>
  <c r="Q23" i="46"/>
  <c r="P23" i="46"/>
  <c r="V22" i="46"/>
  <c r="Q22" i="46"/>
  <c r="P22" i="46"/>
  <c r="V21" i="46"/>
  <c r="Q21" i="46"/>
  <c r="P21" i="46"/>
  <c r="V20" i="46"/>
  <c r="Q20" i="46"/>
  <c r="P20" i="46"/>
  <c r="V19" i="46"/>
  <c r="Q19" i="46"/>
  <c r="P19" i="46"/>
  <c r="V18" i="46"/>
  <c r="Q18" i="46"/>
  <c r="P18" i="46"/>
  <c r="L18" i="46"/>
  <c r="V17" i="46"/>
  <c r="W17" i="46" s="1"/>
  <c r="Q17" i="46"/>
  <c r="P17" i="46"/>
  <c r="V16" i="46"/>
  <c r="Q16" i="46"/>
  <c r="P16" i="46"/>
  <c r="L16" i="46"/>
  <c r="V15" i="46"/>
  <c r="W15" i="46" s="1"/>
  <c r="Q15" i="46"/>
  <c r="P15" i="46"/>
  <c r="V14" i="46"/>
  <c r="Q14" i="46"/>
  <c r="P14" i="46"/>
  <c r="L14" i="46"/>
  <c r="V13" i="46"/>
  <c r="W13" i="46" s="1"/>
  <c r="Q13" i="46"/>
  <c r="P13" i="46"/>
  <c r="V12" i="46"/>
  <c r="Q12" i="46"/>
  <c r="P12" i="46"/>
  <c r="L12" i="46"/>
  <c r="V11" i="46"/>
  <c r="W11" i="46" s="1"/>
  <c r="Q11" i="46"/>
  <c r="P11" i="46"/>
  <c r="V10" i="46"/>
  <c r="Q10" i="46"/>
  <c r="P10" i="46"/>
  <c r="L10" i="46"/>
  <c r="V9" i="46"/>
  <c r="W9" i="46" s="1"/>
  <c r="Q9" i="46"/>
  <c r="P9" i="46"/>
  <c r="V8" i="46"/>
  <c r="Q8" i="46"/>
  <c r="P8" i="46"/>
  <c r="P7" i="46"/>
  <c r="P2" i="46"/>
  <c r="W36" i="44" l="1"/>
  <c r="W38" i="44"/>
  <c r="W40" i="44"/>
  <c r="W42" i="44"/>
  <c r="W44" i="44"/>
  <c r="W46" i="44"/>
  <c r="W48" i="44"/>
  <c r="W50" i="44"/>
  <c r="W52" i="44"/>
  <c r="W54" i="44"/>
  <c r="W56" i="44"/>
  <c r="W58" i="44"/>
  <c r="W60" i="44"/>
  <c r="W62" i="44"/>
  <c r="W64" i="44"/>
  <c r="W66" i="44"/>
  <c r="W68" i="44"/>
  <c r="W70" i="44"/>
  <c r="W72" i="44"/>
  <c r="W74" i="44"/>
  <c r="W76" i="44"/>
  <c r="W78" i="44"/>
  <c r="W80" i="44"/>
  <c r="W82" i="44"/>
  <c r="W84" i="44"/>
  <c r="W86" i="44"/>
  <c r="W88" i="44"/>
  <c r="W90" i="44"/>
  <c r="W92" i="44"/>
  <c r="W94" i="44"/>
  <c r="W96" i="44"/>
  <c r="W98" i="44"/>
  <c r="W100" i="44"/>
  <c r="W102" i="44"/>
  <c r="W104" i="44"/>
  <c r="W106" i="44"/>
  <c r="K120" i="44"/>
  <c r="F40" i="8" s="1"/>
  <c r="L115" i="44"/>
  <c r="L120" i="44" s="1"/>
  <c r="L8" i="44"/>
  <c r="W8" i="44"/>
  <c r="L9" i="44"/>
  <c r="W9" i="44"/>
  <c r="L10" i="44"/>
  <c r="W10" i="44"/>
  <c r="L11" i="44"/>
  <c r="W11" i="44"/>
  <c r="L12" i="44"/>
  <c r="W12" i="44"/>
  <c r="L13" i="44"/>
  <c r="W13" i="44"/>
  <c r="L14" i="44"/>
  <c r="W14" i="44"/>
  <c r="L15" i="44"/>
  <c r="W15" i="44"/>
  <c r="L16" i="44"/>
  <c r="W16" i="44"/>
  <c r="L17" i="44"/>
  <c r="W17" i="44"/>
  <c r="L18" i="44"/>
  <c r="W18" i="44"/>
  <c r="L19" i="44"/>
  <c r="W19" i="44"/>
  <c r="L20" i="44"/>
  <c r="W20" i="44"/>
  <c r="L21" i="44"/>
  <c r="W21" i="44"/>
  <c r="L22" i="44"/>
  <c r="W22" i="44"/>
  <c r="L23" i="44"/>
  <c r="W23" i="44"/>
  <c r="L24" i="44"/>
  <c r="W24" i="44"/>
  <c r="L25" i="44"/>
  <c r="W25" i="44"/>
  <c r="L26" i="44"/>
  <c r="W26" i="44"/>
  <c r="L27" i="44"/>
  <c r="W27" i="44"/>
  <c r="L28" i="44"/>
  <c r="W28" i="44"/>
  <c r="L29" i="44"/>
  <c r="W29" i="44"/>
  <c r="L30" i="44"/>
  <c r="W30" i="44"/>
  <c r="L31" i="44"/>
  <c r="W31" i="44"/>
  <c r="L32" i="44"/>
  <c r="W32" i="44"/>
  <c r="L33" i="44"/>
  <c r="W33" i="44"/>
  <c r="L34" i="44"/>
  <c r="W34" i="44"/>
  <c r="L35" i="44"/>
  <c r="W35" i="44"/>
  <c r="W37" i="44"/>
  <c r="W39" i="44"/>
  <c r="W41" i="44"/>
  <c r="W43" i="44"/>
  <c r="W45" i="44"/>
  <c r="W47" i="44"/>
  <c r="W49" i="44"/>
  <c r="W51" i="44"/>
  <c r="W53" i="44"/>
  <c r="W55" i="44"/>
  <c r="W57" i="44"/>
  <c r="W59" i="44"/>
  <c r="W61" i="44"/>
  <c r="W63" i="44"/>
  <c r="W65" i="44"/>
  <c r="W67" i="44"/>
  <c r="W69" i="44"/>
  <c r="W71" i="44"/>
  <c r="W73" i="44"/>
  <c r="W75" i="44"/>
  <c r="W77" i="44"/>
  <c r="W79" i="44"/>
  <c r="W81" i="44"/>
  <c r="W83" i="44"/>
  <c r="W85" i="44"/>
  <c r="W87" i="44"/>
  <c r="W89" i="44"/>
  <c r="W91" i="44"/>
  <c r="W93" i="44"/>
  <c r="W95" i="44"/>
  <c r="W97" i="44"/>
  <c r="W99" i="44"/>
  <c r="W101" i="44"/>
  <c r="W103" i="44"/>
  <c r="W105" i="44"/>
  <c r="W107" i="44"/>
  <c r="L108" i="44"/>
  <c r="L126" i="44"/>
  <c r="L129" i="44" s="1"/>
  <c r="L141" i="44"/>
  <c r="K49" i="46"/>
  <c r="G36" i="8" s="1"/>
  <c r="W8" i="46"/>
  <c r="L9" i="46"/>
  <c r="W10" i="46"/>
  <c r="L11" i="46"/>
  <c r="W12" i="46"/>
  <c r="L13" i="46"/>
  <c r="W14" i="46"/>
  <c r="L15" i="46"/>
  <c r="W16" i="46"/>
  <c r="L17" i="46"/>
  <c r="W18" i="46"/>
  <c r="L19" i="46"/>
  <c r="W19" i="46"/>
  <c r="L20" i="46"/>
  <c r="W20" i="46"/>
  <c r="L21" i="46"/>
  <c r="W21" i="46"/>
  <c r="L22" i="46"/>
  <c r="W22" i="46"/>
  <c r="L23" i="46"/>
  <c r="W23" i="46"/>
  <c r="L24" i="46"/>
  <c r="W24" i="46"/>
  <c r="L25" i="46"/>
  <c r="W25" i="46"/>
  <c r="L26" i="46"/>
  <c r="W26" i="46"/>
  <c r="L27" i="46"/>
  <c r="W27" i="46"/>
  <c r="L28" i="46"/>
  <c r="W28" i="46"/>
  <c r="L29" i="46"/>
  <c r="W29" i="46"/>
  <c r="L30" i="46"/>
  <c r="W30" i="46"/>
  <c r="L31" i="46"/>
  <c r="W31" i="46"/>
  <c r="L32" i="46"/>
  <c r="W32" i="46"/>
  <c r="L33" i="46"/>
  <c r="W33" i="46"/>
  <c r="L34" i="46"/>
  <c r="W34" i="46"/>
  <c r="L35" i="46"/>
  <c r="W35" i="46"/>
  <c r="L36" i="46"/>
  <c r="W36" i="46"/>
  <c r="L37" i="46"/>
  <c r="W37" i="46"/>
  <c r="L38" i="46"/>
  <c r="W38" i="46"/>
  <c r="L39" i="46"/>
  <c r="W39" i="46"/>
  <c r="L40" i="46"/>
  <c r="W40" i="46"/>
  <c r="L41" i="46"/>
  <c r="W41" i="46"/>
  <c r="L42" i="46"/>
  <c r="W42" i="46"/>
  <c r="L43" i="46"/>
  <c r="W43" i="46"/>
  <c r="L44" i="46"/>
  <c r="W44" i="46"/>
  <c r="L45" i="46"/>
  <c r="W45" i="46"/>
  <c r="L46" i="46"/>
  <c r="W46" i="46"/>
  <c r="L47" i="46"/>
  <c r="W47" i="46"/>
  <c r="L48" i="46"/>
  <c r="L55" i="46"/>
  <c r="L60" i="46" s="1"/>
  <c r="L66" i="46"/>
  <c r="L69" i="46" s="1"/>
  <c r="L81" i="46"/>
  <c r="L84" i="46" s="1"/>
  <c r="N84" i="42"/>
  <c r="M84" i="42"/>
  <c r="L83" i="42"/>
  <c r="L82" i="42"/>
  <c r="K84" i="42"/>
  <c r="E49" i="8" s="1"/>
  <c r="N69" i="42"/>
  <c r="N70" i="42" s="1"/>
  <c r="M69" i="42"/>
  <c r="M70" i="42" s="1"/>
  <c r="L68" i="42"/>
  <c r="L67" i="42"/>
  <c r="K69" i="42"/>
  <c r="N60" i="42"/>
  <c r="M60" i="42"/>
  <c r="L59" i="42"/>
  <c r="L58" i="42"/>
  <c r="L57" i="42"/>
  <c r="L56" i="42"/>
  <c r="E40" i="8"/>
  <c r="M49" i="42"/>
  <c r="V48" i="42"/>
  <c r="W48" i="42" s="1"/>
  <c r="Q48" i="42"/>
  <c r="L48" i="42"/>
  <c r="V47" i="42"/>
  <c r="W47" i="42" s="1"/>
  <c r="Q47" i="42"/>
  <c r="P47" i="42"/>
  <c r="V46" i="42"/>
  <c r="W46" i="42" s="1"/>
  <c r="Q46" i="42"/>
  <c r="P46" i="42"/>
  <c r="L46" i="42"/>
  <c r="V45" i="42"/>
  <c r="W45" i="42" s="1"/>
  <c r="Q45" i="42"/>
  <c r="P45" i="42"/>
  <c r="V44" i="42"/>
  <c r="W44" i="42" s="1"/>
  <c r="Q44" i="42"/>
  <c r="P44" i="42"/>
  <c r="L44" i="42"/>
  <c r="V43" i="42"/>
  <c r="W43" i="42" s="1"/>
  <c r="Q43" i="42"/>
  <c r="P43" i="42"/>
  <c r="V42" i="42"/>
  <c r="W42" i="42" s="1"/>
  <c r="Q42" i="42"/>
  <c r="P42" i="42"/>
  <c r="L42" i="42"/>
  <c r="V41" i="42"/>
  <c r="W41" i="42" s="1"/>
  <c r="Q41" i="42"/>
  <c r="P41" i="42"/>
  <c r="V40" i="42"/>
  <c r="W40" i="42" s="1"/>
  <c r="Q40" i="42"/>
  <c r="P40" i="42"/>
  <c r="L40" i="42"/>
  <c r="V39" i="42"/>
  <c r="W39" i="42" s="1"/>
  <c r="Q39" i="42"/>
  <c r="P39" i="42"/>
  <c r="V38" i="42"/>
  <c r="W38" i="42" s="1"/>
  <c r="Q38" i="42"/>
  <c r="P38" i="42"/>
  <c r="L38" i="42"/>
  <c r="V37" i="42"/>
  <c r="W37" i="42" s="1"/>
  <c r="Q37" i="42"/>
  <c r="P37" i="42"/>
  <c r="V36" i="42"/>
  <c r="W36" i="42" s="1"/>
  <c r="Q36" i="42"/>
  <c r="P36" i="42"/>
  <c r="L36" i="42"/>
  <c r="V35" i="42"/>
  <c r="W35" i="42" s="1"/>
  <c r="Q35" i="42"/>
  <c r="P35" i="42"/>
  <c r="V34" i="42"/>
  <c r="W34" i="42" s="1"/>
  <c r="Q34" i="42"/>
  <c r="P34" i="42"/>
  <c r="L34" i="42"/>
  <c r="V33" i="42"/>
  <c r="W33" i="42" s="1"/>
  <c r="Q33" i="42"/>
  <c r="P33" i="42"/>
  <c r="V32" i="42"/>
  <c r="W32" i="42" s="1"/>
  <c r="Q32" i="42"/>
  <c r="P32" i="42"/>
  <c r="L32" i="42"/>
  <c r="V31" i="42"/>
  <c r="W31" i="42" s="1"/>
  <c r="Q31" i="42"/>
  <c r="P31" i="42"/>
  <c r="V30" i="42"/>
  <c r="W30" i="42" s="1"/>
  <c r="Q30" i="42"/>
  <c r="P30" i="42"/>
  <c r="L30" i="42"/>
  <c r="V29" i="42"/>
  <c r="W29" i="42" s="1"/>
  <c r="Q29" i="42"/>
  <c r="P29" i="42"/>
  <c r="V28" i="42"/>
  <c r="W28" i="42" s="1"/>
  <c r="Q28" i="42"/>
  <c r="P28" i="42"/>
  <c r="L28" i="42"/>
  <c r="V27" i="42"/>
  <c r="W27" i="42" s="1"/>
  <c r="Q27" i="42"/>
  <c r="P27" i="42"/>
  <c r="V26" i="42"/>
  <c r="W26" i="42" s="1"/>
  <c r="Q26" i="42"/>
  <c r="P26" i="42"/>
  <c r="L26" i="42"/>
  <c r="V25" i="42"/>
  <c r="W25" i="42" s="1"/>
  <c r="Q25" i="42"/>
  <c r="P25" i="42"/>
  <c r="V24" i="42"/>
  <c r="W24" i="42" s="1"/>
  <c r="Q24" i="42"/>
  <c r="P24" i="42"/>
  <c r="L24" i="42"/>
  <c r="V23" i="42"/>
  <c r="W23" i="42" s="1"/>
  <c r="Q23" i="42"/>
  <c r="P23" i="42"/>
  <c r="V22" i="42"/>
  <c r="W22" i="42" s="1"/>
  <c r="Q22" i="42"/>
  <c r="P22" i="42"/>
  <c r="L22" i="42"/>
  <c r="V21" i="42"/>
  <c r="W21" i="42" s="1"/>
  <c r="Q21" i="42"/>
  <c r="P21" i="42"/>
  <c r="V20" i="42"/>
  <c r="W20" i="42" s="1"/>
  <c r="Q20" i="42"/>
  <c r="P20" i="42"/>
  <c r="L20" i="42"/>
  <c r="V19" i="42"/>
  <c r="W19" i="42" s="1"/>
  <c r="Q19" i="42"/>
  <c r="P19" i="42"/>
  <c r="V18" i="42"/>
  <c r="W18" i="42" s="1"/>
  <c r="Q18" i="42"/>
  <c r="P18" i="42"/>
  <c r="L18" i="42"/>
  <c r="V17" i="42"/>
  <c r="W17" i="42" s="1"/>
  <c r="Q17" i="42"/>
  <c r="P17" i="42"/>
  <c r="V16" i="42"/>
  <c r="W16" i="42" s="1"/>
  <c r="Q16" i="42"/>
  <c r="P16" i="42"/>
  <c r="L16" i="42"/>
  <c r="V15" i="42"/>
  <c r="W15" i="42" s="1"/>
  <c r="Q15" i="42"/>
  <c r="P15" i="42"/>
  <c r="V14" i="42"/>
  <c r="W14" i="42" s="1"/>
  <c r="Q14" i="42"/>
  <c r="P14" i="42"/>
  <c r="L14" i="42"/>
  <c r="V13" i="42"/>
  <c r="W13" i="42" s="1"/>
  <c r="Q13" i="42"/>
  <c r="P13" i="42"/>
  <c r="V12" i="42"/>
  <c r="W12" i="42" s="1"/>
  <c r="Q12" i="42"/>
  <c r="P12" i="42"/>
  <c r="L12" i="42"/>
  <c r="V11" i="42"/>
  <c r="W11" i="42" s="1"/>
  <c r="Q11" i="42"/>
  <c r="P11" i="42"/>
  <c r="V10" i="42"/>
  <c r="W10" i="42" s="1"/>
  <c r="Q10" i="42"/>
  <c r="P10" i="42"/>
  <c r="V9" i="42"/>
  <c r="W9" i="42" s="1"/>
  <c r="Q9" i="42"/>
  <c r="P9" i="42"/>
  <c r="V8" i="42"/>
  <c r="W8" i="42" s="1"/>
  <c r="Q8" i="42"/>
  <c r="P8" i="42"/>
  <c r="P7" i="42"/>
  <c r="P2" i="42"/>
  <c r="L94" i="38"/>
  <c r="L93" i="38"/>
  <c r="L92" i="38"/>
  <c r="L91" i="38"/>
  <c r="L90" i="38"/>
  <c r="L89" i="38"/>
  <c r="L88" i="38"/>
  <c r="L87" i="38"/>
  <c r="L86" i="38"/>
  <c r="L85" i="38"/>
  <c r="L81" i="38"/>
  <c r="L80" i="38"/>
  <c r="L79" i="38"/>
  <c r="L78" i="38"/>
  <c r="L77" i="38"/>
  <c r="L76" i="38"/>
  <c r="L75" i="38"/>
  <c r="L74" i="38"/>
  <c r="L73" i="38"/>
  <c r="L72" i="38"/>
  <c r="L68" i="38"/>
  <c r="L67" i="38"/>
  <c r="L66" i="38"/>
  <c r="L65" i="38"/>
  <c r="L64" i="38"/>
  <c r="L63" i="38"/>
  <c r="L62" i="38"/>
  <c r="L61" i="38"/>
  <c r="L60" i="38"/>
  <c r="L59" i="38"/>
  <c r="L55" i="38"/>
  <c r="L54" i="38"/>
  <c r="L53" i="38"/>
  <c r="L52" i="38"/>
  <c r="L51" i="38"/>
  <c r="L50" i="38"/>
  <c r="L49" i="38"/>
  <c r="L48" i="38"/>
  <c r="L47" i="38"/>
  <c r="L42" i="38"/>
  <c r="L41" i="38"/>
  <c r="L40" i="38"/>
  <c r="L39" i="38"/>
  <c r="L38" i="38"/>
  <c r="L37" i="38"/>
  <c r="L36" i="38"/>
  <c r="L35" i="38"/>
  <c r="L34" i="38"/>
  <c r="L29" i="38"/>
  <c r="L28" i="38"/>
  <c r="L27" i="38"/>
  <c r="L26" i="38"/>
  <c r="L25" i="38"/>
  <c r="L24" i="38"/>
  <c r="L23" i="38"/>
  <c r="L22" i="38"/>
  <c r="L21" i="38"/>
  <c r="L16" i="38"/>
  <c r="L15" i="38"/>
  <c r="L14" i="38"/>
  <c r="L13" i="38"/>
  <c r="L12" i="38"/>
  <c r="L11" i="38"/>
  <c r="L10" i="38"/>
  <c r="L9" i="38"/>
  <c r="L8" i="38"/>
  <c r="L143" i="40"/>
  <c r="L142" i="40"/>
  <c r="L141" i="40"/>
  <c r="L128" i="40"/>
  <c r="L127" i="40"/>
  <c r="L126" i="40"/>
  <c r="L116" i="40"/>
  <c r="L117" i="40"/>
  <c r="L118" i="40"/>
  <c r="L119" i="40"/>
  <c r="L108" i="40"/>
  <c r="N440" i="37"/>
  <c r="N439" i="37"/>
  <c r="N438" i="37"/>
  <c r="N437" i="37"/>
  <c r="N436" i="37"/>
  <c r="N435" i="37"/>
  <c r="N434" i="37"/>
  <c r="N433" i="37"/>
  <c r="N432" i="37"/>
  <c r="N431" i="37"/>
  <c r="N417" i="37"/>
  <c r="N416" i="37"/>
  <c r="N415" i="37"/>
  <c r="N414" i="37"/>
  <c r="N413" i="37"/>
  <c r="N412" i="37"/>
  <c r="N411" i="37"/>
  <c r="N410" i="37"/>
  <c r="N409" i="37"/>
  <c r="N408" i="37"/>
  <c r="N392" i="37"/>
  <c r="N391" i="37"/>
  <c r="N390" i="37"/>
  <c r="N389" i="37"/>
  <c r="N388" i="37"/>
  <c r="N387" i="37"/>
  <c r="N386" i="37"/>
  <c r="N385" i="37"/>
  <c r="N384" i="37"/>
  <c r="N383" i="37"/>
  <c r="N369" i="37"/>
  <c r="N368" i="37"/>
  <c r="N367" i="37"/>
  <c r="N366" i="37"/>
  <c r="N365" i="37"/>
  <c r="N364" i="37"/>
  <c r="N363" i="37"/>
  <c r="N362" i="37"/>
  <c r="N361" i="37"/>
  <c r="N360" i="37"/>
  <c r="V108" i="40"/>
  <c r="V9" i="40"/>
  <c r="V10" i="40"/>
  <c r="V11" i="40"/>
  <c r="V12" i="40"/>
  <c r="V15" i="40"/>
  <c r="V17" i="40"/>
  <c r="V20" i="40"/>
  <c r="V21" i="40"/>
  <c r="V22" i="40"/>
  <c r="V23" i="40"/>
  <c r="V24" i="40"/>
  <c r="V25" i="40"/>
  <c r="V26" i="40"/>
  <c r="V27" i="40"/>
  <c r="V28" i="40"/>
  <c r="V29" i="40"/>
  <c r="V30" i="40"/>
  <c r="V31" i="40"/>
  <c r="V32" i="40"/>
  <c r="V33" i="40"/>
  <c r="V34" i="40"/>
  <c r="V35" i="40"/>
  <c r="V36" i="40"/>
  <c r="V37" i="40"/>
  <c r="V38" i="40"/>
  <c r="V39" i="40"/>
  <c r="V40" i="40"/>
  <c r="V41" i="40"/>
  <c r="V42" i="40"/>
  <c r="V43" i="40"/>
  <c r="V44" i="40"/>
  <c r="V45" i="40"/>
  <c r="V46" i="40"/>
  <c r="V47" i="40"/>
  <c r="V48" i="40"/>
  <c r="V49" i="40"/>
  <c r="V50" i="40"/>
  <c r="V51" i="40"/>
  <c r="V52" i="40"/>
  <c r="V53" i="40"/>
  <c r="V54" i="40"/>
  <c r="V55" i="40"/>
  <c r="V56" i="40"/>
  <c r="V57" i="40"/>
  <c r="V58" i="40"/>
  <c r="V59" i="40"/>
  <c r="V60" i="40"/>
  <c r="V61" i="40"/>
  <c r="V62" i="40"/>
  <c r="V63" i="40"/>
  <c r="V64" i="40"/>
  <c r="V65" i="40"/>
  <c r="V66" i="40"/>
  <c r="V67" i="40"/>
  <c r="V68" i="40"/>
  <c r="V69" i="40"/>
  <c r="V70" i="40"/>
  <c r="V71" i="40"/>
  <c r="V72" i="40"/>
  <c r="V73" i="40"/>
  <c r="V74" i="40"/>
  <c r="V75" i="40"/>
  <c r="V76" i="40"/>
  <c r="V77" i="40"/>
  <c r="V78" i="40"/>
  <c r="V79" i="40"/>
  <c r="V80" i="40"/>
  <c r="V81" i="40"/>
  <c r="V82" i="40"/>
  <c r="V83" i="40"/>
  <c r="V84" i="40"/>
  <c r="V85" i="40"/>
  <c r="V86" i="40"/>
  <c r="V87" i="40"/>
  <c r="V88" i="40"/>
  <c r="V89" i="40"/>
  <c r="V90" i="40"/>
  <c r="V91" i="40"/>
  <c r="V92" i="40"/>
  <c r="V93" i="40"/>
  <c r="V94" i="40"/>
  <c r="V95" i="40"/>
  <c r="V96" i="40"/>
  <c r="V97" i="40"/>
  <c r="V98" i="40"/>
  <c r="V99" i="40"/>
  <c r="V100" i="40"/>
  <c r="V101" i="40"/>
  <c r="V102" i="40"/>
  <c r="V103" i="40"/>
  <c r="V104" i="40"/>
  <c r="V105" i="40"/>
  <c r="V106" i="40"/>
  <c r="V107" i="40"/>
  <c r="V8" i="40"/>
  <c r="Q4" i="55"/>
  <c r="Q5" i="55"/>
  <c r="B6" i="55"/>
  <c r="B8" i="55" s="1"/>
  <c r="B10" i="55" s="1"/>
  <c r="B12" i="55" s="1"/>
  <c r="B14" i="55" s="1"/>
  <c r="B16" i="55" s="1"/>
  <c r="B18" i="55" s="1"/>
  <c r="B20" i="55" s="1"/>
  <c r="B22" i="55" s="1"/>
  <c r="B24" i="55" s="1"/>
  <c r="B26" i="55" s="1"/>
  <c r="B28" i="55" s="1"/>
  <c r="B30" i="55" s="1"/>
  <c r="B32" i="55" s="1"/>
  <c r="B34" i="55" s="1"/>
  <c r="Q6" i="55"/>
  <c r="Q7" i="55"/>
  <c r="Q8" i="55"/>
  <c r="Q9" i="55"/>
  <c r="Q10" i="55"/>
  <c r="Q11" i="55"/>
  <c r="Q12" i="55"/>
  <c r="Q13" i="55"/>
  <c r="Q14" i="55"/>
  <c r="Q15" i="55"/>
  <c r="Q16" i="55"/>
  <c r="Q17" i="55"/>
  <c r="Q18" i="55"/>
  <c r="Q19" i="55"/>
  <c r="Q20" i="55"/>
  <c r="Q21" i="55"/>
  <c r="Q22" i="55"/>
  <c r="Q23" i="55"/>
  <c r="Q24" i="55"/>
  <c r="Q25" i="55"/>
  <c r="Q26" i="55"/>
  <c r="Q27" i="55"/>
  <c r="Q28" i="55"/>
  <c r="Q29" i="55"/>
  <c r="Q30" i="55"/>
  <c r="L144" i="40" l="1"/>
  <c r="L129" i="40"/>
  <c r="F11" i="8" s="1"/>
  <c r="L144" i="44"/>
  <c r="L109" i="44"/>
  <c r="N49" i="42"/>
  <c r="N49" i="46"/>
  <c r="L8" i="46"/>
  <c r="L49" i="46" s="1"/>
  <c r="L9" i="42"/>
  <c r="L10" i="42"/>
  <c r="L11" i="42"/>
  <c r="L13" i="42"/>
  <c r="L15" i="42"/>
  <c r="L17" i="42"/>
  <c r="L19" i="42"/>
  <c r="L21" i="42"/>
  <c r="L23" i="42"/>
  <c r="L25" i="42"/>
  <c r="L27" i="42"/>
  <c r="L29" i="42"/>
  <c r="L31" i="42"/>
  <c r="L33" i="42"/>
  <c r="L35" i="42"/>
  <c r="L37" i="42"/>
  <c r="L39" i="42"/>
  <c r="L41" i="42"/>
  <c r="L43" i="42"/>
  <c r="L45" i="42"/>
  <c r="L47" i="42"/>
  <c r="K49" i="42"/>
  <c r="E36" i="8" s="1"/>
  <c r="L55" i="42"/>
  <c r="L60" i="42" s="1"/>
  <c r="L66" i="42"/>
  <c r="L69" i="42" s="1"/>
  <c r="L81" i="42"/>
  <c r="L84" i="42" s="1"/>
  <c r="B6" i="54"/>
  <c r="B8" i="54" s="1"/>
  <c r="B10" i="54" s="1"/>
  <c r="B12" i="54" s="1"/>
  <c r="B14" i="54" s="1"/>
  <c r="B16" i="54" s="1"/>
  <c r="B18" i="54" s="1"/>
  <c r="B20" i="54" s="1"/>
  <c r="B22" i="54" s="1"/>
  <c r="B24" i="54" s="1"/>
  <c r="B26" i="54" s="1"/>
  <c r="B28" i="54" s="1"/>
  <c r="B30" i="54" s="1"/>
  <c r="G60" i="53"/>
  <c r="J9" i="39" s="1"/>
  <c r="H53" i="53"/>
  <c r="H52" i="53"/>
  <c r="H54" i="53" s="1"/>
  <c r="B6" i="53"/>
  <c r="B7" i="53" s="1"/>
  <c r="B8" i="53" s="1"/>
  <c r="B9" i="53" s="1"/>
  <c r="B12" i="53" s="1"/>
  <c r="B17" i="53" s="1"/>
  <c r="B18" i="53" s="1"/>
  <c r="B22" i="53" s="1"/>
  <c r="B23" i="53" s="1"/>
  <c r="B24" i="53" s="1"/>
  <c r="B25" i="53" s="1"/>
  <c r="B26" i="53" s="1"/>
  <c r="B29" i="53" s="1"/>
  <c r="B34" i="53" s="1"/>
  <c r="B35" i="53" s="1"/>
  <c r="B39" i="53" s="1"/>
  <c r="B40" i="53" s="1"/>
  <c r="B41" i="53" s="1"/>
  <c r="B42" i="53" s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s="1"/>
  <c r="H32" i="53"/>
  <c r="H33" i="53" s="1"/>
  <c r="H35" i="53" s="1"/>
  <c r="H15" i="53"/>
  <c r="H16" i="53" s="1"/>
  <c r="H18" i="53" s="1"/>
  <c r="H59" i="45"/>
  <c r="H58" i="45"/>
  <c r="H60" i="45" s="1"/>
  <c r="H55" i="47"/>
  <c r="H54" i="47"/>
  <c r="H56" i="47" s="1"/>
  <c r="G66" i="51"/>
  <c r="I9" i="39" s="1"/>
  <c r="H59" i="51"/>
  <c r="H61" i="51" s="1"/>
  <c r="H58" i="51"/>
  <c r="H60" i="51" s="1"/>
  <c r="H68" i="51"/>
  <c r="H36" i="51"/>
  <c r="H37" i="51" s="1"/>
  <c r="H41" i="51" s="1"/>
  <c r="H45" i="51" s="1"/>
  <c r="B6" i="51"/>
  <c r="B7" i="51" s="1"/>
  <c r="B8" i="51" s="1"/>
  <c r="B9" i="51" s="1"/>
  <c r="B13" i="51" s="1"/>
  <c r="B18" i="51" s="1"/>
  <c r="B19" i="51" s="1"/>
  <c r="B20" i="51" s="1"/>
  <c r="B21" i="51" s="1"/>
  <c r="B25" i="51" s="1"/>
  <c r="B26" i="51" s="1"/>
  <c r="B27" i="51" s="1"/>
  <c r="B28" i="51" s="1"/>
  <c r="B29" i="51" s="1"/>
  <c r="B33" i="51" s="1"/>
  <c r="B38" i="51" s="1"/>
  <c r="B39" i="51" s="1"/>
  <c r="B40" i="51" s="1"/>
  <c r="B41" i="51" s="1"/>
  <c r="B45" i="51" s="1"/>
  <c r="B46" i="51" s="1"/>
  <c r="B47" i="51" s="1"/>
  <c r="B48" i="51" s="1"/>
  <c r="B57" i="51" s="1"/>
  <c r="B58" i="51" s="1"/>
  <c r="B59" i="51" s="1"/>
  <c r="B60" i="51" s="1"/>
  <c r="B61" i="51" s="1"/>
  <c r="B62" i="51" s="1"/>
  <c r="B63" i="51" s="1"/>
  <c r="B64" i="51" s="1"/>
  <c r="B65" i="51" s="1"/>
  <c r="B66" i="51" s="1"/>
  <c r="B67" i="51" s="1"/>
  <c r="B68" i="51" s="1"/>
  <c r="H62" i="51" l="1"/>
  <c r="H64" i="51" s="1"/>
  <c r="H39" i="53"/>
  <c r="H40" i="53" s="1"/>
  <c r="H46" i="51"/>
  <c r="F19" i="8"/>
  <c r="H62" i="53"/>
  <c r="G62" i="53" s="1"/>
  <c r="J8" i="39" s="1"/>
  <c r="G68" i="51"/>
  <c r="I8" i="39" s="1"/>
  <c r="L8" i="42"/>
  <c r="L49" i="42" s="1"/>
  <c r="H9" i="39" l="1"/>
  <c r="G46" i="49"/>
  <c r="H8" i="39" s="1"/>
  <c r="G38" i="49"/>
  <c r="B35" i="49"/>
  <c r="B36" i="49" s="1"/>
  <c r="B37" i="49" s="1"/>
  <c r="B38" i="49" s="1"/>
  <c r="B39" i="49" s="1"/>
  <c r="B40" i="49" s="1"/>
  <c r="B41" i="49" s="1"/>
  <c r="B42" i="49" s="1"/>
  <c r="B43" i="49" s="1"/>
  <c r="B44" i="49" s="1"/>
  <c r="B45" i="49" s="1"/>
  <c r="B46" i="49" s="1"/>
  <c r="B86" i="35"/>
  <c r="C86" i="35" s="1"/>
  <c r="N15" i="49" s="1"/>
  <c r="G11" i="49" s="1"/>
  <c r="G12" i="49" s="1"/>
  <c r="B6" i="47"/>
  <c r="B7" i="47" s="1"/>
  <c r="B9" i="47" s="1"/>
  <c r="B10" i="47" s="1"/>
  <c r="B13" i="47" s="1"/>
  <c r="B18" i="47" s="1"/>
  <c r="B19" i="47" s="1"/>
  <c r="B23" i="47" s="1"/>
  <c r="B24" i="47" s="1"/>
  <c r="B25" i="47" s="1"/>
  <c r="B27" i="47" s="1"/>
  <c r="B28" i="47" s="1"/>
  <c r="B31" i="47" s="1"/>
  <c r="B36" i="47" s="1"/>
  <c r="B37" i="47" s="1"/>
  <c r="B41" i="47" s="1"/>
  <c r="B42" i="47" s="1"/>
  <c r="B43" i="47" s="1"/>
  <c r="B44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" i="45" l="1"/>
  <c r="B7" i="45" s="1"/>
  <c r="B9" i="45" s="1"/>
  <c r="B10" i="45" s="1"/>
  <c r="B11" i="45" s="1"/>
  <c r="B12" i="45" s="1"/>
  <c r="B15" i="45" s="1"/>
  <c r="B20" i="45" s="1"/>
  <c r="B21" i="45" s="1"/>
  <c r="B25" i="45" s="1"/>
  <c r="B26" i="45" s="1"/>
  <c r="B28" i="45" s="1"/>
  <c r="B29" i="45" s="1"/>
  <c r="B30" i="45" s="1"/>
  <c r="B31" i="45" s="1"/>
  <c r="H59" i="43"/>
  <c r="H58" i="43"/>
  <c r="H60" i="43" s="1"/>
  <c r="H57" i="43"/>
  <c r="B6" i="43"/>
  <c r="B7" i="43" s="1"/>
  <c r="B8" i="43" s="1"/>
  <c r="B9" i="43" s="1"/>
  <c r="B10" i="43" s="1"/>
  <c r="B12" i="43" s="1"/>
  <c r="B15" i="43" s="1"/>
  <c r="B20" i="43" s="1"/>
  <c r="B21" i="43" s="1"/>
  <c r="B25" i="43" s="1"/>
  <c r="B26" i="43" s="1"/>
  <c r="B27" i="43" s="1"/>
  <c r="B28" i="43" s="1"/>
  <c r="B29" i="43" s="1"/>
  <c r="B30" i="43" s="1"/>
  <c r="B32" i="43" s="1"/>
  <c r="B35" i="43" s="1"/>
  <c r="B40" i="43" s="1"/>
  <c r="B41" i="43" s="1"/>
  <c r="B45" i="43" s="1"/>
  <c r="B46" i="43" s="1"/>
  <c r="B47" i="43" s="1"/>
  <c r="B48" i="43" s="1"/>
  <c r="B57" i="43" s="1"/>
  <c r="B58" i="43" s="1"/>
  <c r="B59" i="43" s="1"/>
  <c r="B60" i="43" s="1"/>
  <c r="B61" i="43" s="1"/>
  <c r="B62" i="43" s="1"/>
  <c r="B63" i="43" s="1"/>
  <c r="B64" i="43" s="1"/>
  <c r="B65" i="43" s="1"/>
  <c r="B66" i="43" s="1"/>
  <c r="B67" i="43" s="1"/>
  <c r="B68" i="43" s="1"/>
  <c r="H61" i="43" l="1"/>
  <c r="H62" i="43" s="1"/>
  <c r="B39" i="45"/>
  <c r="B40" i="45" s="1"/>
  <c r="B41" i="45" s="1"/>
  <c r="B45" i="45" s="1"/>
  <c r="B46" i="45" s="1"/>
  <c r="B47" i="45" s="1"/>
  <c r="B48" i="45" s="1"/>
  <c r="B57" i="45" s="1"/>
  <c r="B58" i="45" s="1"/>
  <c r="B59" i="45" s="1"/>
  <c r="B60" i="45" s="1"/>
  <c r="B61" i="45" s="1"/>
  <c r="B62" i="45" s="1"/>
  <c r="B63" i="45" s="1"/>
  <c r="B64" i="45" s="1"/>
  <c r="B65" i="45" s="1"/>
  <c r="B66" i="45" s="1"/>
  <c r="B67" i="45" s="1"/>
  <c r="B68" i="45" s="1"/>
  <c r="B35" i="45"/>
  <c r="D16" i="39"/>
  <c r="M144" i="40"/>
  <c r="G19" i="8" s="1"/>
  <c r="O113" i="37"/>
  <c r="N112" i="37"/>
  <c r="N111" i="37"/>
  <c r="N110" i="37"/>
  <c r="N109" i="37"/>
  <c r="N108" i="37"/>
  <c r="N107" i="37"/>
  <c r="N106" i="37"/>
  <c r="N105" i="37"/>
  <c r="N104" i="37"/>
  <c r="N103" i="37"/>
  <c r="N102" i="37"/>
  <c r="N101" i="37"/>
  <c r="N100" i="37"/>
  <c r="N99" i="37"/>
  <c r="N98" i="37"/>
  <c r="N97" i="37"/>
  <c r="N96" i="37"/>
  <c r="N95" i="37"/>
  <c r="N94" i="37"/>
  <c r="N93" i="37"/>
  <c r="N92" i="37"/>
  <c r="N91" i="37"/>
  <c r="N90" i="37"/>
  <c r="N89" i="37"/>
  <c r="N88" i="37"/>
  <c r="N87" i="37"/>
  <c r="N86" i="37"/>
  <c r="N85" i="37"/>
  <c r="N84" i="37"/>
  <c r="N83" i="37"/>
  <c r="N19" i="37"/>
  <c r="N20" i="37"/>
  <c r="N21" i="37"/>
  <c r="N22" i="37"/>
  <c r="N23" i="37"/>
  <c r="N24" i="37"/>
  <c r="N25" i="37"/>
  <c r="N26" i="37"/>
  <c r="N27" i="37"/>
  <c r="N28" i="37"/>
  <c r="N29" i="37"/>
  <c r="N30" i="37"/>
  <c r="N31" i="37"/>
  <c r="N32" i="37"/>
  <c r="N33" i="37"/>
  <c r="N34" i="37"/>
  <c r="N35" i="37"/>
  <c r="N36" i="37"/>
  <c r="N37" i="37"/>
  <c r="N38" i="37"/>
  <c r="N39" i="37"/>
  <c r="N40" i="37"/>
  <c r="N41" i="37"/>
  <c r="N42" i="37"/>
  <c r="N43" i="37"/>
  <c r="N44" i="37"/>
  <c r="N45" i="37"/>
  <c r="N46" i="37"/>
  <c r="N47" i="37"/>
  <c r="N48" i="37"/>
  <c r="N49" i="37"/>
  <c r="N50" i="37"/>
  <c r="N51" i="37"/>
  <c r="N52" i="37"/>
  <c r="N53" i="37"/>
  <c r="N54" i="37"/>
  <c r="N55" i="37"/>
  <c r="N56" i="37"/>
  <c r="N57" i="37"/>
  <c r="N58" i="37"/>
  <c r="N59" i="37"/>
  <c r="Q78" i="40"/>
  <c r="Q79" i="40"/>
  <c r="Q80" i="40"/>
  <c r="Q81" i="40"/>
  <c r="Q82" i="40"/>
  <c r="Q83" i="40"/>
  <c r="Q84" i="40"/>
  <c r="Q85" i="40"/>
  <c r="Q86" i="40"/>
  <c r="Q87" i="40"/>
  <c r="Q88" i="40"/>
  <c r="Q89" i="40"/>
  <c r="Q90" i="40"/>
  <c r="Q91" i="40"/>
  <c r="Q92" i="40"/>
  <c r="Q93" i="40"/>
  <c r="Q94" i="40"/>
  <c r="Q95" i="40"/>
  <c r="Q96" i="40"/>
  <c r="Q97" i="40"/>
  <c r="Q98" i="40"/>
  <c r="Q99" i="40"/>
  <c r="Q100" i="40"/>
  <c r="Q101" i="40"/>
  <c r="Q102" i="40"/>
  <c r="Q103" i="40"/>
  <c r="Q104" i="40"/>
  <c r="Q105" i="40"/>
  <c r="Q106" i="40"/>
  <c r="Q107" i="40"/>
  <c r="Q76" i="40"/>
  <c r="Q77" i="40"/>
  <c r="P78" i="40"/>
  <c r="P79" i="40"/>
  <c r="P80" i="40"/>
  <c r="P81" i="40"/>
  <c r="P82" i="40"/>
  <c r="P83" i="40"/>
  <c r="P84" i="40"/>
  <c r="P85" i="40"/>
  <c r="P86" i="40"/>
  <c r="P87" i="40"/>
  <c r="P88" i="40"/>
  <c r="P89" i="40"/>
  <c r="P90" i="40"/>
  <c r="P91" i="40"/>
  <c r="P92" i="40"/>
  <c r="P93" i="40"/>
  <c r="P94" i="40"/>
  <c r="P95" i="40"/>
  <c r="P96" i="40"/>
  <c r="P97" i="40"/>
  <c r="P98" i="40"/>
  <c r="P99" i="40"/>
  <c r="P100" i="40"/>
  <c r="P101" i="40"/>
  <c r="P102" i="40"/>
  <c r="P103" i="40"/>
  <c r="P104" i="40"/>
  <c r="P105" i="40"/>
  <c r="P106" i="40"/>
  <c r="P107" i="40"/>
  <c r="P77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7" i="40"/>
  <c r="L18" i="40"/>
  <c r="L19" i="40"/>
  <c r="L20" i="40"/>
  <c r="L21" i="40"/>
  <c r="L22" i="40"/>
  <c r="L23" i="40"/>
  <c r="L24" i="40"/>
  <c r="L25" i="40"/>
  <c r="L26" i="40"/>
  <c r="L27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Q9" i="40"/>
  <c r="Q10" i="40"/>
  <c r="Q11" i="40"/>
  <c r="Q12" i="40"/>
  <c r="Q13" i="40"/>
  <c r="Q14" i="40"/>
  <c r="Q15" i="40"/>
  <c r="Q16" i="40"/>
  <c r="Q17" i="40"/>
  <c r="Q18" i="40"/>
  <c r="Q19" i="40"/>
  <c r="Q20" i="40"/>
  <c r="Q21" i="40"/>
  <c r="Q22" i="40"/>
  <c r="Q23" i="40"/>
  <c r="Q24" i="40"/>
  <c r="Q25" i="40"/>
  <c r="Q26" i="40"/>
  <c r="Q27" i="40"/>
  <c r="Q28" i="40"/>
  <c r="Q29" i="40"/>
  <c r="Q30" i="40"/>
  <c r="Q31" i="40"/>
  <c r="Q32" i="40"/>
  <c r="Q33" i="40"/>
  <c r="Q34" i="40"/>
  <c r="Q35" i="40"/>
  <c r="Q36" i="40"/>
  <c r="Q37" i="40"/>
  <c r="Q38" i="40"/>
  <c r="Q39" i="40"/>
  <c r="Q40" i="40"/>
  <c r="Q41" i="40"/>
  <c r="Q42" i="40"/>
  <c r="Q43" i="40"/>
  <c r="Q44" i="40"/>
  <c r="Q45" i="40"/>
  <c r="Q46" i="40"/>
  <c r="Q47" i="40"/>
  <c r="Q48" i="40"/>
  <c r="Q49" i="40"/>
  <c r="Q50" i="40"/>
  <c r="Q51" i="40"/>
  <c r="Q52" i="40"/>
  <c r="Q53" i="40"/>
  <c r="Q54" i="40"/>
  <c r="Q55" i="40"/>
  <c r="Q56" i="40"/>
  <c r="Q57" i="40"/>
  <c r="Q58" i="40"/>
  <c r="Q59" i="40"/>
  <c r="Q60" i="40"/>
  <c r="Q61" i="40"/>
  <c r="Q62" i="40"/>
  <c r="Q63" i="40"/>
  <c r="Q64" i="40"/>
  <c r="Q65" i="40"/>
  <c r="Q66" i="40"/>
  <c r="Q67" i="40"/>
  <c r="Q68" i="40"/>
  <c r="Q69" i="40"/>
  <c r="Q70" i="40"/>
  <c r="Q71" i="40"/>
  <c r="Q72" i="40"/>
  <c r="Q73" i="40"/>
  <c r="Q74" i="40"/>
  <c r="Q75" i="40"/>
  <c r="P18" i="40"/>
  <c r="P19" i="40"/>
  <c r="P20" i="40"/>
  <c r="P21" i="40"/>
  <c r="P22" i="40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P73" i="40"/>
  <c r="P74" i="40"/>
  <c r="P75" i="40"/>
  <c r="P76" i="40"/>
  <c r="P17" i="40"/>
  <c r="H57" i="41"/>
  <c r="H59" i="41" s="1"/>
  <c r="H56" i="41"/>
  <c r="H58" i="41" s="1"/>
  <c r="B6" i="41"/>
  <c r="B8" i="41" s="1"/>
  <c r="B10" i="41" s="1"/>
  <c r="B11" i="41" s="1"/>
  <c r="B14" i="41" s="1"/>
  <c r="B19" i="41" s="1"/>
  <c r="B20" i="41" s="1"/>
  <c r="B24" i="41" s="1"/>
  <c r="B25" i="41" s="1"/>
  <c r="B27" i="41" s="1"/>
  <c r="B29" i="41" s="1"/>
  <c r="B30" i="41" s="1"/>
  <c r="B33" i="41" s="1"/>
  <c r="B38" i="41" s="1"/>
  <c r="B39" i="41" s="1"/>
  <c r="B43" i="41" s="1"/>
  <c r="B44" i="41" s="1"/>
  <c r="B45" i="41" s="1"/>
  <c r="B46" i="41" s="1"/>
  <c r="B55" i="41" s="1"/>
  <c r="B56" i="41" s="1"/>
  <c r="B57" i="41" s="1"/>
  <c r="B58" i="41" s="1"/>
  <c r="B59" i="41" s="1"/>
  <c r="B60" i="41" s="1"/>
  <c r="B61" i="41" s="1"/>
  <c r="B62" i="41" s="1"/>
  <c r="B63" i="41" s="1"/>
  <c r="B64" i="41" s="1"/>
  <c r="B65" i="41" s="1"/>
  <c r="B66" i="41" s="1"/>
  <c r="O317" i="37"/>
  <c r="N316" i="37"/>
  <c r="N315" i="37"/>
  <c r="N314" i="37"/>
  <c r="N313" i="37"/>
  <c r="N312" i="37"/>
  <c r="N311" i="37"/>
  <c r="N310" i="37"/>
  <c r="N309" i="37"/>
  <c r="N308" i="37"/>
  <c r="N307" i="37"/>
  <c r="N306" i="37"/>
  <c r="N305" i="37"/>
  <c r="N304" i="37"/>
  <c r="N303" i="37"/>
  <c r="N302" i="37"/>
  <c r="N301" i="37"/>
  <c r="N300" i="37"/>
  <c r="N299" i="37"/>
  <c r="N298" i="37"/>
  <c r="N297" i="37"/>
  <c r="O294" i="37"/>
  <c r="O318" i="37" s="1"/>
  <c r="M79" i="46" s="1"/>
  <c r="N293" i="37"/>
  <c r="N292" i="37"/>
  <c r="N291" i="37"/>
  <c r="N290" i="37"/>
  <c r="N289" i="37"/>
  <c r="N288" i="37"/>
  <c r="N287" i="37"/>
  <c r="N286" i="37"/>
  <c r="N285" i="37"/>
  <c r="N284" i="37"/>
  <c r="O269" i="37"/>
  <c r="N268" i="37"/>
  <c r="N267" i="37"/>
  <c r="N266" i="37"/>
  <c r="N265" i="37"/>
  <c r="N264" i="37"/>
  <c r="N263" i="37"/>
  <c r="N262" i="37"/>
  <c r="N261" i="37"/>
  <c r="N260" i="37"/>
  <c r="N259" i="37"/>
  <c r="N258" i="37"/>
  <c r="N257" i="37"/>
  <c r="N256" i="37"/>
  <c r="N255" i="37"/>
  <c r="N254" i="37"/>
  <c r="N253" i="37"/>
  <c r="N252" i="37"/>
  <c r="N251" i="37"/>
  <c r="N250" i="37"/>
  <c r="N249" i="37"/>
  <c r="N248" i="37"/>
  <c r="N247" i="37"/>
  <c r="N246" i="37"/>
  <c r="N245" i="37"/>
  <c r="N244" i="37"/>
  <c r="N243" i="37"/>
  <c r="N242" i="37"/>
  <c r="N241" i="37"/>
  <c r="N240" i="37"/>
  <c r="N239" i="37"/>
  <c r="N238" i="37"/>
  <c r="N237" i="37"/>
  <c r="N236" i="37"/>
  <c r="N235" i="37"/>
  <c r="N234" i="37"/>
  <c r="N233" i="37"/>
  <c r="N232" i="37"/>
  <c r="N231" i="37"/>
  <c r="N230" i="37"/>
  <c r="N229" i="37"/>
  <c r="O216" i="37"/>
  <c r="N215" i="37"/>
  <c r="N214" i="37"/>
  <c r="N213" i="37"/>
  <c r="N212" i="37"/>
  <c r="N211" i="37"/>
  <c r="N210" i="37"/>
  <c r="N209" i="37"/>
  <c r="N208" i="37"/>
  <c r="N207" i="37"/>
  <c r="N206" i="37"/>
  <c r="N205" i="37"/>
  <c r="N204" i="37"/>
  <c r="N203" i="37"/>
  <c r="N202" i="37"/>
  <c r="N201" i="37"/>
  <c r="N200" i="37"/>
  <c r="N199" i="37"/>
  <c r="N198" i="37"/>
  <c r="N197" i="37"/>
  <c r="N196" i="37"/>
  <c r="N195" i="37"/>
  <c r="N194" i="37"/>
  <c r="N193" i="37"/>
  <c r="N192" i="37"/>
  <c r="N191" i="37"/>
  <c r="N190" i="37"/>
  <c r="N189" i="37"/>
  <c r="N188" i="37"/>
  <c r="N187" i="37"/>
  <c r="N186" i="37"/>
  <c r="N185" i="37"/>
  <c r="N184" i="37"/>
  <c r="N183" i="37"/>
  <c r="N182" i="37"/>
  <c r="N181" i="37"/>
  <c r="N180" i="37"/>
  <c r="N179" i="37"/>
  <c r="N178" i="37"/>
  <c r="N177" i="37"/>
  <c r="N176" i="37"/>
  <c r="O161" i="37"/>
  <c r="N160" i="37"/>
  <c r="N159" i="37"/>
  <c r="N158" i="37"/>
  <c r="N157" i="37"/>
  <c r="N156" i="37"/>
  <c r="N155" i="37"/>
  <c r="N154" i="37"/>
  <c r="N153" i="37"/>
  <c r="N152" i="37"/>
  <c r="N151" i="37"/>
  <c r="O138" i="37"/>
  <c r="N128" i="37"/>
  <c r="N129" i="37"/>
  <c r="N130" i="37"/>
  <c r="N131" i="37"/>
  <c r="N132" i="37"/>
  <c r="N133" i="37"/>
  <c r="N134" i="37"/>
  <c r="N135" i="37"/>
  <c r="N136" i="37"/>
  <c r="N137" i="37"/>
  <c r="N73" i="37"/>
  <c r="N74" i="37"/>
  <c r="N75" i="37"/>
  <c r="N76" i="37"/>
  <c r="N77" i="37"/>
  <c r="N78" i="37"/>
  <c r="N79" i="37"/>
  <c r="N80" i="37"/>
  <c r="N81" i="37"/>
  <c r="N82" i="37"/>
  <c r="O60" i="37"/>
  <c r="O419" i="37"/>
  <c r="O396" i="37"/>
  <c r="O371" i="37"/>
  <c r="O348" i="37"/>
  <c r="O333" i="37"/>
  <c r="O320" i="37"/>
  <c r="O295" i="37"/>
  <c r="O272" i="37"/>
  <c r="O217" i="37"/>
  <c r="O164" i="37"/>
  <c r="O139" i="37"/>
  <c r="O116" i="37"/>
  <c r="O61" i="37"/>
  <c r="H51" i="53"/>
  <c r="H55" i="53" s="1"/>
  <c r="H56" i="53" s="1"/>
  <c r="H58" i="53" s="1"/>
  <c r="G32" i="53"/>
  <c r="G24" i="53"/>
  <c r="G23" i="53"/>
  <c r="G8" i="53"/>
  <c r="G7" i="53"/>
  <c r="G6" i="53"/>
  <c r="G36" i="51"/>
  <c r="G27" i="51"/>
  <c r="G26" i="51"/>
  <c r="G8" i="51"/>
  <c r="G7" i="51"/>
  <c r="G6" i="51"/>
  <c r="G35" i="49"/>
  <c r="G39" i="49" s="1"/>
  <c r="G40" i="49" s="1"/>
  <c r="G41" i="49"/>
  <c r="G45" i="49"/>
  <c r="I3" i="49"/>
  <c r="H53" i="47"/>
  <c r="G27" i="47"/>
  <c r="H34" i="47"/>
  <c r="H35" i="47" s="1"/>
  <c r="H37" i="47" s="1"/>
  <c r="G25" i="47"/>
  <c r="G24" i="47"/>
  <c r="G9" i="47"/>
  <c r="G7" i="47"/>
  <c r="G6" i="47"/>
  <c r="H57" i="45"/>
  <c r="H38" i="45"/>
  <c r="H39" i="45" s="1"/>
  <c r="H41" i="45" s="1"/>
  <c r="G29" i="45"/>
  <c r="G25" i="45"/>
  <c r="G10" i="45"/>
  <c r="G9" i="45"/>
  <c r="G5" i="45"/>
  <c r="G28" i="43"/>
  <c r="G26" i="43"/>
  <c r="H9" i="43"/>
  <c r="H11" i="43" s="1"/>
  <c r="G8" i="43"/>
  <c r="G6" i="43"/>
  <c r="BE32" i="41"/>
  <c r="BD32" i="41"/>
  <c r="BC32" i="41"/>
  <c r="BB32" i="41"/>
  <c r="BA32" i="41"/>
  <c r="AZ32" i="41"/>
  <c r="AY32" i="41"/>
  <c r="AX32" i="41"/>
  <c r="AW32" i="41"/>
  <c r="AV32" i="41"/>
  <c r="AU32" i="41"/>
  <c r="AT32" i="41"/>
  <c r="AS32" i="41"/>
  <c r="AR32" i="41"/>
  <c r="AQ32" i="41"/>
  <c r="AP32" i="41"/>
  <c r="AO32" i="41"/>
  <c r="AN32" i="41"/>
  <c r="AM32" i="41"/>
  <c r="AL32" i="41"/>
  <c r="AK32" i="41"/>
  <c r="AJ32" i="41"/>
  <c r="AI32" i="41"/>
  <c r="AH32" i="41"/>
  <c r="AG32" i="41"/>
  <c r="AF32" i="41"/>
  <c r="AE32" i="41"/>
  <c r="AD32" i="41"/>
  <c r="AC32" i="41"/>
  <c r="AB32" i="41"/>
  <c r="AA32" i="41"/>
  <c r="Z32" i="41"/>
  <c r="Y32" i="41"/>
  <c r="X32" i="41"/>
  <c r="W32" i="41"/>
  <c r="V32" i="41"/>
  <c r="U32" i="41"/>
  <c r="T32" i="41"/>
  <c r="S32" i="41"/>
  <c r="H19" i="64" s="1"/>
  <c r="H19" i="40" s="1"/>
  <c r="V19" i="40" s="1"/>
  <c r="R32" i="41"/>
  <c r="H18" i="64" s="1"/>
  <c r="H18" i="40" s="1"/>
  <c r="V18" i="40" s="1"/>
  <c r="Q32" i="41"/>
  <c r="P32" i="41"/>
  <c r="H16" i="64" s="1"/>
  <c r="H16" i="40" s="1"/>
  <c r="V16" i="40" s="1"/>
  <c r="O32" i="41"/>
  <c r="N32" i="41"/>
  <c r="H14" i="64" s="1"/>
  <c r="H14" i="40" s="1"/>
  <c r="V14" i="40" s="1"/>
  <c r="M32" i="41"/>
  <c r="H13" i="64" s="1"/>
  <c r="H13" i="40" s="1"/>
  <c r="V13" i="40" s="1"/>
  <c r="L32" i="41"/>
  <c r="K32" i="41"/>
  <c r="J32" i="41"/>
  <c r="I32" i="41"/>
  <c r="BE29" i="41"/>
  <c r="BD29" i="41"/>
  <c r="BC29" i="41"/>
  <c r="BB29" i="41"/>
  <c r="BA29" i="41"/>
  <c r="AZ29" i="41"/>
  <c r="AY29" i="41"/>
  <c r="AX29" i="41"/>
  <c r="AW29" i="41"/>
  <c r="AV29" i="41"/>
  <c r="AU29" i="41"/>
  <c r="AT29" i="41"/>
  <c r="AS29" i="41"/>
  <c r="AR29" i="41"/>
  <c r="AQ29" i="41"/>
  <c r="AP29" i="41"/>
  <c r="AO29" i="41"/>
  <c r="AN29" i="41"/>
  <c r="AM29" i="41"/>
  <c r="AM38" i="41" s="1"/>
  <c r="AM45" i="41" s="1"/>
  <c r="AL29" i="41"/>
  <c r="AK29" i="41"/>
  <c r="AJ29" i="41"/>
  <c r="AI29" i="41"/>
  <c r="AH29" i="41"/>
  <c r="AG29" i="41"/>
  <c r="AF29" i="41"/>
  <c r="AE29" i="41"/>
  <c r="AE38" i="41" s="1"/>
  <c r="AE45" i="41" s="1"/>
  <c r="AD29" i="41"/>
  <c r="AC29" i="41"/>
  <c r="AB29" i="41"/>
  <c r="AA29" i="41"/>
  <c r="Z29" i="41"/>
  <c r="Y29" i="41"/>
  <c r="X29" i="41"/>
  <c r="W29" i="41"/>
  <c r="V29" i="41"/>
  <c r="U29" i="41"/>
  <c r="T29" i="41"/>
  <c r="S29" i="41"/>
  <c r="R29" i="41"/>
  <c r="Q29" i="41"/>
  <c r="P29" i="41"/>
  <c r="O29" i="41"/>
  <c r="N29" i="41"/>
  <c r="M29" i="41"/>
  <c r="L29" i="41"/>
  <c r="K29" i="41"/>
  <c r="J29" i="41"/>
  <c r="I29" i="41"/>
  <c r="I64" i="41" s="1"/>
  <c r="I66" i="41" s="1"/>
  <c r="H36" i="41"/>
  <c r="H37" i="41" s="1"/>
  <c r="H39" i="41" s="1"/>
  <c r="G28" i="41"/>
  <c r="G27" i="41"/>
  <c r="G26" i="41"/>
  <c r="G25" i="41"/>
  <c r="G9" i="41"/>
  <c r="G8" i="41"/>
  <c r="G7" i="41"/>
  <c r="G6" i="41"/>
  <c r="M129" i="40"/>
  <c r="M120" i="40"/>
  <c r="G9" i="8" s="1"/>
  <c r="N109" i="40"/>
  <c r="H7" i="8" s="1"/>
  <c r="M109" i="40"/>
  <c r="G7" i="8" s="1"/>
  <c r="Q108" i="40"/>
  <c r="P16" i="40"/>
  <c r="L16" i="40"/>
  <c r="P15" i="40"/>
  <c r="L15" i="40"/>
  <c r="P14" i="40"/>
  <c r="L14" i="40"/>
  <c r="P13" i="40"/>
  <c r="L13" i="40"/>
  <c r="P12" i="40"/>
  <c r="L12" i="40"/>
  <c r="P11" i="40"/>
  <c r="L11" i="40"/>
  <c r="P10" i="40"/>
  <c r="L10" i="40"/>
  <c r="P9" i="40"/>
  <c r="L9" i="40"/>
  <c r="Q8" i="40"/>
  <c r="P8" i="40"/>
  <c r="L8" i="40"/>
  <c r="P7" i="40"/>
  <c r="M95" i="38"/>
  <c r="M78" i="52" s="1"/>
  <c r="L95" i="38"/>
  <c r="L78" i="52" s="1"/>
  <c r="M82" i="38"/>
  <c r="M78" i="50" s="1"/>
  <c r="L82" i="38"/>
  <c r="L78" i="50" s="1"/>
  <c r="K82" i="38"/>
  <c r="M69" i="38"/>
  <c r="M78" i="48" s="1"/>
  <c r="L69" i="38"/>
  <c r="L78" i="48" s="1"/>
  <c r="M56" i="38"/>
  <c r="M78" i="46" s="1"/>
  <c r="L46" i="38"/>
  <c r="L56" i="38" s="1"/>
  <c r="L78" i="46" s="1"/>
  <c r="M43" i="38"/>
  <c r="M138" i="44" s="1"/>
  <c r="L33" i="38"/>
  <c r="L43" i="38" s="1"/>
  <c r="L138" i="44" s="1"/>
  <c r="M30" i="38"/>
  <c r="M78" i="42" s="1"/>
  <c r="M17" i="38"/>
  <c r="L7" i="38"/>
  <c r="L17" i="38" s="1"/>
  <c r="O441" i="37"/>
  <c r="N430" i="37"/>
  <c r="N429" i="37"/>
  <c r="N428" i="37"/>
  <c r="N427" i="37"/>
  <c r="N426" i="37"/>
  <c r="N425" i="37"/>
  <c r="N424" i="37"/>
  <c r="N423" i="37"/>
  <c r="N422" i="37"/>
  <c r="N421" i="37"/>
  <c r="O418" i="37"/>
  <c r="N407" i="37"/>
  <c r="N406" i="37"/>
  <c r="N405" i="37"/>
  <c r="N404" i="37"/>
  <c r="N403" i="37"/>
  <c r="N402" i="37"/>
  <c r="N401" i="37"/>
  <c r="N400" i="37"/>
  <c r="N399" i="37"/>
  <c r="N398" i="37"/>
  <c r="O393" i="37"/>
  <c r="N382" i="37"/>
  <c r="N381" i="37"/>
  <c r="N380" i="37"/>
  <c r="N379" i="37"/>
  <c r="N378" i="37"/>
  <c r="N377" i="37"/>
  <c r="N376" i="37"/>
  <c r="N375" i="37"/>
  <c r="N374" i="37"/>
  <c r="N373" i="37"/>
  <c r="O370" i="37"/>
  <c r="N359" i="37"/>
  <c r="N358" i="37"/>
  <c r="N357" i="37"/>
  <c r="N356" i="37"/>
  <c r="N355" i="37"/>
  <c r="N354" i="37"/>
  <c r="N353" i="37"/>
  <c r="N352" i="37"/>
  <c r="N351" i="37"/>
  <c r="N350" i="37"/>
  <c r="O345" i="37"/>
  <c r="N344" i="37"/>
  <c r="N343" i="37"/>
  <c r="N342" i="37"/>
  <c r="N341" i="37"/>
  <c r="N340" i="37"/>
  <c r="N339" i="37"/>
  <c r="N338" i="37"/>
  <c r="N337" i="37"/>
  <c r="N336" i="37"/>
  <c r="N335" i="37"/>
  <c r="O332" i="37"/>
  <c r="N331" i="37"/>
  <c r="N330" i="37"/>
  <c r="N329" i="37"/>
  <c r="N328" i="37"/>
  <c r="N327" i="37"/>
  <c r="N326" i="37"/>
  <c r="N325" i="37"/>
  <c r="N324" i="37"/>
  <c r="N323" i="37"/>
  <c r="N322" i="37"/>
  <c r="N283" i="37"/>
  <c r="N282" i="37"/>
  <c r="N281" i="37"/>
  <c r="N280" i="37"/>
  <c r="N279" i="37"/>
  <c r="N278" i="37"/>
  <c r="N277" i="37"/>
  <c r="N276" i="37"/>
  <c r="N275" i="37"/>
  <c r="N274" i="37"/>
  <c r="N228" i="37"/>
  <c r="N227" i="37"/>
  <c r="N226" i="37"/>
  <c r="N225" i="37"/>
  <c r="N224" i="37"/>
  <c r="N223" i="37"/>
  <c r="N222" i="37"/>
  <c r="N221" i="37"/>
  <c r="N220" i="37"/>
  <c r="N219" i="37"/>
  <c r="N175" i="37"/>
  <c r="N174" i="37"/>
  <c r="N173" i="37"/>
  <c r="N172" i="37"/>
  <c r="N171" i="37"/>
  <c r="N170" i="37"/>
  <c r="N169" i="37"/>
  <c r="N168" i="37"/>
  <c r="N167" i="37"/>
  <c r="N166" i="37"/>
  <c r="N150" i="37"/>
  <c r="N149" i="37"/>
  <c r="N148" i="37"/>
  <c r="N147" i="37"/>
  <c r="N146" i="37"/>
  <c r="N145" i="37"/>
  <c r="N144" i="37"/>
  <c r="N143" i="37"/>
  <c r="N142" i="37"/>
  <c r="N127" i="37"/>
  <c r="N126" i="37"/>
  <c r="N125" i="37"/>
  <c r="N124" i="37"/>
  <c r="N123" i="37"/>
  <c r="N122" i="37"/>
  <c r="N121" i="37"/>
  <c r="N120" i="37"/>
  <c r="N119" i="37"/>
  <c r="N118" i="37"/>
  <c r="N72" i="37"/>
  <c r="N71" i="37"/>
  <c r="N70" i="37"/>
  <c r="N69" i="37"/>
  <c r="N68" i="37"/>
  <c r="N67" i="37"/>
  <c r="N66" i="37"/>
  <c r="N65" i="37"/>
  <c r="N64" i="37"/>
  <c r="N63" i="37"/>
  <c r="N18" i="37"/>
  <c r="N17" i="37"/>
  <c r="N16" i="37"/>
  <c r="N15" i="37"/>
  <c r="N14" i="37"/>
  <c r="N13" i="37"/>
  <c r="N12" i="37"/>
  <c r="N11" i="37"/>
  <c r="N10" i="37"/>
  <c r="D6" i="8"/>
  <c r="D13" i="8"/>
  <c r="D15" i="8"/>
  <c r="D18" i="8"/>
  <c r="O9" i="35"/>
  <c r="P9" i="35"/>
  <c r="O10" i="35"/>
  <c r="P10" i="35"/>
  <c r="O11" i="35"/>
  <c r="P11" i="35"/>
  <c r="O12" i="35"/>
  <c r="P12" i="35"/>
  <c r="O13" i="35"/>
  <c r="P13" i="35"/>
  <c r="O14" i="35"/>
  <c r="P14" i="35"/>
  <c r="O15" i="35"/>
  <c r="P15" i="35"/>
  <c r="O16" i="35"/>
  <c r="P16" i="35"/>
  <c r="O17" i="35"/>
  <c r="P17" i="35"/>
  <c r="O18" i="35"/>
  <c r="P18" i="35"/>
  <c r="O19" i="35"/>
  <c r="P19" i="35"/>
  <c r="O20" i="35"/>
  <c r="P20" i="35"/>
  <c r="O21" i="35"/>
  <c r="P21" i="35"/>
  <c r="O22" i="35"/>
  <c r="P22" i="35"/>
  <c r="O23" i="35"/>
  <c r="P23" i="35"/>
  <c r="O24" i="35"/>
  <c r="P24" i="35"/>
  <c r="O25" i="35"/>
  <c r="P25" i="35"/>
  <c r="H28" i="35"/>
  <c r="O28" i="35" s="1"/>
  <c r="F6" i="33"/>
  <c r="L28" i="35" l="1"/>
  <c r="I28" i="35"/>
  <c r="I36" i="35" s="1"/>
  <c r="AE46" i="41"/>
  <c r="AE61" i="41"/>
  <c r="AE62" i="41" s="1"/>
  <c r="AE63" i="41" s="1"/>
  <c r="AM46" i="41"/>
  <c r="AM61" i="41"/>
  <c r="AM62" i="41" s="1"/>
  <c r="AM63" i="41" s="1"/>
  <c r="M38" i="41"/>
  <c r="M45" i="41" s="1"/>
  <c r="M64" i="41"/>
  <c r="M66" i="41" s="1"/>
  <c r="Q38" i="41"/>
  <c r="Q45" i="41" s="1"/>
  <c r="Q64" i="41"/>
  <c r="Q66" i="41" s="1"/>
  <c r="U38" i="41"/>
  <c r="U45" i="41" s="1"/>
  <c r="U64" i="41"/>
  <c r="U66" i="41" s="1"/>
  <c r="Y38" i="41"/>
  <c r="Y45" i="41" s="1"/>
  <c r="Y64" i="41"/>
  <c r="Y66" i="41" s="1"/>
  <c r="AC38" i="41"/>
  <c r="AC45" i="41" s="1"/>
  <c r="AC64" i="41"/>
  <c r="AC66" i="41" s="1"/>
  <c r="AG38" i="41"/>
  <c r="AG45" i="41" s="1"/>
  <c r="AG64" i="41"/>
  <c r="AG66" i="41" s="1"/>
  <c r="AK38" i="41"/>
  <c r="AK45" i="41" s="1"/>
  <c r="AK64" i="41"/>
  <c r="AK66" i="41" s="1"/>
  <c r="AO38" i="41"/>
  <c r="AO45" i="41" s="1"/>
  <c r="AO64" i="41"/>
  <c r="AO66" i="41" s="1"/>
  <c r="AS38" i="41"/>
  <c r="AS45" i="41" s="1"/>
  <c r="AS64" i="41"/>
  <c r="AS66" i="41" s="1"/>
  <c r="AW38" i="41"/>
  <c r="AW45" i="41" s="1"/>
  <c r="AW64" i="41"/>
  <c r="AW66" i="41" s="1"/>
  <c r="BA38" i="41"/>
  <c r="BA45" i="41" s="1"/>
  <c r="BA64" i="41"/>
  <c r="BA66" i="41" s="1"/>
  <c r="BE38" i="41"/>
  <c r="BE45" i="41" s="1"/>
  <c r="BE64" i="41"/>
  <c r="BE66" i="41" s="1"/>
  <c r="J36" i="41"/>
  <c r="J64" i="41"/>
  <c r="J66" i="41" s="1"/>
  <c r="N36" i="41"/>
  <c r="N64" i="41"/>
  <c r="N66" i="41" s="1"/>
  <c r="R36" i="41"/>
  <c r="R64" i="41"/>
  <c r="R66" i="41" s="1"/>
  <c r="V36" i="41"/>
  <c r="V64" i="41"/>
  <c r="V66" i="41" s="1"/>
  <c r="Z36" i="41"/>
  <c r="Z64" i="41"/>
  <c r="Z66" i="41" s="1"/>
  <c r="AD36" i="41"/>
  <c r="AD64" i="41"/>
  <c r="AD66" i="41" s="1"/>
  <c r="AH36" i="41"/>
  <c r="AH64" i="41"/>
  <c r="AH66" i="41" s="1"/>
  <c r="AL36" i="41"/>
  <c r="AL64" i="41"/>
  <c r="AL66" i="41" s="1"/>
  <c r="AP36" i="41"/>
  <c r="AP64" i="41"/>
  <c r="AP66" i="41" s="1"/>
  <c r="AT36" i="41"/>
  <c r="AT64" i="41"/>
  <c r="AT66" i="41" s="1"/>
  <c r="AX36" i="41"/>
  <c r="AX64" i="41"/>
  <c r="AX66" i="41" s="1"/>
  <c r="BB36" i="41"/>
  <c r="BB64" i="41"/>
  <c r="BB66" i="41" s="1"/>
  <c r="G11" i="8"/>
  <c r="M130" i="40"/>
  <c r="K64" i="41"/>
  <c r="K66" i="41" s="1"/>
  <c r="O64" i="41"/>
  <c r="O66" i="41" s="1"/>
  <c r="S64" i="41"/>
  <c r="S66" i="41" s="1"/>
  <c r="W37" i="41"/>
  <c r="W39" i="41" s="1"/>
  <c r="W43" i="41" s="1"/>
  <c r="W64" i="41"/>
  <c r="W66" i="41" s="1"/>
  <c r="AA37" i="41"/>
  <c r="AA39" i="41" s="1"/>
  <c r="AA43" i="41" s="1"/>
  <c r="AA64" i="41"/>
  <c r="AA66" i="41" s="1"/>
  <c r="AE37" i="41"/>
  <c r="AE39" i="41" s="1"/>
  <c r="AE43" i="41" s="1"/>
  <c r="AE64" i="41"/>
  <c r="AE66" i="41" s="1"/>
  <c r="AI37" i="41"/>
  <c r="AI39" i="41" s="1"/>
  <c r="AI43" i="41" s="1"/>
  <c r="AI64" i="41"/>
  <c r="AI66" i="41" s="1"/>
  <c r="AM37" i="41"/>
  <c r="AM39" i="41" s="1"/>
  <c r="AM43" i="41" s="1"/>
  <c r="AM64" i="41"/>
  <c r="AM66" i="41" s="1"/>
  <c r="AQ37" i="41"/>
  <c r="AQ39" i="41" s="1"/>
  <c r="AQ43" i="41" s="1"/>
  <c r="AQ64" i="41"/>
  <c r="AQ66" i="41" s="1"/>
  <c r="AU37" i="41"/>
  <c r="AU39" i="41" s="1"/>
  <c r="AU43" i="41" s="1"/>
  <c r="AU64" i="41"/>
  <c r="AU66" i="41" s="1"/>
  <c r="AY37" i="41"/>
  <c r="AY64" i="41"/>
  <c r="AY66" i="41" s="1"/>
  <c r="BC37" i="41"/>
  <c r="BC39" i="41" s="1"/>
  <c r="BC43" i="41" s="1"/>
  <c r="BC64" i="41"/>
  <c r="BC66" i="41" s="1"/>
  <c r="O38" i="41"/>
  <c r="O45" i="41" s="1"/>
  <c r="AU38" i="41"/>
  <c r="AU45" i="41" s="1"/>
  <c r="L36" i="41"/>
  <c r="L37" i="41" s="1"/>
  <c r="L39" i="41" s="1"/>
  <c r="L43" i="41" s="1"/>
  <c r="L64" i="41"/>
  <c r="L66" i="41" s="1"/>
  <c r="P36" i="41"/>
  <c r="P64" i="41"/>
  <c r="P66" i="41" s="1"/>
  <c r="T36" i="41"/>
  <c r="T64" i="41"/>
  <c r="T66" i="41" s="1"/>
  <c r="X36" i="41"/>
  <c r="X64" i="41"/>
  <c r="X66" i="41" s="1"/>
  <c r="AB36" i="41"/>
  <c r="AB64" i="41"/>
  <c r="AB66" i="41" s="1"/>
  <c r="AF36" i="41"/>
  <c r="AF64" i="41"/>
  <c r="AF66" i="41" s="1"/>
  <c r="AJ36" i="41"/>
  <c r="AJ64" i="41"/>
  <c r="AJ66" i="41" s="1"/>
  <c r="AN36" i="41"/>
  <c r="AN64" i="41"/>
  <c r="AN66" i="41" s="1"/>
  <c r="AR36" i="41"/>
  <c r="AR64" i="41"/>
  <c r="AR66" i="41" s="1"/>
  <c r="AV36" i="41"/>
  <c r="AV64" i="41"/>
  <c r="AV66" i="41" s="1"/>
  <c r="AZ36" i="41"/>
  <c r="AZ64" i="41"/>
  <c r="AZ66" i="41" s="1"/>
  <c r="BD36" i="41"/>
  <c r="BD64" i="41"/>
  <c r="BD66" i="41" s="1"/>
  <c r="W38" i="41"/>
  <c r="W45" i="41" s="1"/>
  <c r="BC38" i="41"/>
  <c r="BC45" i="41" s="1"/>
  <c r="H61" i="45"/>
  <c r="H62" i="45" s="1"/>
  <c r="H64" i="45" s="1"/>
  <c r="H57" i="47"/>
  <c r="H58" i="47" s="1"/>
  <c r="H60" i="47" s="1"/>
  <c r="H61" i="47" s="1"/>
  <c r="H20" i="43"/>
  <c r="H47" i="43" s="1"/>
  <c r="H66" i="43"/>
  <c r="I38" i="41"/>
  <c r="I45" i="41" s="1"/>
  <c r="N345" i="37"/>
  <c r="N393" i="37"/>
  <c r="N60" i="37"/>
  <c r="N216" i="37"/>
  <c r="N269" i="37"/>
  <c r="N332" i="37"/>
  <c r="N370" i="37"/>
  <c r="N418" i="37"/>
  <c r="N113" i="37"/>
  <c r="N441" i="37"/>
  <c r="N138" i="37"/>
  <c r="O162" i="37"/>
  <c r="N317" i="37"/>
  <c r="N294" i="37"/>
  <c r="O394" i="37"/>
  <c r="M79" i="50" s="1"/>
  <c r="G42" i="49"/>
  <c r="G38" i="45"/>
  <c r="D9" i="36"/>
  <c r="D29" i="36" s="1"/>
  <c r="H7" i="39"/>
  <c r="C9" i="36"/>
  <c r="C29" i="36" s="1"/>
  <c r="H16" i="47"/>
  <c r="H17" i="47" s="1"/>
  <c r="H19" i="47" s="1"/>
  <c r="H41" i="47" s="1"/>
  <c r="H42" i="47" s="1"/>
  <c r="G62" i="47"/>
  <c r="G29" i="43"/>
  <c r="M161" i="37"/>
  <c r="N141" i="37"/>
  <c r="N161" i="37" s="1"/>
  <c r="L79" i="42" s="1"/>
  <c r="M79" i="42"/>
  <c r="M113" i="37"/>
  <c r="G9" i="43"/>
  <c r="K30" i="38"/>
  <c r="L20" i="38"/>
  <c r="L30" i="38" s="1"/>
  <c r="L96" i="38" s="1"/>
  <c r="F16" i="8" s="1"/>
  <c r="L109" i="40"/>
  <c r="F7" i="8" s="1"/>
  <c r="M138" i="40"/>
  <c r="M96" i="38"/>
  <c r="G16" i="8" s="1"/>
  <c r="L138" i="40"/>
  <c r="N30" i="38"/>
  <c r="N78" i="42" s="1"/>
  <c r="N82" i="38"/>
  <c r="N78" i="50" s="1"/>
  <c r="K78" i="50" s="1"/>
  <c r="I46" i="8" s="1"/>
  <c r="N129" i="40"/>
  <c r="N144" i="40"/>
  <c r="H19" i="8" s="1"/>
  <c r="H60" i="41"/>
  <c r="H62" i="41" s="1"/>
  <c r="H66" i="41"/>
  <c r="H17" i="41"/>
  <c r="H18" i="41" s="1"/>
  <c r="H20" i="41" s="1"/>
  <c r="H43" i="41" s="1"/>
  <c r="H44" i="41" s="1"/>
  <c r="M216" i="37"/>
  <c r="P60" i="37"/>
  <c r="M60" i="37"/>
  <c r="N17" i="38"/>
  <c r="K56" i="38"/>
  <c r="N69" i="38"/>
  <c r="N78" i="48" s="1"/>
  <c r="K78" i="48" s="1"/>
  <c r="H46" i="8" s="1"/>
  <c r="G30" i="45"/>
  <c r="W8" i="40"/>
  <c r="W106" i="40"/>
  <c r="W102" i="40"/>
  <c r="W98" i="40"/>
  <c r="W94" i="40"/>
  <c r="W90" i="40"/>
  <c r="W86" i="40"/>
  <c r="W82" i="40"/>
  <c r="W78" i="40"/>
  <c r="W74" i="40"/>
  <c r="W70" i="40"/>
  <c r="W66" i="40"/>
  <c r="W62" i="40"/>
  <c r="W58" i="40"/>
  <c r="W54" i="40"/>
  <c r="W50" i="40"/>
  <c r="W46" i="40"/>
  <c r="W42" i="40"/>
  <c r="W38" i="40"/>
  <c r="W34" i="40"/>
  <c r="W30" i="40"/>
  <c r="W26" i="40"/>
  <c r="W22" i="40"/>
  <c r="W18" i="40"/>
  <c r="W14" i="40"/>
  <c r="W10" i="40"/>
  <c r="W108" i="40"/>
  <c r="W104" i="40"/>
  <c r="W100" i="40"/>
  <c r="W96" i="40"/>
  <c r="W92" i="40"/>
  <c r="W88" i="40"/>
  <c r="W84" i="40"/>
  <c r="W80" i="40"/>
  <c r="W76" i="40"/>
  <c r="W72" i="40"/>
  <c r="W68" i="40"/>
  <c r="W64" i="40"/>
  <c r="W60" i="40"/>
  <c r="W56" i="40"/>
  <c r="W52" i="40"/>
  <c r="W48" i="40"/>
  <c r="W44" i="40"/>
  <c r="W40" i="40"/>
  <c r="W36" i="40"/>
  <c r="W32" i="40"/>
  <c r="W28" i="40"/>
  <c r="W24" i="40"/>
  <c r="W20" i="40"/>
  <c r="W16" i="40"/>
  <c r="W12" i="40"/>
  <c r="W75" i="40"/>
  <c r="W73" i="40"/>
  <c r="W71" i="40"/>
  <c r="W69" i="40"/>
  <c r="W67" i="40"/>
  <c r="W65" i="40"/>
  <c r="W63" i="40"/>
  <c r="W61" i="40"/>
  <c r="W59" i="40"/>
  <c r="W57" i="40"/>
  <c r="W55" i="40"/>
  <c r="W53" i="40"/>
  <c r="W51" i="40"/>
  <c r="W49" i="40"/>
  <c r="W47" i="40"/>
  <c r="W45" i="40"/>
  <c r="W43" i="40"/>
  <c r="W41" i="40"/>
  <c r="W39" i="40"/>
  <c r="W37" i="40"/>
  <c r="W35" i="40"/>
  <c r="W33" i="40"/>
  <c r="W31" i="40"/>
  <c r="W29" i="40"/>
  <c r="W27" i="40"/>
  <c r="W25" i="40"/>
  <c r="W23" i="40"/>
  <c r="W21" i="40"/>
  <c r="W19" i="40"/>
  <c r="W17" i="40"/>
  <c r="P317" i="37"/>
  <c r="P269" i="37"/>
  <c r="P294" i="37"/>
  <c r="K38" i="41"/>
  <c r="K45" i="41" s="1"/>
  <c r="S38" i="41"/>
  <c r="S45" i="41" s="1"/>
  <c r="AA38" i="41"/>
  <c r="AA45" i="41" s="1"/>
  <c r="AI38" i="41"/>
  <c r="AI45" i="41" s="1"/>
  <c r="AQ38" i="41"/>
  <c r="AQ45" i="41" s="1"/>
  <c r="AY38" i="41"/>
  <c r="AY45" i="41" s="1"/>
  <c r="BD37" i="41"/>
  <c r="BD39" i="41" s="1"/>
  <c r="BD43" i="41" s="1"/>
  <c r="BB37" i="41"/>
  <c r="BB39" i="41" s="1"/>
  <c r="BB43" i="41" s="1"/>
  <c r="AZ37" i="41"/>
  <c r="AZ39" i="41" s="1"/>
  <c r="AZ43" i="41" s="1"/>
  <c r="AX37" i="41"/>
  <c r="AX39" i="41" s="1"/>
  <c r="AX43" i="41" s="1"/>
  <c r="AV37" i="41"/>
  <c r="AV39" i="41" s="1"/>
  <c r="AV43" i="41" s="1"/>
  <c r="AT37" i="41"/>
  <c r="AT39" i="41" s="1"/>
  <c r="AT43" i="41" s="1"/>
  <c r="AR37" i="41"/>
  <c r="AP37" i="41"/>
  <c r="AP39" i="41" s="1"/>
  <c r="AP43" i="41" s="1"/>
  <c r="AN37" i="41"/>
  <c r="AN39" i="41" s="1"/>
  <c r="AN43" i="41" s="1"/>
  <c r="AL37" i="41"/>
  <c r="AL39" i="41" s="1"/>
  <c r="AL43" i="41" s="1"/>
  <c r="AJ37" i="41"/>
  <c r="AJ39" i="41" s="1"/>
  <c r="AJ43" i="41" s="1"/>
  <c r="AH37" i="41"/>
  <c r="AH39" i="41" s="1"/>
  <c r="AH43" i="41" s="1"/>
  <c r="AF37" i="41"/>
  <c r="AF39" i="41" s="1"/>
  <c r="AF43" i="41" s="1"/>
  <c r="AD37" i="41"/>
  <c r="AD39" i="41" s="1"/>
  <c r="AD43" i="41" s="1"/>
  <c r="AB37" i="41"/>
  <c r="Z37" i="41"/>
  <c r="Z39" i="41" s="1"/>
  <c r="Z43" i="41" s="1"/>
  <c r="X37" i="41"/>
  <c r="X39" i="41" s="1"/>
  <c r="X43" i="41" s="1"/>
  <c r="V37" i="41"/>
  <c r="V39" i="41" s="1"/>
  <c r="V43" i="41" s="1"/>
  <c r="T37" i="41"/>
  <c r="T39" i="41" s="1"/>
  <c r="T43" i="41" s="1"/>
  <c r="R37" i="41"/>
  <c r="R39" i="41" s="1"/>
  <c r="R43" i="41" s="1"/>
  <c r="P37" i="41"/>
  <c r="P39" i="41" s="1"/>
  <c r="P43" i="41" s="1"/>
  <c r="N37" i="41"/>
  <c r="N39" i="41" s="1"/>
  <c r="N43" i="41" s="1"/>
  <c r="J37" i="41"/>
  <c r="J39" i="41" s="1"/>
  <c r="J43" i="41" s="1"/>
  <c r="BE36" i="41"/>
  <c r="BC36" i="41"/>
  <c r="BA36" i="41"/>
  <c r="AY36" i="41"/>
  <c r="AW36" i="41"/>
  <c r="AU36" i="41"/>
  <c r="AS36" i="41"/>
  <c r="AQ36" i="41"/>
  <c r="AO36" i="41"/>
  <c r="AM36" i="41"/>
  <c r="AK36" i="41"/>
  <c r="AI36" i="41"/>
  <c r="AG36" i="41"/>
  <c r="AE36" i="41"/>
  <c r="AC36" i="41"/>
  <c r="AA36" i="41"/>
  <c r="Y36" i="41"/>
  <c r="W36" i="41"/>
  <c r="U36" i="41"/>
  <c r="S36" i="41"/>
  <c r="S37" i="41" s="1"/>
  <c r="S39" i="41" s="1"/>
  <c r="S43" i="41" s="1"/>
  <c r="Q36" i="41"/>
  <c r="Q37" i="41" s="1"/>
  <c r="Q39" i="41" s="1"/>
  <c r="Q43" i="41" s="1"/>
  <c r="O36" i="41"/>
  <c r="O37" i="41" s="1"/>
  <c r="O39" i="41" s="1"/>
  <c r="O43" i="41" s="1"/>
  <c r="M36" i="41"/>
  <c r="K36" i="41"/>
  <c r="K37" i="41" s="1"/>
  <c r="K39" i="41" s="1"/>
  <c r="K43" i="41" s="1"/>
  <c r="I36" i="41"/>
  <c r="I37" i="41" s="1"/>
  <c r="I39" i="41" s="1"/>
  <c r="I43" i="41" s="1"/>
  <c r="BE37" i="41"/>
  <c r="BA37" i="41"/>
  <c r="BA39" i="41" s="1"/>
  <c r="BA43" i="41" s="1"/>
  <c r="AW37" i="41"/>
  <c r="AW39" i="41" s="1"/>
  <c r="AW43" i="41" s="1"/>
  <c r="AS37" i="41"/>
  <c r="AS39" i="41" s="1"/>
  <c r="AS43" i="41" s="1"/>
  <c r="AO37" i="41"/>
  <c r="AO39" i="41" s="1"/>
  <c r="AO43" i="41" s="1"/>
  <c r="AK37" i="41"/>
  <c r="AK39" i="41" s="1"/>
  <c r="AK43" i="41" s="1"/>
  <c r="AG37" i="41"/>
  <c r="AG39" i="41" s="1"/>
  <c r="AG43" i="41" s="1"/>
  <c r="AC37" i="41"/>
  <c r="AC39" i="41" s="1"/>
  <c r="AC43" i="41" s="1"/>
  <c r="Y37" i="41"/>
  <c r="Y39" i="41" s="1"/>
  <c r="Y43" i="41" s="1"/>
  <c r="U37" i="41"/>
  <c r="U39" i="41" s="1"/>
  <c r="U43" i="41" s="1"/>
  <c r="M37" i="41"/>
  <c r="M39" i="41" s="1"/>
  <c r="M43" i="41" s="1"/>
  <c r="K120" i="40"/>
  <c r="D40" i="8" s="1"/>
  <c r="L40" i="8" s="1"/>
  <c r="K129" i="40"/>
  <c r="K144" i="40"/>
  <c r="D49" i="8" s="1"/>
  <c r="L49" i="8" s="1"/>
  <c r="G10" i="41"/>
  <c r="K109" i="40"/>
  <c r="D36" i="8" s="1"/>
  <c r="L36" i="8" s="1"/>
  <c r="K37" i="8" s="1"/>
  <c r="N43" i="38"/>
  <c r="N138" i="44" s="1"/>
  <c r="K138" i="44" s="1"/>
  <c r="F46" i="8" s="1"/>
  <c r="N56" i="38"/>
  <c r="N78" i="46" s="1"/>
  <c r="K78" i="46" s="1"/>
  <c r="G46" i="8" s="1"/>
  <c r="N95" i="38"/>
  <c r="N78" i="52" s="1"/>
  <c r="K78" i="52" s="1"/>
  <c r="J46" i="8" s="1"/>
  <c r="M269" i="37"/>
  <c r="M294" i="37"/>
  <c r="M317" i="37"/>
  <c r="P138" i="37"/>
  <c r="M138" i="37"/>
  <c r="O114" i="37"/>
  <c r="O270" i="37"/>
  <c r="M139" i="44" s="1"/>
  <c r="O442" i="37"/>
  <c r="M79" i="52" s="1"/>
  <c r="O346" i="37"/>
  <c r="M79" i="48" s="1"/>
  <c r="M345" i="37"/>
  <c r="M370" i="37"/>
  <c r="M441" i="37"/>
  <c r="K17" i="38"/>
  <c r="K43" i="38"/>
  <c r="K69" i="38"/>
  <c r="K95" i="38"/>
  <c r="P161" i="37"/>
  <c r="P216" i="37"/>
  <c r="M332" i="37"/>
  <c r="P332" i="37"/>
  <c r="M393" i="37"/>
  <c r="P393" i="37"/>
  <c r="M418" i="37"/>
  <c r="P418" i="37"/>
  <c r="P113" i="37"/>
  <c r="P345" i="37"/>
  <c r="P370" i="37"/>
  <c r="P441" i="37"/>
  <c r="G29" i="41"/>
  <c r="AY39" i="41"/>
  <c r="AY43" i="41" s="1"/>
  <c r="BE39" i="41"/>
  <c r="BE43" i="41" s="1"/>
  <c r="J38" i="41"/>
  <c r="J45" i="41" s="1"/>
  <c r="L38" i="41"/>
  <c r="L45" i="41" s="1"/>
  <c r="N38" i="41"/>
  <c r="N45" i="41" s="1"/>
  <c r="P38" i="41"/>
  <c r="P45" i="41" s="1"/>
  <c r="R38" i="41"/>
  <c r="R45" i="41" s="1"/>
  <c r="T38" i="41"/>
  <c r="T45" i="41" s="1"/>
  <c r="V38" i="41"/>
  <c r="V45" i="41" s="1"/>
  <c r="X38" i="41"/>
  <c r="X45" i="41" s="1"/>
  <c r="Z38" i="41"/>
  <c r="Z45" i="41" s="1"/>
  <c r="AB38" i="41"/>
  <c r="AB45" i="41" s="1"/>
  <c r="AD38" i="41"/>
  <c r="AD45" i="41" s="1"/>
  <c r="AF38" i="41"/>
  <c r="AF45" i="41" s="1"/>
  <c r="AH38" i="41"/>
  <c r="AH45" i="41" s="1"/>
  <c r="AJ38" i="41"/>
  <c r="AJ45" i="41" s="1"/>
  <c r="AL38" i="41"/>
  <c r="AL45" i="41" s="1"/>
  <c r="AN38" i="41"/>
  <c r="AN45" i="41" s="1"/>
  <c r="AP38" i="41"/>
  <c r="AP45" i="41" s="1"/>
  <c r="AR38" i="41"/>
  <c r="AR45" i="41" s="1"/>
  <c r="AT38" i="41"/>
  <c r="AT45" i="41" s="1"/>
  <c r="AV38" i="41"/>
  <c r="AV45" i="41" s="1"/>
  <c r="AX38" i="41"/>
  <c r="AX45" i="41" s="1"/>
  <c r="AZ38" i="41"/>
  <c r="AZ45" i="41" s="1"/>
  <c r="BB38" i="41"/>
  <c r="BB45" i="41" s="1"/>
  <c r="BD38" i="41"/>
  <c r="BD45" i="41" s="1"/>
  <c r="AB39" i="41"/>
  <c r="AB43" i="41" s="1"/>
  <c r="AR39" i="41"/>
  <c r="AR43" i="41" s="1"/>
  <c r="G11" i="43"/>
  <c r="G31" i="43"/>
  <c r="G31" i="45"/>
  <c r="G8" i="47"/>
  <c r="G26" i="47"/>
  <c r="G28" i="51"/>
  <c r="G17" i="53"/>
  <c r="G25" i="53"/>
  <c r="P28" i="35"/>
  <c r="M7" i="39"/>
  <c r="K28" i="35"/>
  <c r="J28" i="35"/>
  <c r="N28" i="35"/>
  <c r="M28" i="35"/>
  <c r="M8" i="39"/>
  <c r="N442" i="37" l="1"/>
  <c r="N270" i="37"/>
  <c r="L139" i="44" s="1"/>
  <c r="N394" i="37"/>
  <c r="L79" i="50" s="1"/>
  <c r="I35" i="35"/>
  <c r="H20" i="33" s="1"/>
  <c r="D48" i="51" s="1"/>
  <c r="D7" i="8"/>
  <c r="F27" i="8"/>
  <c r="AR44" i="41"/>
  <c r="AR65" i="41"/>
  <c r="AB44" i="41"/>
  <c r="AB65" i="41"/>
  <c r="L44" i="41"/>
  <c r="L65" i="41"/>
  <c r="AX46" i="41"/>
  <c r="AX61" i="41"/>
  <c r="AX62" i="41" s="1"/>
  <c r="AX63" i="41" s="1"/>
  <c r="AP46" i="41"/>
  <c r="AP61" i="41"/>
  <c r="AP62" i="41" s="1"/>
  <c r="AP63" i="41" s="1"/>
  <c r="AH46" i="41"/>
  <c r="AH61" i="41"/>
  <c r="AH62" i="41" s="1"/>
  <c r="AH63" i="41" s="1"/>
  <c r="Z46" i="41"/>
  <c r="Z61" i="41"/>
  <c r="Z62" i="41" s="1"/>
  <c r="Z63" i="41" s="1"/>
  <c r="R46" i="41"/>
  <c r="R61" i="41"/>
  <c r="R62" i="41" s="1"/>
  <c r="R63" i="41" s="1"/>
  <c r="J46" i="41"/>
  <c r="J61" i="41"/>
  <c r="J62" i="41" s="1"/>
  <c r="J63" i="41" s="1"/>
  <c r="AW44" i="41"/>
  <c r="AW65" i="41"/>
  <c r="AM44" i="41"/>
  <c r="AM65" i="41"/>
  <c r="AA44" i="41"/>
  <c r="AA65" i="41"/>
  <c r="Q44" i="41"/>
  <c r="Q65" i="41"/>
  <c r="J44" i="41"/>
  <c r="J65" i="41"/>
  <c r="R44" i="41"/>
  <c r="R65" i="41"/>
  <c r="Z44" i="41"/>
  <c r="Z65" i="41"/>
  <c r="AH44" i="41"/>
  <c r="AH65" i="41"/>
  <c r="AP44" i="41"/>
  <c r="AP65" i="41"/>
  <c r="AX44" i="41"/>
  <c r="AX65" i="41"/>
  <c r="AY46" i="41"/>
  <c r="AY61" i="41"/>
  <c r="AY62" i="41" s="1"/>
  <c r="AY63" i="41" s="1"/>
  <c r="S46" i="41"/>
  <c r="S61" i="41"/>
  <c r="S62" i="41" s="1"/>
  <c r="S63" i="41" s="1"/>
  <c r="BE46" i="41"/>
  <c r="BE61" i="41"/>
  <c r="BE62" i="41" s="1"/>
  <c r="BE63" i="41" s="1"/>
  <c r="AW46" i="41"/>
  <c r="AW61" i="41"/>
  <c r="AW62" i="41" s="1"/>
  <c r="AW63" i="41" s="1"/>
  <c r="AO46" i="41"/>
  <c r="AO61" i="41"/>
  <c r="AO62" i="41" s="1"/>
  <c r="AO63" i="41" s="1"/>
  <c r="AG46" i="41"/>
  <c r="AG61" i="41"/>
  <c r="AG62" i="41" s="1"/>
  <c r="AG63" i="41" s="1"/>
  <c r="Y46" i="41"/>
  <c r="Y61" i="41"/>
  <c r="Y62" i="41" s="1"/>
  <c r="Y63" i="41" s="1"/>
  <c r="Q46" i="41"/>
  <c r="Q61" i="41"/>
  <c r="Q62" i="41" s="1"/>
  <c r="Q63" i="41" s="1"/>
  <c r="BD44" i="41"/>
  <c r="BD65" i="41"/>
  <c r="AN44" i="41"/>
  <c r="AN65" i="41"/>
  <c r="X44" i="41"/>
  <c r="X65" i="41"/>
  <c r="BD46" i="41"/>
  <c r="BD61" i="41"/>
  <c r="BD62" i="41" s="1"/>
  <c r="BD63" i="41" s="1"/>
  <c r="AV46" i="41"/>
  <c r="AV61" i="41"/>
  <c r="AV62" i="41" s="1"/>
  <c r="AV63" i="41" s="1"/>
  <c r="AN46" i="41"/>
  <c r="AN61" i="41"/>
  <c r="AN62" i="41" s="1"/>
  <c r="AN63" i="41" s="1"/>
  <c r="AF46" i="41"/>
  <c r="AF61" i="41"/>
  <c r="AF62" i="41" s="1"/>
  <c r="AF63" i="41" s="1"/>
  <c r="X46" i="41"/>
  <c r="X61" i="41"/>
  <c r="X62" i="41" s="1"/>
  <c r="X63" i="41" s="1"/>
  <c r="P46" i="41"/>
  <c r="P61" i="41"/>
  <c r="P62" i="41" s="1"/>
  <c r="P63" i="41" s="1"/>
  <c r="BE44" i="41"/>
  <c r="BE65" i="41"/>
  <c r="AU44" i="41"/>
  <c r="AU65" i="41"/>
  <c r="AI44" i="41"/>
  <c r="AI65" i="41"/>
  <c r="Y44" i="41"/>
  <c r="Y65" i="41"/>
  <c r="O44" i="41"/>
  <c r="O65" i="41"/>
  <c r="U44" i="41"/>
  <c r="U65" i="41"/>
  <c r="AK44" i="41"/>
  <c r="AK65" i="41"/>
  <c r="BA44" i="41"/>
  <c r="BA65" i="41"/>
  <c r="AQ46" i="41"/>
  <c r="AQ61" i="41"/>
  <c r="AQ62" i="41" s="1"/>
  <c r="AQ63" i="41" s="1"/>
  <c r="K46" i="41"/>
  <c r="K61" i="41"/>
  <c r="K62" i="41" s="1"/>
  <c r="K63" i="41" s="1"/>
  <c r="N138" i="40"/>
  <c r="K138" i="40" s="1"/>
  <c r="D46" i="8" s="1"/>
  <c r="N96" i="38"/>
  <c r="H16" i="8" s="1"/>
  <c r="H11" i="8"/>
  <c r="D11" i="8" s="1"/>
  <c r="N130" i="40"/>
  <c r="N346" i="37"/>
  <c r="L79" i="48" s="1"/>
  <c r="BC46" i="41"/>
  <c r="BC61" i="41"/>
  <c r="BC62" i="41" s="1"/>
  <c r="BC63" i="41" s="1"/>
  <c r="AU46" i="41"/>
  <c r="AU61" i="41"/>
  <c r="AU62" i="41" s="1"/>
  <c r="AU63" i="41" s="1"/>
  <c r="AZ44" i="41"/>
  <c r="AZ65" i="41"/>
  <c r="AJ44" i="41"/>
  <c r="AJ65" i="41"/>
  <c r="T44" i="41"/>
  <c r="T65" i="41"/>
  <c r="BB46" i="41"/>
  <c r="BB61" i="41"/>
  <c r="BB62" i="41" s="1"/>
  <c r="BB63" i="41" s="1"/>
  <c r="AT46" i="41"/>
  <c r="AT61" i="41"/>
  <c r="AT62" i="41" s="1"/>
  <c r="AT63" i="41" s="1"/>
  <c r="AL46" i="41"/>
  <c r="AL61" i="41"/>
  <c r="AL62" i="41" s="1"/>
  <c r="AL63" i="41" s="1"/>
  <c r="AD46" i="41"/>
  <c r="AD61" i="41"/>
  <c r="AD62" i="41" s="1"/>
  <c r="AD63" i="41" s="1"/>
  <c r="V46" i="41"/>
  <c r="V61" i="41"/>
  <c r="V62" i="41" s="1"/>
  <c r="V63" i="41" s="1"/>
  <c r="N46" i="41"/>
  <c r="N61" i="41"/>
  <c r="N62" i="41" s="1"/>
  <c r="N63" i="41" s="1"/>
  <c r="BC44" i="41"/>
  <c r="BC65" i="41"/>
  <c r="AQ44" i="41"/>
  <c r="AQ65" i="41"/>
  <c r="AG44" i="41"/>
  <c r="AG65" i="41"/>
  <c r="W44" i="41"/>
  <c r="W65" i="41"/>
  <c r="K44" i="41"/>
  <c r="K65" i="41"/>
  <c r="N44" i="41"/>
  <c r="N65" i="41"/>
  <c r="V44" i="41"/>
  <c r="V65" i="41"/>
  <c r="AD44" i="41"/>
  <c r="AD65" i="41"/>
  <c r="AL44" i="41"/>
  <c r="AL65" i="41"/>
  <c r="AT44" i="41"/>
  <c r="AT65" i="41"/>
  <c r="BB44" i="41"/>
  <c r="BB65" i="41"/>
  <c r="AI46" i="41"/>
  <c r="AI61" i="41"/>
  <c r="AI62" i="41" s="1"/>
  <c r="AI63" i="41" s="1"/>
  <c r="P318" i="37"/>
  <c r="N79" i="46" s="1"/>
  <c r="W46" i="41"/>
  <c r="W61" i="41"/>
  <c r="W62" i="41" s="1"/>
  <c r="W63" i="41" s="1"/>
  <c r="O46" i="41"/>
  <c r="O61" i="41"/>
  <c r="O62" i="41" s="1"/>
  <c r="O63" i="41" s="1"/>
  <c r="BA46" i="41"/>
  <c r="BA61" i="41"/>
  <c r="BA62" i="41" s="1"/>
  <c r="BA63" i="41" s="1"/>
  <c r="AS46" i="41"/>
  <c r="AS61" i="41"/>
  <c r="AS62" i="41" s="1"/>
  <c r="AS63" i="41" s="1"/>
  <c r="AK46" i="41"/>
  <c r="AK61" i="41"/>
  <c r="AK62" i="41" s="1"/>
  <c r="AK63" i="41" s="1"/>
  <c r="AC46" i="41"/>
  <c r="AC61" i="41"/>
  <c r="AC62" i="41" s="1"/>
  <c r="AC63" i="41" s="1"/>
  <c r="U46" i="41"/>
  <c r="U61" i="41"/>
  <c r="U62" i="41" s="1"/>
  <c r="U63" i="41" s="1"/>
  <c r="M46" i="41"/>
  <c r="M61" i="41"/>
  <c r="M62" i="41" s="1"/>
  <c r="M63" i="41" s="1"/>
  <c r="AV44" i="41"/>
  <c r="AV65" i="41"/>
  <c r="AF44" i="41"/>
  <c r="AF65" i="41"/>
  <c r="P44" i="41"/>
  <c r="P65" i="41"/>
  <c r="AZ46" i="41"/>
  <c r="AZ61" i="41"/>
  <c r="AZ62" i="41" s="1"/>
  <c r="AZ63" i="41" s="1"/>
  <c r="AR46" i="41"/>
  <c r="AR61" i="41"/>
  <c r="AR62" i="41" s="1"/>
  <c r="AR63" i="41" s="1"/>
  <c r="AJ46" i="41"/>
  <c r="AJ61" i="41"/>
  <c r="AJ62" i="41" s="1"/>
  <c r="AJ63" i="41" s="1"/>
  <c r="AB46" i="41"/>
  <c r="AB61" i="41"/>
  <c r="AB62" i="41" s="1"/>
  <c r="AB63" i="41" s="1"/>
  <c r="T46" i="41"/>
  <c r="T61" i="41"/>
  <c r="T62" i="41" s="1"/>
  <c r="T63" i="41" s="1"/>
  <c r="L46" i="41"/>
  <c r="L61" i="41"/>
  <c r="L62" i="41" s="1"/>
  <c r="L63" i="41" s="1"/>
  <c r="AY44" i="41"/>
  <c r="AY65" i="41"/>
  <c r="AO44" i="41"/>
  <c r="AO65" i="41"/>
  <c r="AE44" i="41"/>
  <c r="AE65" i="41"/>
  <c r="S44" i="41"/>
  <c r="S65" i="41"/>
  <c r="O467" i="37"/>
  <c r="G17" i="8" s="1"/>
  <c r="M44" i="41"/>
  <c r="M65" i="41"/>
  <c r="AC44" i="41"/>
  <c r="AC65" i="41"/>
  <c r="AS44" i="41"/>
  <c r="AS65" i="41"/>
  <c r="AA46" i="41"/>
  <c r="AA61" i="41"/>
  <c r="AA62" i="41" s="1"/>
  <c r="AA63" i="41" s="1"/>
  <c r="N114" i="37"/>
  <c r="L139" i="40" s="1"/>
  <c r="H63" i="43"/>
  <c r="H48" i="43"/>
  <c r="I61" i="41"/>
  <c r="I62" i="41" s="1"/>
  <c r="I63" i="41" s="1"/>
  <c r="I46" i="41"/>
  <c r="I44" i="41"/>
  <c r="I65" i="41"/>
  <c r="G36" i="41"/>
  <c r="K43" i="8"/>
  <c r="M39" i="63"/>
  <c r="M77" i="74" s="1"/>
  <c r="L39" i="63"/>
  <c r="N25" i="58"/>
  <c r="N76" i="74" s="1"/>
  <c r="N20" i="66"/>
  <c r="M53" i="74" s="1"/>
  <c r="L74" i="74"/>
  <c r="K45" i="8"/>
  <c r="L75" i="74" s="1"/>
  <c r="N39" i="63"/>
  <c r="N77" i="74" s="1"/>
  <c r="M25" i="58"/>
  <c r="M76" i="74" s="1"/>
  <c r="L25" i="58"/>
  <c r="O20" i="66"/>
  <c r="N53" i="74" s="1"/>
  <c r="M20" i="66"/>
  <c r="L79" i="52"/>
  <c r="K79" i="74"/>
  <c r="K47" i="8" s="1"/>
  <c r="N162" i="37"/>
  <c r="M114" i="37"/>
  <c r="G66" i="45"/>
  <c r="F9" i="39" s="1"/>
  <c r="G11" i="45"/>
  <c r="G66" i="41"/>
  <c r="D8" i="39" s="1"/>
  <c r="G64" i="41"/>
  <c r="D9" i="39" s="1"/>
  <c r="N318" i="37"/>
  <c r="L79" i="46" s="1"/>
  <c r="K79" i="46" s="1"/>
  <c r="G47" i="8" s="1"/>
  <c r="M5" i="39"/>
  <c r="G18" i="47"/>
  <c r="H18" i="45"/>
  <c r="H6" i="39"/>
  <c r="H4" i="39"/>
  <c r="H68" i="45"/>
  <c r="G68" i="45" s="1"/>
  <c r="M270" i="37"/>
  <c r="G34" i="47"/>
  <c r="G16" i="47"/>
  <c r="G36" i="47"/>
  <c r="H64" i="47"/>
  <c r="G64" i="47" s="1"/>
  <c r="G9" i="39"/>
  <c r="N79" i="42"/>
  <c r="K79" i="42" s="1"/>
  <c r="E47" i="8" s="1"/>
  <c r="M139" i="40"/>
  <c r="L78" i="42"/>
  <c r="K78" i="42" s="1"/>
  <c r="E46" i="8" s="1"/>
  <c r="G40" i="43"/>
  <c r="G66" i="43"/>
  <c r="H18" i="43"/>
  <c r="M442" i="37"/>
  <c r="G18" i="41"/>
  <c r="H63" i="41"/>
  <c r="M346" i="37"/>
  <c r="G18" i="51"/>
  <c r="M4" i="39"/>
  <c r="W77" i="40"/>
  <c r="W81" i="40"/>
  <c r="W85" i="40"/>
  <c r="W89" i="40"/>
  <c r="W93" i="40"/>
  <c r="W97" i="40"/>
  <c r="W101" i="40"/>
  <c r="W105" i="40"/>
  <c r="W13" i="40"/>
  <c r="W9" i="40"/>
  <c r="W79" i="40"/>
  <c r="W83" i="40"/>
  <c r="W87" i="40"/>
  <c r="W91" i="40"/>
  <c r="W95" i="40"/>
  <c r="W99" i="40"/>
  <c r="W103" i="40"/>
  <c r="W107" i="40"/>
  <c r="W15" i="40"/>
  <c r="W11" i="40"/>
  <c r="P394" i="37"/>
  <c r="N79" i="50" s="1"/>
  <c r="G17" i="41"/>
  <c r="G21" i="51"/>
  <c r="G37" i="47"/>
  <c r="G20" i="45"/>
  <c r="K96" i="38"/>
  <c r="G33" i="53"/>
  <c r="G39" i="51"/>
  <c r="G37" i="51"/>
  <c r="G35" i="47"/>
  <c r="G39" i="45"/>
  <c r="P442" i="37"/>
  <c r="N79" i="52" s="1"/>
  <c r="P346" i="37"/>
  <c r="N79" i="48" s="1"/>
  <c r="P270" i="37"/>
  <c r="N139" i="44" s="1"/>
  <c r="K139" i="44" s="1"/>
  <c r="F47" i="8" s="1"/>
  <c r="M394" i="37"/>
  <c r="M318" i="37"/>
  <c r="M162" i="37"/>
  <c r="P114" i="37"/>
  <c r="G34" i="53"/>
  <c r="G42" i="53"/>
  <c r="G40" i="51"/>
  <c r="H63" i="47"/>
  <c r="G19" i="47"/>
  <c r="G40" i="45"/>
  <c r="G38" i="41"/>
  <c r="G16" i="53"/>
  <c r="G38" i="51"/>
  <c r="G20" i="51"/>
  <c r="G19" i="51"/>
  <c r="G17" i="51"/>
  <c r="G17" i="47"/>
  <c r="G37" i="41"/>
  <c r="G19" i="41"/>
  <c r="P162" i="37"/>
  <c r="K79" i="52" l="1"/>
  <c r="J47" i="8" s="1"/>
  <c r="K79" i="50"/>
  <c r="I47" i="8" s="1"/>
  <c r="L20" i="33"/>
  <c r="N139" i="40"/>
  <c r="K139" i="40" s="1"/>
  <c r="D47" i="8" s="1"/>
  <c r="P467" i="37"/>
  <c r="H17" i="8" s="1"/>
  <c r="F32" i="36"/>
  <c r="G18" i="45"/>
  <c r="H19" i="45"/>
  <c r="G18" i="43"/>
  <c r="H19" i="43"/>
  <c r="H21" i="43" s="1"/>
  <c r="H45" i="43" s="1"/>
  <c r="H64" i="43"/>
  <c r="H65" i="43" s="1"/>
  <c r="L46" i="8"/>
  <c r="N467" i="37"/>
  <c r="F17" i="8" s="1"/>
  <c r="L77" i="74"/>
  <c r="K39" i="63"/>
  <c r="K48" i="8" s="1"/>
  <c r="L53" i="74"/>
  <c r="L20" i="66"/>
  <c r="K38" i="8" s="1"/>
  <c r="K25" i="58"/>
  <c r="K44" i="8" s="1"/>
  <c r="L76" i="74"/>
  <c r="M467" i="37"/>
  <c r="G57" i="53"/>
  <c r="J6" i="39" s="1"/>
  <c r="G63" i="51"/>
  <c r="I6" i="39" s="1"/>
  <c r="G64" i="51"/>
  <c r="I4" i="39" s="1"/>
  <c r="H65" i="51"/>
  <c r="G65" i="51" s="1"/>
  <c r="I5" i="39" s="1"/>
  <c r="G63" i="45"/>
  <c r="F6" i="39" s="1"/>
  <c r="G63" i="47"/>
  <c r="G7" i="39" s="1"/>
  <c r="K79" i="48"/>
  <c r="H47" i="8" s="1"/>
  <c r="D16" i="8"/>
  <c r="D44" i="47"/>
  <c r="D42" i="53"/>
  <c r="D24" i="49"/>
  <c r="D48" i="45"/>
  <c r="G8" i="39"/>
  <c r="G64" i="45"/>
  <c r="F8" i="39"/>
  <c r="G43" i="49"/>
  <c r="H5" i="39" s="1"/>
  <c r="H11" i="39" s="1"/>
  <c r="G43" i="47"/>
  <c r="C8" i="36" s="1"/>
  <c r="C28" i="36" s="1"/>
  <c r="G44" i="47"/>
  <c r="D46" i="41"/>
  <c r="D48" i="43"/>
  <c r="G38" i="43"/>
  <c r="G20" i="43"/>
  <c r="H68" i="43"/>
  <c r="G68" i="43" s="1"/>
  <c r="E9" i="39"/>
  <c r="G47" i="43"/>
  <c r="C6" i="36" s="1"/>
  <c r="C26" i="36" s="1"/>
  <c r="G41" i="53"/>
  <c r="C11" i="36" s="1"/>
  <c r="C31" i="36" s="1"/>
  <c r="G41" i="47"/>
  <c r="D8" i="36" s="1"/>
  <c r="D28" i="36" s="1"/>
  <c r="G20" i="41"/>
  <c r="G41" i="51"/>
  <c r="G35" i="53"/>
  <c r="G47" i="51"/>
  <c r="C10" i="36" s="1"/>
  <c r="C30" i="36" s="1"/>
  <c r="G39" i="41"/>
  <c r="G48" i="51"/>
  <c r="H61" i="53"/>
  <c r="G61" i="53" s="1"/>
  <c r="J7" i="39" s="1"/>
  <c r="G18" i="53"/>
  <c r="G42" i="47"/>
  <c r="G41" i="45"/>
  <c r="G47" i="45"/>
  <c r="C7" i="36" s="1"/>
  <c r="C27" i="36" s="1"/>
  <c r="G46" i="51"/>
  <c r="G45" i="41"/>
  <c r="C5" i="36" s="1"/>
  <c r="H67" i="51"/>
  <c r="L47" i="8" l="1"/>
  <c r="D40" i="53"/>
  <c r="J43" i="53" s="1"/>
  <c r="D46" i="51"/>
  <c r="D26" i="49"/>
  <c r="G27" i="49" s="1"/>
  <c r="F9" i="36" s="1"/>
  <c r="G9" i="36" s="1"/>
  <c r="D46" i="43"/>
  <c r="S49" i="43" s="1"/>
  <c r="D42" i="47"/>
  <c r="I45" i="47" s="1"/>
  <c r="D46" i="45"/>
  <c r="M49" i="45" s="1"/>
  <c r="D44" i="41"/>
  <c r="J47" i="41" s="1"/>
  <c r="F29" i="36"/>
  <c r="J29" i="36" s="1"/>
  <c r="G32" i="36"/>
  <c r="J32" i="36"/>
  <c r="H21" i="45"/>
  <c r="G19" i="45"/>
  <c r="H46" i="43"/>
  <c r="C25" i="36"/>
  <c r="C33" i="36" s="1"/>
  <c r="C13" i="36"/>
  <c r="R3" i="35" s="1"/>
  <c r="H59" i="53"/>
  <c r="G59" i="53" s="1"/>
  <c r="G58" i="53"/>
  <c r="J4" i="39" s="1"/>
  <c r="G67" i="51"/>
  <c r="I7" i="39" s="1"/>
  <c r="I11" i="39" s="1"/>
  <c r="G61" i="41"/>
  <c r="D6" i="39" s="1"/>
  <c r="G60" i="47"/>
  <c r="G4" i="39" s="1"/>
  <c r="G59" i="47"/>
  <c r="G6" i="39" s="1"/>
  <c r="G63" i="43"/>
  <c r="E6" i="39" s="1"/>
  <c r="H65" i="45"/>
  <c r="F4" i="39"/>
  <c r="E8" i="39"/>
  <c r="G48" i="45"/>
  <c r="G63" i="41"/>
  <c r="D5" i="39" s="1"/>
  <c r="G62" i="41"/>
  <c r="D4" i="39" s="1"/>
  <c r="D17" i="8"/>
  <c r="G41" i="43"/>
  <c r="G39" i="43"/>
  <c r="G19" i="43"/>
  <c r="G48" i="43"/>
  <c r="G64" i="43"/>
  <c r="G46" i="41"/>
  <c r="H65" i="41"/>
  <c r="G65" i="41" s="1"/>
  <c r="G39" i="53"/>
  <c r="D11" i="36" s="1"/>
  <c r="D31" i="36" s="1"/>
  <c r="G45" i="51"/>
  <c r="D10" i="36" s="1"/>
  <c r="D30" i="36" s="1"/>
  <c r="G40" i="53"/>
  <c r="G43" i="41"/>
  <c r="D5" i="36" s="1"/>
  <c r="Y43" i="53" l="1"/>
  <c r="K43" i="53"/>
  <c r="S43" i="53"/>
  <c r="X43" i="53"/>
  <c r="AA43" i="53"/>
  <c r="W43" i="53"/>
  <c r="O43" i="53"/>
  <c r="H43" i="53"/>
  <c r="T43" i="53"/>
  <c r="P43" i="53"/>
  <c r="U43" i="53"/>
  <c r="Q43" i="53"/>
  <c r="M43" i="53"/>
  <c r="I43" i="53"/>
  <c r="Z43" i="53"/>
  <c r="V43" i="53"/>
  <c r="R43" i="53"/>
  <c r="N43" i="53"/>
  <c r="L43" i="53"/>
  <c r="S49" i="51"/>
  <c r="U49" i="51"/>
  <c r="Y49" i="51"/>
  <c r="M49" i="51"/>
  <c r="O49" i="51"/>
  <c r="L49" i="51"/>
  <c r="T49" i="51"/>
  <c r="J49" i="51"/>
  <c r="R49" i="51"/>
  <c r="Z49" i="51"/>
  <c r="Q49" i="51"/>
  <c r="I49" i="51"/>
  <c r="AA49" i="51"/>
  <c r="K49" i="51"/>
  <c r="W49" i="51"/>
  <c r="X49" i="51"/>
  <c r="N49" i="51"/>
  <c r="V49" i="51"/>
  <c r="P49" i="51"/>
  <c r="H49" i="51"/>
  <c r="L45" i="47"/>
  <c r="P45" i="47"/>
  <c r="S45" i="47"/>
  <c r="H45" i="47"/>
  <c r="O45" i="47"/>
  <c r="O49" i="45"/>
  <c r="AD49" i="45"/>
  <c r="X45" i="47"/>
  <c r="AA45" i="47"/>
  <c r="K45" i="47"/>
  <c r="AU49" i="45"/>
  <c r="T45" i="47"/>
  <c r="W45" i="47"/>
  <c r="AM47" i="41"/>
  <c r="V45" i="47"/>
  <c r="N45" i="47"/>
  <c r="Y45" i="47"/>
  <c r="Q45" i="47"/>
  <c r="BC47" i="41"/>
  <c r="Z45" i="47"/>
  <c r="R45" i="47"/>
  <c r="J45" i="47"/>
  <c r="U45" i="47"/>
  <c r="M45" i="47"/>
  <c r="AU47" i="41"/>
  <c r="AE47" i="41"/>
  <c r="O47" i="41"/>
  <c r="W47" i="41"/>
  <c r="BD47" i="41"/>
  <c r="AV47" i="41"/>
  <c r="AN47" i="41"/>
  <c r="X47" i="41"/>
  <c r="AF47" i="41"/>
  <c r="AT49" i="45"/>
  <c r="AE49" i="45"/>
  <c r="N49" i="45"/>
  <c r="AP49" i="45"/>
  <c r="Z49" i="45"/>
  <c r="J49" i="45"/>
  <c r="AQ49" i="45"/>
  <c r="AA49" i="45"/>
  <c r="K49" i="45"/>
  <c r="H49" i="43"/>
  <c r="BB49" i="45"/>
  <c r="AL49" i="45"/>
  <c r="V49" i="45"/>
  <c r="BC49" i="45"/>
  <c r="AM49" i="45"/>
  <c r="W49" i="45"/>
  <c r="AX49" i="45"/>
  <c r="AH49" i="45"/>
  <c r="R49" i="45"/>
  <c r="AY49" i="45"/>
  <c r="AI49" i="45"/>
  <c r="S49" i="45"/>
  <c r="P47" i="41"/>
  <c r="Z49" i="43"/>
  <c r="L49" i="43"/>
  <c r="AY47" i="41"/>
  <c r="AI47" i="41"/>
  <c r="S47" i="41"/>
  <c r="AZ47" i="41"/>
  <c r="AJ47" i="41"/>
  <c r="T47" i="41"/>
  <c r="H47" i="41"/>
  <c r="AQ47" i="41"/>
  <c r="AA47" i="41"/>
  <c r="K47" i="41"/>
  <c r="AR47" i="41"/>
  <c r="AB47" i="41"/>
  <c r="L47" i="41"/>
  <c r="BA47" i="41"/>
  <c r="AS47" i="41"/>
  <c r="AK47" i="41"/>
  <c r="AC47" i="41"/>
  <c r="U47" i="41"/>
  <c r="M47" i="41"/>
  <c r="BB47" i="41"/>
  <c r="AT47" i="41"/>
  <c r="AL47" i="41"/>
  <c r="AD47" i="41"/>
  <c r="V47" i="41"/>
  <c r="N47" i="41"/>
  <c r="BE47" i="41"/>
  <c r="AW47" i="41"/>
  <c r="AO47" i="41"/>
  <c r="AG47" i="41"/>
  <c r="Y47" i="41"/>
  <c r="Q47" i="41"/>
  <c r="I47" i="41"/>
  <c r="AX47" i="41"/>
  <c r="AP47" i="41"/>
  <c r="AH47" i="41"/>
  <c r="Z47" i="41"/>
  <c r="R47" i="41"/>
  <c r="M49" i="43"/>
  <c r="I49" i="43"/>
  <c r="BD49" i="45"/>
  <c r="AV49" i="45"/>
  <c r="AN49" i="45"/>
  <c r="AF49" i="45"/>
  <c r="X49" i="45"/>
  <c r="P49" i="45"/>
  <c r="BE49" i="45"/>
  <c r="AW49" i="45"/>
  <c r="AO49" i="45"/>
  <c r="AG49" i="45"/>
  <c r="Y49" i="45"/>
  <c r="Q49" i="45"/>
  <c r="I49" i="45"/>
  <c r="AA49" i="43"/>
  <c r="O49" i="43"/>
  <c r="Q49" i="43"/>
  <c r="N49" i="43"/>
  <c r="V49" i="43"/>
  <c r="U49" i="43"/>
  <c r="X49" i="43"/>
  <c r="K49" i="43"/>
  <c r="T49" i="43"/>
  <c r="R49" i="43"/>
  <c r="AZ49" i="45"/>
  <c r="AR49" i="45"/>
  <c r="AJ49" i="45"/>
  <c r="AB49" i="45"/>
  <c r="T49" i="45"/>
  <c r="L49" i="45"/>
  <c r="BA49" i="45"/>
  <c r="AS49" i="45"/>
  <c r="AK49" i="45"/>
  <c r="AC49" i="45"/>
  <c r="U49" i="45"/>
  <c r="Y49" i="43"/>
  <c r="J49" i="43"/>
  <c r="P49" i="43"/>
  <c r="W49" i="43"/>
  <c r="G29" i="36"/>
  <c r="K11" i="39"/>
  <c r="J5" i="39"/>
  <c r="J11" i="39" s="1"/>
  <c r="F30" i="36"/>
  <c r="G30" i="36" s="1"/>
  <c r="H45" i="45"/>
  <c r="G21" i="45"/>
  <c r="G46" i="45" s="1"/>
  <c r="D25" i="36"/>
  <c r="G39" i="33"/>
  <c r="G65" i="45"/>
  <c r="F5" i="39" s="1"/>
  <c r="G61" i="47"/>
  <c r="G5" i="39" s="1"/>
  <c r="G11" i="39" s="1"/>
  <c r="D7" i="39"/>
  <c r="D11" i="39" s="1"/>
  <c r="E4" i="39"/>
  <c r="G21" i="43"/>
  <c r="G44" i="41"/>
  <c r="F31" i="36" l="1"/>
  <c r="G43" i="53"/>
  <c r="F11" i="36" s="1"/>
  <c r="J11" i="36" s="1"/>
  <c r="R53" i="52" s="1"/>
  <c r="G49" i="51"/>
  <c r="F10" i="36" s="1"/>
  <c r="G45" i="47"/>
  <c r="F8" i="36" s="1"/>
  <c r="G8" i="36" s="1"/>
  <c r="G47" i="41"/>
  <c r="F5" i="36" s="1"/>
  <c r="J30" i="36"/>
  <c r="F25" i="36"/>
  <c r="J25" i="36" s="1"/>
  <c r="F28" i="36"/>
  <c r="G28" i="36" s="1"/>
  <c r="H46" i="45"/>
  <c r="H67" i="45"/>
  <c r="G67" i="45" s="1"/>
  <c r="F7" i="39" s="1"/>
  <c r="F11" i="39" s="1"/>
  <c r="G45" i="45"/>
  <c r="D7" i="36" s="1"/>
  <c r="D27" i="36" s="1"/>
  <c r="H49" i="45"/>
  <c r="G49" i="45" s="1"/>
  <c r="F7" i="36" s="1"/>
  <c r="G7" i="36" s="1"/>
  <c r="G65" i="43"/>
  <c r="E5" i="39" s="1"/>
  <c r="G49" i="43"/>
  <c r="F6" i="36" s="1"/>
  <c r="H67" i="43"/>
  <c r="G67" i="43" s="1"/>
  <c r="G45" i="43"/>
  <c r="D6" i="36" s="1"/>
  <c r="D13" i="36" l="1"/>
  <c r="S3" i="35" s="1"/>
  <c r="G11" i="36"/>
  <c r="N31" i="33" s="1"/>
  <c r="G10" i="36"/>
  <c r="J10" i="36"/>
  <c r="G25" i="36"/>
  <c r="J28" i="36"/>
  <c r="G46" i="53"/>
  <c r="F27" i="36"/>
  <c r="F13" i="36"/>
  <c r="G6" i="36"/>
  <c r="J31" i="36"/>
  <c r="G31" i="36"/>
  <c r="D26" i="36"/>
  <c r="D33" i="36" s="1"/>
  <c r="E7" i="39"/>
  <c r="E11" i="39" s="1"/>
  <c r="M11" i="39" s="1"/>
  <c r="G46" i="43"/>
  <c r="R52" i="52" l="1"/>
  <c r="G40" i="33"/>
  <c r="G45" i="53"/>
  <c r="G51" i="51"/>
  <c r="R52" i="50"/>
  <c r="K32" i="33"/>
  <c r="G52" i="51"/>
  <c r="R53" i="50"/>
  <c r="G27" i="36"/>
  <c r="J27" i="36"/>
  <c r="F26" i="36"/>
  <c r="F33" i="36" s="1"/>
  <c r="L3" i="35"/>
  <c r="H19" i="39"/>
  <c r="N40" i="33" s="1"/>
  <c r="J26" i="36" l="1"/>
  <c r="G26" i="36"/>
  <c r="G33" i="36" l="1"/>
  <c r="H25" i="36" s="1"/>
  <c r="H43" i="33" s="1"/>
  <c r="J33" i="36"/>
  <c r="K25" i="36" s="1"/>
  <c r="O43" i="33" s="1"/>
  <c r="G16" i="51"/>
  <c r="G15" i="53"/>
  <c r="N120" i="40"/>
  <c r="H9" i="8" s="1"/>
  <c r="L115" i="40"/>
  <c r="L120" i="40" s="1"/>
  <c r="F9" i="8" s="1"/>
  <c r="D9" i="8" l="1"/>
  <c r="F20" i="8"/>
  <c r="D19" i="8"/>
  <c r="F10" i="8" l="1"/>
  <c r="D10" i="8" s="1"/>
  <c r="F8" i="8"/>
  <c r="D8" i="8" s="1"/>
  <c r="F30" i="8"/>
  <c r="F28" i="8"/>
  <c r="F29" i="8"/>
  <c r="F37" i="8"/>
  <c r="D20" i="8" l="1"/>
  <c r="N15" i="66"/>
  <c r="M113" i="44" s="1"/>
  <c r="M121" i="44" s="1"/>
  <c r="M131" i="44" s="1"/>
  <c r="O15" i="66"/>
  <c r="N113" i="44" s="1"/>
  <c r="N121" i="44" s="1"/>
  <c r="N131" i="44" s="1"/>
  <c r="M15" i="66"/>
  <c r="L113" i="44" s="1"/>
  <c r="N34" i="63"/>
  <c r="N137" i="44" s="1"/>
  <c r="M34" i="63"/>
  <c r="M137" i="44" s="1"/>
  <c r="L34" i="63"/>
  <c r="L137" i="44" s="1"/>
  <c r="M20" i="58"/>
  <c r="M136" i="44" s="1"/>
  <c r="N20" i="58"/>
  <c r="N136" i="44" s="1"/>
  <c r="L20" i="58"/>
  <c r="L136" i="44" s="1"/>
  <c r="D37" i="8"/>
  <c r="I37" i="8"/>
  <c r="L134" i="44"/>
  <c r="F43" i="8"/>
  <c r="F45" i="8"/>
  <c r="G37" i="8"/>
  <c r="E37" i="8"/>
  <c r="J37" i="8"/>
  <c r="H37" i="8"/>
  <c r="L37" i="8"/>
  <c r="N85" i="74" l="1"/>
  <c r="M61" i="74"/>
  <c r="M71" i="74" s="1"/>
  <c r="N61" i="74"/>
  <c r="N71" i="74" s="1"/>
  <c r="L15" i="66"/>
  <c r="F38" i="8" s="1"/>
  <c r="O18" i="66"/>
  <c r="N18" i="66"/>
  <c r="M18" i="66"/>
  <c r="N19" i="66"/>
  <c r="M53" i="52" s="1"/>
  <c r="M61" i="52" s="1"/>
  <c r="M71" i="52" s="1"/>
  <c r="O19" i="66"/>
  <c r="N53" i="52" s="1"/>
  <c r="M19" i="66"/>
  <c r="L53" i="52" s="1"/>
  <c r="O16" i="66"/>
  <c r="N53" i="46" s="1"/>
  <c r="N61" i="46" s="1"/>
  <c r="N71" i="46" s="1"/>
  <c r="N16" i="66"/>
  <c r="M53" i="46" s="1"/>
  <c r="M61" i="46" s="1"/>
  <c r="M71" i="46" s="1"/>
  <c r="M16" i="66"/>
  <c r="L53" i="46" s="1"/>
  <c r="N17" i="66"/>
  <c r="M53" i="48" s="1"/>
  <c r="O17" i="66"/>
  <c r="N53" i="48" s="1"/>
  <c r="N61" i="48" s="1"/>
  <c r="N71" i="48" s="1"/>
  <c r="M17" i="66"/>
  <c r="L53" i="48" s="1"/>
  <c r="O14" i="66"/>
  <c r="N53" i="42" s="1"/>
  <c r="N61" i="42" s="1"/>
  <c r="N71" i="42" s="1"/>
  <c r="N14" i="66"/>
  <c r="M53" i="42" s="1"/>
  <c r="M61" i="42" s="1"/>
  <c r="M71" i="42" s="1"/>
  <c r="M14" i="66"/>
  <c r="L53" i="42" s="1"/>
  <c r="L32" i="63"/>
  <c r="L137" i="40" s="1"/>
  <c r="N13" i="66"/>
  <c r="M113" i="40" s="1"/>
  <c r="O13" i="66"/>
  <c r="N113" i="40" s="1"/>
  <c r="N121" i="40" s="1"/>
  <c r="N131" i="40" s="1"/>
  <c r="M13" i="66"/>
  <c r="L113" i="40" s="1"/>
  <c r="K34" i="63"/>
  <c r="F48" i="8" s="1"/>
  <c r="N36" i="63"/>
  <c r="N77" i="48" s="1"/>
  <c r="M36" i="63"/>
  <c r="M77" i="48" s="1"/>
  <c r="L36" i="63"/>
  <c r="L77" i="48" s="1"/>
  <c r="N33" i="63"/>
  <c r="L33" i="63"/>
  <c r="M33" i="63"/>
  <c r="N32" i="63"/>
  <c r="N137" i="40" s="1"/>
  <c r="M32" i="63"/>
  <c r="M137" i="40" s="1"/>
  <c r="N38" i="63"/>
  <c r="N77" i="52" s="1"/>
  <c r="M38" i="63"/>
  <c r="M77" i="52" s="1"/>
  <c r="L38" i="63"/>
  <c r="L77" i="52" s="1"/>
  <c r="N35" i="63"/>
  <c r="N77" i="46" s="1"/>
  <c r="L35" i="63"/>
  <c r="L77" i="46" s="1"/>
  <c r="M35" i="63"/>
  <c r="M77" i="46" s="1"/>
  <c r="N37" i="63"/>
  <c r="L37" i="63"/>
  <c r="M37" i="63"/>
  <c r="M22" i="58"/>
  <c r="M76" i="48" s="1"/>
  <c r="N22" i="58"/>
  <c r="N76" i="48" s="1"/>
  <c r="L22" i="58"/>
  <c r="L76" i="48" s="1"/>
  <c r="M24" i="58"/>
  <c r="M76" i="52" s="1"/>
  <c r="N24" i="58"/>
  <c r="N76" i="52" s="1"/>
  <c r="L24" i="58"/>
  <c r="L76" i="52" s="1"/>
  <c r="M21" i="58"/>
  <c r="M76" i="46" s="1"/>
  <c r="N21" i="58"/>
  <c r="N76" i="46" s="1"/>
  <c r="L21" i="58"/>
  <c r="L76" i="46" s="1"/>
  <c r="M23" i="58"/>
  <c r="N23" i="58"/>
  <c r="L23" i="58"/>
  <c r="K20" i="58"/>
  <c r="F44" i="8" s="1"/>
  <c r="M19" i="58"/>
  <c r="N19" i="58"/>
  <c r="L19" i="58"/>
  <c r="M18" i="58"/>
  <c r="M136" i="40" s="1"/>
  <c r="N18" i="58"/>
  <c r="N136" i="40" s="1"/>
  <c r="L18" i="58"/>
  <c r="L136" i="40" s="1"/>
  <c r="N145" i="44"/>
  <c r="N146" i="44" s="1"/>
  <c r="M145" i="44"/>
  <c r="M146" i="44" s="1"/>
  <c r="K134" i="44"/>
  <c r="D45" i="8"/>
  <c r="N61" i="52"/>
  <c r="L74" i="52"/>
  <c r="M77" i="50"/>
  <c r="M76" i="50"/>
  <c r="N53" i="50"/>
  <c r="N61" i="50" s="1"/>
  <c r="L53" i="50"/>
  <c r="N77" i="50"/>
  <c r="L77" i="50"/>
  <c r="N76" i="50"/>
  <c r="L76" i="50"/>
  <c r="L74" i="50"/>
  <c r="M53" i="50"/>
  <c r="M61" i="50" s="1"/>
  <c r="M71" i="50" s="1"/>
  <c r="M121" i="40"/>
  <c r="M131" i="40" s="1"/>
  <c r="L134" i="40"/>
  <c r="D43" i="8"/>
  <c r="I43" i="8"/>
  <c r="I45" i="8"/>
  <c r="L74" i="48"/>
  <c r="H45" i="8"/>
  <c r="M74" i="48"/>
  <c r="N74" i="48"/>
  <c r="M61" i="48"/>
  <c r="M71" i="48" s="1"/>
  <c r="H43" i="8"/>
  <c r="J45" i="8"/>
  <c r="K75" i="74" s="1"/>
  <c r="J43" i="8"/>
  <c r="G20" i="8"/>
  <c r="N37" i="33" s="1"/>
  <c r="G43" i="8"/>
  <c r="N74" i="46"/>
  <c r="M74" i="46"/>
  <c r="G45" i="8"/>
  <c r="L74" i="46"/>
  <c r="K136" i="44"/>
  <c r="N74" i="42"/>
  <c r="N77" i="42"/>
  <c r="L76" i="42"/>
  <c r="M74" i="42"/>
  <c r="M77" i="42"/>
  <c r="L77" i="42"/>
  <c r="N76" i="42"/>
  <c r="E43" i="8"/>
  <c r="M76" i="42"/>
  <c r="L74" i="42"/>
  <c r="E45" i="8"/>
  <c r="L75" i="42" s="1"/>
  <c r="L135" i="44"/>
  <c r="K135" i="44" s="1"/>
  <c r="K113" i="44"/>
  <c r="K137" i="44"/>
  <c r="N85" i="50" l="1"/>
  <c r="M145" i="40"/>
  <c r="M146" i="40" s="1"/>
  <c r="N3" i="35"/>
  <c r="N86" i="74"/>
  <c r="L135" i="40"/>
  <c r="K135" i="40" s="1"/>
  <c r="L45" i="8"/>
  <c r="L43" i="8"/>
  <c r="K53" i="74"/>
  <c r="M85" i="74"/>
  <c r="M86" i="74" s="1"/>
  <c r="K77" i="74"/>
  <c r="K74" i="74"/>
  <c r="L85" i="74"/>
  <c r="K53" i="48"/>
  <c r="K76" i="74"/>
  <c r="N85" i="52"/>
  <c r="K136" i="40"/>
  <c r="L18" i="66"/>
  <c r="I38" i="8" s="1"/>
  <c r="K32" i="63"/>
  <c r="D48" i="8" s="1"/>
  <c r="L17" i="66"/>
  <c r="H38" i="8" s="1"/>
  <c r="K23" i="58"/>
  <c r="I44" i="8" s="1"/>
  <c r="K24" i="58"/>
  <c r="J44" i="8" s="1"/>
  <c r="L13" i="66"/>
  <c r="D38" i="8" s="1"/>
  <c r="L14" i="66"/>
  <c r="E38" i="8" s="1"/>
  <c r="L16" i="66"/>
  <c r="G38" i="8" s="1"/>
  <c r="L19" i="66"/>
  <c r="J38" i="8" s="1"/>
  <c r="K35" i="63"/>
  <c r="G48" i="8" s="1"/>
  <c r="K38" i="63"/>
  <c r="J48" i="8" s="1"/>
  <c r="K37" i="63"/>
  <c r="I48" i="8" s="1"/>
  <c r="K33" i="63"/>
  <c r="E48" i="8" s="1"/>
  <c r="K36" i="63"/>
  <c r="H48" i="8" s="1"/>
  <c r="K18" i="58"/>
  <c r="D44" i="8" s="1"/>
  <c r="K19" i="58"/>
  <c r="E44" i="8" s="1"/>
  <c r="K21" i="58"/>
  <c r="G44" i="8" s="1"/>
  <c r="K22" i="58"/>
  <c r="H44" i="8" s="1"/>
  <c r="L85" i="42"/>
  <c r="M85" i="46"/>
  <c r="M86" i="46" s="1"/>
  <c r="M85" i="48"/>
  <c r="M86" i="48" s="1"/>
  <c r="M85" i="50"/>
  <c r="M86" i="50" s="1"/>
  <c r="M85" i="52"/>
  <c r="M86" i="52" s="1"/>
  <c r="K134" i="40"/>
  <c r="L145" i="40"/>
  <c r="N85" i="42"/>
  <c r="M85" i="42"/>
  <c r="M86" i="42" s="1"/>
  <c r="N85" i="46"/>
  <c r="N86" i="46" s="1"/>
  <c r="K74" i="50"/>
  <c r="K74" i="52"/>
  <c r="N85" i="48"/>
  <c r="N86" i="48" s="1"/>
  <c r="N145" i="40"/>
  <c r="N146" i="40" s="1"/>
  <c r="L145" i="44"/>
  <c r="N86" i="42"/>
  <c r="K137" i="40"/>
  <c r="K53" i="46"/>
  <c r="L75" i="52"/>
  <c r="K75" i="52" s="1"/>
  <c r="K53" i="52"/>
  <c r="K76" i="52"/>
  <c r="N71" i="52"/>
  <c r="K77" i="52"/>
  <c r="L75" i="50"/>
  <c r="K75" i="50" s="1"/>
  <c r="N71" i="50"/>
  <c r="N86" i="50" s="1"/>
  <c r="K76" i="50"/>
  <c r="K113" i="40"/>
  <c r="K77" i="50"/>
  <c r="K53" i="50"/>
  <c r="K74" i="46"/>
  <c r="K145" i="44"/>
  <c r="K77" i="42"/>
  <c r="K76" i="42"/>
  <c r="L75" i="46"/>
  <c r="L85" i="46" s="1"/>
  <c r="K75" i="42"/>
  <c r="K76" i="46"/>
  <c r="K76" i="48"/>
  <c r="K74" i="42"/>
  <c r="K77" i="46"/>
  <c r="K74" i="48"/>
  <c r="K77" i="48"/>
  <c r="L75" i="48"/>
  <c r="K75" i="48" s="1"/>
  <c r="K53" i="42"/>
  <c r="N86" i="52" l="1"/>
  <c r="L38" i="8"/>
  <c r="L48" i="8"/>
  <c r="L44" i="8"/>
  <c r="K85" i="74"/>
  <c r="K85" i="48"/>
  <c r="K85" i="42"/>
  <c r="L85" i="52"/>
  <c r="L85" i="50"/>
  <c r="L85" i="48"/>
  <c r="K145" i="40"/>
  <c r="K85" i="52"/>
  <c r="K85" i="50"/>
  <c r="K75" i="46"/>
  <c r="K85" i="46" s="1"/>
  <c r="C32" i="33"/>
  <c r="R52" i="48"/>
  <c r="J6" i="36"/>
  <c r="G52" i="43" s="1"/>
  <c r="G51" i="45"/>
  <c r="J7" i="36"/>
  <c r="R113" i="44" s="1"/>
  <c r="J9" i="36"/>
  <c r="R53" i="48" s="1"/>
  <c r="G30" i="49" l="1"/>
  <c r="G52" i="45"/>
  <c r="R112" i="44"/>
  <c r="G51" i="43"/>
  <c r="G31" i="33"/>
  <c r="R53" i="42"/>
  <c r="K31" i="33"/>
  <c r="G29" i="49"/>
  <c r="R52" i="42"/>
  <c r="H20" i="8" l="1"/>
  <c r="G37" i="33" s="1"/>
  <c r="E9" i="8" l="1"/>
  <c r="X8" i="74"/>
  <c r="X9" i="74"/>
  <c r="Y9" i="74" s="1"/>
  <c r="X10" i="74"/>
  <c r="Y10" i="74" s="1"/>
  <c r="X11" i="74"/>
  <c r="Y11" i="74" s="1"/>
  <c r="X12" i="74"/>
  <c r="Y12" i="74" s="1"/>
  <c r="X13" i="74"/>
  <c r="Y13" i="74" s="1"/>
  <c r="X14" i="74"/>
  <c r="Y14" i="74" s="1"/>
  <c r="X15" i="74"/>
  <c r="Y15" i="74" s="1"/>
  <c r="X16" i="74"/>
  <c r="Y16" i="74" s="1"/>
  <c r="X17" i="74"/>
  <c r="Y17" i="74" s="1"/>
  <c r="X18" i="74"/>
  <c r="Y18" i="74" s="1"/>
  <c r="X19" i="74"/>
  <c r="Y19" i="74" s="1"/>
  <c r="X21" i="74"/>
  <c r="Y21" i="74" s="1"/>
  <c r="X22" i="74"/>
  <c r="Y22" i="74" s="1"/>
  <c r="X24" i="74"/>
  <c r="Y24" i="74" s="1"/>
  <c r="X28" i="74"/>
  <c r="Y28" i="74" s="1"/>
  <c r="X31" i="74"/>
  <c r="Y31" i="74" s="1"/>
  <c r="X34" i="74"/>
  <c r="Y34" i="74" s="1"/>
  <c r="X36" i="74"/>
  <c r="Y36" i="74" s="1"/>
  <c r="X38" i="74"/>
  <c r="Y38" i="74" s="1"/>
  <c r="X41" i="74"/>
  <c r="Y41" i="74" s="1"/>
  <c r="X44" i="74"/>
  <c r="Y44" i="74" s="1"/>
  <c r="X48" i="74"/>
  <c r="Y48" i="74" s="1"/>
  <c r="X20" i="74"/>
  <c r="Y20" i="74" s="1"/>
  <c r="X23" i="74"/>
  <c r="Y23" i="74" s="1"/>
  <c r="X25" i="74"/>
  <c r="Y25" i="74" s="1"/>
  <c r="X26" i="74"/>
  <c r="Y26" i="74" s="1"/>
  <c r="X27" i="74"/>
  <c r="Y27" i="74" s="1"/>
  <c r="X29" i="74"/>
  <c r="Y29" i="74" s="1"/>
  <c r="X30" i="74"/>
  <c r="Y30" i="74" s="1"/>
  <c r="X32" i="74"/>
  <c r="Y32" i="74" s="1"/>
  <c r="X33" i="74"/>
  <c r="Y33" i="74" s="1"/>
  <c r="X35" i="74"/>
  <c r="Y35" i="74" s="1"/>
  <c r="X37" i="74"/>
  <c r="Y37" i="74" s="1"/>
  <c r="X39" i="74"/>
  <c r="Y39" i="74" s="1"/>
  <c r="X40" i="74"/>
  <c r="Y40" i="74" s="1"/>
  <c r="X42" i="74"/>
  <c r="Y42" i="74" s="1"/>
  <c r="X43" i="74"/>
  <c r="Y43" i="74" s="1"/>
  <c r="X45" i="74"/>
  <c r="Y45" i="74" s="1"/>
  <c r="X46" i="74"/>
  <c r="Y46" i="74" s="1"/>
  <c r="X47" i="74"/>
  <c r="Y47" i="74" s="1"/>
  <c r="X8" i="52"/>
  <c r="X11" i="52"/>
  <c r="Y11" i="52" s="1"/>
  <c r="X13" i="52"/>
  <c r="Y13" i="52" s="1"/>
  <c r="X16" i="52"/>
  <c r="Y16" i="52" s="1"/>
  <c r="X18" i="52"/>
  <c r="Y18" i="52" s="1"/>
  <c r="X20" i="52"/>
  <c r="Y20" i="52" s="1"/>
  <c r="X23" i="52"/>
  <c r="Y23" i="52" s="1"/>
  <c r="X25" i="52"/>
  <c r="Y25" i="52" s="1"/>
  <c r="X27" i="52"/>
  <c r="Y27" i="52" s="1"/>
  <c r="X30" i="52"/>
  <c r="Y30" i="52" s="1"/>
  <c r="X33" i="52"/>
  <c r="Y33" i="52" s="1"/>
  <c r="X15" i="52"/>
  <c r="Y15" i="52" s="1"/>
  <c r="X29" i="52"/>
  <c r="X34" i="52"/>
  <c r="Y34" i="52" s="1"/>
  <c r="X37" i="52"/>
  <c r="Y37" i="52" s="1"/>
  <c r="X39" i="52"/>
  <c r="Y39" i="52" s="1"/>
  <c r="X41" i="52"/>
  <c r="Y41" i="52" s="1"/>
  <c r="X43" i="52"/>
  <c r="Y43" i="52" s="1"/>
  <c r="X45" i="52"/>
  <c r="Y45" i="52" s="1"/>
  <c r="X47" i="52"/>
  <c r="Y47" i="52" s="1"/>
  <c r="X10" i="52"/>
  <c r="Y10" i="52" s="1"/>
  <c r="X12" i="52"/>
  <c r="Y12" i="52" s="1"/>
  <c r="X14" i="52"/>
  <c r="Y14" i="52" s="1"/>
  <c r="X17" i="52"/>
  <c r="Y17" i="52" s="1"/>
  <c r="X19" i="52"/>
  <c r="Y19" i="52" s="1"/>
  <c r="X21" i="52"/>
  <c r="Y21" i="52" s="1"/>
  <c r="X24" i="52"/>
  <c r="Y24" i="52" s="1"/>
  <c r="X26" i="52"/>
  <c r="Y26" i="52" s="1"/>
  <c r="X28" i="52"/>
  <c r="Y28" i="52" s="1"/>
  <c r="X31" i="52"/>
  <c r="Y31" i="52" s="1"/>
  <c r="X36" i="52"/>
  <c r="Y36" i="52" s="1"/>
  <c r="X9" i="52"/>
  <c r="Y9" i="52" s="1"/>
  <c r="X22" i="52"/>
  <c r="Y22" i="52" s="1"/>
  <c r="X32" i="52"/>
  <c r="Y32" i="52" s="1"/>
  <c r="X35" i="52"/>
  <c r="Y35" i="52" s="1"/>
  <c r="X38" i="52"/>
  <c r="Y38" i="52" s="1"/>
  <c r="X40" i="52"/>
  <c r="Y40" i="52" s="1"/>
  <c r="X42" i="52"/>
  <c r="Y42" i="52" s="1"/>
  <c r="X44" i="52"/>
  <c r="Y44" i="52" s="1"/>
  <c r="X46" i="52"/>
  <c r="Y46" i="52" s="1"/>
  <c r="X48" i="52"/>
  <c r="Y48" i="52" s="1"/>
  <c r="X15" i="50"/>
  <c r="Y15" i="50" s="1"/>
  <c r="X30" i="44"/>
  <c r="Y30" i="44" s="1"/>
  <c r="X14" i="42"/>
  <c r="Y14" i="42" s="1"/>
  <c r="X8" i="44"/>
  <c r="X27" i="48"/>
  <c r="Y27" i="48" s="1"/>
  <c r="X39" i="42"/>
  <c r="Y39" i="42" s="1"/>
  <c r="X94" i="44"/>
  <c r="Y94" i="44" s="1"/>
  <c r="X13" i="50"/>
  <c r="Y13" i="50" s="1"/>
  <c r="X21" i="50"/>
  <c r="Y21" i="50" s="1"/>
  <c r="X32" i="46"/>
  <c r="Y32" i="46" s="1"/>
  <c r="X29" i="46"/>
  <c r="Y29" i="46" s="1"/>
  <c r="X21" i="48"/>
  <c r="Y21" i="48" s="1"/>
  <c r="X40" i="42"/>
  <c r="Y40" i="42" s="1"/>
  <c r="X37" i="46"/>
  <c r="Y37" i="46" s="1"/>
  <c r="X15" i="48"/>
  <c r="Y15" i="48" s="1"/>
  <c r="X13" i="40"/>
  <c r="Y13" i="40" s="1"/>
  <c r="X31" i="48"/>
  <c r="Y31" i="48" s="1"/>
  <c r="X98" i="44"/>
  <c r="Y98" i="44" s="1"/>
  <c r="X51" i="40"/>
  <c r="Y51" i="40" s="1"/>
  <c r="X51" i="44"/>
  <c r="Y51" i="44" s="1"/>
  <c r="X68" i="40"/>
  <c r="Y68" i="40" s="1"/>
  <c r="X29" i="44"/>
  <c r="Y29" i="44" s="1"/>
  <c r="X93" i="44"/>
  <c r="Y93" i="44" s="1"/>
  <c r="X19" i="50"/>
  <c r="Y19" i="50" s="1"/>
  <c r="X69" i="40"/>
  <c r="Y69" i="40" s="1"/>
  <c r="X22" i="50"/>
  <c r="Y22" i="50" s="1"/>
  <c r="X27" i="50"/>
  <c r="Y27" i="50" s="1"/>
  <c r="X101" i="44"/>
  <c r="Y101" i="44" s="1"/>
  <c r="X96" i="40"/>
  <c r="Y96" i="40" s="1"/>
  <c r="X19" i="44"/>
  <c r="Y19" i="44" s="1"/>
  <c r="X28" i="42"/>
  <c r="Y28" i="42" s="1"/>
  <c r="X29" i="40"/>
  <c r="Y29" i="40" s="1"/>
  <c r="X41" i="40"/>
  <c r="Y41" i="40" s="1"/>
  <c r="X33" i="48"/>
  <c r="Y33" i="48" s="1"/>
  <c r="X13" i="44"/>
  <c r="Y13" i="44" s="1"/>
  <c r="X37" i="44"/>
  <c r="Y37" i="44" s="1"/>
  <c r="X103" i="44"/>
  <c r="Y103" i="44" s="1"/>
  <c r="X25" i="42"/>
  <c r="Y25" i="42" s="1"/>
  <c r="X30" i="42"/>
  <c r="Y30" i="42" s="1"/>
  <c r="X41" i="48"/>
  <c r="Y41" i="48" s="1"/>
  <c r="X11" i="42"/>
  <c r="Y11" i="42" s="1"/>
  <c r="X17" i="50"/>
  <c r="Y17" i="50" s="1"/>
  <c r="X41" i="44"/>
  <c r="Y41" i="44" s="1"/>
  <c r="X74" i="44"/>
  <c r="Y74" i="44" s="1"/>
  <c r="X103" i="40"/>
  <c r="Y103" i="40" s="1"/>
  <c r="X24" i="48"/>
  <c r="Y24" i="48" s="1"/>
  <c r="X22" i="48"/>
  <c r="Y22" i="48" s="1"/>
  <c r="X48" i="42"/>
  <c r="Y48" i="42" s="1"/>
  <c r="X72" i="40"/>
  <c r="Y72" i="40" s="1"/>
  <c r="X45" i="46"/>
  <c r="Y45" i="46" s="1"/>
  <c r="X91" i="40"/>
  <c r="Y91" i="40" s="1"/>
  <c r="X23" i="48"/>
  <c r="Y23" i="48" s="1"/>
  <c r="X38" i="40"/>
  <c r="Y38" i="40" s="1"/>
  <c r="X12" i="40"/>
  <c r="Y12" i="40" s="1"/>
  <c r="X33" i="46"/>
  <c r="Y33" i="46" s="1"/>
  <c r="X107" i="40"/>
  <c r="Y107" i="40" s="1"/>
  <c r="X28" i="48"/>
  <c r="Y28" i="48" s="1"/>
  <c r="X67" i="44"/>
  <c r="Y67" i="44" s="1"/>
  <c r="X52" i="40"/>
  <c r="Y52" i="40" s="1"/>
  <c r="X104" i="40"/>
  <c r="Y104" i="40" s="1"/>
  <c r="X27" i="46"/>
  <c r="Y27" i="46" s="1"/>
  <c r="X22" i="46"/>
  <c r="Y22" i="46" s="1"/>
  <c r="X82" i="44"/>
  <c r="Y82" i="44" s="1"/>
  <c r="X43" i="42"/>
  <c r="Y43" i="42" s="1"/>
  <c r="X95" i="40"/>
  <c r="Y95" i="40" s="1"/>
  <c r="X105" i="40"/>
  <c r="Y105" i="40" s="1"/>
  <c r="X24" i="40"/>
  <c r="Y24" i="40" s="1"/>
  <c r="X105" i="44"/>
  <c r="Y105" i="44" s="1"/>
  <c r="X73" i="44"/>
  <c r="Y73" i="44" s="1"/>
  <c r="X108" i="40"/>
  <c r="Y108" i="40" s="1"/>
  <c r="X13" i="48"/>
  <c r="Y13" i="48" s="1"/>
  <c r="X10" i="50"/>
  <c r="Y10" i="50" s="1"/>
  <c r="X30" i="40"/>
  <c r="Y30" i="40" s="1"/>
  <c r="X47" i="40"/>
  <c r="Y47" i="40" s="1"/>
  <c r="X89" i="40"/>
  <c r="Y89" i="40" s="1"/>
  <c r="X46" i="46"/>
  <c r="Y46" i="46" s="1"/>
  <c r="X44" i="40"/>
  <c r="Y44" i="40" s="1"/>
  <c r="X17" i="42"/>
  <c r="Y17" i="42" s="1"/>
  <c r="X50" i="40"/>
  <c r="Y50" i="40" s="1"/>
  <c r="X25" i="46"/>
  <c r="Y25" i="46" s="1"/>
  <c r="X24" i="46"/>
  <c r="Y24" i="46" s="1"/>
  <c r="X49" i="40"/>
  <c r="Y49" i="40" s="1"/>
  <c r="X89" i="44"/>
  <c r="Y89" i="44" s="1"/>
  <c r="X19" i="48"/>
  <c r="Y19" i="48" s="1"/>
  <c r="X62" i="40"/>
  <c r="Y62" i="40" s="1"/>
  <c r="X31" i="50"/>
  <c r="Y31" i="50" s="1"/>
  <c r="X33" i="50"/>
  <c r="Y33" i="50" s="1"/>
  <c r="X35" i="50"/>
  <c r="Y35" i="50" s="1"/>
  <c r="X37" i="50"/>
  <c r="Y37" i="50" s="1"/>
  <c r="X39" i="50"/>
  <c r="Y39" i="50" s="1"/>
  <c r="X41" i="50"/>
  <c r="Y41" i="50" s="1"/>
  <c r="X43" i="50"/>
  <c r="Y43" i="50" s="1"/>
  <c r="X45" i="50"/>
  <c r="Y45" i="50" s="1"/>
  <c r="X47" i="50"/>
  <c r="Y47" i="50" s="1"/>
  <c r="X9" i="50"/>
  <c r="Y9" i="50" s="1"/>
  <c r="X12" i="50"/>
  <c r="Y12" i="50" s="1"/>
  <c r="X14" i="50"/>
  <c r="Y14" i="50" s="1"/>
  <c r="X16" i="50"/>
  <c r="Y16" i="50" s="1"/>
  <c r="X18" i="50"/>
  <c r="Y18" i="50" s="1"/>
  <c r="X20" i="50"/>
  <c r="Y20" i="50" s="1"/>
  <c r="X23" i="50"/>
  <c r="Y23" i="50" s="1"/>
  <c r="X48" i="50"/>
  <c r="Y48" i="50" s="1"/>
  <c r="X11" i="50"/>
  <c r="Y11" i="50" s="1"/>
  <c r="X24" i="50"/>
  <c r="Y24" i="50" s="1"/>
  <c r="X26" i="50"/>
  <c r="Y26" i="50" s="1"/>
  <c r="X28" i="50"/>
  <c r="Y28" i="50" s="1"/>
  <c r="X30" i="50"/>
  <c r="Y30" i="50" s="1"/>
  <c r="X32" i="50"/>
  <c r="Y32" i="50" s="1"/>
  <c r="X34" i="50"/>
  <c r="Y34" i="50" s="1"/>
  <c r="X36" i="50"/>
  <c r="Y36" i="50" s="1"/>
  <c r="X38" i="50"/>
  <c r="Y38" i="50" s="1"/>
  <c r="X40" i="50"/>
  <c r="Y40" i="50" s="1"/>
  <c r="X42" i="50"/>
  <c r="Y42" i="50" s="1"/>
  <c r="X44" i="50"/>
  <c r="Y44" i="50" s="1"/>
  <c r="X46" i="50"/>
  <c r="Y46" i="50" s="1"/>
  <c r="X26" i="44"/>
  <c r="Y26" i="44" s="1"/>
  <c r="X12" i="48"/>
  <c r="Y12" i="48" s="1"/>
  <c r="X80" i="44"/>
  <c r="Y80" i="44" s="1"/>
  <c r="X40" i="40"/>
  <c r="Y40" i="40" s="1"/>
  <c r="X64" i="44"/>
  <c r="Y64" i="44" s="1"/>
  <c r="X29" i="50"/>
  <c r="X38" i="44"/>
  <c r="Y38" i="44" s="1"/>
  <c r="X61" i="44"/>
  <c r="Y61" i="44" s="1"/>
  <c r="X26" i="48"/>
  <c r="Y26" i="48" s="1"/>
  <c r="X85" i="40"/>
  <c r="Y85" i="40" s="1"/>
  <c r="X27" i="40"/>
  <c r="Y27" i="40" s="1"/>
  <c r="X16" i="40"/>
  <c r="Y16" i="40" s="1"/>
  <c r="X94" i="40"/>
  <c r="Y94" i="40" s="1"/>
  <c r="X56" i="44"/>
  <c r="Y56" i="44" s="1"/>
  <c r="X37" i="48"/>
  <c r="Y37" i="48" s="1"/>
  <c r="X20" i="48"/>
  <c r="Y20" i="48" s="1"/>
  <c r="X73" i="40"/>
  <c r="Y73" i="40" s="1"/>
  <c r="X38" i="42"/>
  <c r="Y38" i="42" s="1"/>
  <c r="X93" i="40"/>
  <c r="Y93" i="40" s="1"/>
  <c r="X80" i="40"/>
  <c r="Y80" i="40" s="1"/>
  <c r="X47" i="44"/>
  <c r="Y47" i="44" s="1"/>
  <c r="X19" i="42"/>
  <c r="Y19" i="42" s="1"/>
  <c r="X44" i="42"/>
  <c r="Y44" i="42" s="1"/>
  <c r="X27" i="42"/>
  <c r="Y27" i="42" s="1"/>
  <c r="X77" i="40"/>
  <c r="Y77" i="40" s="1"/>
  <c r="X23" i="40"/>
  <c r="Y23" i="40" s="1"/>
  <c r="X27" i="44"/>
  <c r="Y27" i="44" s="1"/>
  <c r="X48" i="46"/>
  <c r="Y48" i="46" s="1"/>
  <c r="X43" i="48"/>
  <c r="Y43" i="48" s="1"/>
  <c r="X40" i="48"/>
  <c r="Y40" i="48" s="1"/>
  <c r="X62" i="44"/>
  <c r="Y62" i="44" s="1"/>
  <c r="X11" i="44"/>
  <c r="Y11" i="44" s="1"/>
  <c r="X90" i="40"/>
  <c r="Y90" i="40" s="1"/>
  <c r="X39" i="40"/>
  <c r="Y39" i="40" s="1"/>
  <c r="X52" i="44"/>
  <c r="Y52" i="44" s="1"/>
  <c r="X17" i="44"/>
  <c r="Y17" i="44" s="1"/>
  <c r="X20" i="44"/>
  <c r="Y20" i="44" s="1"/>
  <c r="X87" i="44"/>
  <c r="Y87" i="44" s="1"/>
  <c r="X84" i="44"/>
  <c r="Y84" i="44" s="1"/>
  <c r="X86" i="44"/>
  <c r="Y86" i="44" s="1"/>
  <c r="X25" i="50"/>
  <c r="Y25" i="50" s="1"/>
  <c r="X33" i="44"/>
  <c r="Y33" i="44" s="1"/>
  <c r="X28" i="44"/>
  <c r="Y28" i="44" s="1"/>
  <c r="X58" i="44"/>
  <c r="Y58" i="44" s="1"/>
  <c r="X42" i="42"/>
  <c r="Y42" i="42" s="1"/>
  <c r="X39" i="48"/>
  <c r="Y39" i="48" s="1"/>
  <c r="X63" i="44"/>
  <c r="Y63" i="44" s="1"/>
  <c r="X38" i="48"/>
  <c r="Y38" i="48" s="1"/>
  <c r="X31" i="40"/>
  <c r="Y31" i="40" s="1"/>
  <c r="X43" i="40"/>
  <c r="Y43" i="40" s="1"/>
  <c r="X97" i="40"/>
  <c r="Y97" i="40" s="1"/>
  <c r="X34" i="46"/>
  <c r="Y34" i="46" s="1"/>
  <c r="X22" i="42"/>
  <c r="Y22" i="42" s="1"/>
  <c r="X42" i="46"/>
  <c r="Y42" i="46" s="1"/>
  <c r="X33" i="40"/>
  <c r="Y33" i="40" s="1"/>
  <c r="X13" i="42"/>
  <c r="Y13" i="42" s="1"/>
  <c r="X32" i="44"/>
  <c r="Y32" i="44" s="1"/>
  <c r="X98" i="40"/>
  <c r="Y98" i="40" s="1"/>
  <c r="X70" i="40"/>
  <c r="Y70" i="40" s="1"/>
  <c r="X54" i="40"/>
  <c r="Y54" i="40" s="1"/>
  <c r="X108" i="44"/>
  <c r="Y108" i="44" s="1"/>
  <c r="X12" i="42"/>
  <c r="Y12" i="42" s="1"/>
  <c r="X83" i="44"/>
  <c r="Y83" i="44" s="1"/>
  <c r="X59" i="44"/>
  <c r="Y59" i="44" s="1"/>
  <c r="X10" i="42"/>
  <c r="Y10" i="42" s="1"/>
  <c r="X44" i="46"/>
  <c r="Y44" i="46" s="1"/>
  <c r="X79" i="40"/>
  <c r="Y79" i="40" s="1"/>
  <c r="X92" i="40"/>
  <c r="Y92" i="40" s="1"/>
  <c r="X36" i="40"/>
  <c r="Y36" i="40" s="1"/>
  <c r="X20" i="42"/>
  <c r="Y20" i="42" s="1"/>
  <c r="X104" i="44"/>
  <c r="Y104" i="44" s="1"/>
  <c r="X25" i="48"/>
  <c r="Y25" i="48" s="1"/>
  <c r="X23" i="46"/>
  <c r="Y23" i="46" s="1"/>
  <c r="X26" i="46"/>
  <c r="Y26" i="46" s="1"/>
  <c r="X36" i="42"/>
  <c r="Y36" i="42" s="1"/>
  <c r="X38" i="46"/>
  <c r="Y38" i="46" s="1"/>
  <c r="X35" i="46"/>
  <c r="Y35" i="46" s="1"/>
  <c r="X40" i="46"/>
  <c r="Y40" i="46" s="1"/>
  <c r="X106" i="44"/>
  <c r="Y106" i="44" s="1"/>
  <c r="X50" i="44"/>
  <c r="Y50" i="44" s="1"/>
  <c r="X65" i="40"/>
  <c r="Y65" i="40" s="1"/>
  <c r="X18" i="42"/>
  <c r="Y18" i="42" s="1"/>
  <c r="X21" i="40"/>
  <c r="Y21" i="40" s="1"/>
  <c r="X22" i="44"/>
  <c r="Y22" i="44" s="1"/>
  <c r="X91" i="44"/>
  <c r="Y91" i="44" s="1"/>
  <c r="X40" i="44"/>
  <c r="Y40" i="44" s="1"/>
  <c r="X90" i="44"/>
  <c r="Y90" i="44" s="1"/>
  <c r="X21" i="42"/>
  <c r="Y21" i="42" s="1"/>
  <c r="X28" i="46"/>
  <c r="Y28" i="46" s="1"/>
  <c r="X22" i="40"/>
  <c r="Y22" i="40" s="1"/>
  <c r="X35" i="40"/>
  <c r="Y35" i="40" s="1"/>
  <c r="X9" i="40"/>
  <c r="Y9" i="40" s="1"/>
  <c r="X15" i="44"/>
  <c r="Y15" i="44" s="1"/>
  <c r="X46" i="42"/>
  <c r="Y46" i="42" s="1"/>
  <c r="X32" i="48"/>
  <c r="Y32" i="48" s="1"/>
  <c r="X63" i="40"/>
  <c r="Y63" i="40" s="1"/>
  <c r="X35" i="42"/>
  <c r="Y35" i="42" s="1"/>
  <c r="X34" i="48"/>
  <c r="Y34" i="48" s="1"/>
  <c r="X53" i="40"/>
  <c r="Y53" i="40" s="1"/>
  <c r="X45" i="42"/>
  <c r="Y45" i="42" s="1"/>
  <c r="X37" i="42"/>
  <c r="Y37" i="42" s="1"/>
  <c r="X46" i="40"/>
  <c r="Y46" i="40" s="1"/>
  <c r="X56" i="40"/>
  <c r="Y56" i="40" s="1"/>
  <c r="X41" i="42"/>
  <c r="Y41" i="42" s="1"/>
  <c r="X21" i="46"/>
  <c r="Y21" i="46" s="1"/>
  <c r="X15" i="40"/>
  <c r="Y15" i="40" s="1"/>
  <c r="X23" i="42"/>
  <c r="Y23" i="42" s="1"/>
  <c r="X47" i="42"/>
  <c r="Y47" i="42" s="1"/>
  <c r="X8" i="50"/>
  <c r="X81" i="40"/>
  <c r="Y81" i="40" s="1"/>
  <c r="X17" i="40"/>
  <c r="Y17" i="40" s="1"/>
  <c r="X34" i="44"/>
  <c r="Y34" i="44" s="1"/>
  <c r="X82" i="40"/>
  <c r="Y82" i="40" s="1"/>
  <c r="X66" i="44"/>
  <c r="Y66" i="44" s="1"/>
  <c r="X86" i="40"/>
  <c r="Y86" i="40" s="1"/>
  <c r="X20" i="46"/>
  <c r="Y20" i="46" s="1"/>
  <c r="X18" i="40"/>
  <c r="Y18" i="40" s="1"/>
  <c r="X55" i="40"/>
  <c r="Y55" i="40" s="1"/>
  <c r="X28" i="40"/>
  <c r="Y28" i="40" s="1"/>
  <c r="X39" i="46"/>
  <c r="Y39" i="46" s="1"/>
  <c r="X32" i="42"/>
  <c r="Y32" i="42" s="1"/>
  <c r="X37" i="40"/>
  <c r="Y37" i="40" s="1"/>
  <c r="X10" i="44"/>
  <c r="Y10" i="44" s="1"/>
  <c r="X24" i="42"/>
  <c r="Y24" i="42" s="1"/>
  <c r="X11" i="48"/>
  <c r="Y11" i="48" s="1"/>
  <c r="X30" i="46"/>
  <c r="Y30" i="46" s="1"/>
  <c r="X17" i="48"/>
  <c r="Y17" i="48" s="1"/>
  <c r="X31" i="42"/>
  <c r="Y31" i="42" s="1"/>
  <c r="X60" i="40"/>
  <c r="Y60" i="40" s="1"/>
  <c r="X81" i="44"/>
  <c r="Y81" i="44" s="1"/>
  <c r="X45" i="40"/>
  <c r="Y45" i="40" s="1"/>
  <c r="X26" i="40"/>
  <c r="Y26" i="40" s="1"/>
  <c r="X36" i="46"/>
  <c r="Y36" i="46" s="1"/>
  <c r="X42" i="48"/>
  <c r="Y42" i="48" s="1"/>
  <c r="X31" i="46"/>
  <c r="Y31" i="46" s="1"/>
  <c r="X88" i="40"/>
  <c r="Y88" i="40" s="1"/>
  <c r="X25" i="40"/>
  <c r="Y25" i="40" s="1"/>
  <c r="X67" i="40"/>
  <c r="Y67" i="40" s="1"/>
  <c r="X48" i="40"/>
  <c r="Y48" i="40" s="1"/>
  <c r="X43" i="46"/>
  <c r="Y43" i="46" s="1"/>
  <c r="X19" i="46"/>
  <c r="Y19" i="46" s="1"/>
  <c r="X9" i="48"/>
  <c r="Y9" i="48" s="1"/>
  <c r="X43" i="44"/>
  <c r="Y43" i="44" s="1"/>
  <c r="X44" i="48"/>
  <c r="Y44" i="48" s="1"/>
  <c r="X26" i="42"/>
  <c r="Y26" i="42" s="1"/>
  <c r="X16" i="44"/>
  <c r="Y16" i="44" s="1"/>
  <c r="X85" i="44"/>
  <c r="Y85" i="44" s="1"/>
  <c r="X24" i="44"/>
  <c r="Y24" i="44" s="1"/>
  <c r="X10" i="48"/>
  <c r="Y10" i="48" s="1"/>
  <c r="X58" i="40"/>
  <c r="Y58" i="40" s="1"/>
  <c r="X8" i="42"/>
  <c r="X8" i="48"/>
  <c r="X16" i="42"/>
  <c r="Y16" i="42" s="1"/>
  <c r="X41" i="46"/>
  <c r="Y41" i="46" s="1"/>
  <c r="X14" i="44"/>
  <c r="Y14" i="44" s="1"/>
  <c r="X99" i="44"/>
  <c r="Y99" i="44" s="1"/>
  <c r="X78" i="40"/>
  <c r="Y78" i="40" s="1"/>
  <c r="X65" i="44"/>
  <c r="Y65" i="44" s="1"/>
  <c r="X76" i="40"/>
  <c r="Y76" i="40" s="1"/>
  <c r="X57" i="44"/>
  <c r="Y57" i="44" s="1"/>
  <c r="X102" i="40"/>
  <c r="Y102" i="40" s="1"/>
  <c r="X66" i="40"/>
  <c r="Y66" i="40" s="1"/>
  <c r="X48" i="44"/>
  <c r="Y48" i="44" s="1"/>
  <c r="X100" i="40"/>
  <c r="Y100" i="40" s="1"/>
  <c r="X57" i="40"/>
  <c r="Y57" i="40" s="1"/>
  <c r="X14" i="40"/>
  <c r="Y14" i="40" s="1"/>
  <c r="X102" i="44"/>
  <c r="Y102" i="44" s="1"/>
  <c r="X14" i="48"/>
  <c r="Y14" i="48" s="1"/>
  <c r="X59" i="40"/>
  <c r="Y59" i="40" s="1"/>
  <c r="X77" i="44"/>
  <c r="Y77" i="44" s="1"/>
  <c r="X76" i="44"/>
  <c r="Y76" i="44" s="1"/>
  <c r="X45" i="48"/>
  <c r="Y45" i="48" s="1"/>
  <c r="X35" i="44"/>
  <c r="Y35" i="44" s="1"/>
  <c r="X101" i="40"/>
  <c r="Y101" i="40" s="1"/>
  <c r="X84" i="40"/>
  <c r="Y84" i="40" s="1"/>
  <c r="X97" i="44"/>
  <c r="Y97" i="44" s="1"/>
  <c r="X99" i="40"/>
  <c r="Y99" i="40" s="1"/>
  <c r="X49" i="44"/>
  <c r="Y49" i="44" s="1"/>
  <c r="X71" i="44"/>
  <c r="Y71" i="44" s="1"/>
  <c r="X68" i="44"/>
  <c r="Y68" i="44" s="1"/>
  <c r="X70" i="44"/>
  <c r="Y70" i="44" s="1"/>
  <c r="X25" i="44"/>
  <c r="Y25" i="44" s="1"/>
  <c r="X61" i="40"/>
  <c r="Y61" i="40" s="1"/>
  <c r="X79" i="44"/>
  <c r="Y79" i="44" s="1"/>
  <c r="X46" i="48"/>
  <c r="Y46" i="48" s="1"/>
  <c r="X34" i="40"/>
  <c r="Y34" i="40" s="1"/>
  <c r="X21" i="44"/>
  <c r="Y21" i="44" s="1"/>
  <c r="X45" i="44"/>
  <c r="Y45" i="44" s="1"/>
  <c r="X48" i="48"/>
  <c r="Y48" i="48" s="1"/>
  <c r="X75" i="44"/>
  <c r="Y75" i="44" s="1"/>
  <c r="X19" i="40"/>
  <c r="Y19" i="40" s="1"/>
  <c r="X54" i="44"/>
  <c r="Y54" i="44" s="1"/>
  <c r="X30" i="48"/>
  <c r="Y30" i="48" s="1"/>
  <c r="X95" i="44"/>
  <c r="Y95" i="44" s="1"/>
  <c r="X53" i="44"/>
  <c r="Y53" i="44" s="1"/>
  <c r="X16" i="48"/>
  <c r="Y16" i="48" s="1"/>
  <c r="X75" i="40"/>
  <c r="Y75" i="40" s="1"/>
  <c r="X74" i="40"/>
  <c r="Y74" i="40" s="1"/>
  <c r="X47" i="48"/>
  <c r="Y47" i="48" s="1"/>
  <c r="X35" i="48"/>
  <c r="Y35" i="48" s="1"/>
  <c r="X39" i="44"/>
  <c r="Y39" i="44" s="1"/>
  <c r="X36" i="44"/>
  <c r="Y36" i="44" s="1"/>
  <c r="X18" i="44"/>
  <c r="Y18" i="44" s="1"/>
  <c r="X16" i="46"/>
  <c r="Y16" i="46" s="1"/>
  <c r="X29" i="42"/>
  <c r="Y29" i="42" s="1"/>
  <c r="X33" i="42"/>
  <c r="Y33" i="42" s="1"/>
  <c r="X83" i="40"/>
  <c r="Y83" i="40" s="1"/>
  <c r="X23" i="44"/>
  <c r="Y23" i="44" s="1"/>
  <c r="X31" i="44"/>
  <c r="Y31" i="44" s="1"/>
  <c r="X69" i="44"/>
  <c r="Y69" i="44" s="1"/>
  <c r="X92" i="44"/>
  <c r="Y92" i="44" s="1"/>
  <c r="X9" i="42"/>
  <c r="Y9" i="42" s="1"/>
  <c r="X42" i="44"/>
  <c r="Y42" i="44" s="1"/>
  <c r="X106" i="40"/>
  <c r="Y106" i="40" s="1"/>
  <c r="X15" i="42"/>
  <c r="Y15" i="42" s="1"/>
  <c r="X107" i="44"/>
  <c r="Y107" i="44" s="1"/>
  <c r="X87" i="40"/>
  <c r="Y87" i="40" s="1"/>
  <c r="X96" i="44"/>
  <c r="Y96" i="44" s="1"/>
  <c r="X72" i="44"/>
  <c r="Y72" i="44" s="1"/>
  <c r="X32" i="40"/>
  <c r="Y32" i="40" s="1"/>
  <c r="X47" i="46"/>
  <c r="Y47" i="46" s="1"/>
  <c r="X42" i="40"/>
  <c r="Y42" i="40" s="1"/>
  <c r="X9" i="44"/>
  <c r="Y9" i="44" s="1"/>
  <c r="X12" i="44"/>
  <c r="Y12" i="44" s="1"/>
  <c r="X88" i="44"/>
  <c r="Y88" i="44" s="1"/>
  <c r="X29" i="48"/>
  <c r="Y29" i="48" s="1"/>
  <c r="X55" i="44"/>
  <c r="Y55" i="44" s="1"/>
  <c r="X64" i="40"/>
  <c r="Y64" i="40" s="1"/>
  <c r="X20" i="40"/>
  <c r="Y20" i="40" s="1"/>
  <c r="X18" i="48"/>
  <c r="Y18" i="48" s="1"/>
  <c r="X10" i="40"/>
  <c r="Y10" i="40" s="1"/>
  <c r="X71" i="40"/>
  <c r="Y71" i="40" s="1"/>
  <c r="X44" i="44"/>
  <c r="Y44" i="44" s="1"/>
  <c r="X34" i="42"/>
  <c r="Y34" i="42" s="1"/>
  <c r="X11" i="40"/>
  <c r="Y11" i="40" s="1"/>
  <c r="X60" i="44"/>
  <c r="Y60" i="44" s="1"/>
  <c r="X78" i="44"/>
  <c r="Y78" i="44" s="1"/>
  <c r="X36" i="48"/>
  <c r="Y36" i="48" s="1"/>
  <c r="X46" i="44"/>
  <c r="Y46" i="44" s="1"/>
  <c r="X100" i="44"/>
  <c r="Y100" i="44" s="1"/>
  <c r="X49" i="74" l="1"/>
  <c r="Y8" i="74"/>
  <c r="Y29" i="52"/>
  <c r="X49" i="52"/>
  <c r="I11" i="36" s="1"/>
  <c r="I31" i="36" s="1"/>
  <c r="Y8" i="52"/>
  <c r="X49" i="48"/>
  <c r="Y8" i="48"/>
  <c r="Y8" i="50"/>
  <c r="X49" i="50"/>
  <c r="I10" i="36" s="1"/>
  <c r="I30" i="36" s="1"/>
  <c r="X109" i="44"/>
  <c r="Y8" i="44"/>
  <c r="X8" i="40"/>
  <c r="X14" i="46"/>
  <c r="Y14" i="46" s="1"/>
  <c r="X17" i="46"/>
  <c r="Y17" i="46" s="1"/>
  <c r="X11" i="46"/>
  <c r="Y11" i="46" s="1"/>
  <c r="X12" i="46"/>
  <c r="Y12" i="46" s="1"/>
  <c r="X49" i="42"/>
  <c r="Y8" i="42"/>
  <c r="Y29" i="50"/>
  <c r="X8" i="46"/>
  <c r="X15" i="46"/>
  <c r="Y15" i="46" s="1"/>
  <c r="X13" i="46"/>
  <c r="Y13" i="46" s="1"/>
  <c r="X9" i="46"/>
  <c r="Y9" i="46" s="1"/>
  <c r="X10" i="46"/>
  <c r="Y10" i="46" s="1"/>
  <c r="X18" i="46"/>
  <c r="Y18" i="46" s="1"/>
  <c r="V52" i="74" l="1"/>
  <c r="K12" i="39" s="1"/>
  <c r="I12" i="36"/>
  <c r="V112" i="44"/>
  <c r="F12" i="39" s="1"/>
  <c r="F13" i="39" s="1"/>
  <c r="V52" i="52"/>
  <c r="V52" i="42"/>
  <c r="E12" i="39" s="1"/>
  <c r="E13" i="39" s="1"/>
  <c r="X49" i="46"/>
  <c r="Y8" i="46"/>
  <c r="I6" i="36"/>
  <c r="I26" i="36" s="1"/>
  <c r="Y8" i="40"/>
  <c r="X109" i="40"/>
  <c r="I7" i="36"/>
  <c r="I27" i="36" s="1"/>
  <c r="I9" i="36"/>
  <c r="I29" i="36" s="1"/>
  <c r="V52" i="50"/>
  <c r="I12" i="39" s="1"/>
  <c r="I13" i="39" s="1"/>
  <c r="V52" i="48"/>
  <c r="H12" i="39" s="1"/>
  <c r="H13" i="39" s="1"/>
  <c r="I32" i="36" l="1"/>
  <c r="J12" i="36"/>
  <c r="K13" i="39"/>
  <c r="J12" i="39"/>
  <c r="J13" i="39" s="1"/>
  <c r="V52" i="46"/>
  <c r="G12" i="39" s="1"/>
  <c r="G13" i="39" s="1"/>
  <c r="I8" i="36"/>
  <c r="V112" i="40"/>
  <c r="D12" i="39" s="1"/>
  <c r="I5" i="36"/>
  <c r="J5" i="36" s="1"/>
  <c r="R53" i="74" l="1"/>
  <c r="G30" i="75"/>
  <c r="I25" i="36"/>
  <c r="I13" i="36"/>
  <c r="J13" i="36" s="1"/>
  <c r="D13" i="39"/>
  <c r="H16" i="39" s="1"/>
  <c r="N39" i="33" s="1"/>
  <c r="J8" i="36"/>
  <c r="R53" i="46" s="1"/>
  <c r="I28" i="36"/>
  <c r="M12" i="39" l="1"/>
  <c r="I33" i="36"/>
  <c r="H18" i="39"/>
  <c r="G48" i="47"/>
  <c r="F19" i="36"/>
  <c r="H46" i="33" s="1"/>
  <c r="F20" i="36"/>
  <c r="O46" i="33" s="1"/>
  <c r="K5" i="36"/>
  <c r="M43" i="33" s="1"/>
  <c r="G50" i="41"/>
  <c r="R113" i="40"/>
  <c r="G32" i="33" l="1"/>
  <c r="G47" i="47" l="1"/>
  <c r="R52" i="46"/>
  <c r="Q31" i="55" l="1"/>
  <c r="E33" i="55"/>
  <c r="Q33" i="55" s="1"/>
  <c r="E35" i="55" l="1"/>
  <c r="F35" i="55" s="1"/>
  <c r="G35" i="55" s="1"/>
  <c r="H35" i="55" s="1"/>
  <c r="I35" i="55" s="1"/>
  <c r="J35" i="55" s="1"/>
  <c r="K35" i="55" s="1"/>
  <c r="L35" i="55" s="1"/>
  <c r="M35" i="55" s="1"/>
  <c r="N35" i="55" s="1"/>
  <c r="O35" i="55" s="1"/>
  <c r="P35" i="55" s="1"/>
  <c r="Q35" i="55" s="1"/>
  <c r="E15" i="8"/>
  <c r="E16" i="8"/>
  <c r="E11" i="8"/>
  <c r="E19" i="8"/>
  <c r="E13" i="8"/>
  <c r="E20" i="8"/>
  <c r="G34" i="33"/>
  <c r="E17" i="8"/>
  <c r="J3" i="35"/>
  <c r="E6" i="8"/>
  <c r="E7" i="8"/>
  <c r="E18" i="8"/>
  <c r="D22" i="8"/>
  <c r="D23" i="8" s="1"/>
  <c r="E14" i="8"/>
  <c r="I32" i="58" s="1"/>
  <c r="K41" i="8"/>
  <c r="L64" i="74" s="1"/>
  <c r="I39" i="8"/>
  <c r="G41" i="8" l="1"/>
  <c r="L64" i="46" s="1"/>
  <c r="K64" i="46" s="1"/>
  <c r="K70" i="46" s="1"/>
  <c r="E10" i="8"/>
  <c r="I41" i="8"/>
  <c r="L64" i="50" s="1"/>
  <c r="K64" i="50" s="1"/>
  <c r="K70" i="50" s="1"/>
  <c r="W4" i="63"/>
  <c r="F6" i="6"/>
  <c r="N6" i="6" s="1"/>
  <c r="K39" i="8"/>
  <c r="K51" i="8" s="1"/>
  <c r="K52" i="8" s="1"/>
  <c r="F4" i="6"/>
  <c r="H4" i="6" s="1"/>
  <c r="L52" i="50"/>
  <c r="L70" i="74"/>
  <c r="K64" i="74"/>
  <c r="K70" i="74" s="1"/>
  <c r="D39" i="8"/>
  <c r="J39" i="8"/>
  <c r="F39" i="8"/>
  <c r="E39" i="8"/>
  <c r="H39" i="8"/>
  <c r="G39" i="8"/>
  <c r="F41" i="8"/>
  <c r="L124" i="44" s="1"/>
  <c r="E41" i="8"/>
  <c r="L64" i="42" s="1"/>
  <c r="D41" i="8"/>
  <c r="J41" i="8"/>
  <c r="L64" i="52" s="1"/>
  <c r="F7" i="6"/>
  <c r="F5" i="6"/>
  <c r="E8" i="8"/>
  <c r="H41" i="8"/>
  <c r="L64" i="48" s="1"/>
  <c r="K50" i="8" l="1"/>
  <c r="L52" i="74"/>
  <c r="K52" i="74" s="1"/>
  <c r="K61" i="74" s="1"/>
  <c r="K71" i="74" s="1"/>
  <c r="K86" i="74" s="1"/>
  <c r="P6" i="6"/>
  <c r="L6" i="6"/>
  <c r="L70" i="46"/>
  <c r="J6" i="6"/>
  <c r="Z6" i="6"/>
  <c r="H6" i="6"/>
  <c r="E6" i="6"/>
  <c r="M6" i="6" s="1"/>
  <c r="L4" i="6"/>
  <c r="V6" i="6"/>
  <c r="X6" i="6"/>
  <c r="R6" i="6"/>
  <c r="AB6" i="6"/>
  <c r="AD6" i="6"/>
  <c r="T6" i="6"/>
  <c r="T4" i="6"/>
  <c r="L70" i="50"/>
  <c r="D50" i="8"/>
  <c r="D17" i="39"/>
  <c r="D18" i="39" s="1"/>
  <c r="H17" i="39" s="1"/>
  <c r="H50" i="33" s="1"/>
  <c r="N4" i="6"/>
  <c r="N34" i="33"/>
  <c r="I51" i="8"/>
  <c r="I52" i="8" s="1"/>
  <c r="V4" i="37"/>
  <c r="K3" i="35"/>
  <c r="I50" i="8"/>
  <c r="AD4" i="6"/>
  <c r="V4" i="6"/>
  <c r="E4" i="6"/>
  <c r="K4" i="6" s="1"/>
  <c r="Z4" i="6"/>
  <c r="X4" i="6"/>
  <c r="P4" i="6"/>
  <c r="AB4" i="6"/>
  <c r="R4" i="6"/>
  <c r="J4" i="6"/>
  <c r="F8" i="6"/>
  <c r="L124" i="40"/>
  <c r="L41" i="8"/>
  <c r="L61" i="50"/>
  <c r="K52" i="50"/>
  <c r="K61" i="50" s="1"/>
  <c r="K71" i="50" s="1"/>
  <c r="K86" i="50" s="1"/>
  <c r="X5" i="6"/>
  <c r="AB5" i="6"/>
  <c r="Z5" i="6"/>
  <c r="R5" i="6"/>
  <c r="AD5" i="6"/>
  <c r="P5" i="6"/>
  <c r="T5" i="6"/>
  <c r="J5" i="6"/>
  <c r="H5" i="6"/>
  <c r="N5" i="6"/>
  <c r="E5" i="6"/>
  <c r="V5" i="6"/>
  <c r="L5" i="6"/>
  <c r="L70" i="42"/>
  <c r="K64" i="42"/>
  <c r="K70" i="42" s="1"/>
  <c r="E51" i="8"/>
  <c r="E52" i="8" s="1"/>
  <c r="E50" i="8"/>
  <c r="L52" i="42"/>
  <c r="H7" i="6"/>
  <c r="N7" i="6"/>
  <c r="P7" i="6"/>
  <c r="R7" i="6"/>
  <c r="X7" i="6"/>
  <c r="Z7" i="6"/>
  <c r="AD7" i="6"/>
  <c r="L7" i="6"/>
  <c r="V7" i="6"/>
  <c r="T7" i="6"/>
  <c r="E7" i="6"/>
  <c r="J7" i="6"/>
  <c r="AB7" i="6"/>
  <c r="H51" i="8"/>
  <c r="H52" i="8" s="1"/>
  <c r="H50" i="8"/>
  <c r="L52" i="48"/>
  <c r="K124" i="44"/>
  <c r="K130" i="44" s="1"/>
  <c r="L130" i="44"/>
  <c r="F50" i="8"/>
  <c r="F51" i="8"/>
  <c r="F52" i="8" s="1"/>
  <c r="L112" i="44"/>
  <c r="K64" i="48"/>
  <c r="K70" i="48" s="1"/>
  <c r="L70" i="48"/>
  <c r="L70" i="52"/>
  <c r="K64" i="52"/>
  <c r="K70" i="52" s="1"/>
  <c r="G50" i="8"/>
  <c r="G51" i="8"/>
  <c r="G52" i="8" s="1"/>
  <c r="L52" i="46"/>
  <c r="J50" i="8"/>
  <c r="J51" i="8"/>
  <c r="J52" i="8" s="1"/>
  <c r="L52" i="52"/>
  <c r="L39" i="8"/>
  <c r="D51" i="8"/>
  <c r="D52" i="8" s="1"/>
  <c r="L112" i="40"/>
  <c r="L61" i="74" l="1"/>
  <c r="L71" i="74" s="1"/>
  <c r="L86" i="74" s="1"/>
  <c r="X50" i="74" s="1"/>
  <c r="E12" i="36" s="1"/>
  <c r="AC6" i="6"/>
  <c r="AA6" i="6"/>
  <c r="W6" i="6"/>
  <c r="G6" i="6"/>
  <c r="S6" i="6"/>
  <c r="K6" i="6"/>
  <c r="S4" i="6"/>
  <c r="AA4" i="6"/>
  <c r="W4" i="6"/>
  <c r="U4" i="6"/>
  <c r="I4" i="6"/>
  <c r="G4" i="6"/>
  <c r="L50" i="8"/>
  <c r="L51" i="8" s="1"/>
  <c r="L52" i="8" s="1"/>
  <c r="I6" i="6"/>
  <c r="O6" i="6"/>
  <c r="Y6" i="6"/>
  <c r="Y4" i="6"/>
  <c r="O4" i="6"/>
  <c r="AC4" i="6"/>
  <c r="U6" i="6"/>
  <c r="Q6" i="6"/>
  <c r="Q4" i="6"/>
  <c r="M4" i="6"/>
  <c r="L71" i="50"/>
  <c r="L86" i="50" s="1"/>
  <c r="X50" i="50" s="1"/>
  <c r="E10" i="36" s="1"/>
  <c r="E30" i="36" s="1"/>
  <c r="E8" i="6"/>
  <c r="D19" i="39"/>
  <c r="O50" i="33" s="1"/>
  <c r="Y5" i="6"/>
  <c r="O5" i="6"/>
  <c r="Q5" i="6"/>
  <c r="W5" i="6"/>
  <c r="AC5" i="6"/>
  <c r="AA5" i="6"/>
  <c r="U5" i="6"/>
  <c r="S5" i="6"/>
  <c r="I5" i="6"/>
  <c r="K5" i="6"/>
  <c r="M5" i="6"/>
  <c r="G5" i="6"/>
  <c r="L61" i="42"/>
  <c r="L71" i="42" s="1"/>
  <c r="L86" i="42" s="1"/>
  <c r="K52" i="42"/>
  <c r="K61" i="42" s="1"/>
  <c r="K71" i="42" s="1"/>
  <c r="K86" i="42" s="1"/>
  <c r="S7" i="6"/>
  <c r="Y7" i="6"/>
  <c r="G7" i="6"/>
  <c r="O7" i="6"/>
  <c r="I7" i="6"/>
  <c r="U7" i="6"/>
  <c r="Q7" i="6"/>
  <c r="M7" i="6"/>
  <c r="AA7" i="6"/>
  <c r="AC7" i="6"/>
  <c r="K7" i="6"/>
  <c r="W7" i="6"/>
  <c r="K52" i="46"/>
  <c r="K61" i="46" s="1"/>
  <c r="K71" i="46" s="1"/>
  <c r="K86" i="46" s="1"/>
  <c r="L61" i="46"/>
  <c r="L71" i="46" s="1"/>
  <c r="L86" i="46" s="1"/>
  <c r="L121" i="40"/>
  <c r="K112" i="40"/>
  <c r="K121" i="40" s="1"/>
  <c r="K52" i="52"/>
  <c r="K61" i="52" s="1"/>
  <c r="K71" i="52" s="1"/>
  <c r="K86" i="52" s="1"/>
  <c r="L61" i="52"/>
  <c r="L71" i="52" s="1"/>
  <c r="L86" i="52" s="1"/>
  <c r="L121" i="44"/>
  <c r="L131" i="44" s="1"/>
  <c r="L146" i="44" s="1"/>
  <c r="K112" i="44"/>
  <c r="K121" i="44" s="1"/>
  <c r="K131" i="44" s="1"/>
  <c r="K146" i="44" s="1"/>
  <c r="K52" i="48"/>
  <c r="K61" i="48" s="1"/>
  <c r="K71" i="48" s="1"/>
  <c r="K86" i="48" s="1"/>
  <c r="L61" i="48"/>
  <c r="L71" i="48" s="1"/>
  <c r="L86" i="48" s="1"/>
  <c r="L130" i="40"/>
  <c r="K124" i="40"/>
  <c r="K130" i="40" s="1"/>
  <c r="E32" i="36" l="1"/>
  <c r="G12" i="36"/>
  <c r="X50" i="48"/>
  <c r="E9" i="36" s="1"/>
  <c r="E29" i="36" s="1"/>
  <c r="X50" i="52"/>
  <c r="E11" i="36" s="1"/>
  <c r="E31" i="36" s="1"/>
  <c r="X50" i="46"/>
  <c r="E8" i="36" s="1"/>
  <c r="E28" i="36" s="1"/>
  <c r="K131" i="40"/>
  <c r="K146" i="40" s="1"/>
  <c r="X110" i="44"/>
  <c r="E7" i="36" s="1"/>
  <c r="E27" i="36" s="1"/>
  <c r="L131" i="40"/>
  <c r="L146" i="40" s="1"/>
  <c r="X50" i="42"/>
  <c r="E6" i="36" s="1"/>
  <c r="E26" i="36" s="1"/>
  <c r="N32" i="33" l="1"/>
  <c r="R52" i="74"/>
  <c r="G29" i="75"/>
  <c r="X110" i="40"/>
  <c r="E5" i="36" s="1"/>
  <c r="E13" i="36" l="1"/>
  <c r="G13" i="36" s="1"/>
  <c r="H5" i="36" s="1"/>
  <c r="F43" i="33" s="1"/>
  <c r="G5" i="36"/>
  <c r="E25" i="36"/>
  <c r="E33" i="36" s="1"/>
  <c r="D19" i="36" l="1"/>
  <c r="F46" i="33" s="1"/>
  <c r="M3" i="35"/>
  <c r="D15" i="36"/>
  <c r="D20" i="36"/>
  <c r="M46" i="33" s="1"/>
  <c r="R112" i="40"/>
  <c r="C31" i="33"/>
  <c r="G49" i="41"/>
</calcChain>
</file>

<file path=xl/comments1.xml><?xml version="1.0" encoding="utf-8"?>
<comments xmlns="http://schemas.openxmlformats.org/spreadsheetml/2006/main">
  <authors>
    <author>Arthur Rangel Laureano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</rPr>
          <t xml:space="preserve">CELESC:
</t>
        </r>
        <r>
          <rPr>
            <sz val="9"/>
            <color indexed="81"/>
            <rFont val="Tahoma"/>
            <family val="2"/>
          </rPr>
          <t>Inserir apenas números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 xml:space="preserve">CELESC:
</t>
        </r>
        <r>
          <rPr>
            <sz val="9"/>
            <color indexed="81"/>
            <rFont val="Tahoma"/>
            <family val="2"/>
          </rPr>
          <t>Inserir apenas números para corresponder a um dos seguintes formatos:
(xx) xxxx-xxxx
(xx) xxxxx-xxxx</t>
        </r>
      </text>
    </comment>
  </commentList>
</comments>
</file>

<file path=xl/comments10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11.xml><?xml version="1.0" encoding="utf-8"?>
<comments xmlns="http://schemas.openxmlformats.org/spreadsheetml/2006/main">
  <authors>
    <author>Arthur Rangel Laureano</author>
  </authors>
  <commentList>
    <comment ref="G14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12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3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14.xml><?xml version="1.0" encoding="utf-8"?>
<comments xmlns="http://schemas.openxmlformats.org/spreadsheetml/2006/main">
  <authors>
    <author>Arthur Rangel Laureano</author>
  </authors>
  <commentLis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- 18:00h as 21:00h)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15.xml><?xml version="1.0" encoding="utf-8"?>
<comments xmlns="http://schemas.openxmlformats.org/spreadsheetml/2006/main">
  <authors>
    <author>Arthur Rangel Laureano</author>
    <author>Gustavo Klinguelfus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Em anos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6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17.xml><?xml version="1.0" encoding="utf-8"?>
<comments xmlns="http://schemas.openxmlformats.org/spreadsheetml/2006/main">
  <authors>
    <author>Arthur Rangel Laureano</author>
  </authors>
  <commentLis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6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7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- 18:00h as 21:00h)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6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7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18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19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2.xml><?xml version="1.0" encoding="utf-8"?>
<comments xmlns="http://schemas.openxmlformats.org/spreadsheetml/2006/main">
  <authors>
    <author>Arthur Rangel Laureano</author>
  </authors>
  <commentList>
    <comment ref="U22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22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33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33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33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U44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V44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44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44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55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55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55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55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55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66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V66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W66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66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66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77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V77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77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X77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77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88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88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88" authorId="0" shapeId="0">
      <text>
        <r>
          <rPr>
            <b/>
            <sz val="9"/>
            <color rgb="FF000000"/>
            <rFont val="Tahoma"/>
            <family val="2"/>
          </rPr>
          <t>Arthur Rangel Laureano: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Utilizado os valores do sub-grupo B3, de acordo com o que exige o PROPEE 2013 (item 3.7.1.4, da Seção 7.1, do Módulo 7)</t>
        </r>
      </text>
    </comment>
    <comment ref="X88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88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99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99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99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99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99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11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11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11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11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110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U121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V121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W121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X121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  <comment ref="Y121" authorId="0" shapeId="0">
      <text>
        <r>
          <rPr>
            <b/>
            <sz val="9"/>
            <color indexed="81"/>
            <rFont val="Tahoma"/>
            <family val="2"/>
          </rPr>
          <t>Arthur Rangel Laureano:</t>
        </r>
        <r>
          <rPr>
            <sz val="9"/>
            <color indexed="81"/>
            <rFont val="Tahoma"/>
            <family val="2"/>
          </rPr>
          <t xml:space="preserve">
Utilizado os valores do sub-grupo B3, de acordo com o que exige o PROPEE 2013 (item 3.7.1.4, da Seção 7.1, do Módulo 7)</t>
        </r>
      </text>
    </comment>
  </commentList>
</comments>
</file>

<file path=xl/comments20.xml><?xml version="1.0" encoding="utf-8"?>
<comments xmlns="http://schemas.openxmlformats.org/spreadsheetml/2006/main">
  <authors>
    <author>Arthur Rangel Laureano</author>
  </authors>
  <commentList>
    <comment ref="G13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- 18:00h as 21:00h)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2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21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22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23.xml><?xml version="1.0" encoding="utf-8"?>
<comments xmlns="http://schemas.openxmlformats.org/spreadsheetml/2006/main">
  <authors>
    <author>Gustavo Klinguelfus</author>
  </authors>
  <commentList>
    <comment ref="N17" authorId="0" shapeId="0">
      <text>
        <r>
          <rPr>
            <sz val="9"/>
            <color indexed="81"/>
            <rFont val="Tahoma"/>
            <family val="2"/>
          </rPr>
          <t>Preencher apenas caso os valores sejam conhecidos. Caso contrário FCP = 0,1</t>
        </r>
      </text>
    </comment>
    <comment ref="N18" authorId="0" shapeId="0">
      <text>
        <r>
          <rPr>
            <sz val="9"/>
            <color indexed="81"/>
            <rFont val="Tahoma"/>
            <family val="2"/>
          </rPr>
          <t>Preencher apenas caso os valores sejam conhecidos. Caso contrário FCP = 0,1</t>
        </r>
      </text>
    </comment>
    <comment ref="N19" authorId="0" shapeId="0">
      <text>
        <r>
          <rPr>
            <sz val="9"/>
            <color indexed="81"/>
            <rFont val="Tahoma"/>
            <family val="2"/>
          </rPr>
          <t>Preencher apenas caso os valores sejam conhecidos. Caso contrário FCP = 0,1</t>
        </r>
      </text>
    </comment>
  </commentList>
</comments>
</file>

<file path=xl/comments24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25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26.xml><?xml version="1.0" encoding="utf-8"?>
<comments xmlns="http://schemas.openxmlformats.org/spreadsheetml/2006/main">
  <authors>
    <author>Arthur Rangel Laureano</author>
  </authors>
  <commentList>
    <comment ref="G13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  <comment ref="G33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4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5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27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28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29.xml><?xml version="1.0" encoding="utf-8"?>
<comments xmlns="http://schemas.openxmlformats.org/spreadsheetml/2006/main">
  <authors>
    <author>Arthur Rangel Laureano</author>
  </authors>
  <commentList>
    <comment ref="G12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3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- 18:00h as 21:00h)</t>
        </r>
      </text>
    </comment>
    <comment ref="G29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30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31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</commentList>
</comments>
</file>

<file path=xl/comments3.xml><?xml version="1.0" encoding="utf-8"?>
<comments xmlns="http://schemas.openxmlformats.org/spreadsheetml/2006/main">
  <authors>
    <author>Gustavo Klinguelfus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30.xml><?xml version="1.0" encoding="utf-8"?>
<comments xmlns="http://schemas.openxmlformats.org/spreadsheetml/2006/main">
  <authors>
    <author>Gustavo Klinguelfus</author>
  </authors>
  <commentList>
    <comment ref="B5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9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31.xml><?xml version="1.0" encoding="utf-8"?>
<comments xmlns="http://schemas.openxmlformats.org/spreadsheetml/2006/main">
  <authors>
    <author>Gustavo Klinguelfus</author>
  </authors>
  <commentList>
    <comment ref="W7" authorId="0" shapeId="0">
      <text>
        <r>
          <rPr>
            <sz val="9"/>
            <color indexed="81"/>
            <rFont val="Tahoma"/>
            <family val="2"/>
          </rPr>
          <t>Fator de Recuperação de Capital</t>
        </r>
      </text>
    </comment>
    <comment ref="X7" authorId="0" shapeId="0">
      <text>
        <r>
          <rPr>
            <sz val="9"/>
            <color indexed="81"/>
            <rFont val="Tahoma"/>
            <family val="2"/>
          </rPr>
          <t>Custo anualizado</t>
        </r>
      </text>
    </comment>
  </commentList>
</comments>
</file>

<file path=xl/comments32.xml><?xml version="1.0" encoding="utf-8"?>
<comments xmlns="http://schemas.openxmlformats.org/spreadsheetml/2006/main">
  <authors>
    <author>Arthur Rangel Laureano</author>
  </authors>
  <commentList>
    <comment ref="G13" authorId="0" shapeId="0">
      <text>
        <r>
          <rPr>
            <b/>
            <sz val="8"/>
            <color indexed="81"/>
            <rFont val="Tahoma"/>
            <family val="2"/>
          </rPr>
          <t xml:space="preserve">NM </t>
        </r>
        <r>
          <rPr>
            <sz val="8"/>
            <color indexed="81"/>
            <rFont val="Tahoma"/>
            <family val="2"/>
          </rPr>
          <t>máximo é 12</t>
        </r>
      </text>
    </comment>
    <comment ref="G14" authorId="0" shapeId="0">
      <text>
        <r>
          <rPr>
            <b/>
            <sz val="8"/>
            <color indexed="81"/>
            <rFont val="Tahoma"/>
            <family val="2"/>
          </rPr>
          <t xml:space="preserve">ND </t>
        </r>
        <r>
          <rPr>
            <sz val="8"/>
            <color indexed="81"/>
            <rFont val="Tahoma"/>
            <family val="2"/>
          </rPr>
          <t>máximo é 22 (média de 22 dias úteis por mês com horário de ponta)</t>
        </r>
      </text>
    </comment>
    <comment ref="G15" authorId="0" shapeId="0">
      <text>
        <r>
          <rPr>
            <b/>
            <sz val="8"/>
            <color indexed="81"/>
            <rFont val="Tahoma"/>
            <family val="2"/>
          </rPr>
          <t xml:space="preserve">NUP </t>
        </r>
        <r>
          <rPr>
            <sz val="8"/>
            <color indexed="81"/>
            <rFont val="Tahoma"/>
            <family val="2"/>
          </rPr>
          <t>máximo é 3 (o dia possui somente 3 horas de ponta - 18:30h as 21:30h)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Memorial de cálculo deverá ser apresentado.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Valor pago pelo Consumidor incluindo impostos e encargos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Memorial de cálculo deverá ser apresentado.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Memorial de cálculo deverá ser apresentado.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Valor pago pelo Consumidor incluindo impostos e encargos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Memorial de cálculo deverá ser apresentado.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Valor pago pelo Consumidor incluindo impostos e encargos</t>
        </r>
      </text>
    </comment>
  </commentList>
</comments>
</file>

<file path=xl/comments4.xml><?xml version="1.0" encoding="utf-8"?>
<comments xmlns="http://schemas.openxmlformats.org/spreadsheetml/2006/main">
  <authors>
    <author>Gustavo Klinguelfus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5.xml><?xml version="1.0" encoding="utf-8"?>
<comments xmlns="http://schemas.openxmlformats.org/spreadsheetml/2006/main">
  <authors>
    <author>Gustavo Klinguelfus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85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02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06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23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44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48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6.xml><?xml version="1.0" encoding="utf-8"?>
<comments xmlns="http://schemas.openxmlformats.org/spreadsheetml/2006/main">
  <authors>
    <author>Gustavo Klinguelfus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61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14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36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5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11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64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86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0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21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34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56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7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401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424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B447" authorId="0" shapeId="0">
      <text>
        <r>
          <rPr>
            <b/>
            <sz val="9"/>
            <color indexed="81"/>
            <rFont val="Tahoma"/>
            <family val="2"/>
          </rPr>
          <t>EQUATORIAL ENERGIA: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451" authorId="0" shapeId="0">
      <text>
        <r>
          <rPr>
            <b/>
            <sz val="9"/>
            <color indexed="81"/>
            <rFont val="Tahoma"/>
            <family val="2"/>
          </rPr>
          <t>EQUATORIAL ENERGIA: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7.xml><?xml version="1.0" encoding="utf-8"?>
<comments xmlns="http://schemas.openxmlformats.org/spreadsheetml/2006/main">
  <authors>
    <author>Gustavo Klinguelfus</author>
  </authors>
  <commentList>
    <comment ref="I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62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17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40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165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18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73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296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21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34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49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72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397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420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  <comment ref="I445" authorId="0" shapeId="0">
      <text>
        <r>
          <rPr>
            <sz val="9"/>
            <color indexed="81"/>
            <rFont val="Tahoma"/>
            <family val="2"/>
          </rPr>
          <t>Coeficiente de variação</t>
        </r>
      </text>
    </comment>
  </commentList>
</comments>
</file>

<file path=xl/comments8.xml><?xml version="1.0" encoding="utf-8"?>
<comments xmlns="http://schemas.openxmlformats.org/spreadsheetml/2006/main">
  <authors>
    <author>Gustavo Klinguelfus</author>
  </authors>
  <commentList>
    <comment ref="B17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38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comments9.xml><?xml version="1.0" encoding="utf-8"?>
<comments xmlns="http://schemas.openxmlformats.org/spreadsheetml/2006/main">
  <authors>
    <author>Arthur Rangel Laureano</author>
    <author>Gustavo Klinguelfus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CELESC:</t>
        </r>
        <r>
          <rPr>
            <sz val="9"/>
            <color indexed="81"/>
            <rFont val="Tahoma"/>
            <family val="2"/>
          </rPr>
          <t xml:space="preserve">
Em anos</t>
        </r>
      </text>
    </comment>
    <comment ref="B11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1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27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3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41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4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</t>
        </r>
      </text>
    </comment>
    <comment ref="B159" authorId="1" shapeId="0">
      <text>
        <r>
          <rPr>
            <b/>
            <sz val="9"/>
            <color indexed="81"/>
            <rFont val="Tahoma"/>
            <family val="2"/>
          </rPr>
          <t>CELPA:</t>
        </r>
        <r>
          <rPr>
            <sz val="9"/>
            <color indexed="81"/>
            <rFont val="Tahoma"/>
            <family val="2"/>
          </rPr>
          <t xml:space="preserve">
Inserir apenas números para corresponder a um dos seguintes formatos:
(xx) xxxx-xxxx
(xx) xxxxx-xxxx</t>
        </r>
      </text>
    </comment>
  </commentList>
</comments>
</file>

<file path=xl/sharedStrings.xml><?xml version="1.0" encoding="utf-8"?>
<sst xmlns="http://schemas.openxmlformats.org/spreadsheetml/2006/main" count="6389" uniqueCount="1431">
  <si>
    <t>Total</t>
  </si>
  <si>
    <t>Tipo de Custo</t>
  </si>
  <si>
    <t>R$</t>
  </si>
  <si>
    <t>%</t>
  </si>
  <si>
    <t>Recursos de Terceiros</t>
  </si>
  <si>
    <t>Recursos do Consumidor</t>
  </si>
  <si>
    <t>Custos Diretos</t>
  </si>
  <si>
    <t>Previsto</t>
  </si>
  <si>
    <t>Mão de Obra de Terceiros</t>
  </si>
  <si>
    <t>Transporte</t>
  </si>
  <si>
    <t>Custos Indiretos</t>
  </si>
  <si>
    <t>Administração Própria</t>
  </si>
  <si>
    <t>Auditoria Contábil Financeira</t>
  </si>
  <si>
    <t>Descarte de Materiais</t>
  </si>
  <si>
    <t>Medição &amp; Verificação</t>
  </si>
  <si>
    <t>Outros custos indiretos</t>
  </si>
  <si>
    <t>Quantidade</t>
  </si>
  <si>
    <t>Valor total (R$)</t>
  </si>
  <si>
    <t>Profissional</t>
  </si>
  <si>
    <t>R$/h</t>
  </si>
  <si>
    <t>Total de horas</t>
  </si>
  <si>
    <t>Origem / Destino</t>
  </si>
  <si>
    <t>Distância em km</t>
  </si>
  <si>
    <t>No. de viajantes</t>
  </si>
  <si>
    <t>Custo do deslocamento (discriminar)</t>
  </si>
  <si>
    <t>Custo total do deslocamento</t>
  </si>
  <si>
    <t>Custos de hospedagem e alimentação</t>
  </si>
  <si>
    <t>Valor da diária</t>
  </si>
  <si>
    <t>Número de diárias por viajante</t>
  </si>
  <si>
    <t>Custo total de hospedagem e alimentação</t>
  </si>
  <si>
    <t>Custo total das viagens</t>
  </si>
  <si>
    <t>TOTAL</t>
  </si>
  <si>
    <t>R$/MWh</t>
  </si>
  <si>
    <t>R$/kW.ano</t>
  </si>
  <si>
    <t>CED</t>
  </si>
  <si>
    <t>EE</t>
  </si>
  <si>
    <t>CEE</t>
  </si>
  <si>
    <t>RDP</t>
  </si>
  <si>
    <t>Carro da empresa</t>
  </si>
  <si>
    <t>Administrador</t>
  </si>
  <si>
    <t xml:space="preserve">Custo do valor médio do km rodado </t>
  </si>
  <si>
    <t>Motores</t>
  </si>
  <si>
    <t>Assistente Administrativo</t>
  </si>
  <si>
    <t xml:space="preserve">Total de serviços </t>
  </si>
  <si>
    <t>1. Identificação do Projeto</t>
  </si>
  <si>
    <t>Concessionária:</t>
  </si>
  <si>
    <t>Nome do Projeto:</t>
  </si>
  <si>
    <t>Responsável:</t>
  </si>
  <si>
    <t>Telefone:</t>
  </si>
  <si>
    <t>E-mail:</t>
  </si>
  <si>
    <t>Taxa de Desconto i:</t>
  </si>
  <si>
    <t>2. Identificação do Consumidor</t>
  </si>
  <si>
    <t>Nome:</t>
  </si>
  <si>
    <t>Endereço:</t>
  </si>
  <si>
    <t>CNPJ:</t>
  </si>
  <si>
    <t>Subgrupo Tarifário:</t>
  </si>
  <si>
    <t xml:space="preserve">CEE = </t>
  </si>
  <si>
    <t>CED =</t>
  </si>
  <si>
    <t>Ö</t>
  </si>
  <si>
    <t>R E S U M O:</t>
  </si>
  <si>
    <t>O presente projeto preve ações no(s) seguinte(s) uso(s) final(is):</t>
  </si>
  <si>
    <t>Iluminação</t>
  </si>
  <si>
    <t>Refrigeração</t>
  </si>
  <si>
    <t>A4 - 2,3 kV a 25 kV</t>
  </si>
  <si>
    <t>B1 - Residencial</t>
  </si>
  <si>
    <t>FCP</t>
  </si>
  <si>
    <t xml:space="preserve">Técnico </t>
  </si>
  <si>
    <t>Energia Economizada (MWh/ano)</t>
  </si>
  <si>
    <t>FS</t>
  </si>
  <si>
    <t>NBP</t>
  </si>
  <si>
    <t>T</t>
  </si>
  <si>
    <t>NC</t>
  </si>
  <si>
    <t>PC</t>
  </si>
  <si>
    <t>V</t>
  </si>
  <si>
    <t>NR</t>
  </si>
  <si>
    <t>VR</t>
  </si>
  <si>
    <t>EF</t>
  </si>
  <si>
    <t>FC</t>
  </si>
  <si>
    <t>PAC</t>
  </si>
  <si>
    <t>PEM</t>
  </si>
  <si>
    <t>AC</t>
  </si>
  <si>
    <t>Número mínimo de reservatórios com apoio elétrico</t>
  </si>
  <si>
    <t>Valores de CEE e CED:</t>
  </si>
  <si>
    <t>Redução de Demanda na Ponta (kW)</t>
  </si>
  <si>
    <t>Fator de Carga</t>
  </si>
  <si>
    <t>LP</t>
  </si>
  <si>
    <t>LE</t>
  </si>
  <si>
    <t>LE1</t>
  </si>
  <si>
    <t>LE2</t>
  </si>
  <si>
    <t>LE3</t>
  </si>
  <si>
    <t>LE4</t>
  </si>
  <si>
    <t>Ano</t>
  </si>
  <si>
    <t>Vigência</t>
  </si>
  <si>
    <t>Resolução</t>
  </si>
  <si>
    <t>De</t>
  </si>
  <si>
    <t>Até</t>
  </si>
  <si>
    <t>Fator de Carga:</t>
  </si>
  <si>
    <t>Fator CEE</t>
  </si>
  <si>
    <t>Fator CED</t>
  </si>
  <si>
    <t>Tabela de Subgrupo Tarifário</t>
  </si>
  <si>
    <t>Tabela de Tipo de Projeto</t>
  </si>
  <si>
    <t xml:space="preserve">As linhas destacadas referem-se a valores de fator de carga atípicos, devendo, </t>
  </si>
  <si>
    <t xml:space="preserve">portanto, quando utilizados pela concessionária/permissionária, </t>
  </si>
  <si>
    <t>serem apresentadas as devidas justificativas</t>
  </si>
  <si>
    <t>Unidade Consumidora (UC) :</t>
  </si>
  <si>
    <t>Total de serviços menos Auditoria</t>
  </si>
  <si>
    <t>Custo Contábil - Por Uso Final</t>
  </si>
  <si>
    <t>Fiscalização, Diagnóstico, Medições e Implementação do projeto</t>
  </si>
  <si>
    <t>Objetivo</t>
  </si>
  <si>
    <t>N.º 01</t>
  </si>
  <si>
    <t>N.º 02</t>
  </si>
  <si>
    <t>N.º 03</t>
  </si>
  <si>
    <t>N.º 04</t>
  </si>
  <si>
    <t>N.º 05</t>
  </si>
  <si>
    <t>N.º 06</t>
  </si>
  <si>
    <t>N.º 07</t>
  </si>
  <si>
    <t>N.º 08</t>
  </si>
  <si>
    <t>N.º 09</t>
  </si>
  <si>
    <t>N.º 10</t>
  </si>
  <si>
    <t>N.º 11</t>
  </si>
  <si>
    <t>N.º 12</t>
  </si>
  <si>
    <t>A3a - 30 a 44 kV</t>
  </si>
  <si>
    <t>A3 - 69 kV</t>
  </si>
  <si>
    <t>A2 - 88 a 138 kV</t>
  </si>
  <si>
    <t>Código</t>
  </si>
  <si>
    <t>Subgrupo</t>
  </si>
  <si>
    <t>Código 2</t>
  </si>
  <si>
    <t>Código 1</t>
  </si>
  <si>
    <t>Anos</t>
  </si>
  <si>
    <t>Tabela de Fator de Carga para k=0,15</t>
  </si>
  <si>
    <t>Número de chuveiros por unidade consumidora</t>
  </si>
  <si>
    <t>Ano de Tarifa:</t>
  </si>
  <si>
    <t>Informações</t>
  </si>
  <si>
    <t>1) Deverão ser preenchidas apenas as células com fundo branco</t>
  </si>
  <si>
    <t>Outros</t>
  </si>
  <si>
    <t>Equipamentos Hospitalares</t>
  </si>
  <si>
    <t>Equip. Hospitalares</t>
  </si>
  <si>
    <t>o</t>
  </si>
  <si>
    <t>þ</t>
  </si>
  <si>
    <t>NB</t>
  </si>
  <si>
    <t>Mão de Obra Própria (Concessionária)</t>
  </si>
  <si>
    <t>LIMITADORES</t>
  </si>
  <si>
    <t>Materiais e Equipamentos</t>
  </si>
  <si>
    <t>Limites</t>
  </si>
  <si>
    <t>Calculado</t>
  </si>
  <si>
    <t>Custo Total do Projeto</t>
  </si>
  <si>
    <t>Cidade do Projeto:</t>
  </si>
  <si>
    <t>Tipo do projeto:</t>
  </si>
  <si>
    <t>Energia</t>
  </si>
  <si>
    <t>Modalidade</t>
  </si>
  <si>
    <t>B2 - Rural</t>
  </si>
  <si>
    <t>B3 - Demais Classes</t>
  </si>
  <si>
    <t>Tabela de Tarifas</t>
  </si>
  <si>
    <t>Convencional</t>
  </si>
  <si>
    <t>Modalidade Tarifária:</t>
  </si>
  <si>
    <t>Código 3</t>
  </si>
  <si>
    <t>CEFP</t>
  </si>
  <si>
    <t>CEP</t>
  </si>
  <si>
    <t>CDFP</t>
  </si>
  <si>
    <t>CDP</t>
  </si>
  <si>
    <t>Economia mensal aproximada</t>
  </si>
  <si>
    <t>Consumidor Livre</t>
  </si>
  <si>
    <t>A1 - ≥ 230 kV</t>
  </si>
  <si>
    <t>Nº de parcelas p/ recuperação do 
investimento</t>
  </si>
  <si>
    <t>SELECIONE A CIDADE</t>
  </si>
  <si>
    <t>DIVERSAS CIDADES</t>
  </si>
  <si>
    <t>Tarifa Branca</t>
  </si>
  <si>
    <t>Tarifa Azul</t>
  </si>
  <si>
    <t>Tarifa Verde</t>
  </si>
  <si>
    <t>Tipo de empresa</t>
  </si>
  <si>
    <t>Micro ou Pequena Empresa</t>
  </si>
  <si>
    <t>Outras Empresas</t>
  </si>
  <si>
    <t>Tipo de empresa:</t>
  </si>
  <si>
    <t>3) Serão considerados 22 dias úteis por mês e 4 semanas por mês.</t>
  </si>
  <si>
    <t>4) Para 12 meses/ano de funcionamento serão consideradas 52 semanas/ano</t>
  </si>
  <si>
    <t>Marketing (Divulgação)</t>
  </si>
  <si>
    <t>Elaboração do Projeto (pré-diagnóstico e diagnóstico)</t>
  </si>
  <si>
    <t>Treinamento e Capacitação</t>
  </si>
  <si>
    <t>Outros custos diretos</t>
  </si>
  <si>
    <t>B2 - Cooperativa</t>
  </si>
  <si>
    <t>B2 - Irrigação</t>
  </si>
  <si>
    <t>B4 - IP</t>
  </si>
  <si>
    <t>LEp</t>
  </si>
  <si>
    <t>LEfp</t>
  </si>
  <si>
    <t>C1</t>
  </si>
  <si>
    <t>C2</t>
  </si>
  <si>
    <t>Cp</t>
  </si>
  <si>
    <t>Cfp</t>
  </si>
  <si>
    <t>Cálculo de Custo Evitado</t>
  </si>
  <si>
    <t>Demanda (TUSD)</t>
  </si>
  <si>
    <t>Energia (TE)</t>
  </si>
  <si>
    <t>Resolução ANEEL Nº X.XXX de XX de xxxxxx de 20XX</t>
  </si>
  <si>
    <t>SELECIONE O ANO</t>
  </si>
  <si>
    <t>Selecione o Tipo de Projeto</t>
  </si>
  <si>
    <t>Selecione o Tipo de empresa</t>
  </si>
  <si>
    <t>Selecione a Tarifa</t>
  </si>
  <si>
    <t>Selecione o Subgrupo</t>
  </si>
  <si>
    <t>Bandeira Verde</t>
  </si>
  <si>
    <t xml:space="preserve">Demanda </t>
  </si>
  <si>
    <t>tusd</t>
  </si>
  <si>
    <t>te</t>
  </si>
  <si>
    <t>MWhP</t>
  </si>
  <si>
    <t>MWhFP</t>
  </si>
  <si>
    <t>Condicionamento Ambiental</t>
  </si>
  <si>
    <t>Sistema de Refrigeração</t>
  </si>
  <si>
    <t>Aquecimento Solar de Água</t>
  </si>
  <si>
    <t>Sistema de 
Refrigeração</t>
  </si>
  <si>
    <t>Aquecimento
Solar de Água</t>
  </si>
  <si>
    <t>Equipamentos 
Hospitalares</t>
  </si>
  <si>
    <t>Contrapartida Consumidor</t>
  </si>
  <si>
    <t>Contrapartida Terceiros</t>
  </si>
  <si>
    <t>Contrato de Desempenho (SIMULAÇÃO):</t>
  </si>
  <si>
    <t>RCB LIMITE</t>
  </si>
  <si>
    <t>CUSTOS TOTAIS</t>
  </si>
  <si>
    <t>ORIGEM DOS RECURSOS</t>
  </si>
  <si>
    <t>Uso final</t>
  </si>
  <si>
    <t>AVALIAÇÃO PRELIMINAR DO PROJETO
CONFORME CRITÉRIOS ANEEL</t>
  </si>
  <si>
    <t>Energia economizada</t>
  </si>
  <si>
    <t>Redução de demanda na ponta</t>
  </si>
  <si>
    <t>R$/kW</t>
  </si>
  <si>
    <r>
      <t>RCB</t>
    </r>
    <r>
      <rPr>
        <b/>
        <vertAlign val="subscript"/>
        <sz val="14"/>
        <color theme="0"/>
        <rFont val="Calibri"/>
        <family val="2"/>
        <scheme val="minor"/>
      </rPr>
      <t>PEE</t>
    </r>
  </si>
  <si>
    <r>
      <t>RCB</t>
    </r>
    <r>
      <rPr>
        <b/>
        <vertAlign val="subscript"/>
        <sz val="14"/>
        <color theme="0"/>
        <rFont val="Calibri"/>
        <family val="2"/>
        <scheme val="minor"/>
      </rPr>
      <t>total</t>
    </r>
  </si>
  <si>
    <t>Sistemas de Refrigeração</t>
  </si>
  <si>
    <r>
      <t>RCB</t>
    </r>
    <r>
      <rPr>
        <b/>
        <vertAlign val="subscript"/>
        <sz val="11"/>
        <color theme="0"/>
        <rFont val="Calibri"/>
        <family val="2"/>
        <scheme val="minor"/>
      </rPr>
      <t>PEE</t>
    </r>
  </si>
  <si>
    <r>
      <t>RCB</t>
    </r>
    <r>
      <rPr>
        <b/>
        <vertAlign val="subscript"/>
        <sz val="11"/>
        <color theme="0"/>
        <rFont val="Calibri"/>
        <family val="2"/>
        <scheme val="minor"/>
      </rPr>
      <t>TOTAL</t>
    </r>
  </si>
  <si>
    <t>EE
Energia Economizada
(MWh/ano)</t>
  </si>
  <si>
    <t>RDP
Redução de Demanda na Ponta
(kW)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</si>
  <si>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 xml:space="preserve">T
</t>
    </r>
    <r>
      <rPr>
        <b/>
        <sz val="11"/>
        <color theme="0"/>
        <rFont val="Calibri"/>
        <family val="2"/>
        <scheme val="minor"/>
      </rPr>
      <t>Custo Anualizado</t>
    </r>
  </si>
  <si>
    <t>BA
Benefício Anualizado</t>
  </si>
  <si>
    <t>RCB
Por Uso Final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</si>
  <si>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 xml:space="preserve">T_CONTR
</t>
    </r>
    <r>
      <rPr>
        <b/>
        <sz val="11"/>
        <color theme="0"/>
        <rFont val="Calibri"/>
        <family val="2"/>
        <scheme val="minor"/>
      </rPr>
      <t>Custo Anualizado com Contrapartida</t>
    </r>
  </si>
  <si>
    <t>Confiabilidade mínima aceitável:</t>
  </si>
  <si>
    <t>Valor padrão da distribuição normal:</t>
  </si>
  <si>
    <t>Nível de precisão aceitável:</t>
  </si>
  <si>
    <t>PERÍODO DE REFERÊNCIA</t>
  </si>
  <si>
    <t>Descrição do equipamento</t>
  </si>
  <si>
    <t>CV</t>
  </si>
  <si>
    <t>População</t>
  </si>
  <si>
    <t>Amostragem</t>
  </si>
  <si>
    <t>Preço unitário</t>
  </si>
  <si>
    <t>Terceiros</t>
  </si>
  <si>
    <t>Consumidor</t>
  </si>
  <si>
    <t>Sub total - Custos medição e verificação iluminação - Período de referência</t>
  </si>
  <si>
    <t>PERÍODO PÓS-RETROFIT</t>
  </si>
  <si>
    <t>Sub total - Custos medição e verificação iluminação - Período pós-retrofit</t>
  </si>
  <si>
    <t>Sub total - Custos medição e verificação iluminação</t>
  </si>
  <si>
    <t>Sub total - Custos medição e verificação condicionamento ambiental - Período de referência</t>
  </si>
  <si>
    <t>Sub total - Custos medição e verificação condicionamento ambiental - Período pós-retrofit</t>
  </si>
  <si>
    <t>Sub total - Custos medição e verificação condicionamento ambiental</t>
  </si>
  <si>
    <t>Sub total - Custos medição e verificação sistemas de refrigeração - Período de referência</t>
  </si>
  <si>
    <t>Sub total - Custos medição e verificação sistemas de refrigeração - Período pós-retrofit</t>
  </si>
  <si>
    <t>Sub total - Custos medição e verificação sistemas de refrigeração</t>
  </si>
  <si>
    <t>Sub total - Custos medição e verificação aquecimento solar de água - Período de referência</t>
  </si>
  <si>
    <t>Sub total - Custos medição e verificação aquecimento solar de água - Período pós-retrofit</t>
  </si>
  <si>
    <t>Sub total - Custos medição e verificação aquecimento solar de água</t>
  </si>
  <si>
    <t>Sub total - Custos medição e verificação equipamentos hospitalares - Período de referência</t>
  </si>
  <si>
    <t>Sub total - Custos medição e verificação equipamentos hospitalares - Período pós-retrofit</t>
  </si>
  <si>
    <t>Sub total - Custos medição e verificação equipamentos hospitalares</t>
  </si>
  <si>
    <t>Sub total - Custos medição e verificação outros - Período de referência</t>
  </si>
  <si>
    <t>Sub total - Custos medição e verificação outros - Período pós-retrofit</t>
  </si>
  <si>
    <t>Sub total - Custos medição e verificação outros</t>
  </si>
  <si>
    <t>Sub total - Custos descarte de equipamentos iluminação</t>
  </si>
  <si>
    <t>Sub total - Custos descarte de equipamentos condicionamento ambiental</t>
  </si>
  <si>
    <t>Sub total - Custos descarte de equipamentos sistemas de refrigeração</t>
  </si>
  <si>
    <t>Sub total - Custos descarte de equipamentos aquecimento solar de água</t>
  </si>
  <si>
    <t>Sub total - Custos descarte de equipamentos equipamentos hospitalares</t>
  </si>
  <si>
    <t>Sub total - Custos descarte de equipamentos outros</t>
  </si>
  <si>
    <t xml:space="preserve"> </t>
  </si>
  <si>
    <t>Horário de ponta:</t>
  </si>
  <si>
    <t>kWh/mês</t>
  </si>
  <si>
    <t>Horário fora de ponta:</t>
  </si>
  <si>
    <t>Total:</t>
  </si>
  <si>
    <t>Economia mensal:</t>
  </si>
  <si>
    <t>Vida útil média:</t>
  </si>
  <si>
    <t>anos</t>
  </si>
  <si>
    <t>Retorno do investimento:</t>
  </si>
  <si>
    <t>Vida útil média dos equipamentos:</t>
  </si>
  <si>
    <t>Valor financiado:</t>
  </si>
  <si>
    <t>Mínimo de parcelas para quitação:</t>
  </si>
  <si>
    <t>meses</t>
  </si>
  <si>
    <t>ao mês</t>
  </si>
  <si>
    <t>Valor a recuperar:</t>
  </si>
  <si>
    <t>Máximo de parcelas para quitação:</t>
  </si>
  <si>
    <t>MATERIAIS E EQUIPAMENTOS</t>
  </si>
  <si>
    <t>Materiais e equipamentos</t>
  </si>
  <si>
    <t>Vida útil</t>
  </si>
  <si>
    <t>Custo total</t>
  </si>
  <si>
    <t>FRC</t>
  </si>
  <si>
    <t>CA</t>
  </si>
  <si>
    <t>Acessórios</t>
  </si>
  <si>
    <t>Sub total - Materiais e equipamentos iluminação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</si>
  <si>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T_ILUM</t>
    </r>
  </si>
  <si>
    <t>MÃO DE OBRA</t>
  </si>
  <si>
    <t>Mão de obra própria</t>
  </si>
  <si>
    <t>Mão de obra de terceiros</t>
  </si>
  <si>
    <t>Horas</t>
  </si>
  <si>
    <t>Valor da hora</t>
  </si>
  <si>
    <r>
      <t>RCB</t>
    </r>
    <r>
      <rPr>
        <vertAlign val="subscript"/>
        <sz val="11"/>
        <color theme="1"/>
        <rFont val="Calibri"/>
        <family val="2"/>
        <scheme val="minor"/>
      </rPr>
      <t>TOTAL</t>
    </r>
  </si>
  <si>
    <t>Sub total - Mão de obra de terceiros iluminação</t>
  </si>
  <si>
    <t>Sub total - Mão de obra iluminação</t>
  </si>
  <si>
    <t>TRANSPORTE E OUTROS CUSTOS DIRETOS</t>
  </si>
  <si>
    <t>Valor</t>
  </si>
  <si>
    <t>Sub total - Transporte e outros custos diretos iluminação</t>
  </si>
  <si>
    <t>Sub total - Custos diretos iluminação</t>
  </si>
  <si>
    <t>Administração própria</t>
  </si>
  <si>
    <t>Treinamento e capacitação</t>
  </si>
  <si>
    <t>Descarte de materiais</t>
  </si>
  <si>
    <t>Medição e verificação</t>
  </si>
  <si>
    <t>Sub total - Custos indiretos iluminação</t>
  </si>
  <si>
    <t>ilumin 1</t>
  </si>
  <si>
    <t>ilumin 2</t>
  </si>
  <si>
    <t>ilumin 3</t>
  </si>
  <si>
    <t>ilumin 4</t>
  </si>
  <si>
    <t>ilumin 5</t>
  </si>
  <si>
    <t>ilumin 6</t>
  </si>
  <si>
    <t>ilumin 7</t>
  </si>
  <si>
    <t>ilumin 8</t>
  </si>
  <si>
    <t>ilumin 9</t>
  </si>
  <si>
    <t>ilumin 10</t>
  </si>
  <si>
    <t>ilumin 11</t>
  </si>
  <si>
    <t>ilumin 12</t>
  </si>
  <si>
    <t>ilumin 13</t>
  </si>
  <si>
    <t>ilumin 14</t>
  </si>
  <si>
    <t>ilumin 15</t>
  </si>
  <si>
    <t>ilumin 16</t>
  </si>
  <si>
    <t>ilumin 17</t>
  </si>
  <si>
    <t>ilumin 18</t>
  </si>
  <si>
    <t>ilumin 19</t>
  </si>
  <si>
    <t>ilumin 20</t>
  </si>
  <si>
    <t>ilumin 21</t>
  </si>
  <si>
    <t>ilumin 22</t>
  </si>
  <si>
    <t>ilumin 23</t>
  </si>
  <si>
    <t>ilumin 24</t>
  </si>
  <si>
    <t>ilumin 25</t>
  </si>
  <si>
    <t>ilumin 26</t>
  </si>
  <si>
    <t>ilumin 27</t>
  </si>
  <si>
    <t>ilumin 28</t>
  </si>
  <si>
    <t>ilumin 29</t>
  </si>
  <si>
    <t>ilumin 30</t>
  </si>
  <si>
    <t>ilumin 31</t>
  </si>
  <si>
    <t>ilumin 32</t>
  </si>
  <si>
    <t>ilumin 33</t>
  </si>
  <si>
    <t>ilumin 34</t>
  </si>
  <si>
    <t>ilumin 35</t>
  </si>
  <si>
    <t>ilumin 36</t>
  </si>
  <si>
    <t>ilumin 37</t>
  </si>
  <si>
    <t>ilumin 38</t>
  </si>
  <si>
    <t>ilumin 39</t>
  </si>
  <si>
    <t>ilumin 40</t>
  </si>
  <si>
    <t>ilumin 41</t>
  </si>
  <si>
    <t>ilumin 42</t>
  </si>
  <si>
    <t>ilumin 43</t>
  </si>
  <si>
    <t>ilumin 44</t>
  </si>
  <si>
    <t>ilumin 45</t>
  </si>
  <si>
    <t>ilumin 46</t>
  </si>
  <si>
    <t>ilumin 47</t>
  </si>
  <si>
    <t>ilumin 48</t>
  </si>
  <si>
    <t>ilumin 49</t>
  </si>
  <si>
    <t>ilumin 50</t>
  </si>
  <si>
    <t>Tipo de equipamento / tecnologia</t>
  </si>
  <si>
    <t>Lâmpadas</t>
  </si>
  <si>
    <t>Potência</t>
  </si>
  <si>
    <t>W</t>
  </si>
  <si>
    <r>
      <t>pla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</si>
  <si>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qla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</si>
  <si>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Reatores</t>
  </si>
  <si>
    <r>
      <t>pra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</si>
  <si>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qra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</si>
  <si>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Potência instalada</t>
  </si>
  <si>
    <t>kW</t>
  </si>
  <si>
    <r>
      <t>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</si>
  <si>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Tempo de utilização do sistema, em um dia</t>
  </si>
  <si>
    <t>h/dia</t>
  </si>
  <si>
    <t>Dias de utilização do sistema, em um ano</t>
  </si>
  <si>
    <t>dia/ano</t>
  </si>
  <si>
    <t>Funcionamento</t>
  </si>
  <si>
    <t>h/ano</t>
  </si>
  <si>
    <r>
      <t>ha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</si>
  <si>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Potência média na ponta</t>
  </si>
  <si>
    <r>
      <t>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</si>
  <si>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Fator de coincidência na ponta</t>
  </si>
  <si>
    <r>
      <t>FCPa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</si>
  <si>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Energia consumida</t>
  </si>
  <si>
    <t>MWh/ano</t>
  </si>
  <si>
    <r>
      <t>Ea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</si>
  <si>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Demanda média na ponta</t>
  </si>
  <si>
    <r>
      <t>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</si>
  <si>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plp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</si>
  <si>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qlp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</si>
  <si>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prp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</si>
  <si>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qrp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</si>
  <si>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</si>
  <si>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hp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</si>
  <si>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</si>
  <si>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FCPp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</si>
  <si>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</si>
  <si>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</si>
  <si>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RDP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</si>
  <si>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Custo evitado de demanda (CED) =</t>
  </si>
  <si>
    <r>
      <t>RDP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%</t>
    </r>
  </si>
  <si>
    <r>
      <t>EE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</si>
  <si>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Custo da energia evitada (CEE) =</t>
  </si>
  <si>
    <r>
      <t>EE</t>
    </r>
    <r>
      <rPr>
        <i/>
        <vertAlign val="subscript"/>
        <sz val="11"/>
        <color theme="1"/>
        <rFont val="Calibri"/>
        <family val="2"/>
        <scheme val="minor"/>
      </rPr>
      <t>i</t>
    </r>
    <r>
      <rPr>
        <i/>
        <sz val="11"/>
        <color theme="1"/>
        <rFont val="Calibri"/>
        <family val="2"/>
        <scheme val="minor"/>
      </rPr>
      <t>%</t>
    </r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</si>
  <si>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ILUM</t>
    </r>
  </si>
  <si>
    <r>
      <t>qa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</si>
  <si>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</si>
  <si>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qp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</si>
  <si>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</si>
  <si>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Dias úteis por mês de utilização do sistema na ponta</t>
  </si>
  <si>
    <t>Horas por dia de utilização do sistema na ponta</t>
  </si>
  <si>
    <t>Dias com funcionamento na ponta em um mês</t>
  </si>
  <si>
    <t>Horas com funcionamento na ponta em um dia</t>
  </si>
  <si>
    <t>Funcionamento mensal em horário de ponta</t>
  </si>
  <si>
    <t>Energia economizada mensal</t>
  </si>
  <si>
    <t>Energia utilizada em horário de ponta</t>
  </si>
  <si>
    <t>Energia utilizada em horário fora de ponta</t>
  </si>
  <si>
    <t>Sub total - Materiais e equipamentos condicionamento ambiental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</si>
  <si>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T_COND</t>
    </r>
  </si>
  <si>
    <t>Sub total - Mão de obra de terceiros condicionamento ambiental</t>
  </si>
  <si>
    <t>Sub total - Mão de obra condicionamento ambiental</t>
  </si>
  <si>
    <t>Sub total - Transporte e outros custos diretos condicionamento ambiental</t>
  </si>
  <si>
    <t>Sub total - Custos diretos condicionamento ambiental</t>
  </si>
  <si>
    <t>Sub total - Custos indiretos condicionamento ambiental</t>
  </si>
  <si>
    <t>cond 1</t>
  </si>
  <si>
    <t>cond 2</t>
  </si>
  <si>
    <t>cond 3</t>
  </si>
  <si>
    <t>cond 4</t>
  </si>
  <si>
    <t>cond 5</t>
  </si>
  <si>
    <t>cond 6</t>
  </si>
  <si>
    <t>cond 7</t>
  </si>
  <si>
    <t>cond 8</t>
  </si>
  <si>
    <t>cond 9</t>
  </si>
  <si>
    <t>cond 10</t>
  </si>
  <si>
    <t>cond 11</t>
  </si>
  <si>
    <t>cond 12</t>
  </si>
  <si>
    <t>cond 13</t>
  </si>
  <si>
    <t>cond 14</t>
  </si>
  <si>
    <t>cond 15</t>
  </si>
  <si>
    <t>cond 16</t>
  </si>
  <si>
    <t>cond 17</t>
  </si>
  <si>
    <t>cond 18</t>
  </si>
  <si>
    <t>cond 19</t>
  </si>
  <si>
    <t>cond 20</t>
  </si>
  <si>
    <t>Potência nominal de refrigeração</t>
  </si>
  <si>
    <t>BTU/h</t>
  </si>
  <si>
    <t>Coefiente de eficiência energética</t>
  </si>
  <si>
    <t>W/W</t>
  </si>
  <si>
    <r>
      <t>ca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</si>
  <si>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Fator de utilização</t>
  </si>
  <si>
    <r>
      <t>FUa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</si>
  <si>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Potência média utilizada</t>
  </si>
  <si>
    <r>
      <t>Pua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</si>
  <si>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cp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</si>
  <si>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FUp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</si>
  <si>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Pup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</si>
  <si>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COND</t>
    </r>
  </si>
  <si>
    <r>
      <t>RCB</t>
    </r>
    <r>
      <rPr>
        <vertAlign val="subscript"/>
        <sz val="11"/>
        <color theme="1"/>
        <rFont val="Calibri"/>
        <family val="2"/>
        <scheme val="minor"/>
      </rPr>
      <t>MOTORES</t>
    </r>
  </si>
  <si>
    <t>motor 1</t>
  </si>
  <si>
    <t>motor 2</t>
  </si>
  <si>
    <t>motor 3</t>
  </si>
  <si>
    <t>motor 4</t>
  </si>
  <si>
    <t>motor 5</t>
  </si>
  <si>
    <t>motor 6</t>
  </si>
  <si>
    <t>motor 7</t>
  </si>
  <si>
    <t>motor 8</t>
  </si>
  <si>
    <t>motor 9</t>
  </si>
  <si>
    <t>motor 10</t>
  </si>
  <si>
    <t>motor 11</t>
  </si>
  <si>
    <t>motor 12</t>
  </si>
  <si>
    <t>motor 13</t>
  </si>
  <si>
    <t>motor 14</t>
  </si>
  <si>
    <t>motor 15</t>
  </si>
  <si>
    <t>motor 16</t>
  </si>
  <si>
    <t>motor 17</t>
  </si>
  <si>
    <t>motor 18</t>
  </si>
  <si>
    <t>motor 19</t>
  </si>
  <si>
    <t>motor 20</t>
  </si>
  <si>
    <t>motor 21</t>
  </si>
  <si>
    <t>motor 22</t>
  </si>
  <si>
    <t>motor 23</t>
  </si>
  <si>
    <t>motor 24</t>
  </si>
  <si>
    <t>motor 25</t>
  </si>
  <si>
    <t>motor 26</t>
  </si>
  <si>
    <t>motor 27</t>
  </si>
  <si>
    <t>motor 28</t>
  </si>
  <si>
    <t>motor 29</t>
  </si>
  <si>
    <t>motor 30</t>
  </si>
  <si>
    <t>motor 31</t>
  </si>
  <si>
    <t>motor 32</t>
  </si>
  <si>
    <t>motor 33</t>
  </si>
  <si>
    <t>motor 34</t>
  </si>
  <si>
    <t>motor 35</t>
  </si>
  <si>
    <t>motor 36</t>
  </si>
  <si>
    <t>motor 37</t>
  </si>
  <si>
    <t>motor 38</t>
  </si>
  <si>
    <t>motor 39</t>
  </si>
  <si>
    <t>motor 40</t>
  </si>
  <si>
    <t>motor 41</t>
  </si>
  <si>
    <t>motor 42</t>
  </si>
  <si>
    <t>motor 43</t>
  </si>
  <si>
    <t>motor 44</t>
  </si>
  <si>
    <t>motor 45</t>
  </si>
  <si>
    <t>motor 46</t>
  </si>
  <si>
    <t>motor 47</t>
  </si>
  <si>
    <t>motor 48</t>
  </si>
  <si>
    <t>motor 49</t>
  </si>
  <si>
    <t>motor 50</t>
  </si>
  <si>
    <t>Potência do motor</t>
  </si>
  <si>
    <t>cv</t>
  </si>
  <si>
    <t>Carregamento</t>
  </si>
  <si>
    <r>
      <t>γa</t>
    </r>
    <r>
      <rPr>
        <i/>
        <vertAlign val="subscript"/>
        <sz val="11"/>
        <color theme="1"/>
        <rFont val="Calibri"/>
        <family val="2"/>
      </rPr>
      <t>i</t>
    </r>
  </si>
  <si>
    <t>Rendimento nominal</t>
  </si>
  <si>
    <r>
      <t>ηna</t>
    </r>
    <r>
      <rPr>
        <i/>
        <vertAlign val="subscript"/>
        <sz val="11"/>
        <color theme="1"/>
        <rFont val="Calibri"/>
        <family val="2"/>
      </rPr>
      <t>i</t>
    </r>
  </si>
  <si>
    <t>Rendimento no ponto de carregamento</t>
  </si>
  <si>
    <r>
      <t>ηa</t>
    </r>
    <r>
      <rPr>
        <i/>
        <vertAlign val="subscript"/>
        <sz val="11"/>
        <color theme="1"/>
        <rFont val="Calibri"/>
        <family val="2"/>
      </rPr>
      <t>i</t>
    </r>
  </si>
  <si>
    <r>
      <t>γp</t>
    </r>
    <r>
      <rPr>
        <i/>
        <vertAlign val="subscript"/>
        <sz val="11"/>
        <color theme="1"/>
        <rFont val="Calibri"/>
        <family val="2"/>
      </rPr>
      <t>i</t>
    </r>
  </si>
  <si>
    <r>
      <t>ηnp</t>
    </r>
    <r>
      <rPr>
        <i/>
        <vertAlign val="subscript"/>
        <sz val="11"/>
        <color theme="1"/>
        <rFont val="Calibri"/>
        <family val="2"/>
      </rPr>
      <t>i</t>
    </r>
  </si>
  <si>
    <r>
      <t>ηp</t>
    </r>
    <r>
      <rPr>
        <i/>
        <vertAlign val="subscript"/>
        <sz val="11"/>
        <color theme="1"/>
        <rFont val="Calibri"/>
        <family val="2"/>
      </rPr>
      <t>i</t>
    </r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</si>
  <si>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MOTOR</t>
    </r>
  </si>
  <si>
    <t>Sub total - Materiais e equipamentos sistemas de refrigeração</t>
  </si>
  <si>
    <r>
      <t>RCB</t>
    </r>
    <r>
      <rPr>
        <vertAlign val="subscript"/>
        <sz val="11"/>
        <color theme="1"/>
        <rFont val="Calibri"/>
        <family val="2"/>
        <scheme val="minor"/>
      </rPr>
      <t>REFRIGERAÇÃO</t>
    </r>
  </si>
  <si>
    <t>Sub total - Mão de obra de terceiros sistemas de refrigeração</t>
  </si>
  <si>
    <t>Sub total - Mão de obra sistemas de refrigeração</t>
  </si>
  <si>
    <t>Sub total - Transporte e outros custos diretos sistemas de refrigeração</t>
  </si>
  <si>
    <t>Sub total - Custos diretos sistemas de refrigeração</t>
  </si>
  <si>
    <t>Sub total - Custos indiretos sistemas de refrigeração</t>
  </si>
  <si>
    <t>refrig 1</t>
  </si>
  <si>
    <t>refrig 2</t>
  </si>
  <si>
    <t>refrig 3</t>
  </si>
  <si>
    <t>refrig 4</t>
  </si>
  <si>
    <t>refrig 5</t>
  </si>
  <si>
    <t>refrig 6</t>
  </si>
  <si>
    <t>refrig 7</t>
  </si>
  <si>
    <t>refrig 8</t>
  </si>
  <si>
    <t>refrig 9</t>
  </si>
  <si>
    <t>refrig 10</t>
  </si>
  <si>
    <t>refrig 11</t>
  </si>
  <si>
    <t>refrig 12</t>
  </si>
  <si>
    <t>refrig 13</t>
  </si>
  <si>
    <t>refrig 14</t>
  </si>
  <si>
    <t>refrig 15</t>
  </si>
  <si>
    <t>refrig 16</t>
  </si>
  <si>
    <t>refrig 17</t>
  </si>
  <si>
    <t>refrig 18</t>
  </si>
  <si>
    <t>refrig 19</t>
  </si>
  <si>
    <t>refrig 20</t>
  </si>
  <si>
    <t>Potência nominal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</si>
  <si>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REFRIG</t>
    </r>
  </si>
  <si>
    <t>Sub total - Materiais e equipamentos aquecimento solar de água</t>
  </si>
  <si>
    <t>Sub total - Mão de obra de terceiros aquecimento solar de água</t>
  </si>
  <si>
    <t>Sub total - Mão de obra aquecimento solar de água</t>
  </si>
  <si>
    <t>Sub total - Transporte e outros custos diretos aquecimento solar de água</t>
  </si>
  <si>
    <t>Sub total - Custos diretos aquecimento solar de água</t>
  </si>
  <si>
    <t>Sub total - Custos indiretos aquecimento solar de água</t>
  </si>
  <si>
    <t>Fabricante coletor solar</t>
  </si>
  <si>
    <t>Número de unidades consumidoras atendidas</t>
  </si>
  <si>
    <t>Marca e modelo do coletor solar</t>
  </si>
  <si>
    <t>Número médio de chuveiros por UC</t>
  </si>
  <si>
    <t>Área externa</t>
  </si>
  <si>
    <r>
      <t>m</t>
    </r>
    <r>
      <rPr>
        <vertAlign val="superscript"/>
        <sz val="11"/>
        <rFont val="Calibri"/>
        <family val="2"/>
        <scheme val="minor"/>
      </rPr>
      <t>2</t>
    </r>
  </si>
  <si>
    <r>
      <t>A</t>
    </r>
    <r>
      <rPr>
        <i/>
        <vertAlign val="subscript"/>
        <sz val="11"/>
        <rFont val="Calibri"/>
        <family val="2"/>
        <scheme val="minor"/>
      </rPr>
      <t>EXT</t>
    </r>
  </si>
  <si>
    <t>Potência máxima típica dos chuveiros utilizados</t>
  </si>
  <si>
    <t>Produção média mensal de energia</t>
  </si>
  <si>
    <t>PME</t>
  </si>
  <si>
    <t>Potência média do apoio elétrico auxiliar por UC</t>
  </si>
  <si>
    <r>
      <t>P</t>
    </r>
    <r>
      <rPr>
        <i/>
        <vertAlign val="subscript"/>
        <sz val="11"/>
        <rFont val="Calibri"/>
        <family val="2"/>
        <scheme val="minor"/>
      </rPr>
      <t>AUX</t>
    </r>
  </si>
  <si>
    <t>Eficiência energética</t>
  </si>
  <si>
    <t>Produção média mensal de energia por área coletora</t>
  </si>
  <si>
    <r>
      <t>kWh/m</t>
    </r>
    <r>
      <rPr>
        <vertAlign val="superscript"/>
        <sz val="11"/>
        <rFont val="Calibri"/>
        <family val="2"/>
        <scheme val="minor"/>
      </rPr>
      <t>2</t>
    </r>
    <r>
      <rPr>
        <sz val="11"/>
        <color theme="1"/>
        <rFont val="Calibri"/>
        <family val="2"/>
      </rPr>
      <t>×</t>
    </r>
    <r>
      <rPr>
        <sz val="10"/>
        <rFont val="Arial"/>
        <family val="2"/>
      </rPr>
      <t>mês</t>
    </r>
  </si>
  <si>
    <t>Fração solar</t>
  </si>
  <si>
    <t>Área coletora por unidade consumidora</t>
  </si>
  <si>
    <t>Número médio de banhos por UC por dia</t>
  </si>
  <si>
    <t>Número de coletores solares</t>
  </si>
  <si>
    <r>
      <t>N</t>
    </r>
    <r>
      <rPr>
        <i/>
        <vertAlign val="subscript"/>
        <sz val="11"/>
        <rFont val="Calibri"/>
        <family val="2"/>
        <scheme val="minor"/>
      </rPr>
      <t>COL</t>
    </r>
  </si>
  <si>
    <t>Tempo médio de banho</t>
  </si>
  <si>
    <t>min</t>
  </si>
  <si>
    <t>Vazão típica do chuveiro</t>
  </si>
  <si>
    <t>L/min</t>
  </si>
  <si>
    <t>Fabricante do reservatório térmico</t>
  </si>
  <si>
    <t>Cidade de referência</t>
  </si>
  <si>
    <t>Modelo do reservatório térmico</t>
  </si>
  <si>
    <t>Fator de correção</t>
  </si>
  <si>
    <t>Volume do reservatório térmico</t>
  </si>
  <si>
    <t>L</t>
  </si>
  <si>
    <t>Perda específica energética mensal</t>
  </si>
  <si>
    <t>kWh/mês/L</t>
  </si>
  <si>
    <t>Número médio de banhos na ponta</t>
  </si>
  <si>
    <t>Volume de água quente consumida</t>
  </si>
  <si>
    <r>
      <t>V</t>
    </r>
    <r>
      <rPr>
        <i/>
        <vertAlign val="subscript"/>
        <sz val="11"/>
        <rFont val="Calibri"/>
        <family val="2"/>
        <scheme val="minor"/>
      </rPr>
      <t>QUE</t>
    </r>
  </si>
  <si>
    <r>
      <t>NR</t>
    </r>
    <r>
      <rPr>
        <i/>
        <vertAlign val="subscript"/>
        <sz val="11"/>
        <rFont val="Calibri"/>
        <family val="2"/>
        <scheme val="minor"/>
      </rPr>
      <t>ELE</t>
    </r>
  </si>
  <si>
    <t>VOLUME DO</t>
  </si>
  <si>
    <t>POTÊNCIA RECOMENDADA</t>
  </si>
  <si>
    <t>RESERVATÓRIO (L)</t>
  </si>
  <si>
    <t>DA RESISTÊNCIA (W)</t>
  </si>
  <si>
    <t>350 - 400</t>
  </si>
  <si>
    <t>550 - 600</t>
  </si>
  <si>
    <t>700 - 800</t>
  </si>
  <si>
    <t>1.000 - 1.100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</si>
  <si>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SOLAR</t>
    </r>
  </si>
  <si>
    <t>1.350 - 1.450</t>
  </si>
  <si>
    <t>Sub total - Materiais e equipamentos equipamentos hospitalares</t>
  </si>
  <si>
    <r>
      <t>RCB</t>
    </r>
    <r>
      <rPr>
        <vertAlign val="subscript"/>
        <sz val="11"/>
        <color theme="1"/>
        <rFont val="Calibri"/>
        <family val="2"/>
        <scheme val="minor"/>
      </rPr>
      <t>EQUIP_HOSP</t>
    </r>
  </si>
  <si>
    <t>Sub total - Mão de obra de terceiros equipamentos hospitalares</t>
  </si>
  <si>
    <t>Sub total - Mão de obra equipamentos hospitalares</t>
  </si>
  <si>
    <t>Sub total - Transporte e outros custos diretos equipamentos hospitalares</t>
  </si>
  <si>
    <t>Sub total - Custos diretos equipamentos hospitalares</t>
  </si>
  <si>
    <t>Sub total - Custos indiretos equipamentos hospitalares</t>
  </si>
  <si>
    <t>hosp 1</t>
  </si>
  <si>
    <t>hosp 2</t>
  </si>
  <si>
    <t>hosp 3</t>
  </si>
  <si>
    <t>hosp 4</t>
  </si>
  <si>
    <t>hosp 5</t>
  </si>
  <si>
    <t>hosp 6</t>
  </si>
  <si>
    <t>hosp 7</t>
  </si>
  <si>
    <t>hosp 8</t>
  </si>
  <si>
    <t>hosp 9</t>
  </si>
  <si>
    <t>hosp 10</t>
  </si>
  <si>
    <t>hosp 11</t>
  </si>
  <si>
    <t>hosp 12</t>
  </si>
  <si>
    <t>hosp 13</t>
  </si>
  <si>
    <t>hosp 14</t>
  </si>
  <si>
    <t>hosp 15</t>
  </si>
  <si>
    <t>hosp 16</t>
  </si>
  <si>
    <t>hosp 17</t>
  </si>
  <si>
    <t>hosp 18</t>
  </si>
  <si>
    <t>hosp 19</t>
  </si>
  <si>
    <t>hosp 20</t>
  </si>
  <si>
    <t>Potência requerida por ciclo</t>
  </si>
  <si>
    <t>Tempo médio de duração de cada ciclo</t>
  </si>
  <si>
    <t>h/ciclo</t>
  </si>
  <si>
    <t>Número de ciclos por dia</t>
  </si>
  <si>
    <t>ciclo/dia</t>
  </si>
  <si>
    <t>Consumo médio por ciclo</t>
  </si>
  <si>
    <t>kWh/ciclo</t>
  </si>
  <si>
    <r>
      <t>eca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</si>
  <si>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Consumo médio por dia</t>
  </si>
  <si>
    <t>kWh/dia</t>
  </si>
  <si>
    <r>
      <t>eda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</si>
  <si>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ecp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</si>
  <si>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edp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</si>
  <si>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HOSP</t>
    </r>
  </si>
  <si>
    <t>outros 1</t>
  </si>
  <si>
    <t>outros 2</t>
  </si>
  <si>
    <t>outros 3</t>
  </si>
  <si>
    <t>outros 4</t>
  </si>
  <si>
    <t>outros 5</t>
  </si>
  <si>
    <t>outros 6</t>
  </si>
  <si>
    <t>outros 7</t>
  </si>
  <si>
    <t>outros 8</t>
  </si>
  <si>
    <t>outros 9</t>
  </si>
  <si>
    <t>outros 10</t>
  </si>
  <si>
    <t>outros 11</t>
  </si>
  <si>
    <t>outros 12</t>
  </si>
  <si>
    <t>outros 13</t>
  </si>
  <si>
    <t>outros 14</t>
  </si>
  <si>
    <t>outros 15</t>
  </si>
  <si>
    <t>outros 16</t>
  </si>
  <si>
    <t>outros 17</t>
  </si>
  <si>
    <t>outros 18</t>
  </si>
  <si>
    <t>outros 19</t>
  </si>
  <si>
    <t>outros 20</t>
  </si>
  <si>
    <t>Potência nominal do equipamento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</si>
  <si>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OUTROS</t>
    </r>
  </si>
  <si>
    <t>CRONOGRAMA FÍSICO</t>
  </si>
  <si>
    <t>Mês 1</t>
  </si>
  <si>
    <t>Mês 2</t>
  </si>
  <si>
    <t>Mês 3</t>
  </si>
  <si>
    <t>Mês 4</t>
  </si>
  <si>
    <t>Mês 5</t>
  </si>
  <si>
    <t>Mês 6</t>
  </si>
  <si>
    <t>Mês 7</t>
  </si>
  <si>
    <t>Mês 8</t>
  </si>
  <si>
    <t>Mês 9</t>
  </si>
  <si>
    <t>Mês 10</t>
  </si>
  <si>
    <t>Mês 11</t>
  </si>
  <si>
    <t>Mês 12</t>
  </si>
  <si>
    <t>Realizado</t>
  </si>
  <si>
    <t>Total mensal de custos do projeto</t>
  </si>
  <si>
    <t>Total acumulado de custos do projeto</t>
  </si>
  <si>
    <t>ILUMINAÇÃO</t>
  </si>
  <si>
    <t>Sub total - Custos medição e verificação</t>
  </si>
  <si>
    <t>CONDICIONAMENTO AMBIENTAL</t>
  </si>
  <si>
    <t>MOTORES</t>
  </si>
  <si>
    <t>SISTEMAS DE REFRIGERAÇÃO</t>
  </si>
  <si>
    <t>AQUECIMENTO SOLAR DE ÁGUA</t>
  </si>
  <si>
    <t>Sub total - Custos medição e verificação motores - Período de referência</t>
  </si>
  <si>
    <t>Sub total - Custos medição e verificação motores - Período pós-retrofit</t>
  </si>
  <si>
    <t>Sub total - Custos medição e verificação motores</t>
  </si>
  <si>
    <t>EQUIPAMENTOS HOSPITALARES</t>
  </si>
  <si>
    <t>OUTROS</t>
  </si>
  <si>
    <t>Sub total - Custos descarte de equipamentos motores</t>
  </si>
  <si>
    <t>Sub total - Custos descarte de equipamentos</t>
  </si>
  <si>
    <t>Correção Monetária:</t>
  </si>
  <si>
    <t>CUSTOS DIRETOS</t>
  </si>
  <si>
    <t>Custo anualizado total iluminação</t>
  </si>
  <si>
    <t xml:space="preserve">Sub total - Custos iluminação </t>
  </si>
  <si>
    <t>CUSTOS ANUALIZADOS</t>
  </si>
  <si>
    <t>NM</t>
  </si>
  <si>
    <t>ND</t>
  </si>
  <si>
    <t>NUP</t>
  </si>
  <si>
    <t>dias</t>
  </si>
  <si>
    <t>horas</t>
  </si>
  <si>
    <t>Meses no ano, de utilização do Sistema no horário de Ponta</t>
  </si>
  <si>
    <t>Dias úteis no mês, de utilização do Sistema no horário de Ponta</t>
  </si>
  <si>
    <t>Horas por dia, de utilização do Sistema no horário de Ponta</t>
  </si>
  <si>
    <t>Benefício anualizado iluminação</t>
  </si>
  <si>
    <t>RECURSO PEE</t>
  </si>
  <si>
    <t xml:space="preserve">CUSTOS INDIRETOS </t>
  </si>
  <si>
    <t xml:space="preserve">Recursos PEE </t>
  </si>
  <si>
    <t>Vida Útil Média</t>
  </si>
  <si>
    <t xml:space="preserve">Custo anualizado total condicionamento ambiental </t>
  </si>
  <si>
    <t>Redução de Demanda mensal</t>
  </si>
  <si>
    <t>kW/mês</t>
  </si>
  <si>
    <t>Energia economizada em horário de ponta</t>
  </si>
  <si>
    <t>Energia economizada em horário fora de ponta</t>
  </si>
  <si>
    <t>Redução de Demanda em horário de ponta</t>
  </si>
  <si>
    <t>Redução de Demanda em horário fora de ponta</t>
  </si>
  <si>
    <t>Demanda</t>
  </si>
  <si>
    <t>MWh/mês</t>
  </si>
  <si>
    <t>Retorno do Investimento</t>
  </si>
  <si>
    <t>Sub total - Custos condicionamento ambiental</t>
  </si>
  <si>
    <t>Cond. Ambiental</t>
  </si>
  <si>
    <t>Aq. solar de água</t>
  </si>
  <si>
    <t>Eq. Hospitalares</t>
  </si>
  <si>
    <t>Juros:</t>
  </si>
  <si>
    <t>Sub total - Mão de obra de terceiros motores</t>
  </si>
  <si>
    <t>Sub total - Mão de obra motores</t>
  </si>
  <si>
    <t>Sub total - Transporte e outros custos diretos motores</t>
  </si>
  <si>
    <t>Sub total - Custos diretos motores</t>
  </si>
  <si>
    <t>Sub total - Custos indiretos motores</t>
  </si>
  <si>
    <t>Benefício anualizado condicionamento ambiental</t>
  </si>
  <si>
    <t>Benefício anualizado MOTORES</t>
  </si>
  <si>
    <t>Sub total - Custos sistemas de refrigeração</t>
  </si>
  <si>
    <t>Benefício anualizado sistemas de refrigeração</t>
  </si>
  <si>
    <t>SIST. DE REFRIGERAÇÃO  - ECONOMIA MENSAL PARA O CONSUMIDOR (SIMULAÇÃO)</t>
  </si>
  <si>
    <t>Sub total - Custos aquecimento solar de água</t>
  </si>
  <si>
    <t>DADOS DO COLETOR</t>
  </si>
  <si>
    <t>DADOS DO PROJETO</t>
  </si>
  <si>
    <t>DADOS DO RESERVATÓRIO</t>
  </si>
  <si>
    <t>AQUECIMENTO SOLAR DE ÁGUA - RESULTADOS ESPERADOS</t>
  </si>
  <si>
    <t>FATOR DE COINCIDÊNCIA NA PONTA</t>
  </si>
  <si>
    <t>Cidade</t>
  </si>
  <si>
    <t>ARACAJU</t>
  </si>
  <si>
    <t>BELÉM</t>
  </si>
  <si>
    <t>BELO HORIZONTE</t>
  </si>
  <si>
    <t>BRASÍLIA</t>
  </si>
  <si>
    <t>CAMPO GRANDE</t>
  </si>
  <si>
    <t>CUIABÁ</t>
  </si>
  <si>
    <t>CURITIBA</t>
  </si>
  <si>
    <t>FLORIANÓPOLIS</t>
  </si>
  <si>
    <t>FORTALEZA</t>
  </si>
  <si>
    <t>GOIÂNIA</t>
  </si>
  <si>
    <t>JOÃO PESSOA</t>
  </si>
  <si>
    <t>MACAPÁ</t>
  </si>
  <si>
    <t>MACEIÓ</t>
  </si>
  <si>
    <t>MANAUS</t>
  </si>
  <si>
    <t>NATAL</t>
  </si>
  <si>
    <t>PORTO ALEGRE</t>
  </si>
  <si>
    <t>PORTO NACIONAL</t>
  </si>
  <si>
    <t>PORTO VELHO</t>
  </si>
  <si>
    <t>RECIFE</t>
  </si>
  <si>
    <t>RIBEIRÃO PRETO</t>
  </si>
  <si>
    <t>RIO DE JANEIRO</t>
  </si>
  <si>
    <t>SALVADOR</t>
  </si>
  <si>
    <t>SÃO LUÍS</t>
  </si>
  <si>
    <t>SÃO PAULO</t>
  </si>
  <si>
    <t>TERESINA</t>
  </si>
  <si>
    <t>VITÓRIA</t>
  </si>
  <si>
    <t>Condições:</t>
  </si>
  <si>
    <t>Temperatura de armazenamento = 40°C</t>
  </si>
  <si>
    <t>Volume armazenado = Volume consumido</t>
  </si>
  <si>
    <t>Benefício anualizado aquecimento solar de água</t>
  </si>
  <si>
    <t>Sub total - Custos equipamentos hospitalares</t>
  </si>
  <si>
    <t>Benefício anualizado equipamentos hospitalares</t>
  </si>
  <si>
    <t/>
  </si>
  <si>
    <t>Medições e Verificação de consumo e demanda – Inicial</t>
  </si>
  <si>
    <t>Supervisão e execução do projeto</t>
  </si>
  <si>
    <t>Medições e Verificação de consumo e demanda – Final</t>
  </si>
  <si>
    <t>Descarte</t>
  </si>
  <si>
    <t>Relatório mensal de acompanhamento (Relatório de Medição)</t>
  </si>
  <si>
    <t>Relatório final</t>
  </si>
  <si>
    <t>Tarifa vigente</t>
  </si>
  <si>
    <t>PREMISSAS PARA O CÁLCULO DAS PARCELAS DO CONTRATO DE DESEMPENHO</t>
  </si>
  <si>
    <t>ECONOMIA MENSAL PARA O CONSUMIDOR (SIMULAÇÃO)</t>
  </si>
  <si>
    <t>Total do Projeto</t>
  </si>
  <si>
    <t xml:space="preserve">COM CONTRAPARTIDA </t>
  </si>
  <si>
    <t>COM CONTRAPARTIDA</t>
  </si>
  <si>
    <t>CUSTO CONTÁBIL - PROJETO TOTAL</t>
  </si>
  <si>
    <t>BENEFÍCIOS - ILUMINAÇÃO</t>
  </si>
  <si>
    <t>BENEFÍCIOS - CONDICIONAMENTO AMBIENTAL</t>
  </si>
  <si>
    <t>BENEFÍCIOS - MOTORES</t>
  </si>
  <si>
    <t>BENEFÍCIOS - SISTEMAS DE REFRIGERAÇÃO</t>
  </si>
  <si>
    <t>BENEFÍCIOS - AQUECIMENTO SOLAR DE ÁGUA</t>
  </si>
  <si>
    <t>BENEFÍCIOS - EQUIPAMENTOS HOSPITALARES</t>
  </si>
  <si>
    <t>BENEFÍCIOS - OUTROS SISTEMAS</t>
  </si>
  <si>
    <t xml:space="preserve">                           ATIVIDADES</t>
  </si>
  <si>
    <t>PEE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</si>
  <si>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PEE_ILUM</t>
    </r>
  </si>
  <si>
    <t>Tipo de custo</t>
  </si>
  <si>
    <t>TIPOS DE CUSTOS</t>
  </si>
  <si>
    <t>Custo anualizado PEE  iluminação</t>
  </si>
  <si>
    <t>DESCRIÇÃO DO EQUIPAMENTO</t>
  </si>
  <si>
    <t xml:space="preserve">                                                                                                             Sistema 
Tipo de Custo</t>
  </si>
  <si>
    <t>Sub total - Outros custos diretos condicionamento ambiental</t>
  </si>
  <si>
    <t>Sub total - Outros custos diretos iluminação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</si>
  <si>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PEE_COND</t>
    </r>
  </si>
  <si>
    <t xml:space="preserve">Custo anualizado PEE condicionamento ambiental </t>
  </si>
  <si>
    <r>
      <t>RCB</t>
    </r>
    <r>
      <rPr>
        <vertAlign val="subscript"/>
        <sz val="11"/>
        <color theme="1"/>
        <rFont val="Calibri"/>
        <family val="2"/>
        <scheme val="minor"/>
      </rPr>
      <t>ILUMINAÇÃO_PEE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</si>
  <si>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ILUMINAÇÃO_TOTAL</t>
    </r>
  </si>
  <si>
    <r>
      <t>RCB</t>
    </r>
    <r>
      <rPr>
        <vertAlign val="subscript"/>
        <sz val="11"/>
        <color theme="1"/>
        <rFont val="Calibri"/>
        <family val="2"/>
        <scheme val="minor"/>
      </rPr>
      <t>COND_AMB_PEE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</si>
  <si>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COND_AMB_TOTAL</t>
    </r>
  </si>
  <si>
    <t>Sub total - Outros custos diretos sistemas de refrigeração</t>
  </si>
  <si>
    <r>
      <t>RCB</t>
    </r>
    <r>
      <rPr>
        <vertAlign val="subscript"/>
        <sz val="11"/>
        <color theme="1"/>
        <rFont val="Calibri"/>
        <family val="2"/>
        <scheme val="minor"/>
      </rPr>
      <t>REFRIGERAÇÃO_PEE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</si>
  <si>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REFRIGERAÇÃO_TOTAL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</si>
  <si>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T_REF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</si>
  <si>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PEE_REF</t>
    </r>
  </si>
  <si>
    <t xml:space="preserve">Custo anualizado total sistemas de refrigeração </t>
  </si>
  <si>
    <t xml:space="preserve">Custo anualizado PEE  sistemas de refrigeração </t>
  </si>
  <si>
    <t>Sub total - Materiais e equipamentos motores</t>
  </si>
  <si>
    <t>Sub total - Outros custos diretos motores</t>
  </si>
  <si>
    <t>Sub total - Outros custos indiretos condicionamento ambiental</t>
  </si>
  <si>
    <t>Sub total - Outros custos indiretos iluminação</t>
  </si>
  <si>
    <t>Sub total - Outros custos indiretos motores</t>
  </si>
  <si>
    <t xml:space="preserve">Sub total - Custos motores </t>
  </si>
  <si>
    <t>Custo anualizado total motores</t>
  </si>
  <si>
    <t>Custo anualizado PEE  motores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</si>
  <si>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T_MOT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</si>
  <si>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PEE_MOT</t>
    </r>
  </si>
  <si>
    <t>Sub total - Outros custos indiretos sistemas de refrigeração</t>
  </si>
  <si>
    <t>Sub total - Outros custos diretos aquecimento solar de água</t>
  </si>
  <si>
    <r>
      <t>RCB</t>
    </r>
    <r>
      <rPr>
        <vertAlign val="subscript"/>
        <sz val="11"/>
        <color theme="1"/>
        <rFont val="Calibri"/>
        <family val="2"/>
        <scheme val="minor"/>
      </rPr>
      <t>AQUEC_SOLAR_PEE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</si>
  <si>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AQUEC_SOLAR_TOTAL</t>
    </r>
  </si>
  <si>
    <t>Sub total - Outros custos indiretos aquecimento solar de água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</si>
  <si>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PEE_AQS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</si>
  <si>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T_AQS</t>
    </r>
  </si>
  <si>
    <t>Sub total - Outros custos diretos equipamentos hospitalares</t>
  </si>
  <si>
    <t>Sub total - Outros custos indiretos equipamentos hospitalares</t>
  </si>
  <si>
    <t>Custo anualizado total equipamentos hospitalares</t>
  </si>
  <si>
    <t>Custo anualizado PEE  equipamentos hospitalares</t>
  </si>
  <si>
    <r>
      <t>RCB</t>
    </r>
    <r>
      <rPr>
        <vertAlign val="subscript"/>
        <sz val="11"/>
        <color theme="1"/>
        <rFont val="Calibri"/>
        <family val="2"/>
        <scheme val="minor"/>
      </rPr>
      <t>HOSP_PEE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</si>
  <si>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HOP_TOTAL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</si>
  <si>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T_HOP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</si>
  <si>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PEE_HOP</t>
    </r>
  </si>
  <si>
    <t>Sub total - Materiais e equipamentos outros sistemas</t>
  </si>
  <si>
    <t>Sub total - Mão de obra de terceiros outros sistemas</t>
  </si>
  <si>
    <t>Sub total - Mão de obra outros sistemas</t>
  </si>
  <si>
    <t>Sub total - Outros custos diretos outros sistemas</t>
  </si>
  <si>
    <t>Sub total - Transporte e outros custos diretos outros sistemas</t>
  </si>
  <si>
    <t>Sub total - Custos diretos outros sistemas</t>
  </si>
  <si>
    <t>Sub total - Outros custos indiretos outros sistemas</t>
  </si>
  <si>
    <t>Sub total - Custos indiretos outros sistemas</t>
  </si>
  <si>
    <t>Sub total - Custos outros sistemas</t>
  </si>
  <si>
    <t>Custo anualizado total outros sistemas</t>
  </si>
  <si>
    <t>Custo anualizado PEE  outros sistemas</t>
  </si>
  <si>
    <r>
      <t>RCB</t>
    </r>
    <r>
      <rPr>
        <vertAlign val="subscript"/>
        <sz val="11"/>
        <color theme="1"/>
        <rFont val="Calibri"/>
        <family val="2"/>
        <scheme val="minor"/>
      </rPr>
      <t>OUTROS_PEE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</si>
  <si>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OUTROS_TOTAL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</si>
  <si>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T_OUT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</si>
  <si>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PEE_OUT</t>
    </r>
  </si>
  <si>
    <t>DADOS GERAIS</t>
  </si>
  <si>
    <t>OUTROS SISTEMAS</t>
  </si>
  <si>
    <t>VIAGEM</t>
  </si>
  <si>
    <t xml:space="preserve">                                  Transporte</t>
  </si>
  <si>
    <t>SISTEMA ATUAL</t>
  </si>
  <si>
    <t xml:space="preserve">ILUMINAÇÃO </t>
  </si>
  <si>
    <t>SISTEMA PROPOSTO</t>
  </si>
  <si>
    <t>RESULTADOS ESPERADOS</t>
  </si>
  <si>
    <t>SITUAÇÃO ATUAL</t>
  </si>
  <si>
    <t xml:space="preserve">RESULTADOS ESPERADOS </t>
  </si>
  <si>
    <t>Benefício anualizado outros</t>
  </si>
  <si>
    <t>Engenheiro</t>
  </si>
  <si>
    <t>Mês 01</t>
  </si>
  <si>
    <t>Mês 02</t>
  </si>
  <si>
    <t>Mês 03</t>
  </si>
  <si>
    <t>Mês 04</t>
  </si>
  <si>
    <t>Mês 05</t>
  </si>
  <si>
    <t>Mês 06</t>
  </si>
  <si>
    <t>Mês 07</t>
  </si>
  <si>
    <t>Mês 08</t>
  </si>
  <si>
    <t>Mês 09</t>
  </si>
  <si>
    <t>Acessórios / Materiais e Equipamentos</t>
  </si>
  <si>
    <t>Treinamento e Capacitação / Custo Total do Projeto</t>
  </si>
  <si>
    <t xml:space="preserve">                                    Mão de Obra da Concessionária</t>
  </si>
  <si>
    <t>Horas de Ponta em um mês:</t>
  </si>
  <si>
    <t>Horas Fora da Ponta em um mês:</t>
  </si>
  <si>
    <t>Valor da Parcela Inicial:</t>
  </si>
  <si>
    <t>Descrição</t>
  </si>
  <si>
    <t>Mão de Obra de Terceiros - MOT</t>
  </si>
  <si>
    <t>Mão de Obra Própria (Concessionária) - MOP</t>
  </si>
  <si>
    <t>Medição &amp; Verificação - M&amp;V</t>
  </si>
  <si>
    <t>Elaboração do Projeto (Diagnóstico)</t>
  </si>
  <si>
    <t>M&amp;V/Custo Total do Projeto</t>
  </si>
  <si>
    <t>ao ano (IGPM)</t>
  </si>
  <si>
    <t>Valor da parcela inicial p/ recuperação do investimento</t>
  </si>
  <si>
    <t>CÁLCULO DA RCB - PONTO DE VISTA DO SISTEMA ELÉTRICO</t>
  </si>
  <si>
    <t>CÁLCULO DA RCB - PONTO DE VISTA DO CONSUMIDOR</t>
  </si>
  <si>
    <t>CONSUMIDOR</t>
  </si>
  <si>
    <t>SISTEMA ELÉTRICO</t>
  </si>
  <si>
    <t>Vida Útil Média (anos)</t>
  </si>
  <si>
    <t>ATIVIDADES</t>
  </si>
  <si>
    <t xml:space="preserve">Elaboração do projeto e especificação dos materiais e equipamentos </t>
  </si>
  <si>
    <t>CRONOGRAMA FINANCEIRO (em R$)</t>
  </si>
  <si>
    <t>Contrapartida</t>
  </si>
  <si>
    <t>Responsável</t>
  </si>
  <si>
    <t>Origem do
Recurso</t>
  </si>
  <si>
    <t>Total de custos
do projeto (em R$)</t>
  </si>
  <si>
    <t xml:space="preserve">Aquisição dos materiais e equipamentos </t>
  </si>
  <si>
    <t xml:space="preserve">Contratação dos serviços </t>
  </si>
  <si>
    <t>Tipo de Atividade</t>
  </si>
  <si>
    <t>Selecione o tipo de atividade</t>
  </si>
  <si>
    <t>Marketing</t>
  </si>
  <si>
    <t>DIVISÃO DOS CUSTOS POR USO FINAL</t>
  </si>
  <si>
    <t xml:space="preserve"> Marketing</t>
  </si>
  <si>
    <t>Uso Final</t>
  </si>
  <si>
    <t>MARKETING - ORÇAMENTOS</t>
  </si>
  <si>
    <t>Descrição do item</t>
  </si>
  <si>
    <t>Menor Valor Unitário</t>
  </si>
  <si>
    <t>Menor Preço unitário</t>
  </si>
  <si>
    <t>Fornecedor 1</t>
  </si>
  <si>
    <t>Nome do fornecedor</t>
  </si>
  <si>
    <t>CNPJ do fornecedor</t>
  </si>
  <si>
    <t>Data da proposta</t>
  </si>
  <si>
    <t>Validade da proposta</t>
  </si>
  <si>
    <t>Pessoa de contato</t>
  </si>
  <si>
    <t>Telefone</t>
  </si>
  <si>
    <t>e-mail</t>
  </si>
  <si>
    <t>Critério de julgamento</t>
  </si>
  <si>
    <t>Fornecedor 2</t>
  </si>
  <si>
    <t>Fornecedor 3</t>
  </si>
  <si>
    <t>DADOS DO FORNECEDOR</t>
  </si>
  <si>
    <t>Preço Unitário</t>
  </si>
  <si>
    <t>DESCARTE - ORÇAMENTO</t>
  </si>
  <si>
    <t>MARKETING - ORIGEM DOS RECURSOS</t>
  </si>
  <si>
    <t>DESCARTE - ORIGEM DOS RECURSOS</t>
  </si>
  <si>
    <t>FORNECEDORES</t>
  </si>
  <si>
    <t>M&amp;V - PREMISSAS E ORÇAMENTOS</t>
  </si>
  <si>
    <t>M&amp;V - PREMISSAS E ORIGEM DOS RECURSOS</t>
  </si>
  <si>
    <t>TREINAMENTO - ORÇAMENTOS</t>
  </si>
  <si>
    <t>TREINAMENTO E CAPACITAÇÃO</t>
  </si>
  <si>
    <t>GESTÃO ENERGÉTICA</t>
  </si>
  <si>
    <t xml:space="preserve">TRENAMENTO </t>
  </si>
  <si>
    <t>SUB-TOTAL GESTÃO ENERGÉTICA</t>
  </si>
  <si>
    <t>SUB-TOTAL - TREINAMENTO</t>
  </si>
  <si>
    <t>TOTAL TREINAMENTO E CAPACITAÇÃO</t>
  </si>
  <si>
    <t>Fornecedor 4</t>
  </si>
  <si>
    <t>Fornecedor 5</t>
  </si>
  <si>
    <t>Fornecedor 6</t>
  </si>
  <si>
    <t>FORNECEDOR</t>
  </si>
  <si>
    <t>Menor Preço Unitário</t>
  </si>
  <si>
    <t>Menor Preço Unitário 
(Valor da hora)</t>
  </si>
  <si>
    <t>Preço Unitário 
(Valor da hora)</t>
  </si>
  <si>
    <t>CUSTOS - ILUMINAÇÃO (ORÇAMENTOS)</t>
  </si>
  <si>
    <t>TREINAMENTO E CAPACITAÇÃO - ORIGEM DOS RECURSOS</t>
  </si>
  <si>
    <t>ELABORAÇÃO DO PROJETO - ORÇAMENTOS</t>
  </si>
  <si>
    <t>Menor Preço unitário
(Valor da Hora)</t>
  </si>
  <si>
    <t>Preço unitário
(Valor da Hora)</t>
  </si>
  <si>
    <t>ELABORAÇÃO DO PROJETO - ORIGEM DOS RECURSOS</t>
  </si>
  <si>
    <t>Elaboração do Projeto</t>
  </si>
  <si>
    <t>CUSTOS - CONDICIONAMENTO AMBIENTAL (ORÇAMENTOS)</t>
  </si>
  <si>
    <t>CUSTOS - ILUMINAÇÃO (ORIGEM DOS RECURSOS)</t>
  </si>
  <si>
    <t>CUSTOS - CONDICIONAMENTO AMBIENTAL (ORIGEM DOS RECURSOS)</t>
  </si>
  <si>
    <t>CUSTOS - MOTOR (ORÇAMENTOS)</t>
  </si>
  <si>
    <t>CUSTOS - MOTOR (ORIGEM DOS RECURSOS)</t>
  </si>
  <si>
    <t>CUSTOS - SISTEMAS DE REFRIGERAÇÃO (ORIGEM DOS RECURSOS)</t>
  </si>
  <si>
    <t>CUSTOS - SISTEMAS DE REFRIGERAÇÃO (ORÇAMENTOS)</t>
  </si>
  <si>
    <t>CUSTOS - AQUECIMENTO SOLAR DE ÁGUA (ORIGEM DOS RECURSOS)</t>
  </si>
  <si>
    <t>CUSTOS - AQUECIMENTO SOLAR DE ÁGUA (ORÇAMENTOS)</t>
  </si>
  <si>
    <t>CUSTOS - EQUIPAMENTOS HOSPITALARES (ORÇAMENTOS)</t>
  </si>
  <si>
    <t>CUSTOS - EQUIPAMENTOS HOSPITALARES (ORIGEM DOS RECURSOS)</t>
  </si>
  <si>
    <t>CUSTOS - OUTROS SISTEMAS (ORÇAMENTOS)</t>
  </si>
  <si>
    <t>CUSTOS - OUTROS SISTEMAS (ORIGEM DOS RECURSOS)</t>
  </si>
  <si>
    <t>CUSTOS - FONTES INCENTIVADAS (ORÇAMENTOS)</t>
  </si>
  <si>
    <t>CUSTOS - FONTES INCENTIVADAS (ORIGEM DOS RECURSOS)</t>
  </si>
  <si>
    <t>Sub total - Materiais e equipamentos fontes incentivadas</t>
  </si>
  <si>
    <t>Sub total - Mão de obra de terceiros fontes incentivadas</t>
  </si>
  <si>
    <t>Sub total - Mão de obra fontes incentivadas</t>
  </si>
  <si>
    <t>Sub total - Outros custos diretos fontes incentivadas</t>
  </si>
  <si>
    <t>Sub total - Transporte e outros custos diretos fontes incentivadas</t>
  </si>
  <si>
    <t>Sub total - Custos diretos fontes incentivadas</t>
  </si>
  <si>
    <t>Sub total - Outros custos indiretos fontes incentivadas</t>
  </si>
  <si>
    <t>Sub total - Custos indiretos fontes incentivadas</t>
  </si>
  <si>
    <t>Sub total - Custos fontes incentivadas</t>
  </si>
  <si>
    <t>BENEFÍCIOS - FONTES INCENTIVADAS</t>
  </si>
  <si>
    <t>Custo anualizado total fontes incentivadas</t>
  </si>
  <si>
    <t>Custo anualizado PEE  fontes incentivadas</t>
  </si>
  <si>
    <r>
      <t>CA</t>
    </r>
    <r>
      <rPr>
        <b/>
        <vertAlign val="subscript"/>
        <sz val="11"/>
        <color theme="0"/>
        <rFont val="Calibri"/>
        <family val="2"/>
        <scheme val="minor"/>
      </rPr>
      <t>T_FI</t>
    </r>
  </si>
  <si>
    <r>
      <t>CA</t>
    </r>
    <r>
      <rPr>
        <b/>
        <vertAlign val="subscript"/>
        <sz val="11"/>
        <color theme="0"/>
        <rFont val="Calibri"/>
        <family val="2"/>
        <scheme val="minor"/>
      </rPr>
      <t>PEE_FI</t>
    </r>
  </si>
  <si>
    <r>
      <t>RCB</t>
    </r>
    <r>
      <rPr>
        <vertAlign val="subscript"/>
        <sz val="11"/>
        <color theme="1"/>
        <rFont val="Calibri"/>
        <family val="2"/>
        <scheme val="minor"/>
      </rPr>
      <t>FI_PEE</t>
    </r>
  </si>
  <si>
    <r>
      <t>RCB</t>
    </r>
    <r>
      <rPr>
        <vertAlign val="subscript"/>
        <sz val="11"/>
        <color theme="1"/>
        <rFont val="Calibri"/>
        <family val="2"/>
        <scheme val="minor"/>
      </rPr>
      <t>FI_TOTAL</t>
    </r>
  </si>
  <si>
    <t>Fontes Incentivadas</t>
  </si>
  <si>
    <r>
      <t>B</t>
    </r>
    <r>
      <rPr>
        <b/>
        <i/>
        <vertAlign val="subscript"/>
        <sz val="11"/>
        <color theme="0"/>
        <rFont val="Calibri"/>
        <family val="2"/>
        <scheme val="minor"/>
      </rPr>
      <t>FI</t>
    </r>
  </si>
  <si>
    <t>Benefício anualizado fontes incentivadas</t>
  </si>
  <si>
    <t>Potência nominal do sistema</t>
  </si>
  <si>
    <t>Potência instalada de geração</t>
  </si>
  <si>
    <t>FONTE INCENTIVADA</t>
  </si>
  <si>
    <t>Fonte Incentivada</t>
  </si>
  <si>
    <t>Meses no ano, de funcionamento do Sistema no horário de Ponta</t>
  </si>
  <si>
    <t>Dias úteis no mês, de funcionamento do Sistema no horário de Ponta</t>
  </si>
  <si>
    <t>Horas por dia, de funcionamento do Sistema no horário de Ponta</t>
  </si>
  <si>
    <t>fonte 1</t>
  </si>
  <si>
    <t>fonte 2</t>
  </si>
  <si>
    <t>fonte 3</t>
  </si>
  <si>
    <t>fonte 4</t>
  </si>
  <si>
    <t>fonte 5</t>
  </si>
  <si>
    <t>fonte 6</t>
  </si>
  <si>
    <t>fonte 7</t>
  </si>
  <si>
    <t>fonte 8</t>
  </si>
  <si>
    <t>fonte 9</t>
  </si>
  <si>
    <t>fonte 10</t>
  </si>
  <si>
    <t>fonte 11</t>
  </si>
  <si>
    <t>fonte 12</t>
  </si>
  <si>
    <t>fonte 13</t>
  </si>
  <si>
    <t>fonte 14</t>
  </si>
  <si>
    <t>fonte 15</t>
  </si>
  <si>
    <t>fonte 16</t>
  </si>
  <si>
    <t>fonte 17</t>
  </si>
  <si>
    <t>fonte 18</t>
  </si>
  <si>
    <t>fonte 19</t>
  </si>
  <si>
    <t>fonte 20</t>
  </si>
  <si>
    <t>Tempo de funcionamento do sistema, em um dia</t>
  </si>
  <si>
    <t>Dias de funcionamento do sistema, em um ano</t>
  </si>
  <si>
    <r>
      <t>EEp</t>
    </r>
    <r>
      <rPr>
        <i/>
        <vertAlign val="subscript"/>
        <sz val="11"/>
        <color theme="1"/>
        <rFont val="Calibri"/>
        <family val="2"/>
        <scheme val="minor"/>
      </rPr>
      <t>i</t>
    </r>
  </si>
  <si>
    <r>
      <t>EEfp</t>
    </r>
    <r>
      <rPr>
        <i/>
        <vertAlign val="subscript"/>
        <sz val="11"/>
        <color theme="1"/>
        <rFont val="Calibri"/>
        <family val="2"/>
        <scheme val="minor"/>
      </rPr>
      <t>i</t>
    </r>
  </si>
  <si>
    <t>Energia gerada total</t>
  </si>
  <si>
    <t>Energia fornecida em horário de ponta</t>
  </si>
  <si>
    <t>Energia fornecida em horário fora de ponta</t>
  </si>
  <si>
    <t>Demanda mensal atendida</t>
  </si>
  <si>
    <t>RDFPi</t>
  </si>
  <si>
    <t>Demanda atendida em horário de ponta</t>
  </si>
  <si>
    <t>Demanda atendida em horário fora de ponta</t>
  </si>
  <si>
    <t>Energia mensal fornecida</t>
  </si>
  <si>
    <t>Sub total - Custos medição e verificação fonte incentivada</t>
  </si>
  <si>
    <t>Total de custos
do projeto (R$)</t>
  </si>
  <si>
    <t>FONTES INCENTIVADAS</t>
  </si>
  <si>
    <t>CONSUMIDOR COM FINS LUCRATIVOS</t>
  </si>
  <si>
    <t>Identificação do Consumidor</t>
  </si>
  <si>
    <t>INDICADORES FINANCEIROS (BALANÇO PATRIMONIAL)</t>
  </si>
  <si>
    <t>Patrimônio Líquido (PL)</t>
  </si>
  <si>
    <t>Ativo Circulante (AC)</t>
  </si>
  <si>
    <t>Ativo Total (AT)</t>
  </si>
  <si>
    <t>Realizável a Longo Prazo (RLP)</t>
  </si>
  <si>
    <t>Passivo Circulante (PC)</t>
  </si>
  <si>
    <t>Passivo Não Circulante (PNC)</t>
  </si>
  <si>
    <t>Índice de Liquidez Geral (ILG)</t>
  </si>
  <si>
    <t>Índice de Liquidez Corrente (ILC)</t>
  </si>
  <si>
    <t>Índice de Solvência Geral (ISG)</t>
  </si>
  <si>
    <t>Avaliação Preliminar da Situação Financeira do Proponente</t>
  </si>
  <si>
    <t>Investimento 
Total (R$)</t>
  </si>
  <si>
    <t>Investimento 
PEE (R$)</t>
  </si>
  <si>
    <t>Investimento em 
treinamento (R$)</t>
  </si>
  <si>
    <t>Investimento em 
marketing (R$)</t>
  </si>
  <si>
    <t>Investimento em 
gestão energética (R$)</t>
  </si>
  <si>
    <t>Energia economizada
(MWh/ano)</t>
  </si>
  <si>
    <t>Redução na ponta
(kW)</t>
  </si>
  <si>
    <t>Tipo de Projeto</t>
  </si>
  <si>
    <t>Patrimônio
Líquido (R$)</t>
  </si>
  <si>
    <t>Ativo Circulante - AC (R$)</t>
  </si>
  <si>
    <t>Realizável a Longo Prazo - RLP (R$)</t>
  </si>
  <si>
    <t>Passivo Circulante - PC (R$)</t>
  </si>
  <si>
    <t>Passivo Não Circulante - PNC (R$)</t>
  </si>
  <si>
    <t>Ativo Total - AT (R$)</t>
  </si>
  <si>
    <t>Comércio e Serviços</t>
  </si>
  <si>
    <t>Poder Público</t>
  </si>
  <si>
    <t>Rural</t>
  </si>
  <si>
    <t>Residencial</t>
  </si>
  <si>
    <t>Benefício Anualizado PEE (R$)</t>
  </si>
  <si>
    <t>Custo Anualizado 
PEE (R$)</t>
  </si>
  <si>
    <t>Investimento PEE em Equipamentos (R$)</t>
  </si>
  <si>
    <t>Equip. hospitalar</t>
  </si>
  <si>
    <t>Aquecimento Solar</t>
  </si>
  <si>
    <t>Tarifa final da demanda na ponta (CED) =</t>
  </si>
  <si>
    <t>Tarifa final da energia na ponta (CEEp) =</t>
  </si>
  <si>
    <t>Tarifa final da energia fora de ponta (CEEfp) =</t>
  </si>
  <si>
    <t>ENDEREÇO DO CONSUMIDOR</t>
  </si>
  <si>
    <t>COORDENADOR DO PROJETO</t>
  </si>
  <si>
    <t>responsavel@consumidor.com.br</t>
  </si>
  <si>
    <t>Marketing / Custo Total do Projeto</t>
  </si>
  <si>
    <t>Celebração de Convênio com a CELPA</t>
  </si>
  <si>
    <t xml:space="preserve">Fiscalização da execução do projeto (CELPA) </t>
  </si>
  <si>
    <t>Repasse Financeiro da CELPA para o Consumidor</t>
  </si>
  <si>
    <t>Belem</t>
  </si>
  <si>
    <t>Dist. BELEM (km)</t>
  </si>
  <si>
    <t xml:space="preserve">PLANILHA DE CALCULO DESENVOLVIDA PELA CELESC E CEDIDA AO NEPEN PARA USO EXCLUSIVO EM PROCESSOS DE CHAMADA PUBLICA </t>
  </si>
  <si>
    <t>SÃO LUIZ</t>
  </si>
  <si>
    <t>Valor Total Solicitado ao PEE</t>
  </si>
  <si>
    <t>AZ A4</t>
  </si>
  <si>
    <t>BR B3</t>
  </si>
  <si>
    <t>BR B1</t>
  </si>
  <si>
    <t xml:space="preserve">Marketing / Custo da Parcela de Recursos PEE </t>
  </si>
  <si>
    <t xml:space="preserve">M&amp;V/Custo da Parcela de Recursos PEE </t>
  </si>
  <si>
    <t xml:space="preserve">Treinamento e Capacitação / Custo da Parcela de Recursos PEE </t>
  </si>
  <si>
    <t>NIVEIS DE TENSÃO</t>
  </si>
  <si>
    <t>CEE (R$/MWh)</t>
  </si>
  <si>
    <t>CED (R$/kW ano)</t>
  </si>
  <si>
    <t>A2 88 a 138 kV</t>
  </si>
  <si>
    <t xml:space="preserve">A3 69 kV </t>
  </si>
  <si>
    <t>A4 2,3 kV a 25 kV</t>
  </si>
  <si>
    <t>B1 Residencial</t>
  </si>
  <si>
    <t>B2 Rural</t>
  </si>
  <si>
    <t>B3 Demais Classes</t>
  </si>
  <si>
    <t>B2 Cooperativa</t>
  </si>
  <si>
    <t>B2 Irrigação</t>
  </si>
  <si>
    <t>B4 IP</t>
  </si>
  <si>
    <t>Industrial</t>
  </si>
  <si>
    <t>Serviços Públicos</t>
  </si>
  <si>
    <t>Residencial Tarifa Social</t>
  </si>
  <si>
    <t>Iluminação Pública</t>
  </si>
  <si>
    <t>Resolução ANEEL Nº 2.117 de 02 de Agosto de 2016</t>
  </si>
  <si>
    <t>Resolução ANEEL Nº 2.284 de 31 de julho de 2017</t>
  </si>
  <si>
    <t>Resolução ANEEL Nº 2.490 de 27 de Novembro de 2018</t>
  </si>
  <si>
    <t>Acauã</t>
  </si>
  <si>
    <t xml:space="preserve">Agricolândia </t>
  </si>
  <si>
    <t xml:space="preserve">Água Branca </t>
  </si>
  <si>
    <t xml:space="preserve">Alagoinha do Piauí </t>
  </si>
  <si>
    <t>Alegrete do Piauí</t>
  </si>
  <si>
    <t>Alto Longá</t>
  </si>
  <si>
    <t>Altos</t>
  </si>
  <si>
    <t>Alvorada do Gurgueia</t>
  </si>
  <si>
    <t>Amarante</t>
  </si>
  <si>
    <t>Angical do Piauí</t>
  </si>
  <si>
    <t xml:space="preserve">Antônio Almeida </t>
  </si>
  <si>
    <t>Anísio de Abreu</t>
  </si>
  <si>
    <t>Aroazes</t>
  </si>
  <si>
    <t>Aroeiras do Itaim</t>
  </si>
  <si>
    <t>Arraial</t>
  </si>
  <si>
    <t>Assunção do Piauí</t>
  </si>
  <si>
    <t>Avelino Lopes</t>
  </si>
  <si>
    <t xml:space="preserve">Baixa Grande do Ribeiro </t>
  </si>
  <si>
    <t>Barra d'Alcântara</t>
  </si>
  <si>
    <t>Barras</t>
  </si>
  <si>
    <t xml:space="preserve">Barreiras do Piauí </t>
  </si>
  <si>
    <t>Barro Duro</t>
  </si>
  <si>
    <t>Batalha</t>
  </si>
  <si>
    <t xml:space="preserve">Bela Vista do Piauí </t>
  </si>
  <si>
    <t>Belém do Piauí</t>
  </si>
  <si>
    <t>Beneditinos</t>
  </si>
  <si>
    <t>Bertolínia</t>
  </si>
  <si>
    <t xml:space="preserve">Betânia do Piauí </t>
  </si>
  <si>
    <t>Boa Hora</t>
  </si>
  <si>
    <t>Bocaina</t>
  </si>
  <si>
    <t>Bom Jesus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</si>
  <si>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</si>
  <si>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</si>
  <si>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</si>
  <si>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</si>
  <si>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</si>
  <si>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</si>
  <si>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</si>
  <si>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</si>
  <si>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</si>
  <si>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</si>
  <si>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</si>
  <si>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</si>
  <si>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</si>
  <si>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</si>
  <si>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</si>
  <si>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</si>
  <si>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</si>
  <si>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</si>
  <si>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</si>
  <si>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</si>
  <si>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Caracol</t>
  </si>
  <si>
    <t>Caraúbas do Piauí</t>
  </si>
  <si>
    <t>Caridade-do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</si>
  <si>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</si>
  <si>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</si>
  <si>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</si>
  <si>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</si>
  <si>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</si>
  <si>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</si>
  <si>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Gurgueia</t>
  </si>
  <si>
    <t>Colônia do Piauí</t>
  </si>
  <si>
    <t>Conceição do Canindé</t>
  </si>
  <si>
    <t>Coronel José Dias</t>
  </si>
  <si>
    <t>Corrente</t>
  </si>
  <si>
    <t>Cristalândia do Piauí</t>
  </si>
  <si>
    <t>Cristino Castrb</t>
  </si>
  <si>
    <t>Curimatá</t>
  </si>
  <si>
    <t>Currais</t>
  </si>
  <si>
    <t>Curral Novo do Piauí</t>
  </si>
  <si>
    <t>Curralinhos</t>
  </si>
  <si>
    <t>Demerval Lobão</t>
  </si>
  <si>
    <t>Dirceu Arcoverde, Don Expedito Loeses</t>
  </si>
  <si>
    <t>Dom Inocêncio</t>
  </si>
  <si>
    <t>Domingos Mourão</t>
  </si>
  <si>
    <t>Elesbão Veloso</t>
  </si>
  <si>
    <t>Eliseu Martins</t>
  </si>
  <si>
    <t>Esperantina</t>
  </si>
  <si>
    <t>Fartura do Piauí</t>
  </si>
  <si>
    <t>Flores do Piauí</t>
  </si>
  <si>
    <t>Floresta do Piauí</t>
  </si>
  <si>
    <t>Floriano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</si>
  <si>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</si>
  <si>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</si>
  <si>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</si>
  <si>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</si>
  <si>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</si>
  <si>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</si>
  <si>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</si>
  <si>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</si>
  <si>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</si>
  <si>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</si>
  <si>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</si>
  <si>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</si>
  <si>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</si>
  <si>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</si>
  <si>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</si>
  <si>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</si>
  <si>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</si>
  <si>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</si>
  <si>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</si>
  <si>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</si>
  <si>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</si>
  <si>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Joaquim Pires</t>
  </si>
  <si>
    <t>Joca Marques</t>
  </si>
  <si>
    <t>José de Freitas</t>
  </si>
  <si>
    <t>João Costa</t>
  </si>
  <si>
    <t>Juazeiro do Piauí</t>
  </si>
  <si>
    <t>Jurema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</si>
  <si>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</si>
  <si>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</si>
  <si>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</si>
  <si>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</si>
  <si>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</si>
  <si>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</si>
  <si>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</si>
  <si>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</si>
  <si>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Luzilândia</t>
  </si>
  <si>
    <t>Luís Correia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</si>
  <si>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</si>
  <si>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</si>
  <si>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</si>
  <si>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</si>
  <si>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</si>
  <si>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</si>
  <si>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</si>
  <si>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Leão,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</si>
  <si>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</si>
  <si>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</si>
  <si>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</si>
  <si>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</si>
  <si>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</si>
  <si>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</si>
  <si>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</si>
  <si>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</si>
  <si>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</si>
  <si>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</si>
  <si>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</si>
  <si>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Nova Santa Rita</t>
  </si>
  <si>
    <t>Novo Oriente do Piauí</t>
  </si>
  <si>
    <t>Novo Santo Antônio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</si>
  <si>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</si>
  <si>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</si>
  <si>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</si>
  <si>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</si>
  <si>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</si>
  <si>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</si>
  <si>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Palmeirais, Paquetá</t>
  </si>
  <si>
    <t>Parnaguá</t>
  </si>
  <si>
    <t>Parnaíba</t>
  </si>
  <si>
    <t>Passagem Franca do Piauí</t>
  </si>
  <si>
    <t>Patos do Piauí</t>
  </si>
  <si>
    <t>Pau-d'Arco do Piauí</t>
  </si>
  <si>
    <t>Paulistana</t>
  </si>
  <si>
    <t>Pavussu</t>
  </si>
  <si>
    <t>Pedro II</t>
  </si>
  <si>
    <t>Pedro Laurentino</t>
  </si>
  <si>
    <t xml:space="preserve"> Picos</t>
  </si>
  <si>
    <t>Pimenteiras</t>
  </si>
  <si>
    <t>Pio IX,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</si>
  <si>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</si>
  <si>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</si>
  <si>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</si>
  <si>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</si>
  <si>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</si>
  <si>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</si>
  <si>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Gurgueia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</si>
  <si>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</si>
  <si>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</si>
  <si>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</si>
  <si>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</si>
  <si>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</si>
  <si>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</si>
  <si>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</si>
  <si>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Filomena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</si>
  <si>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</si>
  <si>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</si>
  <si>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</si>
  <si>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</si>
  <si>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</si>
  <si>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</si>
  <si>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Sebastião Barros</t>
  </si>
  <si>
    <t>Sebastião Leal</t>
  </si>
  <si>
    <t>Sigefredo Pacheco</t>
  </si>
  <si>
    <t>Simplício Mendes</t>
  </si>
  <si>
    <t>Simões</t>
  </si>
  <si>
    <t>Socorro do Piauí</t>
  </si>
  <si>
    <t>Sussuapara</t>
  </si>
  <si>
    <t>São Braz do Piauí</t>
  </si>
  <si>
    <t>São Francisco de Assis do Piauí</t>
  </si>
  <si>
    <t>São Francisco do Piauí</t>
  </si>
  <si>
    <t>São Félix do Piauí</t>
  </si>
  <si>
    <t>São Gonçalo do Gurgueia</t>
  </si>
  <si>
    <t>São Gonçalo do Piauí</t>
  </si>
  <si>
    <t>São José do Divino</t>
  </si>
  <si>
    <t>São José do Peixe</t>
  </si>
  <si>
    <t>São José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</si>
  <si>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</si>
  <si>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</si>
  <si>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</si>
  <si>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</si>
  <si>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</si>
  <si>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</si>
  <si>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</si>
  <si>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</si>
  <si>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</si>
  <si>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</si>
  <si>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</si>
  <si>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</si>
  <si>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</si>
  <si>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</si>
  <si>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Tamboril do Piauí</t>
  </si>
  <si>
    <t>Tanque do Piauí</t>
  </si>
  <si>
    <t>Teresina</t>
  </si>
  <si>
    <t>União</t>
  </si>
  <si>
    <t>Uruçuí</t>
  </si>
  <si>
    <t>Valença do Piauí</t>
  </si>
  <si>
    <t>Vera Mendes</t>
  </si>
  <si>
    <t>Vila Nova do Piauí</t>
  </si>
  <si>
    <t>Várzea Branca</t>
  </si>
  <si>
    <t>Várzea Grande</t>
  </si>
  <si>
    <t>Wall Ferraz</t>
  </si>
  <si>
    <t>Resolução ANEEL Nº 2.644 de 26 de Novembro de 2019</t>
  </si>
  <si>
    <t>Equatorial Energia Piauí. - CNPJ: 06.840.748/0001-89</t>
  </si>
  <si>
    <t>Modalidade:</t>
  </si>
  <si>
    <t>Contrato de Desempenho</t>
  </si>
  <si>
    <t>Fundo Perdido</t>
  </si>
  <si>
    <t>Resolução ANEEL Nº 2.523 de 26 de Março de 2019</t>
  </si>
  <si>
    <t>Resolução ANEEL Nº 2.811 de 24 de Novembro de 2020</t>
  </si>
  <si>
    <r>
      <t xml:space="preserve">2) O horário de ponta da Concesionária é das </t>
    </r>
    <r>
      <rPr>
        <b/>
        <sz val="11"/>
        <rFont val="Calibri"/>
        <family val="2"/>
        <scheme val="minor"/>
      </rPr>
      <t>17:30 às 20:30.</t>
    </r>
  </si>
  <si>
    <t>PEE Equatorial Energia</t>
  </si>
  <si>
    <t>Repasse Financeiro da Equatorial Energia para o Consumidor</t>
  </si>
  <si>
    <t>Proponente</t>
  </si>
  <si>
    <t>Equatorial Energia</t>
  </si>
  <si>
    <t>Equatorial Energia e 
Consumidor</t>
  </si>
  <si>
    <t xml:space="preserve">Fiscalização da execução do projeto (EQTL PI) </t>
  </si>
  <si>
    <t>Não se aplica</t>
  </si>
  <si>
    <t>Não se Aplica</t>
  </si>
  <si>
    <t>Celebração de Convênio com a Equatorial Piauí</t>
  </si>
  <si>
    <t>Resolução ANEEL Nº 2.980de 30 de Novembro de 2021</t>
  </si>
  <si>
    <t>Mês 13</t>
  </si>
  <si>
    <t>Mês 14</t>
  </si>
  <si>
    <t>Mês 15</t>
  </si>
  <si>
    <t>Mês 16</t>
  </si>
  <si>
    <t>Mês 17</t>
  </si>
  <si>
    <t>Mês 18</t>
  </si>
  <si>
    <t>Mês 19</t>
  </si>
  <si>
    <t>Mês 20</t>
  </si>
  <si>
    <t>Mês 21</t>
  </si>
  <si>
    <t>Mês 22</t>
  </si>
  <si>
    <t>Mês 23</t>
  </si>
  <si>
    <t>Mês 24</t>
  </si>
  <si>
    <r>
      <t xml:space="preserve">Demanda atendida na ponta - </t>
    </r>
    <r>
      <rPr>
        <sz val="11"/>
        <color rgb="FFFF0000"/>
        <rFont val="Calibri"/>
        <family val="2"/>
        <scheme val="minor"/>
      </rPr>
      <t>Demanda Fatura do Cliente - R$/kW</t>
    </r>
  </si>
  <si>
    <r>
      <t xml:space="preserve">Demanda atendida fora de ponta - </t>
    </r>
    <r>
      <rPr>
        <sz val="11"/>
        <color rgb="FFFF0000"/>
        <rFont val="Calibri"/>
        <family val="2"/>
        <scheme val="minor"/>
      </rPr>
      <t>Demanda Fatura do Cliente - R$/kW</t>
    </r>
  </si>
  <si>
    <r>
      <t xml:space="preserve">Energia gerada na ponta - </t>
    </r>
    <r>
      <rPr>
        <sz val="11"/>
        <color rgb="FFFF0000"/>
        <rFont val="Calibri"/>
        <family val="2"/>
        <scheme val="minor"/>
      </rPr>
      <t>Tarifa Fatura do Cliente - R$/MWh</t>
    </r>
  </si>
  <si>
    <r>
      <t xml:space="preserve">Energia gerada fora de ponta - </t>
    </r>
    <r>
      <rPr>
        <sz val="11"/>
        <color rgb="FFFF0000"/>
        <rFont val="Calibri"/>
        <family val="2"/>
        <scheme val="minor"/>
      </rPr>
      <t>Tarifa Fatura do Cliente - R$/MWh</t>
    </r>
  </si>
  <si>
    <t>VERSÃO 1.0 - 23/05/22</t>
  </si>
  <si>
    <t>Fluorescente tubular 40W</t>
  </si>
  <si>
    <t>fluorescente tubular 40W</t>
  </si>
  <si>
    <t>fluorescente tubular 20W</t>
  </si>
  <si>
    <t>fluorescente tubular  20W</t>
  </si>
  <si>
    <t>PL 12W</t>
  </si>
  <si>
    <t>PL 20W</t>
  </si>
  <si>
    <t>PL 25W</t>
  </si>
  <si>
    <t>led tubular 16 W</t>
  </si>
  <si>
    <t>Led tubular 16 W</t>
  </si>
  <si>
    <t>Led tubular 16W</t>
  </si>
  <si>
    <t>Led tubular 8W</t>
  </si>
  <si>
    <t>Led bulbo 8W</t>
  </si>
  <si>
    <t>Led Bulbo 8W</t>
  </si>
  <si>
    <t>IntralS.A.</t>
  </si>
  <si>
    <t>Freire e Reis LTDA</t>
  </si>
  <si>
    <t>Nelson</t>
  </si>
  <si>
    <t>João</t>
  </si>
  <si>
    <t>11 33921711</t>
  </si>
  <si>
    <t>cotty@cotty.com.br</t>
  </si>
  <si>
    <t>teresina@ledsleds.com.br</t>
  </si>
  <si>
    <t>Fotovoltaico</t>
  </si>
  <si>
    <t>Modulo fotovoltaico</t>
  </si>
  <si>
    <t>Inversor</t>
  </si>
  <si>
    <t>Demais componentes do kit</t>
  </si>
  <si>
    <t>All Nations Comercio Exterior S.A.</t>
  </si>
  <si>
    <t>Ecori Energia Solar LTDA</t>
  </si>
  <si>
    <t>Luana</t>
  </si>
  <si>
    <t>Raphael</t>
  </si>
  <si>
    <t>21 992315852</t>
  </si>
  <si>
    <t>17 992070590</t>
  </si>
  <si>
    <t>vendas02@win.com.br</t>
  </si>
  <si>
    <t>raphael.rj@ecori.com.br</t>
  </si>
  <si>
    <t>Colégio Técnico de Teresina</t>
  </si>
  <si>
    <t>Lâmpadas + reatores + km rodado</t>
  </si>
  <si>
    <t>Lumitech Tratamento de Residuos</t>
  </si>
  <si>
    <t>Mundial Reciclagem</t>
  </si>
  <si>
    <t xml:space="preserve">Inovar prestadora de serviços </t>
  </si>
  <si>
    <t>26.076.431/0001-25</t>
  </si>
  <si>
    <t>24.943.554/0001-90</t>
  </si>
  <si>
    <t>30.413.803/0001-39</t>
  </si>
  <si>
    <t>Wilson Batista</t>
  </si>
  <si>
    <t>Wilson</t>
  </si>
  <si>
    <t>Daud de Fróis</t>
  </si>
  <si>
    <t>62 320887878</t>
  </si>
  <si>
    <t>62 991225848</t>
  </si>
  <si>
    <t>62 32067070</t>
  </si>
  <si>
    <t>lumitechmeioambiente@gmail.com</t>
  </si>
  <si>
    <t>wilson.santos@mundialreciclagem.com.br</t>
  </si>
  <si>
    <t>daud.frois@inova.com</t>
  </si>
  <si>
    <t xml:space="preserve">Fundação Univercidade Federal do Piauí - Colégio Agricola de </t>
  </si>
  <si>
    <t>Brassunny</t>
  </si>
  <si>
    <t>Tânia</t>
  </si>
  <si>
    <t>45 31228686</t>
  </si>
  <si>
    <t>contato@brassunny.com.br</t>
  </si>
  <si>
    <t>Ecosol Energia Solar e Tecnologia</t>
  </si>
  <si>
    <t>Luca Baldi</t>
  </si>
  <si>
    <t>21 995959311</t>
  </si>
  <si>
    <t>Luca.baldi@ecosolgeracao.com.br</t>
  </si>
  <si>
    <t>Projeto executivo</t>
  </si>
  <si>
    <t>instalação</t>
  </si>
  <si>
    <t>Instalação</t>
  </si>
  <si>
    <t>treinamento</t>
  </si>
  <si>
    <t>Diagnóstico energético</t>
  </si>
  <si>
    <t>Sistema fotovoltaico</t>
  </si>
  <si>
    <t>Equatorial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</si>
</sst>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"/>
    <numFmt numFmtId="167" formatCode="0.0000;[Red][&gt;0.8]General;General"/>
    <numFmt numFmtId="168" formatCode="#,##0.00;\-#,##0.00;&quot;&quot;;@"/>
    <numFmt numFmtId="169" formatCode="#,##0.00000"/>
    <numFmt numFmtId="170" formatCode="#,##0.00;\-#,##0.00;0.00;@"/>
    <numFmt numFmtId="171" formatCode="#,##0.00_ ;\-#,##0.00\ "/>
    <numFmt numFmtId="172" formatCode="#,##0;\-#,##0;0;@"/>
    <numFmt numFmtId="173" formatCode="_(* #,##0_);_(* \(#,##0\);_(* &quot;-&quot;??_);_(@_)"/>
    <numFmt numFmtId="174" formatCode="00&quot;.&quot;000&quot;.&quot;000&quot;/&quot;0000&quot;-&quot;00"/>
    <numFmt numFmtId="175" formatCode="[&lt;10000000000]&quot;(&quot;00&quot;) &quot;0000&quot;-&quot;0000;&quot;(&quot;00&quot;) &quot;00000&quot;-&quot;0000"/>
    <numFmt numFmtId="176" formatCode="0.00000"/>
  </numFmts>
  <fonts count="10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99CCFF"/>
      <name val="Arial"/>
      <family val="2"/>
    </font>
    <font>
      <b/>
      <sz val="20"/>
      <color rgb="FF99CCFF"/>
      <name val="Wingdings"/>
      <charset val="2"/>
    </font>
    <font>
      <b/>
      <sz val="14"/>
      <color rgb="FF99CCFF"/>
      <name val="Arial"/>
      <family val="2"/>
    </font>
    <font>
      <b/>
      <sz val="10"/>
      <color rgb="FF99CCFF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vertAlign val="subscript"/>
      <sz val="11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99CCFF"/>
      <name val="Calibri"/>
      <family val="2"/>
      <scheme val="minor"/>
    </font>
    <font>
      <u/>
      <sz val="11"/>
      <name val="Calibri"/>
      <family val="2"/>
      <scheme val="minor"/>
    </font>
    <font>
      <sz val="11"/>
      <color indexed="43"/>
      <name val="Calibri"/>
      <family val="2"/>
      <scheme val="minor"/>
    </font>
    <font>
      <sz val="11"/>
      <color rgb="FF99CCFF"/>
      <name val="Calibri"/>
      <family val="2"/>
      <scheme val="minor"/>
    </font>
    <font>
      <sz val="11"/>
      <color rgb="FFFDE9CF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99CCFF"/>
      <name val="Calibri"/>
      <family val="2"/>
      <scheme val="minor"/>
    </font>
    <font>
      <b/>
      <vertAlign val="subscript"/>
      <sz val="14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i/>
      <vertAlign val="subscript"/>
      <sz val="11"/>
      <color theme="1"/>
      <name val="Calibri"/>
      <family val="2"/>
    </font>
    <font>
      <i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i/>
      <vertAlign val="subscript"/>
      <sz val="11"/>
      <name val="Calibri"/>
      <family val="2"/>
      <scheme val="minor"/>
    </font>
    <font>
      <sz val="11"/>
      <color theme="1"/>
      <name val="Calibri"/>
      <family val="2"/>
    </font>
    <font>
      <i/>
      <sz val="11"/>
      <color indexed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0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0"/>
      <name val="Arial"/>
      <family val="2"/>
    </font>
    <font>
      <sz val="11"/>
      <color theme="3" tint="0.79998168889431442"/>
      <name val="Calibri"/>
      <family val="2"/>
      <scheme val="minor"/>
    </font>
    <font>
      <sz val="20"/>
      <color theme="0"/>
      <name val="Wingdings"/>
      <charset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name val="Arial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2">
    <xf numFmtId="0" fontId="0" fillId="0" borderId="0"/>
    <xf numFmtId="0" fontId="36" fillId="0" borderId="0" applyNumberFormat="0" applyFill="0" applyBorder="0" applyAlignment="0" applyProtection="0">
      <alignment vertical="top"/>
      <protection locked="0"/>
    </xf>
    <xf numFmtId="164" fontId="33" fillId="0" borderId="0" applyFont="0" applyFill="0" applyBorder="0" applyAlignment="0" applyProtection="0"/>
    <xf numFmtId="164" fontId="40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0" fillId="0" borderId="0" applyFont="0" applyFill="0" applyBorder="0" applyAlignment="0" applyProtection="0"/>
    <xf numFmtId="165" fontId="33" fillId="0" borderId="0" applyFont="0" applyFill="0" applyBorder="0" applyAlignment="0" applyProtection="0"/>
    <xf numFmtId="165" fontId="40" fillId="0" borderId="0" applyFont="0" applyFill="0" applyBorder="0" applyAlignment="0" applyProtection="0"/>
    <xf numFmtId="0" fontId="32" fillId="0" borderId="0"/>
    <xf numFmtId="44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1310">
    <xf numFmtId="0" fontId="0" fillId="0" borderId="0" xfId="0"/>
    <xf numFmtId="0" fontId="43" fillId="9" borderId="15" xfId="0" applyFont="1" applyFill="1" applyBorder="1" applyAlignment="1" applyProtection="1">
      <alignment vertical="center"/>
      <protection hidden="1"/>
    </xf>
    <xf numFmtId="0" fontId="43" fillId="9" borderId="11" xfId="0" applyFont="1" applyFill="1" applyBorder="1" applyAlignment="1" applyProtection="1">
      <alignment vertical="center"/>
      <protection hidden="1"/>
    </xf>
    <xf numFmtId="0" fontId="43" fillId="9" borderId="6" xfId="0" applyFont="1" applyFill="1" applyBorder="1" applyAlignment="1" applyProtection="1">
      <alignment vertical="center"/>
      <protection hidden="1"/>
    </xf>
    <xf numFmtId="0" fontId="43" fillId="9" borderId="5" xfId="0" applyFont="1" applyFill="1" applyBorder="1" applyAlignment="1" applyProtection="1">
      <alignment vertical="center"/>
      <protection hidden="1"/>
    </xf>
    <xf numFmtId="0" fontId="43" fillId="9" borderId="13" xfId="0" applyFont="1" applyFill="1" applyBorder="1" applyAlignment="1" applyProtection="1">
      <alignment vertical="center"/>
      <protection hidden="1"/>
    </xf>
    <xf numFmtId="4" fontId="48" fillId="9" borderId="13" xfId="0" applyNumberFormat="1" applyFont="1" applyFill="1" applyBorder="1" applyAlignment="1" applyProtection="1">
      <alignment vertical="center"/>
      <protection hidden="1"/>
    </xf>
    <xf numFmtId="167" fontId="48" fillId="9" borderId="13" xfId="0" applyNumberFormat="1" applyFont="1" applyFill="1" applyBorder="1" applyAlignment="1" applyProtection="1">
      <alignment vertical="center"/>
      <protection hidden="1"/>
    </xf>
    <xf numFmtId="0" fontId="49" fillId="9" borderId="13" xfId="0" applyFont="1" applyFill="1" applyBorder="1" applyAlignment="1" applyProtection="1">
      <alignment vertical="center"/>
      <protection hidden="1"/>
    </xf>
    <xf numFmtId="0" fontId="48" fillId="9" borderId="13" xfId="0" applyFont="1" applyFill="1" applyBorder="1" applyAlignment="1" applyProtection="1">
      <alignment vertical="center"/>
      <protection hidden="1"/>
    </xf>
    <xf numFmtId="0" fontId="54" fillId="8" borderId="0" xfId="0" applyFont="1" applyFill="1" applyBorder="1" applyAlignment="1" applyProtection="1">
      <alignment vertical="center"/>
      <protection hidden="1"/>
    </xf>
    <xf numFmtId="0" fontId="54" fillId="8" borderId="0" xfId="0" applyFont="1" applyFill="1" applyAlignment="1" applyProtection="1">
      <alignment horizontal="right" vertical="center"/>
      <protection hidden="1"/>
    </xf>
    <xf numFmtId="0" fontId="54" fillId="8" borderId="0" xfId="0" applyFont="1" applyFill="1" applyAlignment="1" applyProtection="1">
      <alignment horizontal="left" vertical="center"/>
      <protection hidden="1"/>
    </xf>
    <xf numFmtId="0" fontId="54" fillId="8" borderId="0" xfId="0" applyFont="1" applyFill="1" applyAlignment="1" applyProtection="1">
      <alignment vertical="center"/>
      <protection hidden="1"/>
    </xf>
    <xf numFmtId="0" fontId="54" fillId="8" borderId="0" xfId="0" applyFont="1" applyFill="1"/>
    <xf numFmtId="0" fontId="60" fillId="8" borderId="0" xfId="0" applyFont="1" applyFill="1" applyBorder="1" applyAlignment="1" applyProtection="1">
      <alignment vertical="center"/>
      <protection hidden="1"/>
    </xf>
    <xf numFmtId="0" fontId="54" fillId="8" borderId="0" xfId="0" applyFont="1" applyFill="1" applyBorder="1" applyAlignment="1" applyProtection="1">
      <alignment vertical="center" wrapText="1"/>
      <protection hidden="1"/>
    </xf>
    <xf numFmtId="0" fontId="54" fillId="8" borderId="0" xfId="0" applyFont="1" applyFill="1" applyBorder="1" applyAlignment="1" applyProtection="1">
      <alignment horizontal="left" vertical="center"/>
      <protection hidden="1"/>
    </xf>
    <xf numFmtId="0" fontId="53" fillId="8" borderId="0" xfId="0" applyFont="1" applyFill="1" applyAlignment="1" applyProtection="1">
      <alignment horizontal="right" vertical="center"/>
      <protection hidden="1"/>
    </xf>
    <xf numFmtId="0" fontId="53" fillId="8" borderId="0" xfId="0" applyFont="1" applyFill="1" applyAlignment="1" applyProtection="1">
      <alignment vertical="center"/>
      <protection hidden="1"/>
    </xf>
    <xf numFmtId="0" fontId="55" fillId="9" borderId="10" xfId="0" applyFont="1" applyFill="1" applyBorder="1" applyAlignment="1" applyProtection="1">
      <alignment vertical="center"/>
      <protection hidden="1"/>
    </xf>
    <xf numFmtId="0" fontId="55" fillId="9" borderId="10" xfId="0" applyFont="1" applyFill="1" applyBorder="1" applyAlignment="1" applyProtection="1">
      <protection hidden="1"/>
    </xf>
    <xf numFmtId="0" fontId="55" fillId="9" borderId="10" xfId="0" applyFont="1" applyFill="1" applyBorder="1" applyAlignment="1" applyProtection="1">
      <alignment horizontal="center"/>
      <protection hidden="1"/>
    </xf>
    <xf numFmtId="4" fontId="64" fillId="9" borderId="0" xfId="0" applyNumberFormat="1" applyFont="1" applyFill="1" applyBorder="1" applyAlignment="1" applyProtection="1">
      <alignment vertical="center"/>
      <protection hidden="1"/>
    </xf>
    <xf numFmtId="164" fontId="63" fillId="20" borderId="2" xfId="2" applyFont="1" applyFill="1" applyBorder="1" applyAlignment="1" applyProtection="1">
      <alignment vertical="center"/>
      <protection hidden="1"/>
    </xf>
    <xf numFmtId="0" fontId="57" fillId="9" borderId="10" xfId="0" applyFont="1" applyFill="1" applyBorder="1" applyAlignment="1" applyProtection="1">
      <alignment vertical="center"/>
      <protection hidden="1"/>
    </xf>
    <xf numFmtId="0" fontId="52" fillId="0" borderId="0" xfId="0" applyFont="1"/>
    <xf numFmtId="0" fontId="52" fillId="0" borderId="0" xfId="0" applyFont="1" applyFill="1"/>
    <xf numFmtId="0" fontId="52" fillId="0" borderId="0" xfId="0" applyFont="1" applyFill="1" applyAlignment="1" applyProtection="1">
      <alignment vertical="center"/>
      <protection hidden="1"/>
    </xf>
    <xf numFmtId="0" fontId="52" fillId="0" borderId="0" xfId="0" applyFont="1" applyFill="1" applyAlignment="1" applyProtection="1">
      <alignment horizontal="right" vertical="center"/>
      <protection hidden="1"/>
    </xf>
    <xf numFmtId="0" fontId="52" fillId="0" borderId="0" xfId="0" applyFont="1" applyFill="1" applyAlignment="1" applyProtection="1">
      <alignment horizontal="center" vertical="center"/>
      <protection hidden="1"/>
    </xf>
    <xf numFmtId="1" fontId="52" fillId="4" borderId="1" xfId="0" applyNumberFormat="1" applyFont="1" applyFill="1" applyBorder="1" applyAlignment="1" applyProtection="1">
      <alignment horizontal="center"/>
      <protection hidden="1"/>
    </xf>
    <xf numFmtId="2" fontId="52" fillId="4" borderId="1" xfId="0" applyNumberFormat="1" applyFont="1" applyFill="1" applyBorder="1" applyAlignment="1" applyProtection="1">
      <alignment horizontal="left"/>
      <protection hidden="1"/>
    </xf>
    <xf numFmtId="0" fontId="56" fillId="0" borderId="13" xfId="0" applyFont="1" applyFill="1" applyBorder="1" applyAlignment="1" applyProtection="1">
      <alignment horizontal="right" vertical="center"/>
      <protection hidden="1"/>
    </xf>
    <xf numFmtId="165" fontId="52" fillId="0" borderId="0" xfId="6" applyFont="1" applyFill="1" applyAlignment="1" applyProtection="1">
      <alignment vertical="center"/>
      <protection hidden="1"/>
    </xf>
    <xf numFmtId="0" fontId="52" fillId="0" borderId="0" xfId="0" applyFont="1" applyFill="1" applyAlignment="1" applyProtection="1">
      <alignment horizontal="left" vertical="center"/>
      <protection hidden="1"/>
    </xf>
    <xf numFmtId="0" fontId="52" fillId="0" borderId="0" xfId="0" applyFont="1" applyFill="1" applyProtection="1">
      <protection hidden="1"/>
    </xf>
    <xf numFmtId="0" fontId="52" fillId="14" borderId="9" xfId="0" applyFont="1" applyFill="1" applyBorder="1" applyAlignment="1" applyProtection="1">
      <alignment vertical="center"/>
      <protection hidden="1"/>
    </xf>
    <xf numFmtId="0" fontId="52" fillId="4" borderId="9" xfId="0" applyFont="1" applyFill="1" applyBorder="1" applyAlignment="1" applyProtection="1">
      <alignment horizontal="center" vertical="center"/>
      <protection hidden="1"/>
    </xf>
    <xf numFmtId="0" fontId="52" fillId="5" borderId="9" xfId="0" applyFont="1" applyFill="1" applyBorder="1" applyAlignment="1" applyProtection="1">
      <alignment horizontal="center" vertical="center"/>
      <protection hidden="1"/>
    </xf>
    <xf numFmtId="0" fontId="52" fillId="14" borderId="4" xfId="0" applyFont="1" applyFill="1" applyBorder="1" applyAlignment="1" applyProtection="1">
      <alignment vertical="center"/>
      <protection hidden="1"/>
    </xf>
    <xf numFmtId="0" fontId="52" fillId="14" borderId="4" xfId="0" applyFont="1" applyFill="1" applyBorder="1" applyAlignment="1" applyProtection="1">
      <alignment horizontal="center" vertical="center"/>
      <protection hidden="1"/>
    </xf>
    <xf numFmtId="0" fontId="52" fillId="14" borderId="1" xfId="0" applyFont="1" applyFill="1" applyBorder="1" applyAlignment="1" applyProtection="1">
      <alignment horizontal="center"/>
      <protection hidden="1"/>
    </xf>
    <xf numFmtId="0" fontId="52" fillId="5" borderId="14" xfId="0" applyFont="1" applyFill="1" applyBorder="1" applyAlignment="1" applyProtection="1">
      <alignment horizontal="center" vertical="center"/>
      <protection hidden="1"/>
    </xf>
    <xf numFmtId="0" fontId="52" fillId="5" borderId="8" xfId="0" applyFont="1" applyFill="1" applyBorder="1" applyAlignment="1" applyProtection="1">
      <alignment horizontal="center"/>
      <protection hidden="1"/>
    </xf>
    <xf numFmtId="0" fontId="52" fillId="5" borderId="2" xfId="0" applyFont="1" applyFill="1" applyBorder="1" applyAlignment="1" applyProtection="1">
      <alignment horizontal="center"/>
      <protection hidden="1"/>
    </xf>
    <xf numFmtId="0" fontId="52" fillId="15" borderId="11" xfId="0" applyFont="1" applyFill="1" applyBorder="1" applyAlignment="1" applyProtection="1">
      <alignment horizontal="center"/>
      <protection hidden="1"/>
    </xf>
    <xf numFmtId="0" fontId="52" fillId="4" borderId="1" xfId="0" applyFont="1" applyFill="1" applyBorder="1" applyAlignment="1" applyProtection="1">
      <alignment vertical="center"/>
      <protection hidden="1"/>
    </xf>
    <xf numFmtId="0" fontId="52" fillId="15" borderId="1" xfId="0" applyFont="1" applyFill="1" applyBorder="1" applyAlignment="1" applyProtection="1">
      <alignment vertical="center"/>
      <protection hidden="1"/>
    </xf>
    <xf numFmtId="0" fontId="52" fillId="5" borderId="4" xfId="0" applyFont="1" applyFill="1" applyBorder="1" applyAlignment="1" applyProtection="1">
      <alignment horizontal="center" vertical="center"/>
      <protection hidden="1"/>
    </xf>
    <xf numFmtId="0" fontId="52" fillId="5" borderId="1" xfId="0" applyFont="1" applyFill="1" applyBorder="1" applyAlignment="1" applyProtection="1">
      <alignment horizontal="center"/>
      <protection hidden="1"/>
    </xf>
    <xf numFmtId="1" fontId="52" fillId="4" borderId="3" xfId="0" applyNumberFormat="1" applyFont="1" applyFill="1" applyBorder="1" applyAlignment="1" applyProtection="1">
      <alignment horizontal="center" vertical="center"/>
      <protection hidden="1"/>
    </xf>
    <xf numFmtId="0" fontId="52" fillId="4" borderId="1" xfId="0" applyNumberFormat="1" applyFont="1" applyFill="1" applyBorder="1" applyAlignment="1" applyProtection="1">
      <alignment horizontal="center" vertical="center"/>
      <protection hidden="1"/>
    </xf>
    <xf numFmtId="165" fontId="52" fillId="4" borderId="1" xfId="6" applyFont="1" applyFill="1" applyBorder="1" applyAlignment="1" applyProtection="1">
      <alignment horizontal="center"/>
      <protection hidden="1"/>
    </xf>
    <xf numFmtId="1" fontId="52" fillId="4" borderId="5" xfId="0" applyNumberFormat="1" applyFont="1" applyFill="1" applyBorder="1" applyAlignment="1" applyProtection="1">
      <alignment horizontal="center" vertical="center"/>
      <protection hidden="1"/>
    </xf>
    <xf numFmtId="0" fontId="52" fillId="16" borderId="1" xfId="0" applyFont="1" applyFill="1" applyBorder="1" applyAlignment="1" applyProtection="1">
      <alignment vertical="center"/>
      <protection hidden="1"/>
    </xf>
    <xf numFmtId="0" fontId="52" fillId="4" borderId="2" xfId="0" applyNumberFormat="1" applyFont="1" applyFill="1" applyBorder="1" applyAlignment="1" applyProtection="1">
      <alignment horizontal="center" vertical="center"/>
      <protection hidden="1"/>
    </xf>
    <xf numFmtId="0" fontId="52" fillId="4" borderId="1" xfId="0" applyFont="1" applyFill="1" applyBorder="1" applyAlignment="1" applyProtection="1">
      <alignment horizontal="center" vertical="center"/>
      <protection hidden="1"/>
    </xf>
    <xf numFmtId="0" fontId="52" fillId="5" borderId="1" xfId="0" applyFont="1" applyFill="1" applyBorder="1" applyAlignment="1" applyProtection="1">
      <alignment horizontal="center" vertical="center"/>
      <protection hidden="1"/>
    </xf>
    <xf numFmtId="2" fontId="52" fillId="4" borderId="1" xfId="0" applyNumberFormat="1" applyFont="1" applyFill="1" applyBorder="1" applyAlignment="1" applyProtection="1">
      <alignment horizontal="center" vertical="center"/>
      <protection hidden="1"/>
    </xf>
    <xf numFmtId="1" fontId="52" fillId="4" borderId="6" xfId="0" applyNumberFormat="1" applyFont="1" applyFill="1" applyBorder="1" applyAlignment="1" applyProtection="1">
      <alignment horizontal="center" vertical="center"/>
      <protection hidden="1"/>
    </xf>
    <xf numFmtId="0" fontId="52" fillId="0" borderId="0" xfId="0" applyFont="1" applyFill="1" applyAlignment="1" applyProtection="1">
      <alignment horizontal="center"/>
      <protection hidden="1"/>
    </xf>
    <xf numFmtId="0" fontId="52" fillId="5" borderId="9" xfId="0" applyFont="1" applyFill="1" applyBorder="1" applyAlignment="1" applyProtection="1">
      <alignment vertical="center"/>
      <protection hidden="1"/>
    </xf>
    <xf numFmtId="2" fontId="52" fillId="5" borderId="4" xfId="0" applyNumberFormat="1" applyFont="1" applyFill="1" applyBorder="1" applyAlignment="1" applyProtection="1">
      <alignment vertical="center"/>
      <protection hidden="1"/>
    </xf>
    <xf numFmtId="0" fontId="52" fillId="0" borderId="0" xfId="0" applyFont="1" applyFill="1" applyAlignment="1" applyProtection="1">
      <alignment horizontal="left"/>
      <protection hidden="1"/>
    </xf>
    <xf numFmtId="164" fontId="52" fillId="0" borderId="0" xfId="0" applyNumberFormat="1" applyFont="1" applyFill="1" applyAlignment="1" applyProtection="1">
      <alignment horizontal="center"/>
      <protection hidden="1"/>
    </xf>
    <xf numFmtId="0" fontId="52" fillId="4" borderId="8" xfId="0" applyFont="1" applyFill="1" applyBorder="1" applyAlignment="1" applyProtection="1">
      <alignment horizontal="left" vertical="center"/>
      <protection hidden="1"/>
    </xf>
    <xf numFmtId="0" fontId="52" fillId="4" borderId="7" xfId="0" applyFont="1" applyFill="1" applyBorder="1" applyAlignment="1" applyProtection="1">
      <alignment horizontal="left" vertical="center"/>
      <protection hidden="1"/>
    </xf>
    <xf numFmtId="0" fontId="52" fillId="4" borderId="2" xfId="0" applyFont="1" applyFill="1" applyBorder="1" applyAlignment="1" applyProtection="1">
      <alignment horizontal="left" vertical="center"/>
      <protection hidden="1"/>
    </xf>
    <xf numFmtId="0" fontId="52" fillId="13" borderId="0" xfId="0" applyFont="1" applyFill="1" applyAlignment="1" applyProtection="1">
      <alignment vertical="center"/>
      <protection hidden="1"/>
    </xf>
    <xf numFmtId="0" fontId="52" fillId="4" borderId="1" xfId="0" applyFont="1" applyFill="1" applyBorder="1" applyAlignment="1" applyProtection="1">
      <alignment horizontal="left" vertical="center"/>
      <protection hidden="1"/>
    </xf>
    <xf numFmtId="164" fontId="52" fillId="4" borderId="1" xfId="2" applyFont="1" applyFill="1" applyBorder="1" applyAlignment="1" applyProtection="1">
      <alignment vertical="center"/>
      <protection hidden="1"/>
    </xf>
    <xf numFmtId="10" fontId="52" fillId="4" borderId="1" xfId="4" applyNumberFormat="1" applyFont="1" applyFill="1" applyBorder="1" applyAlignment="1" applyProtection="1">
      <alignment vertical="center"/>
      <protection hidden="1"/>
    </xf>
    <xf numFmtId="0" fontId="52" fillId="12" borderId="1" xfId="0" applyFont="1" applyFill="1" applyBorder="1" applyAlignment="1" applyProtection="1">
      <alignment horizontal="left" vertical="center"/>
      <protection hidden="1"/>
    </xf>
    <xf numFmtId="164" fontId="52" fillId="12" borderId="1" xfId="2" applyFont="1" applyFill="1" applyBorder="1" applyAlignment="1" applyProtection="1">
      <alignment vertical="center"/>
      <protection hidden="1"/>
    </xf>
    <xf numFmtId="10" fontId="52" fillId="12" borderId="1" xfId="4" applyNumberFormat="1" applyFont="1" applyFill="1" applyBorder="1" applyAlignment="1" applyProtection="1">
      <alignment vertical="center"/>
      <protection hidden="1"/>
    </xf>
    <xf numFmtId="164" fontId="52" fillId="12" borderId="1" xfId="2" applyFont="1" applyFill="1" applyBorder="1" applyAlignment="1" applyProtection="1">
      <alignment horizontal="left" vertical="center"/>
      <protection hidden="1"/>
    </xf>
    <xf numFmtId="164" fontId="52" fillId="4" borderId="1" xfId="2" applyFont="1" applyFill="1" applyBorder="1" applyAlignment="1" applyProtection="1">
      <alignment horizontal="left" vertical="center"/>
      <protection hidden="1"/>
    </xf>
    <xf numFmtId="164" fontId="52" fillId="4" borderId="1" xfId="2" applyFont="1" applyFill="1" applyBorder="1" applyAlignment="1" applyProtection="1">
      <alignment horizontal="left" vertical="center"/>
      <protection locked="0" hidden="1"/>
    </xf>
    <xf numFmtId="0" fontId="52" fillId="12" borderId="8" xfId="0" applyFont="1" applyFill="1" applyBorder="1" applyAlignment="1" applyProtection="1">
      <alignment horizontal="left" vertical="center"/>
      <protection hidden="1"/>
    </xf>
    <xf numFmtId="164" fontId="68" fillId="11" borderId="1" xfId="2" applyFont="1" applyFill="1" applyBorder="1" applyAlignment="1" applyProtection="1">
      <alignment vertical="center"/>
      <protection hidden="1"/>
    </xf>
    <xf numFmtId="10" fontId="68" fillId="6" borderId="1" xfId="4" applyNumberFormat="1" applyFont="1" applyFill="1" applyBorder="1" applyAlignment="1" applyProtection="1">
      <alignment vertical="center"/>
      <protection hidden="1"/>
    </xf>
    <xf numFmtId="10" fontId="52" fillId="7" borderId="1" xfId="4" applyNumberFormat="1" applyFont="1" applyFill="1" applyBorder="1" applyAlignment="1" applyProtection="1">
      <alignment vertical="center"/>
      <protection hidden="1"/>
    </xf>
    <xf numFmtId="10" fontId="52" fillId="12" borderId="1" xfId="4" applyNumberFormat="1" applyFont="1" applyFill="1" applyBorder="1" applyAlignment="1" applyProtection="1">
      <alignment horizontal="center" vertical="center"/>
      <protection hidden="1"/>
    </xf>
    <xf numFmtId="164" fontId="68" fillId="11" borderId="9" xfId="2" applyFont="1" applyFill="1" applyBorder="1" applyAlignment="1" applyProtection="1">
      <alignment vertical="center"/>
      <protection hidden="1"/>
    </xf>
    <xf numFmtId="164" fontId="68" fillId="11" borderId="4" xfId="2" applyFont="1" applyFill="1" applyBorder="1" applyAlignment="1" applyProtection="1">
      <alignment vertical="center"/>
      <protection hidden="1"/>
    </xf>
    <xf numFmtId="0" fontId="68" fillId="6" borderId="1" xfId="0" applyFont="1" applyFill="1" applyBorder="1" applyAlignment="1" applyProtection="1">
      <alignment horizontal="center" vertical="center"/>
      <protection hidden="1"/>
    </xf>
    <xf numFmtId="0" fontId="68" fillId="6" borderId="1" xfId="0" applyFont="1" applyFill="1" applyBorder="1" applyAlignment="1" applyProtection="1">
      <alignment horizontal="center" vertical="justify"/>
      <protection hidden="1"/>
    </xf>
    <xf numFmtId="0" fontId="56" fillId="5" borderId="1" xfId="0" applyFont="1" applyFill="1" applyBorder="1" applyAlignment="1" applyProtection="1">
      <alignment horizontal="center"/>
      <protection hidden="1"/>
    </xf>
    <xf numFmtId="0" fontId="56" fillId="5" borderId="2" xfId="0" applyFont="1" applyFill="1" applyBorder="1" applyAlignment="1" applyProtection="1">
      <alignment horizontal="center"/>
      <protection hidden="1"/>
    </xf>
    <xf numFmtId="4" fontId="52" fillId="10" borderId="1" xfId="0" applyNumberFormat="1" applyFont="1" applyFill="1" applyBorder="1"/>
    <xf numFmtId="44" fontId="52" fillId="10" borderId="1" xfId="2" applyNumberFormat="1" applyFont="1" applyFill="1" applyBorder="1"/>
    <xf numFmtId="2" fontId="52" fillId="10" borderId="1" xfId="0" applyNumberFormat="1" applyFont="1" applyFill="1" applyBorder="1"/>
    <xf numFmtId="4" fontId="52" fillId="4" borderId="1" xfId="0" applyNumberFormat="1" applyFont="1" applyFill="1" applyBorder="1"/>
    <xf numFmtId="44" fontId="52" fillId="4" borderId="1" xfId="2" applyNumberFormat="1" applyFont="1" applyFill="1" applyBorder="1"/>
    <xf numFmtId="2" fontId="52" fillId="4" borderId="1" xfId="0" applyNumberFormat="1" applyFont="1" applyFill="1" applyBorder="1"/>
    <xf numFmtId="0" fontId="41" fillId="11" borderId="9" xfId="0" applyFont="1" applyFill="1" applyBorder="1" applyAlignment="1">
      <alignment horizontal="center" vertical="center"/>
    </xf>
    <xf numFmtId="0" fontId="41" fillId="11" borderId="9" xfId="0" applyFont="1" applyFill="1" applyBorder="1" applyAlignment="1">
      <alignment horizontal="center" vertical="center" wrapText="1"/>
    </xf>
    <xf numFmtId="0" fontId="41" fillId="6" borderId="9" xfId="0" applyFont="1" applyFill="1" applyBorder="1" applyAlignment="1">
      <alignment horizontal="center" vertical="center"/>
    </xf>
    <xf numFmtId="0" fontId="42" fillId="11" borderId="1" xfId="0" applyFont="1" applyFill="1" applyBorder="1"/>
    <xf numFmtId="4" fontId="42" fillId="11" borderId="1" xfId="0" applyNumberFormat="1" applyFont="1" applyFill="1" applyBorder="1"/>
    <xf numFmtId="44" fontId="42" fillId="11" borderId="1" xfId="2" applyNumberFormat="1" applyFont="1" applyFill="1" applyBorder="1"/>
    <xf numFmtId="2" fontId="42" fillId="11" borderId="1" xfId="0" applyNumberFormat="1" applyFont="1" applyFill="1" applyBorder="1"/>
    <xf numFmtId="44" fontId="41" fillId="11" borderId="1" xfId="2" applyNumberFormat="1" applyFont="1" applyFill="1" applyBorder="1"/>
    <xf numFmtId="2" fontId="41" fillId="11" borderId="1" xfId="0" applyNumberFormat="1" applyFont="1" applyFill="1" applyBorder="1"/>
    <xf numFmtId="4" fontId="53" fillId="12" borderId="12" xfId="0" applyNumberFormat="1" applyFont="1" applyFill="1" applyBorder="1"/>
    <xf numFmtId="0" fontId="53" fillId="12" borderId="3" xfId="0" applyFont="1" applyFill="1" applyBorder="1"/>
    <xf numFmtId="4" fontId="53" fillId="12" borderId="11" xfId="0" applyNumberFormat="1" applyFont="1" applyFill="1" applyBorder="1"/>
    <xf numFmtId="0" fontId="53" fillId="12" borderId="6" xfId="0" applyFont="1" applyFill="1" applyBorder="1"/>
    <xf numFmtId="0" fontId="52" fillId="5" borderId="1" xfId="0" applyFont="1" applyFill="1" applyBorder="1" applyAlignment="1" applyProtection="1">
      <alignment horizontal="center" vertical="center"/>
      <protection hidden="1"/>
    </xf>
    <xf numFmtId="0" fontId="52" fillId="4" borderId="7" xfId="0" applyFont="1" applyFill="1" applyBorder="1" applyAlignment="1" applyProtection="1">
      <alignment horizontal="left" vertical="center"/>
      <protection hidden="1"/>
    </xf>
    <xf numFmtId="0" fontId="32" fillId="8" borderId="0" xfId="8" applyFill="1"/>
    <xf numFmtId="0" fontId="32" fillId="10" borderId="12" xfId="8" applyFill="1" applyBorder="1"/>
    <xf numFmtId="0" fontId="32" fillId="10" borderId="10" xfId="8" applyFill="1" applyBorder="1"/>
    <xf numFmtId="0" fontId="32" fillId="10" borderId="3" xfId="8" applyFill="1" applyBorder="1"/>
    <xf numFmtId="0" fontId="32" fillId="10" borderId="15" xfId="8" applyFill="1" applyBorder="1"/>
    <xf numFmtId="0" fontId="32" fillId="10" borderId="0" xfId="8" applyFill="1" applyBorder="1"/>
    <xf numFmtId="10" fontId="32" fillId="21" borderId="1" xfId="8" applyNumberFormat="1" applyFill="1" applyBorder="1"/>
    <xf numFmtId="10" fontId="32" fillId="10" borderId="0" xfId="8" applyNumberFormat="1" applyFill="1" applyBorder="1"/>
    <xf numFmtId="2" fontId="54" fillId="21" borderId="1" xfId="8" applyNumberFormat="1" applyFont="1" applyFill="1" applyBorder="1"/>
    <xf numFmtId="0" fontId="32" fillId="10" borderId="5" xfId="8" applyFill="1" applyBorder="1"/>
    <xf numFmtId="2" fontId="54" fillId="10" borderId="10" xfId="8" applyNumberFormat="1" applyFont="1" applyFill="1" applyBorder="1"/>
    <xf numFmtId="0" fontId="32" fillId="10" borderId="11" xfId="8" applyFill="1" applyBorder="1"/>
    <xf numFmtId="0" fontId="32" fillId="10" borderId="13" xfId="8" applyFill="1" applyBorder="1"/>
    <xf numFmtId="0" fontId="32" fillId="10" borderId="6" xfId="8" applyFill="1" applyBorder="1"/>
    <xf numFmtId="0" fontId="42" fillId="10" borderId="2" xfId="8" applyFont="1" applyFill="1" applyBorder="1" applyAlignment="1">
      <alignment horizontal="center"/>
    </xf>
    <xf numFmtId="0" fontId="42" fillId="10" borderId="1" xfId="8" applyFont="1" applyFill="1" applyBorder="1" applyAlignment="1">
      <alignment horizontal="center"/>
    </xf>
    <xf numFmtId="0" fontId="72" fillId="10" borderId="1" xfId="8" applyFont="1" applyFill="1" applyBorder="1" applyAlignment="1" applyProtection="1">
      <alignment horizontal="center" vertical="center" wrapText="1"/>
    </xf>
    <xf numFmtId="0" fontId="32" fillId="10" borderId="8" xfId="8" applyFill="1" applyBorder="1" applyAlignment="1">
      <alignment horizontal="center"/>
    </xf>
    <xf numFmtId="4" fontId="32" fillId="8" borderId="2" xfId="8" applyNumberFormat="1" applyFill="1" applyBorder="1" applyAlignment="1">
      <alignment horizontal="right"/>
    </xf>
    <xf numFmtId="3" fontId="32" fillId="8" borderId="1" xfId="8" applyNumberFormat="1" applyFill="1" applyBorder="1" applyAlignment="1">
      <alignment horizontal="right"/>
    </xf>
    <xf numFmtId="44" fontId="0" fillId="10" borderId="1" xfId="9" applyFont="1" applyFill="1" applyBorder="1" applyAlignment="1">
      <alignment horizontal="left"/>
    </xf>
    <xf numFmtId="44" fontId="0" fillId="0" borderId="1" xfId="9" applyFont="1" applyFill="1" applyBorder="1" applyAlignment="1" applyProtection="1">
      <alignment horizontal="left" vertical="center"/>
      <protection locked="0"/>
    </xf>
    <xf numFmtId="44" fontId="0" fillId="10" borderId="1" xfId="9" applyFont="1" applyFill="1" applyBorder="1" applyAlignment="1" applyProtection="1">
      <alignment horizontal="left" vertical="center"/>
    </xf>
    <xf numFmtId="0" fontId="42" fillId="10" borderId="8" xfId="8" applyFont="1" applyFill="1" applyBorder="1"/>
    <xf numFmtId="44" fontId="42" fillId="10" borderId="1" xfId="8" applyNumberFormat="1" applyFont="1" applyFill="1" applyBorder="1"/>
    <xf numFmtId="44" fontId="42" fillId="10" borderId="1" xfId="9" applyFont="1" applyFill="1" applyBorder="1" applyAlignment="1" applyProtection="1">
      <alignment horizontal="left" vertical="center"/>
    </xf>
    <xf numFmtId="0" fontId="42" fillId="21" borderId="8" xfId="8" applyFont="1" applyFill="1" applyBorder="1"/>
    <xf numFmtId="44" fontId="42" fillId="21" borderId="1" xfId="8" applyNumberFormat="1" applyFont="1" applyFill="1" applyBorder="1"/>
    <xf numFmtId="44" fontId="42" fillId="21" borderId="1" xfId="9" applyFont="1" applyFill="1" applyBorder="1" applyAlignment="1" applyProtection="1">
      <alignment horizontal="left" vertical="center"/>
    </xf>
    <xf numFmtId="0" fontId="41" fillId="6" borderId="8" xfId="8" applyFont="1" applyFill="1" applyBorder="1"/>
    <xf numFmtId="44" fontId="41" fillId="6" borderId="1" xfId="8" applyNumberFormat="1" applyFont="1" applyFill="1" applyBorder="1"/>
    <xf numFmtId="1" fontId="54" fillId="22" borderId="12" xfId="10" applyNumberFormat="1" applyFont="1" applyFill="1" applyBorder="1" applyAlignment="1"/>
    <xf numFmtId="1" fontId="54" fillId="22" borderId="10" xfId="10" applyNumberFormat="1" applyFont="1" applyFill="1" applyBorder="1" applyAlignment="1"/>
    <xf numFmtId="1" fontId="54" fillId="22" borderId="15" xfId="10" applyNumberFormat="1" applyFont="1" applyFill="1" applyBorder="1" applyAlignment="1"/>
    <xf numFmtId="1" fontId="54" fillId="22" borderId="0" xfId="10" applyNumberFormat="1" applyFont="1" applyFill="1" applyBorder="1" applyAlignment="1"/>
    <xf numFmtId="1" fontId="54" fillId="22" borderId="0" xfId="10" applyNumberFormat="1" applyFont="1" applyFill="1" applyBorder="1" applyAlignment="1">
      <alignment horizontal="center"/>
    </xf>
    <xf numFmtId="4" fontId="54" fillId="22" borderId="0" xfId="10" applyNumberFormat="1" applyFont="1" applyFill="1" applyBorder="1" applyAlignment="1">
      <alignment horizontal="center" wrapText="1"/>
    </xf>
    <xf numFmtId="10" fontId="54" fillId="22" borderId="0" xfId="10" applyNumberFormat="1" applyFont="1" applyFill="1" applyBorder="1" applyAlignment="1">
      <alignment horizontal="center"/>
    </xf>
    <xf numFmtId="0" fontId="32" fillId="22" borderId="0" xfId="8" applyFont="1" applyFill="1" applyBorder="1" applyAlignment="1">
      <alignment horizontal="center" wrapText="1"/>
    </xf>
    <xf numFmtId="4" fontId="54" fillId="22" borderId="0" xfId="10" applyNumberFormat="1" applyFont="1" applyFill="1" applyBorder="1" applyAlignment="1">
      <alignment horizontal="center"/>
    </xf>
    <xf numFmtId="0" fontId="32" fillId="22" borderId="0" xfId="8" applyFont="1" applyFill="1" applyBorder="1"/>
    <xf numFmtId="4" fontId="54" fillId="22" borderId="5" xfId="10" applyNumberFormat="1" applyFont="1" applyFill="1" applyBorder="1" applyAlignment="1">
      <alignment horizontal="center"/>
    </xf>
    <xf numFmtId="4" fontId="54" fillId="9" borderId="1" xfId="10" applyNumberFormat="1" applyFont="1" applyFill="1" applyBorder="1" applyAlignment="1"/>
    <xf numFmtId="1" fontId="54" fillId="22" borderId="0" xfId="10" applyNumberFormat="1" applyFont="1" applyFill="1" applyBorder="1" applyAlignment="1">
      <alignment horizontal="left"/>
    </xf>
    <xf numFmtId="4" fontId="54" fillId="22" borderId="5" xfId="10" applyNumberFormat="1" applyFont="1" applyFill="1" applyBorder="1" applyAlignment="1">
      <alignment horizontal="left"/>
    </xf>
    <xf numFmtId="4" fontId="54" fillId="22" borderId="0" xfId="10" applyNumberFormat="1" applyFont="1" applyFill="1" applyBorder="1" applyAlignment="1">
      <alignment horizontal="left"/>
    </xf>
    <xf numFmtId="44" fontId="54" fillId="9" borderId="1" xfId="9" applyFont="1" applyFill="1" applyBorder="1" applyAlignment="1">
      <alignment horizontal="left"/>
    </xf>
    <xf numFmtId="4" fontId="54" fillId="9" borderId="1" xfId="10" applyNumberFormat="1" applyFont="1" applyFill="1" applyBorder="1" applyAlignment="1">
      <alignment horizontal="right"/>
    </xf>
    <xf numFmtId="0" fontId="32" fillId="22" borderId="15" xfId="8" applyFont="1" applyFill="1" applyBorder="1"/>
    <xf numFmtId="10" fontId="54" fillId="9" borderId="1" xfId="10" applyNumberFormat="1" applyFont="1" applyFill="1" applyBorder="1" applyAlignment="1"/>
    <xf numFmtId="2" fontId="54" fillId="9" borderId="1" xfId="10" applyNumberFormat="1" applyFont="1" applyFill="1" applyBorder="1" applyAlignment="1">
      <alignment horizontal="right"/>
    </xf>
    <xf numFmtId="0" fontId="32" fillId="22" borderId="5" xfId="8" applyFont="1" applyFill="1" applyBorder="1"/>
    <xf numFmtId="0" fontId="54" fillId="9" borderId="1" xfId="10" applyNumberFormat="1" applyFont="1" applyFill="1" applyBorder="1" applyAlignment="1">
      <alignment horizontal="right"/>
    </xf>
    <xf numFmtId="9" fontId="32" fillId="22" borderId="0" xfId="8" applyNumberFormat="1" applyFont="1" applyFill="1" applyBorder="1" applyAlignment="1">
      <alignment horizontal="left"/>
    </xf>
    <xf numFmtId="0" fontId="54" fillId="22" borderId="5" xfId="8" applyFont="1" applyFill="1" applyBorder="1"/>
    <xf numFmtId="1" fontId="54" fillId="22" borderId="11" xfId="10" applyNumberFormat="1" applyFont="1" applyFill="1" applyBorder="1" applyAlignment="1"/>
    <xf numFmtId="1" fontId="54" fillId="22" borderId="13" xfId="10" applyNumberFormat="1" applyFont="1" applyFill="1" applyBorder="1" applyAlignment="1"/>
    <xf numFmtId="0" fontId="32" fillId="22" borderId="13" xfId="8" applyFont="1" applyFill="1" applyBorder="1"/>
    <xf numFmtId="10" fontId="54" fillId="22" borderId="13" xfId="10" applyNumberFormat="1" applyFont="1" applyFill="1" applyBorder="1" applyAlignment="1">
      <alignment horizontal="left"/>
    </xf>
    <xf numFmtId="0" fontId="32" fillId="22" borderId="13" xfId="8" applyFont="1" applyFill="1" applyBorder="1" applyAlignment="1">
      <alignment horizontal="left"/>
    </xf>
    <xf numFmtId="0" fontId="54" fillId="22" borderId="6" xfId="8" applyFont="1" applyFill="1" applyBorder="1"/>
    <xf numFmtId="4" fontId="72" fillId="10" borderId="4" xfId="8" applyNumberFormat="1" applyFont="1" applyFill="1" applyBorder="1" applyAlignment="1" applyProtection="1">
      <alignment horizontal="center" vertical="center" wrapText="1"/>
    </xf>
    <xf numFmtId="0" fontId="54" fillId="10" borderId="8" xfId="8" quotePrefix="1" applyFont="1" applyFill="1" applyBorder="1" applyAlignment="1" applyProtection="1">
      <alignment horizontal="center" vertical="center"/>
    </xf>
    <xf numFmtId="168" fontId="54" fillId="10" borderId="1" xfId="8" applyNumberFormat="1" applyFont="1" applyFill="1" applyBorder="1" applyAlignment="1" applyProtection="1">
      <alignment horizontal="right" vertical="center" shrinkToFit="1"/>
    </xf>
    <xf numFmtId="0" fontId="54" fillId="10" borderId="8" xfId="8" applyFont="1" applyFill="1" applyBorder="1" applyAlignment="1" applyProtection="1">
      <alignment horizontal="center" vertical="center"/>
    </xf>
    <xf numFmtId="4" fontId="54" fillId="0" borderId="1" xfId="8" applyNumberFormat="1" applyFont="1" applyFill="1" applyBorder="1" applyAlignment="1" applyProtection="1">
      <alignment horizontal="right" vertical="center" shrinkToFit="1"/>
      <protection locked="0"/>
    </xf>
    <xf numFmtId="4" fontId="54" fillId="10" borderId="1" xfId="8" applyNumberFormat="1" applyFont="1" applyFill="1" applyBorder="1" applyAlignment="1" applyProtection="1">
      <alignment horizontal="right" vertical="center" shrinkToFit="1"/>
      <protection locked="0"/>
    </xf>
    <xf numFmtId="44" fontId="42" fillId="5" borderId="1" xfId="9" applyFont="1" applyFill="1" applyBorder="1" applyAlignment="1" applyProtection="1">
      <alignment horizontal="left" vertical="center"/>
    </xf>
    <xf numFmtId="4" fontId="41" fillId="6" borderId="1" xfId="10" applyNumberFormat="1" applyFont="1" applyFill="1" applyBorder="1" applyAlignment="1" applyProtection="1">
      <alignment horizontal="right" vertical="center"/>
    </xf>
    <xf numFmtId="44" fontId="41" fillId="6" borderId="1" xfId="9" applyFont="1" applyFill="1" applyBorder="1" applyAlignment="1" applyProtection="1">
      <alignment horizontal="left" vertical="center"/>
    </xf>
    <xf numFmtId="0" fontId="54" fillId="10" borderId="8" xfId="8" applyFont="1" applyFill="1" applyBorder="1" applyAlignment="1" applyProtection="1">
      <alignment vertical="center" wrapText="1"/>
    </xf>
    <xf numFmtId="0" fontId="32" fillId="10" borderId="8" xfId="8" applyFont="1" applyFill="1" applyBorder="1"/>
    <xf numFmtId="0" fontId="32" fillId="10" borderId="7" xfId="8" applyFont="1" applyFill="1" applyBorder="1"/>
    <xf numFmtId="2" fontId="42" fillId="10" borderId="2" xfId="8" applyNumberFormat="1" applyFont="1" applyFill="1" applyBorder="1" applyAlignment="1">
      <alignment horizontal="center"/>
    </xf>
    <xf numFmtId="0" fontId="54" fillId="0" borderId="2" xfId="8" applyFont="1" applyFill="1" applyBorder="1" applyAlignment="1" applyProtection="1">
      <alignment vertical="center" shrinkToFit="1"/>
      <protection locked="0"/>
    </xf>
    <xf numFmtId="0" fontId="54" fillId="10" borderId="8" xfId="8" applyFont="1" applyFill="1" applyBorder="1" applyAlignment="1" applyProtection="1">
      <alignment horizontal="center" vertical="center" wrapText="1"/>
    </xf>
    <xf numFmtId="0" fontId="71" fillId="6" borderId="8" xfId="8" applyFont="1" applyFill="1" applyBorder="1" applyAlignment="1" applyProtection="1">
      <alignment horizontal="left" vertical="center"/>
    </xf>
    <xf numFmtId="0" fontId="32" fillId="6" borderId="1" xfId="8" applyFill="1" applyBorder="1" applyAlignment="1">
      <alignment vertical="center"/>
    </xf>
    <xf numFmtId="0" fontId="32" fillId="10" borderId="8" xfId="8" applyFill="1" applyBorder="1" applyAlignment="1">
      <alignment horizontal="center" vertical="center"/>
    </xf>
    <xf numFmtId="0" fontId="32" fillId="10" borderId="7" xfId="8" applyFill="1" applyBorder="1" applyAlignment="1">
      <alignment horizontal="center" vertical="center"/>
    </xf>
    <xf numFmtId="0" fontId="76" fillId="10" borderId="7" xfId="8" applyFont="1" applyFill="1" applyBorder="1" applyAlignment="1">
      <alignment horizontal="center" vertical="center"/>
    </xf>
    <xf numFmtId="0" fontId="42" fillId="5" borderId="1" xfId="8" applyFont="1" applyFill="1" applyBorder="1" applyAlignment="1">
      <alignment horizontal="center" vertical="center"/>
    </xf>
    <xf numFmtId="0" fontId="32" fillId="10" borderId="1" xfId="8" applyFill="1" applyBorder="1" applyAlignment="1">
      <alignment horizontal="center" vertical="center"/>
    </xf>
    <xf numFmtId="0" fontId="32" fillId="10" borderId="7" xfId="8" applyFill="1" applyBorder="1" applyAlignment="1">
      <alignment vertical="center"/>
    </xf>
    <xf numFmtId="0" fontId="32" fillId="10" borderId="7" xfId="8" applyFill="1" applyBorder="1" applyAlignment="1">
      <alignment horizontal="right" vertical="center"/>
    </xf>
    <xf numFmtId="0" fontId="76" fillId="10" borderId="7" xfId="8" applyFont="1" applyFill="1" applyBorder="1" applyAlignment="1">
      <alignment horizontal="right" vertical="center"/>
    </xf>
    <xf numFmtId="0" fontId="42" fillId="5" borderId="1" xfId="8" applyFont="1" applyFill="1" applyBorder="1" applyAlignment="1">
      <alignment horizontal="right" vertical="center" wrapText="1"/>
    </xf>
    <xf numFmtId="0" fontId="32" fillId="10" borderId="8" xfId="8" applyFill="1" applyBorder="1" applyAlignment="1">
      <alignment vertical="center"/>
    </xf>
    <xf numFmtId="0" fontId="32" fillId="10" borderId="2" xfId="8" applyFill="1" applyBorder="1" applyAlignment="1">
      <alignment horizontal="right" vertical="center"/>
    </xf>
    <xf numFmtId="0" fontId="76" fillId="10" borderId="8" xfId="8" applyFont="1" applyFill="1" applyBorder="1" applyAlignment="1">
      <alignment horizontal="right" vertical="center"/>
    </xf>
    <xf numFmtId="4" fontId="42" fillId="5" borderId="1" xfId="8" applyNumberFormat="1" applyFont="1" applyFill="1" applyBorder="1" applyAlignment="1">
      <alignment horizontal="right" vertical="center"/>
    </xf>
    <xf numFmtId="3" fontId="42" fillId="5" borderId="1" xfId="8" applyNumberFormat="1" applyFont="1" applyFill="1" applyBorder="1" applyAlignment="1">
      <alignment horizontal="right" vertical="center"/>
    </xf>
    <xf numFmtId="4" fontId="32" fillId="10" borderId="1" xfId="8" applyNumberFormat="1" applyFill="1" applyBorder="1" applyAlignment="1">
      <alignment vertical="center"/>
    </xf>
    <xf numFmtId="0" fontId="42" fillId="5" borderId="1" xfId="8" applyFont="1" applyFill="1" applyBorder="1" applyAlignment="1">
      <alignment horizontal="right" vertical="center"/>
    </xf>
    <xf numFmtId="0" fontId="32" fillId="10" borderId="13" xfId="8" applyFill="1" applyBorder="1" applyAlignment="1">
      <alignment vertical="center"/>
    </xf>
    <xf numFmtId="0" fontId="32" fillId="10" borderId="6" xfId="8" applyFill="1" applyBorder="1" applyAlignment="1">
      <alignment horizontal="right" vertical="center"/>
    </xf>
    <xf numFmtId="170" fontId="32" fillId="10" borderId="1" xfId="8" applyNumberFormat="1" applyFill="1" applyBorder="1" applyAlignment="1">
      <alignment vertical="center"/>
    </xf>
    <xf numFmtId="170" fontId="32" fillId="10" borderId="1" xfId="8" applyNumberFormat="1" applyFill="1" applyBorder="1" applyAlignment="1">
      <alignment horizontal="right" vertical="center"/>
    </xf>
    <xf numFmtId="170" fontId="42" fillId="5" borderId="9" xfId="8" applyNumberFormat="1" applyFont="1" applyFill="1" applyBorder="1" applyAlignment="1">
      <alignment vertical="center"/>
    </xf>
    <xf numFmtId="170" fontId="42" fillId="5" borderId="1" xfId="8" applyNumberFormat="1" applyFont="1" applyFill="1" applyBorder="1" applyAlignment="1">
      <alignment vertical="center"/>
    </xf>
    <xf numFmtId="170" fontId="32" fillId="10" borderId="2" xfId="8" applyNumberFormat="1" applyFill="1" applyBorder="1" applyAlignment="1">
      <alignment vertical="center"/>
    </xf>
    <xf numFmtId="0" fontId="76" fillId="10" borderId="2" xfId="8" applyFont="1" applyFill="1" applyBorder="1" applyAlignment="1">
      <alignment horizontal="center" vertical="center"/>
    </xf>
    <xf numFmtId="0" fontId="76" fillId="10" borderId="2" xfId="8" applyFont="1" applyFill="1" applyBorder="1" applyAlignment="1">
      <alignment horizontal="right" vertical="center"/>
    </xf>
    <xf numFmtId="0" fontId="32" fillId="10" borderId="10" xfId="8" applyFill="1" applyBorder="1" applyAlignment="1">
      <alignment horizontal="center" vertical="center"/>
    </xf>
    <xf numFmtId="0" fontId="32" fillId="10" borderId="10" xfId="8" applyFill="1" applyBorder="1" applyAlignment="1">
      <alignment vertical="center"/>
    </xf>
    <xf numFmtId="0" fontId="32" fillId="10" borderId="3" xfId="8" applyFill="1" applyBorder="1" applyAlignment="1">
      <alignment horizontal="right" vertical="center"/>
    </xf>
    <xf numFmtId="0" fontId="42" fillId="5" borderId="7" xfId="8" applyFont="1" applyFill="1" applyBorder="1" applyAlignment="1">
      <alignment horizontal="right" vertical="center"/>
    </xf>
    <xf numFmtId="4" fontId="42" fillId="5" borderId="2" xfId="8" applyNumberFormat="1" applyFont="1" applyFill="1" applyBorder="1" applyAlignment="1">
      <alignment vertical="center"/>
    </xf>
    <xf numFmtId="10" fontId="42" fillId="5" borderId="1" xfId="11" applyNumberFormat="1" applyFont="1" applyFill="1" applyBorder="1" applyAlignment="1">
      <alignment vertical="center"/>
    </xf>
    <xf numFmtId="10" fontId="32" fillId="10" borderId="1" xfId="8" applyNumberFormat="1" applyFill="1" applyBorder="1" applyAlignment="1">
      <alignment vertical="center"/>
    </xf>
    <xf numFmtId="0" fontId="71" fillId="6" borderId="8" xfId="8" applyFont="1" applyFill="1" applyBorder="1" applyAlignment="1">
      <alignment horizontal="center" vertical="center"/>
    </xf>
    <xf numFmtId="0" fontId="41" fillId="6" borderId="7" xfId="8" applyFont="1" applyFill="1" applyBorder="1" applyAlignment="1">
      <alignment vertical="center"/>
    </xf>
    <xf numFmtId="0" fontId="41" fillId="6" borderId="2" xfId="8" applyFont="1" applyFill="1" applyBorder="1" applyAlignment="1">
      <alignment horizontal="right" vertical="center"/>
    </xf>
    <xf numFmtId="0" fontId="78" fillId="6" borderId="1" xfId="8" applyFont="1" applyFill="1" applyBorder="1" applyAlignment="1">
      <alignment horizontal="right" vertical="center"/>
    </xf>
    <xf numFmtId="170" fontId="41" fillId="6" borderId="1" xfId="8" applyNumberFormat="1" applyFont="1" applyFill="1" applyBorder="1" applyAlignment="1">
      <alignment vertical="center"/>
    </xf>
    <xf numFmtId="170" fontId="42" fillId="10" borderId="1" xfId="8" applyNumberFormat="1" applyFont="1" applyFill="1" applyBorder="1" applyAlignment="1">
      <alignment vertical="center"/>
    </xf>
    <xf numFmtId="0" fontId="32" fillId="17" borderId="1" xfId="8" applyFill="1" applyBorder="1" applyAlignment="1">
      <alignment vertical="center"/>
    </xf>
    <xf numFmtId="171" fontId="32" fillId="17" borderId="1" xfId="8" applyNumberFormat="1" applyFill="1" applyBorder="1" applyAlignment="1">
      <alignment vertical="center"/>
    </xf>
    <xf numFmtId="0" fontId="32" fillId="22" borderId="8" xfId="8" applyFill="1" applyBorder="1" applyAlignment="1">
      <alignment horizontal="center" vertical="center"/>
    </xf>
    <xf numFmtId="0" fontId="32" fillId="22" borderId="10" xfId="8" applyFill="1" applyBorder="1" applyAlignment="1">
      <alignment vertical="center"/>
    </xf>
    <xf numFmtId="0" fontId="32" fillId="22" borderId="0" xfId="8" applyFill="1" applyAlignment="1">
      <alignment vertical="center"/>
    </xf>
    <xf numFmtId="0" fontId="32" fillId="22" borderId="0" xfId="8" applyFill="1" applyAlignment="1">
      <alignment horizontal="right" vertical="center"/>
    </xf>
    <xf numFmtId="0" fontId="76" fillId="22" borderId="0" xfId="8" applyFont="1" applyFill="1" applyAlignment="1">
      <alignment horizontal="right" vertical="center"/>
    </xf>
    <xf numFmtId="0" fontId="42" fillId="20" borderId="1" xfId="8" applyFont="1" applyFill="1" applyBorder="1" applyAlignment="1">
      <alignment horizontal="center" vertical="center"/>
    </xf>
    <xf numFmtId="0" fontId="32" fillId="22" borderId="1" xfId="8" applyFill="1" applyBorder="1" applyAlignment="1">
      <alignment horizontal="center" vertical="center"/>
    </xf>
    <xf numFmtId="0" fontId="32" fillId="22" borderId="7" xfId="8" applyFill="1" applyBorder="1" applyAlignment="1">
      <alignment vertical="center"/>
    </xf>
    <xf numFmtId="0" fontId="32" fillId="22" borderId="2" xfId="8" applyFill="1" applyBorder="1" applyAlignment="1">
      <alignment horizontal="right" vertical="center"/>
    </xf>
    <xf numFmtId="0" fontId="76" fillId="22" borderId="1" xfId="8" applyFont="1" applyFill="1" applyBorder="1" applyAlignment="1">
      <alignment horizontal="right" vertical="center"/>
    </xf>
    <xf numFmtId="0" fontId="42" fillId="20" borderId="1" xfId="8" applyFont="1" applyFill="1" applyBorder="1" applyAlignment="1">
      <alignment horizontal="right" vertical="center"/>
    </xf>
    <xf numFmtId="170" fontId="32" fillId="22" borderId="1" xfId="8" applyNumberFormat="1" applyFill="1" applyBorder="1" applyAlignment="1">
      <alignment horizontal="right" vertical="center"/>
    </xf>
    <xf numFmtId="0" fontId="42" fillId="15" borderId="1" xfId="8" applyFont="1" applyFill="1" applyBorder="1" applyAlignment="1">
      <alignment horizontal="right" vertical="center"/>
    </xf>
    <xf numFmtId="0" fontId="76" fillId="22" borderId="8" xfId="8" applyFont="1" applyFill="1" applyBorder="1" applyAlignment="1">
      <alignment horizontal="right" vertical="center"/>
    </xf>
    <xf numFmtId="0" fontId="32" fillId="20" borderId="1" xfId="8" applyFill="1" applyBorder="1" applyAlignment="1">
      <alignment vertical="center"/>
    </xf>
    <xf numFmtId="10" fontId="32" fillId="22" borderId="1" xfId="8" applyNumberFormat="1" applyFill="1" applyBorder="1" applyAlignment="1">
      <alignment vertical="center"/>
    </xf>
    <xf numFmtId="170" fontId="32" fillId="20" borderId="1" xfId="8" applyNumberFormat="1" applyFill="1" applyBorder="1" applyAlignment="1">
      <alignment vertical="center"/>
    </xf>
    <xf numFmtId="170" fontId="32" fillId="22" borderId="1" xfId="8" applyNumberFormat="1" applyFill="1" applyBorder="1" applyAlignment="1">
      <alignment vertical="center"/>
    </xf>
    <xf numFmtId="0" fontId="32" fillId="10" borderId="12" xfId="8" applyFill="1" applyBorder="1" applyAlignment="1">
      <alignment horizontal="center" vertical="center"/>
    </xf>
    <xf numFmtId="0" fontId="80" fillId="10" borderId="8" xfId="8" applyFont="1" applyFill="1" applyBorder="1" applyAlignment="1">
      <alignment horizontal="right" vertical="center"/>
    </xf>
    <xf numFmtId="0" fontId="32" fillId="10" borderId="8" xfId="8" applyFont="1" applyFill="1" applyBorder="1" applyAlignment="1" applyProtection="1">
      <alignment vertical="center"/>
      <protection hidden="1"/>
    </xf>
    <xf numFmtId="0" fontId="54" fillId="10" borderId="2" xfId="8" applyFont="1" applyFill="1" applyBorder="1" applyAlignment="1" applyProtection="1">
      <alignment vertical="center"/>
      <protection hidden="1"/>
    </xf>
    <xf numFmtId="0" fontId="32" fillId="10" borderId="8" xfId="8" applyFont="1" applyFill="1" applyBorder="1" applyAlignment="1" applyProtection="1">
      <alignment horizontal="center" vertical="center"/>
      <protection hidden="1"/>
    </xf>
    <xf numFmtId="0" fontId="54" fillId="10" borderId="2" xfId="8" applyFont="1" applyFill="1" applyBorder="1" applyAlignment="1" applyProtection="1">
      <alignment horizontal="right" vertical="center" wrapText="1"/>
      <protection hidden="1"/>
    </xf>
    <xf numFmtId="0" fontId="82" fillId="10" borderId="1" xfId="8" applyFont="1" applyFill="1" applyBorder="1" applyAlignment="1" applyProtection="1">
      <alignment horizontal="right" vertical="center"/>
      <protection hidden="1"/>
    </xf>
    <xf numFmtId="0" fontId="54" fillId="0" borderId="1" xfId="8" applyFont="1" applyFill="1" applyBorder="1" applyAlignment="1" applyProtection="1">
      <alignment vertical="center"/>
      <protection locked="0"/>
    </xf>
    <xf numFmtId="0" fontId="32" fillId="10" borderId="2" xfId="8" applyFont="1" applyFill="1" applyBorder="1" applyAlignment="1" applyProtection="1">
      <alignment vertical="center"/>
      <protection hidden="1"/>
    </xf>
    <xf numFmtId="0" fontId="32" fillId="10" borderId="7" xfId="8" applyFont="1" applyFill="1" applyBorder="1" applyAlignment="1" applyProtection="1">
      <alignment vertical="center"/>
      <protection hidden="1"/>
    </xf>
    <xf numFmtId="0" fontId="32" fillId="10" borderId="7" xfId="8" applyFont="1" applyFill="1" applyBorder="1" applyAlignment="1" applyProtection="1">
      <alignment horizontal="right" vertical="center"/>
      <protection hidden="1"/>
    </xf>
    <xf numFmtId="0" fontId="32" fillId="10" borderId="2" xfId="8" applyFont="1" applyFill="1" applyBorder="1" applyAlignment="1" applyProtection="1">
      <alignment horizontal="right" vertical="center"/>
      <protection hidden="1"/>
    </xf>
    <xf numFmtId="0" fontId="82" fillId="10" borderId="2" xfId="8" applyFont="1" applyFill="1" applyBorder="1" applyAlignment="1" applyProtection="1">
      <alignment horizontal="right" vertical="center"/>
      <protection hidden="1"/>
    </xf>
    <xf numFmtId="4" fontId="54" fillId="8" borderId="1" xfId="8" applyNumberFormat="1" applyFont="1" applyFill="1" applyBorder="1" applyAlignment="1" applyProtection="1">
      <alignment vertical="center"/>
      <protection locked="0"/>
    </xf>
    <xf numFmtId="3" fontId="54" fillId="0" borderId="1" xfId="8" applyNumberFormat="1" applyFont="1" applyFill="1" applyBorder="1" applyAlignment="1" applyProtection="1">
      <alignment vertical="center"/>
      <protection locked="0"/>
    </xf>
    <xf numFmtId="3" fontId="54" fillId="8" borderId="1" xfId="8" applyNumberFormat="1" applyFont="1" applyFill="1" applyBorder="1" applyAlignment="1" applyProtection="1">
      <alignment vertical="center"/>
      <protection locked="0"/>
    </xf>
    <xf numFmtId="0" fontId="54" fillId="10" borderId="7" xfId="8" applyFont="1" applyFill="1" applyBorder="1" applyAlignment="1" applyProtection="1">
      <alignment vertical="center"/>
      <protection hidden="1"/>
    </xf>
    <xf numFmtId="10" fontId="54" fillId="8" borderId="1" xfId="8" applyNumberFormat="1" applyFont="1" applyFill="1" applyBorder="1" applyAlignment="1" applyProtection="1">
      <alignment vertical="center"/>
      <protection locked="0"/>
    </xf>
    <xf numFmtId="4" fontId="74" fillId="10" borderId="1" xfId="8" applyNumberFormat="1" applyFont="1" applyFill="1" applyBorder="1" applyAlignment="1" applyProtection="1">
      <alignment vertical="center"/>
      <protection hidden="1"/>
    </xf>
    <xf numFmtId="0" fontId="32" fillId="10" borderId="7" xfId="8" applyFont="1" applyFill="1" applyBorder="1" applyAlignment="1" applyProtection="1">
      <alignment horizontal="left" vertical="center"/>
      <protection hidden="1"/>
    </xf>
    <xf numFmtId="0" fontId="32" fillId="10" borderId="2" xfId="8" applyFont="1" applyFill="1" applyBorder="1" applyAlignment="1" applyProtection="1">
      <alignment horizontal="right" vertical="center" wrapText="1"/>
      <protection hidden="1"/>
    </xf>
    <xf numFmtId="4" fontId="54" fillId="5" borderId="1" xfId="8" applyNumberFormat="1" applyFont="1" applyFill="1" applyBorder="1" applyAlignment="1" applyProtection="1">
      <alignment vertical="center"/>
    </xf>
    <xf numFmtId="0" fontId="82" fillId="10" borderId="4" xfId="8" applyFont="1" applyFill="1" applyBorder="1" applyAlignment="1" applyProtection="1">
      <alignment horizontal="right" vertical="center"/>
      <protection hidden="1"/>
    </xf>
    <xf numFmtId="0" fontId="54" fillId="10" borderId="7" xfId="8" applyFont="1" applyFill="1" applyBorder="1" applyAlignment="1" applyProtection="1">
      <alignment horizontal="right" vertical="center"/>
      <protection hidden="1"/>
    </xf>
    <xf numFmtId="0" fontId="54" fillId="10" borderId="2" xfId="8" applyFont="1" applyFill="1" applyBorder="1" applyAlignment="1" applyProtection="1">
      <alignment horizontal="right" vertical="center"/>
      <protection hidden="1"/>
    </xf>
    <xf numFmtId="3" fontId="54" fillId="5" borderId="1" xfId="8" applyNumberFormat="1" applyFont="1" applyFill="1" applyBorder="1" applyAlignment="1" applyProtection="1">
      <alignment vertical="center"/>
    </xf>
    <xf numFmtId="0" fontId="54" fillId="0" borderId="1" xfId="8" applyNumberFormat="1" applyFont="1" applyFill="1" applyBorder="1" applyAlignment="1" applyProtection="1">
      <alignment vertical="center"/>
      <protection locked="0"/>
    </xf>
    <xf numFmtId="0" fontId="72" fillId="10" borderId="2" xfId="8" applyFont="1" applyFill="1" applyBorder="1" applyAlignment="1" applyProtection="1">
      <alignment horizontal="right" vertical="center"/>
      <protection hidden="1"/>
    </xf>
    <xf numFmtId="0" fontId="86" fillId="10" borderId="1" xfId="8" applyFont="1" applyFill="1" applyBorder="1" applyAlignment="1" applyProtection="1">
      <alignment horizontal="right" vertical="center"/>
      <protection hidden="1"/>
    </xf>
    <xf numFmtId="0" fontId="74" fillId="0" borderId="4" xfId="8" applyFont="1" applyFill="1" applyBorder="1" applyAlignment="1" applyProtection="1">
      <alignment vertical="center"/>
      <protection locked="0"/>
    </xf>
    <xf numFmtId="0" fontId="32" fillId="10" borderId="7" xfId="8" applyFont="1" applyFill="1" applyBorder="1" applyAlignment="1" applyProtection="1">
      <alignment horizontal="right" vertical="center" wrapText="1"/>
      <protection hidden="1"/>
    </xf>
    <xf numFmtId="0" fontId="74" fillId="10" borderId="2" xfId="8" applyFont="1" applyFill="1" applyBorder="1" applyAlignment="1" applyProtection="1">
      <alignment horizontal="right" vertical="center"/>
      <protection hidden="1"/>
    </xf>
    <xf numFmtId="0" fontId="74" fillId="0" borderId="1" xfId="8" applyFont="1" applyFill="1" applyBorder="1" applyAlignment="1" applyProtection="1">
      <alignment vertical="center"/>
      <protection locked="0"/>
    </xf>
    <xf numFmtId="0" fontId="60" fillId="10" borderId="7" xfId="8" applyFont="1" applyFill="1" applyBorder="1" applyAlignment="1" applyProtection="1">
      <alignment horizontal="right" vertical="center" wrapText="1"/>
      <protection hidden="1"/>
    </xf>
    <xf numFmtId="0" fontId="60" fillId="10" borderId="2" xfId="8" applyFont="1" applyFill="1" applyBorder="1" applyAlignment="1" applyProtection="1">
      <alignment horizontal="right" vertical="center" wrapText="1"/>
      <protection hidden="1"/>
    </xf>
    <xf numFmtId="0" fontId="54" fillId="5" borderId="1" xfId="8" applyNumberFormat="1" applyFont="1" applyFill="1" applyBorder="1" applyAlignment="1" applyProtection="1">
      <alignment vertical="center"/>
    </xf>
    <xf numFmtId="3" fontId="74" fillId="0" borderId="1" xfId="8" applyNumberFormat="1" applyFont="1" applyFill="1" applyBorder="1" applyAlignment="1" applyProtection="1">
      <alignment vertical="center"/>
      <protection locked="0"/>
    </xf>
    <xf numFmtId="0" fontId="32" fillId="10" borderId="10" xfId="8" applyFill="1" applyBorder="1" applyAlignment="1">
      <alignment horizontal="right" vertical="center"/>
    </xf>
    <xf numFmtId="0" fontId="41" fillId="6" borderId="7" xfId="8" applyFont="1" applyFill="1" applyBorder="1" applyAlignment="1">
      <alignment horizontal="right" vertical="center"/>
    </xf>
    <xf numFmtId="0" fontId="32" fillId="22" borderId="7" xfId="8" applyFill="1" applyBorder="1" applyAlignment="1">
      <alignment horizontal="right" vertical="center"/>
    </xf>
    <xf numFmtId="4" fontId="32" fillId="20" borderId="1" xfId="8" applyNumberFormat="1" applyFont="1" applyFill="1" applyBorder="1" applyAlignment="1">
      <alignment horizontal="right" vertical="center"/>
    </xf>
    <xf numFmtId="4" fontId="32" fillId="8" borderId="1" xfId="8" applyNumberFormat="1" applyFont="1" applyFill="1" applyBorder="1" applyAlignment="1">
      <alignment horizontal="right" vertical="center"/>
    </xf>
    <xf numFmtId="10" fontId="32" fillId="20" borderId="1" xfId="8" applyNumberFormat="1" applyFill="1" applyBorder="1" applyAlignment="1">
      <alignment vertical="center"/>
    </xf>
    <xf numFmtId="0" fontId="32" fillId="8" borderId="1" xfId="8" applyFont="1" applyFill="1" applyBorder="1" applyAlignment="1">
      <alignment horizontal="center"/>
    </xf>
    <xf numFmtId="4" fontId="52" fillId="0" borderId="0" xfId="0" applyNumberFormat="1" applyFont="1" applyFill="1" applyAlignment="1" applyProtection="1">
      <alignment vertical="center"/>
      <protection hidden="1"/>
    </xf>
    <xf numFmtId="172" fontId="32" fillId="22" borderId="1" xfId="8" applyNumberFormat="1" applyFill="1" applyBorder="1" applyAlignment="1">
      <alignment horizontal="right" vertical="center"/>
    </xf>
    <xf numFmtId="44" fontId="42" fillId="5" borderId="1" xfId="9" applyFont="1" applyFill="1" applyBorder="1" applyAlignment="1" applyProtection="1">
      <alignment vertical="center"/>
    </xf>
    <xf numFmtId="44" fontId="42" fillId="21" borderId="8" xfId="9" applyFont="1" applyFill="1" applyBorder="1" applyAlignment="1" applyProtection="1">
      <alignment vertical="center"/>
    </xf>
    <xf numFmtId="9" fontId="52" fillId="0" borderId="0" xfId="4" applyFont="1" applyFill="1" applyAlignment="1" applyProtection="1">
      <alignment vertical="center"/>
      <protection hidden="1"/>
    </xf>
    <xf numFmtId="1" fontId="87" fillId="22" borderId="0" xfId="10" applyNumberFormat="1" applyFont="1" applyFill="1" applyBorder="1" applyAlignment="1"/>
    <xf numFmtId="1" fontId="54" fillId="22" borderId="15" xfId="10" applyNumberFormat="1" applyFont="1" applyFill="1" applyBorder="1" applyAlignment="1">
      <alignment horizontal="center" vertical="center" textRotation="90"/>
    </xf>
    <xf numFmtId="4" fontId="54" fillId="22" borderId="7" xfId="10" applyNumberFormat="1" applyFont="1" applyFill="1" applyBorder="1" applyAlignment="1">
      <alignment horizontal="left"/>
    </xf>
    <xf numFmtId="0" fontId="42" fillId="15" borderId="1" xfId="8" applyFont="1" applyFill="1" applyBorder="1" applyAlignment="1">
      <alignment horizontal="center" vertical="center"/>
    </xf>
    <xf numFmtId="0" fontId="32" fillId="10" borderId="12" xfId="8" applyFill="1" applyBorder="1" applyAlignment="1">
      <alignment horizontal="center" vertical="center"/>
    </xf>
    <xf numFmtId="0" fontId="31" fillId="22" borderId="2" xfId="8" applyFont="1" applyFill="1" applyBorder="1" applyAlignment="1">
      <alignment horizontal="right" vertical="center"/>
    </xf>
    <xf numFmtId="0" fontId="42" fillId="26" borderId="0" xfId="0" applyFont="1" applyFill="1"/>
    <xf numFmtId="0" fontId="42" fillId="8" borderId="0" xfId="0" applyFont="1" applyFill="1"/>
    <xf numFmtId="0" fontId="0" fillId="24" borderId="0" xfId="0" applyFill="1"/>
    <xf numFmtId="4" fontId="0" fillId="8" borderId="0" xfId="0" applyNumberFormat="1" applyFill="1"/>
    <xf numFmtId="0" fontId="0" fillId="8" borderId="0" xfId="0" applyFill="1" applyAlignment="1">
      <alignment horizontal="left"/>
    </xf>
    <xf numFmtId="0" fontId="0" fillId="8" borderId="0" xfId="0" applyFill="1"/>
    <xf numFmtId="0" fontId="32" fillId="10" borderId="12" xfId="8" applyFill="1" applyBorder="1" applyAlignment="1">
      <alignment horizontal="center" vertical="center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0" fontId="72" fillId="10" borderId="4" xfId="8" applyFont="1" applyFill="1" applyBorder="1" applyAlignment="1" applyProtection="1">
      <alignment horizontal="center" vertical="center" wrapText="1"/>
    </xf>
    <xf numFmtId="165" fontId="32" fillId="8" borderId="1" xfId="6" applyFont="1" applyFill="1" applyBorder="1" applyAlignment="1">
      <alignment horizontal="center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0" fontId="72" fillId="10" borderId="4" xfId="8" applyFont="1" applyFill="1" applyBorder="1" applyAlignment="1" applyProtection="1">
      <alignment horizontal="center" vertical="center" wrapText="1"/>
    </xf>
    <xf numFmtId="0" fontId="30" fillId="22" borderId="0" xfId="8" applyFont="1" applyFill="1" applyBorder="1"/>
    <xf numFmtId="0" fontId="32" fillId="22" borderId="0" xfId="8" applyFont="1" applyFill="1" applyBorder="1" applyAlignment="1">
      <alignment horizontal="right"/>
    </xf>
    <xf numFmtId="0" fontId="30" fillId="22" borderId="0" xfId="8" applyFont="1" applyFill="1" applyAlignment="1"/>
    <xf numFmtId="0" fontId="30" fillId="22" borderId="5" xfId="8" applyFont="1" applyFill="1" applyBorder="1" applyAlignment="1"/>
    <xf numFmtId="0" fontId="32" fillId="4" borderId="2" xfId="8" applyFill="1" applyBorder="1"/>
    <xf numFmtId="0" fontId="41" fillId="19" borderId="9" xfId="8" applyFont="1" applyFill="1" applyBorder="1" applyAlignment="1">
      <alignment horizontal="center" vertical="center"/>
    </xf>
    <xf numFmtId="0" fontId="32" fillId="12" borderId="2" xfId="8" applyFill="1" applyBorder="1"/>
    <xf numFmtId="0" fontId="41" fillId="25" borderId="2" xfId="8" applyFont="1" applyFill="1" applyBorder="1"/>
    <xf numFmtId="165" fontId="68" fillId="25" borderId="1" xfId="6" applyFont="1" applyFill="1" applyBorder="1" applyAlignment="1">
      <alignment horizontal="right"/>
    </xf>
    <xf numFmtId="165" fontId="41" fillId="25" borderId="1" xfId="6" applyFont="1" applyFill="1" applyBorder="1" applyAlignment="1">
      <alignment horizontal="right"/>
    </xf>
    <xf numFmtId="0" fontId="53" fillId="10" borderId="11" xfId="8" applyFont="1" applyFill="1" applyBorder="1" applyAlignment="1" applyProtection="1">
      <alignment horizontal="center" vertical="center"/>
    </xf>
    <xf numFmtId="0" fontId="53" fillId="10" borderId="4" xfId="8" applyFont="1" applyFill="1" applyBorder="1" applyAlignment="1" applyProtection="1">
      <alignment horizontal="center" vertical="center"/>
    </xf>
    <xf numFmtId="0" fontId="54" fillId="10" borderId="7" xfId="8" applyFont="1" applyFill="1" applyBorder="1" applyAlignment="1" applyProtection="1">
      <alignment vertical="center" wrapText="1"/>
    </xf>
    <xf numFmtId="0" fontId="54" fillId="10" borderId="2" xfId="8" applyFont="1" applyFill="1" applyBorder="1" applyAlignment="1" applyProtection="1">
      <alignment vertical="center" wrapText="1"/>
    </xf>
    <xf numFmtId="0" fontId="72" fillId="10" borderId="8" xfId="8" applyFont="1" applyFill="1" applyBorder="1" applyAlignment="1" applyProtection="1">
      <alignment vertical="center" wrapText="1"/>
    </xf>
    <xf numFmtId="164" fontId="68" fillId="25" borderId="1" xfId="2" applyFont="1" applyFill="1" applyBorder="1" applyAlignment="1" applyProtection="1">
      <alignment vertical="center"/>
      <protection hidden="1"/>
    </xf>
    <xf numFmtId="10" fontId="68" fillId="25" borderId="1" xfId="0" applyNumberFormat="1" applyFont="1" applyFill="1" applyBorder="1" applyAlignment="1" applyProtection="1">
      <alignment vertical="center"/>
      <protection hidden="1"/>
    </xf>
    <xf numFmtId="3" fontId="30" fillId="0" borderId="1" xfId="8" quotePrefix="1" applyNumberFormat="1" applyFont="1" applyFill="1" applyBorder="1" applyAlignment="1" applyProtection="1">
      <alignment horizontal="right" vertical="center"/>
      <protection locked="0"/>
    </xf>
    <xf numFmtId="3" fontId="30" fillId="0" borderId="1" xfId="8" applyNumberFormat="1" applyFont="1" applyFill="1" applyBorder="1" applyAlignment="1" applyProtection="1">
      <alignment horizontal="right" vertical="center"/>
      <protection locked="0"/>
    </xf>
    <xf numFmtId="0" fontId="30" fillId="5" borderId="8" xfId="8" applyFont="1" applyFill="1" applyBorder="1" applyAlignment="1" applyProtection="1">
      <alignment horizontal="left" vertical="center"/>
    </xf>
    <xf numFmtId="0" fontId="30" fillId="10" borderId="8" xfId="8" applyFont="1" applyFill="1" applyBorder="1"/>
    <xf numFmtId="0" fontId="30" fillId="10" borderId="7" xfId="8" applyFont="1" applyFill="1" applyBorder="1"/>
    <xf numFmtId="0" fontId="30" fillId="10" borderId="1" xfId="8" applyNumberFormat="1" applyFont="1" applyFill="1" applyBorder="1"/>
    <xf numFmtId="0" fontId="30" fillId="21" borderId="8" xfId="8" applyFont="1" applyFill="1" applyBorder="1" applyAlignment="1" applyProtection="1">
      <alignment horizontal="left" vertical="center"/>
    </xf>
    <xf numFmtId="4" fontId="30" fillId="0" borderId="1" xfId="8" applyNumberFormat="1" applyFont="1" applyFill="1" applyBorder="1" applyAlignment="1" applyProtection="1">
      <alignment horizontal="right" vertical="center" shrinkToFit="1"/>
      <protection locked="0"/>
    </xf>
    <xf numFmtId="44" fontId="54" fillId="0" borderId="1" xfId="9" applyFont="1" applyFill="1" applyBorder="1" applyAlignment="1" applyProtection="1">
      <alignment horizontal="left" vertical="center"/>
      <protection locked="0"/>
    </xf>
    <xf numFmtId="44" fontId="54" fillId="10" borderId="1" xfId="9" applyFont="1" applyFill="1" applyBorder="1" applyAlignment="1" applyProtection="1">
      <alignment horizontal="left" vertical="center"/>
    </xf>
    <xf numFmtId="169" fontId="54" fillId="5" borderId="1" xfId="10" applyNumberFormat="1" applyFont="1" applyFill="1" applyBorder="1" applyAlignment="1" applyProtection="1">
      <alignment horizontal="right" vertical="center"/>
    </xf>
    <xf numFmtId="44" fontId="54" fillId="5" borderId="1" xfId="9" applyFont="1" applyFill="1" applyBorder="1" applyAlignment="1" applyProtection="1">
      <alignment horizontal="left" vertical="center"/>
    </xf>
    <xf numFmtId="44" fontId="54" fillId="10" borderId="8" xfId="9" applyFont="1" applyFill="1" applyBorder="1" applyAlignment="1" applyProtection="1">
      <alignment horizontal="center" vertical="center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0" fontId="72" fillId="10" borderId="4" xfId="8" applyFont="1" applyFill="1" applyBorder="1" applyAlignment="1" applyProtection="1">
      <alignment horizontal="center" vertical="center" wrapText="1"/>
    </xf>
    <xf numFmtId="2" fontId="30" fillId="10" borderId="1" xfId="8" applyNumberFormat="1" applyFont="1" applyFill="1" applyBorder="1"/>
    <xf numFmtId="0" fontId="29" fillId="10" borderId="8" xfId="8" applyFont="1" applyFill="1" applyBorder="1"/>
    <xf numFmtId="0" fontId="72" fillId="10" borderId="4" xfId="8" applyFont="1" applyFill="1" applyBorder="1" applyAlignment="1" applyProtection="1">
      <alignment horizontal="center" vertical="center" wrapText="1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0" fontId="41" fillId="6" borderId="1" xfId="8" applyFont="1" applyFill="1" applyBorder="1" applyAlignment="1">
      <alignment horizontal="center" vertical="center"/>
    </xf>
    <xf numFmtId="0" fontId="28" fillId="10" borderId="8" xfId="8" applyFont="1" applyFill="1" applyBorder="1"/>
    <xf numFmtId="0" fontId="27" fillId="10" borderId="8" xfId="8" applyFont="1" applyFill="1" applyBorder="1"/>
    <xf numFmtId="0" fontId="35" fillId="2" borderId="0" xfId="0" applyFont="1" applyFill="1" applyAlignment="1" applyProtection="1">
      <alignment vertical="center"/>
      <protection hidden="1"/>
    </xf>
    <xf numFmtId="0" fontId="52" fillId="2" borderId="0" xfId="0" applyFont="1" applyFill="1" applyBorder="1" applyAlignment="1" applyProtection="1">
      <alignment vertical="center"/>
      <protection hidden="1"/>
    </xf>
    <xf numFmtId="0" fontId="54" fillId="2" borderId="0" xfId="0" applyFont="1" applyFill="1" applyBorder="1" applyAlignment="1" applyProtection="1">
      <alignment vertical="center"/>
      <protection hidden="1"/>
    </xf>
    <xf numFmtId="0" fontId="54" fillId="2" borderId="0" xfId="0" applyFont="1" applyFill="1" applyBorder="1" applyAlignment="1" applyProtection="1">
      <alignment horizontal="left" vertical="center"/>
      <protection hidden="1"/>
    </xf>
    <xf numFmtId="0" fontId="54" fillId="2" borderId="0" xfId="0" applyFont="1" applyFill="1" applyBorder="1" applyAlignment="1" applyProtection="1">
      <alignment horizontal="center" vertical="center"/>
      <protection hidden="1"/>
    </xf>
    <xf numFmtId="0" fontId="61" fillId="2" borderId="0" xfId="0" applyFont="1" applyFill="1" applyBorder="1" applyAlignment="1" applyProtection="1">
      <alignment vertical="center"/>
      <protection hidden="1"/>
    </xf>
    <xf numFmtId="0" fontId="60" fillId="2" borderId="0" xfId="0" applyFont="1" applyFill="1" applyBorder="1" applyAlignment="1" applyProtection="1">
      <alignment vertical="center"/>
      <protection hidden="1"/>
    </xf>
    <xf numFmtId="0" fontId="52" fillId="2" borderId="0" xfId="0" applyFont="1" applyFill="1" applyAlignment="1" applyProtection="1">
      <alignment vertical="center"/>
      <protection hidden="1"/>
    </xf>
    <xf numFmtId="0" fontId="44" fillId="2" borderId="0" xfId="0" applyFont="1" applyFill="1" applyBorder="1" applyAlignment="1" applyProtection="1">
      <alignment vertical="center"/>
      <protection hidden="1"/>
    </xf>
    <xf numFmtId="0" fontId="43" fillId="2" borderId="0" xfId="0" applyFont="1" applyFill="1" applyBorder="1" applyAlignment="1" applyProtection="1">
      <alignment vertical="center"/>
      <protection hidden="1"/>
    </xf>
    <xf numFmtId="0" fontId="35" fillId="2" borderId="0" xfId="0" applyFont="1" applyFill="1" applyBorder="1" applyAlignment="1" applyProtection="1">
      <alignment vertical="center"/>
      <protection hidden="1"/>
    </xf>
    <xf numFmtId="0" fontId="54" fillId="8" borderId="0" xfId="0" applyFont="1" applyFill="1" applyAlignment="1" applyProtection="1">
      <alignment horizontal="left"/>
      <protection hidden="1"/>
    </xf>
    <xf numFmtId="0" fontId="71" fillId="19" borderId="1" xfId="0" applyFont="1" applyFill="1" applyBorder="1" applyAlignment="1" applyProtection="1">
      <alignment horizontal="center" vertical="center" wrapText="1"/>
      <protection hidden="1"/>
    </xf>
    <xf numFmtId="0" fontId="41" fillId="25" borderId="1" xfId="0" applyFont="1" applyFill="1" applyBorder="1" applyAlignment="1" applyProtection="1">
      <alignment horizontal="center" vertical="center" wrapText="1"/>
      <protection hidden="1"/>
    </xf>
    <xf numFmtId="0" fontId="52" fillId="2" borderId="0" xfId="0" applyFont="1" applyFill="1" applyProtection="1">
      <protection hidden="1"/>
    </xf>
    <xf numFmtId="164" fontId="52" fillId="2" borderId="0" xfId="2" applyFont="1" applyFill="1" applyProtection="1">
      <protection hidden="1"/>
    </xf>
    <xf numFmtId="0" fontId="52" fillId="2" borderId="0" xfId="0" applyFont="1" applyFill="1" applyBorder="1" applyAlignment="1" applyProtection="1">
      <alignment horizontal="center" vertical="justify"/>
      <protection hidden="1"/>
    </xf>
    <xf numFmtId="0" fontId="56" fillId="2" borderId="0" xfId="0" applyFont="1" applyFill="1" applyBorder="1" applyAlignment="1" applyProtection="1">
      <alignment horizontal="center" vertical="justify"/>
      <protection hidden="1"/>
    </xf>
    <xf numFmtId="164" fontId="52" fillId="2" borderId="0" xfId="2" applyFont="1" applyFill="1" applyBorder="1" applyProtection="1">
      <protection hidden="1"/>
    </xf>
    <xf numFmtId="164" fontId="52" fillId="2" borderId="0" xfId="2" applyFont="1" applyFill="1" applyBorder="1" applyAlignment="1" applyProtection="1">
      <alignment vertical="center"/>
      <protection hidden="1"/>
    </xf>
    <xf numFmtId="10" fontId="52" fillId="2" borderId="0" xfId="0" applyNumberFormat="1" applyFont="1" applyFill="1" applyProtection="1">
      <protection hidden="1"/>
    </xf>
    <xf numFmtId="0" fontId="54" fillId="2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horizontal="right" vertical="center"/>
      <protection hidden="1"/>
    </xf>
    <xf numFmtId="0" fontId="35" fillId="2" borderId="0" xfId="0" applyFont="1" applyFill="1" applyAlignment="1" applyProtection="1">
      <alignment horizontal="center" vertical="center"/>
      <protection hidden="1"/>
    </xf>
    <xf numFmtId="0" fontId="52" fillId="2" borderId="0" xfId="0" applyFont="1" applyFill="1" applyAlignment="1" applyProtection="1">
      <alignment horizontal="right" vertical="center"/>
      <protection hidden="1"/>
    </xf>
    <xf numFmtId="0" fontId="54" fillId="2" borderId="0" xfId="0" applyFont="1" applyFill="1" applyAlignment="1" applyProtection="1">
      <alignment horizontal="right" vertical="center"/>
      <protection hidden="1"/>
    </xf>
    <xf numFmtId="0" fontId="54" fillId="2" borderId="0" xfId="0" applyFont="1" applyFill="1" applyAlignment="1" applyProtection="1">
      <alignment horizontal="justify"/>
      <protection hidden="1"/>
    </xf>
    <xf numFmtId="0" fontId="53" fillId="2" borderId="0" xfId="0" applyFont="1" applyFill="1" applyBorder="1" applyAlignment="1" applyProtection="1">
      <alignment vertical="center"/>
      <protection hidden="1"/>
    </xf>
    <xf numFmtId="0" fontId="54" fillId="2" borderId="0" xfId="0" applyFont="1" applyFill="1" applyProtection="1">
      <protection hidden="1"/>
    </xf>
    <xf numFmtId="0" fontId="53" fillId="2" borderId="0" xfId="0" applyFont="1" applyFill="1" applyAlignment="1" applyProtection="1">
      <alignment horizontal="right" vertical="center"/>
      <protection hidden="1"/>
    </xf>
    <xf numFmtId="0" fontId="53" fillId="2" borderId="0" xfId="0" applyFont="1" applyFill="1" applyAlignment="1" applyProtection="1">
      <alignment vertical="center"/>
      <protection hidden="1"/>
    </xf>
    <xf numFmtId="0" fontId="92" fillId="2" borderId="0" xfId="0" applyFont="1" applyFill="1" applyAlignment="1" applyProtection="1">
      <alignment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horizontal="left" vertical="center"/>
      <protection hidden="1"/>
    </xf>
    <xf numFmtId="0" fontId="92" fillId="2" borderId="0" xfId="0" applyFont="1" applyFill="1" applyAlignment="1" applyProtection="1">
      <alignment horizontal="right" vertical="center"/>
      <protection hidden="1"/>
    </xf>
    <xf numFmtId="0" fontId="52" fillId="2" borderId="0" xfId="0" applyFont="1" applyFill="1"/>
    <xf numFmtId="0" fontId="52" fillId="2" borderId="0" xfId="0" applyFont="1" applyFill="1" applyAlignment="1">
      <alignment horizontal="center" vertical="center"/>
    </xf>
    <xf numFmtId="0" fontId="52" fillId="2" borderId="0" xfId="0" applyFont="1" applyFill="1" applyAlignment="1">
      <alignment vertical="center"/>
    </xf>
    <xf numFmtId="0" fontId="52" fillId="2" borderId="13" xfId="0" applyFont="1" applyFill="1" applyBorder="1" applyAlignment="1">
      <alignment vertical="center"/>
    </xf>
    <xf numFmtId="0" fontId="54" fillId="2" borderId="0" xfId="0" applyNumberFormat="1" applyFont="1" applyFill="1" applyAlignment="1" applyProtection="1">
      <alignment horizontal="left" vertical="center" wrapText="1"/>
      <protection hidden="1"/>
    </xf>
    <xf numFmtId="0" fontId="54" fillId="2" borderId="0" xfId="0" applyFont="1" applyFill="1" applyAlignment="1" applyProtection="1">
      <alignment horizontal="center" vertical="center" wrapText="1"/>
      <protection hidden="1"/>
    </xf>
    <xf numFmtId="0" fontId="54" fillId="2" borderId="0" xfId="0" applyFont="1" applyFill="1" applyBorder="1" applyAlignment="1" applyProtection="1">
      <alignment horizontal="center" vertical="center" wrapText="1"/>
      <protection hidden="1"/>
    </xf>
    <xf numFmtId="0" fontId="90" fillId="2" borderId="13" xfId="0" applyFont="1" applyFill="1" applyBorder="1" applyAlignment="1" applyProtection="1">
      <alignment horizontal="center" vertical="center" wrapText="1"/>
      <protection hidden="1"/>
    </xf>
    <xf numFmtId="164" fontId="54" fillId="2" borderId="0" xfId="2" applyFont="1" applyFill="1" applyAlignment="1" applyProtection="1">
      <alignment horizontal="center" vertical="center" wrapText="1"/>
      <protection hidden="1"/>
    </xf>
    <xf numFmtId="0" fontId="54" fillId="2" borderId="0" xfId="0" applyFont="1" applyFill="1" applyAlignment="1" applyProtection="1">
      <alignment horizontal="right" vertical="center" wrapText="1"/>
      <protection hidden="1"/>
    </xf>
    <xf numFmtId="0" fontId="32" fillId="2" borderId="0" xfId="8" applyFill="1"/>
    <xf numFmtId="0" fontId="32" fillId="2" borderId="0" xfId="8" applyFont="1" applyFill="1"/>
    <xf numFmtId="10" fontId="54" fillId="9" borderId="1" xfId="10" applyNumberFormat="1" applyFont="1" applyFill="1" applyBorder="1" applyAlignment="1" applyProtection="1"/>
    <xf numFmtId="0" fontId="30" fillId="2" borderId="0" xfId="8" applyFont="1" applyFill="1"/>
    <xf numFmtId="0" fontId="30" fillId="2" borderId="0" xfId="8" applyFont="1" applyFill="1" applyProtection="1"/>
    <xf numFmtId="10" fontId="53" fillId="2" borderId="0" xfId="8" applyNumberFormat="1" applyFont="1" applyFill="1" applyBorder="1" applyAlignment="1" applyProtection="1">
      <alignment horizontal="left" vertical="center"/>
    </xf>
    <xf numFmtId="0" fontId="30" fillId="2" borderId="0" xfId="8" applyFont="1" applyFill="1" applyBorder="1" applyAlignment="1" applyProtection="1">
      <alignment horizontal="left" vertical="center"/>
    </xf>
    <xf numFmtId="0" fontId="30" fillId="2" borderId="0" xfId="8" applyFont="1" applyFill="1" applyBorder="1" applyAlignment="1" applyProtection="1">
      <alignment vertical="center"/>
    </xf>
    <xf numFmtId="4" fontId="54" fillId="2" borderId="0" xfId="10" applyNumberFormat="1" applyFont="1" applyFill="1" applyBorder="1" applyAlignment="1" applyProtection="1">
      <alignment horizontal="right" vertical="center"/>
    </xf>
    <xf numFmtId="0" fontId="70" fillId="2" borderId="0" xfId="8" applyFont="1" applyFill="1"/>
    <xf numFmtId="0" fontId="41" fillId="2" borderId="0" xfId="8" applyFont="1" applyFill="1" applyBorder="1" applyAlignment="1" applyProtection="1">
      <alignment vertical="center"/>
    </xf>
    <xf numFmtId="44" fontId="71" fillId="2" borderId="0" xfId="8" applyNumberFormat="1" applyFont="1" applyFill="1"/>
    <xf numFmtId="0" fontId="93" fillId="2" borderId="0" xfId="8" applyFont="1" applyFill="1"/>
    <xf numFmtId="0" fontId="94" fillId="2" borderId="0" xfId="8" applyFont="1" applyFill="1" applyBorder="1" applyAlignment="1" applyProtection="1">
      <alignment vertical="center"/>
    </xf>
    <xf numFmtId="44" fontId="93" fillId="2" borderId="0" xfId="8" applyNumberFormat="1" applyFont="1" applyFill="1"/>
    <xf numFmtId="0" fontId="30" fillId="2" borderId="0" xfId="8" applyFont="1" applyFill="1" applyAlignment="1" applyProtection="1">
      <alignment horizontal="right"/>
    </xf>
    <xf numFmtId="4" fontId="30" fillId="2" borderId="0" xfId="8" applyNumberFormat="1" applyFont="1" applyFill="1" applyProtection="1"/>
    <xf numFmtId="0" fontId="32" fillId="2" borderId="0" xfId="8" applyFill="1" applyAlignment="1">
      <alignment horizontal="center" vertical="center"/>
    </xf>
    <xf numFmtId="0" fontId="32" fillId="2" borderId="0" xfId="8" applyFill="1" applyAlignment="1">
      <alignment vertical="center"/>
    </xf>
    <xf numFmtId="0" fontId="32" fillId="2" borderId="0" xfId="8" applyFill="1" applyAlignment="1">
      <alignment horizontal="right" vertical="center"/>
    </xf>
    <xf numFmtId="0" fontId="76" fillId="2" borderId="0" xfId="8" applyFont="1" applyFill="1" applyAlignment="1">
      <alignment horizontal="right" vertical="center"/>
    </xf>
    <xf numFmtId="171" fontId="32" fillId="2" borderId="0" xfId="8" applyNumberFormat="1" applyFill="1" applyAlignment="1">
      <alignment vertical="center"/>
    </xf>
    <xf numFmtId="0" fontId="71" fillId="6" borderId="1" xfId="8" applyFont="1" applyFill="1" applyBorder="1" applyAlignment="1">
      <alignment horizontal="center" vertical="center"/>
    </xf>
    <xf numFmtId="0" fontId="32" fillId="2" borderId="0" xfId="8" applyFill="1" applyBorder="1" applyAlignment="1">
      <alignment vertical="center"/>
    </xf>
    <xf numFmtId="0" fontId="32" fillId="2" borderId="15" xfId="8" applyFill="1" applyBorder="1" applyAlignment="1">
      <alignment vertical="center"/>
    </xf>
    <xf numFmtId="3" fontId="32" fillId="2" borderId="15" xfId="8" applyNumberFormat="1" applyFill="1" applyBorder="1" applyAlignment="1">
      <alignment vertical="center"/>
    </xf>
    <xf numFmtId="3" fontId="32" fillId="2" borderId="0" xfId="8" applyNumberFormat="1" applyFill="1" applyBorder="1" applyAlignment="1">
      <alignment vertical="center"/>
    </xf>
    <xf numFmtId="170" fontId="32" fillId="2" borderId="15" xfId="8" applyNumberFormat="1" applyFill="1" applyBorder="1" applyAlignment="1">
      <alignment vertical="center"/>
    </xf>
    <xf numFmtId="170" fontId="32" fillId="2" borderId="0" xfId="8" applyNumberFormat="1" applyFill="1" applyBorder="1" applyAlignment="1">
      <alignment vertical="center"/>
    </xf>
    <xf numFmtId="0" fontId="32" fillId="2" borderId="0" xfId="8" applyFont="1" applyFill="1" applyBorder="1" applyAlignment="1" applyProtection="1">
      <alignment vertical="center"/>
      <protection hidden="1"/>
    </xf>
    <xf numFmtId="0" fontId="32" fillId="2" borderId="0" xfId="8" applyFont="1" applyFill="1" applyAlignment="1" applyProtection="1">
      <alignment vertical="center"/>
      <protection hidden="1"/>
    </xf>
    <xf numFmtId="0" fontId="32" fillId="2" borderId="0" xfId="8" applyFont="1" applyFill="1" applyAlignment="1" applyProtection="1">
      <alignment horizontal="center" vertical="center"/>
      <protection hidden="1"/>
    </xf>
    <xf numFmtId="0" fontId="54" fillId="3" borderId="1" xfId="0" applyFont="1" applyFill="1" applyBorder="1" applyAlignment="1" applyProtection="1">
      <alignment horizontal="center" vertical="center"/>
      <protection hidden="1"/>
    </xf>
    <xf numFmtId="164" fontId="54" fillId="3" borderId="1" xfId="2" applyFont="1" applyFill="1" applyBorder="1" applyAlignment="1" applyProtection="1">
      <alignment horizontal="center" vertical="center"/>
      <protection hidden="1"/>
    </xf>
    <xf numFmtId="0" fontId="54" fillId="2" borderId="0" xfId="0" applyFont="1" applyFill="1" applyAlignment="1" applyProtection="1">
      <alignment horizontal="left" vertical="center"/>
      <protection hidden="1"/>
    </xf>
    <xf numFmtId="164" fontId="54" fillId="2" borderId="0" xfId="2" applyFont="1" applyFill="1" applyAlignment="1" applyProtection="1">
      <alignment horizontal="center" vertical="center"/>
      <protection hidden="1"/>
    </xf>
    <xf numFmtId="0" fontId="54" fillId="2" borderId="0" xfId="0" applyFont="1" applyFill="1" applyAlignment="1" applyProtection="1">
      <alignment horizontal="center" vertical="center"/>
      <protection hidden="1"/>
    </xf>
    <xf numFmtId="0" fontId="54" fillId="10" borderId="1" xfId="0" applyNumberFormat="1" applyFont="1" applyFill="1" applyBorder="1" applyAlignment="1" applyProtection="1">
      <alignment horizontal="left" vertical="center" wrapText="1"/>
      <protection hidden="1"/>
    </xf>
    <xf numFmtId="0" fontId="54" fillId="10" borderId="1" xfId="0" applyFont="1" applyFill="1" applyBorder="1" applyAlignment="1" applyProtection="1">
      <alignment horizontal="center" vertical="center" wrapText="1"/>
      <protection hidden="1"/>
    </xf>
    <xf numFmtId="0" fontId="54" fillId="4" borderId="1" xfId="0" applyNumberFormat="1" applyFont="1" applyFill="1" applyBorder="1" applyAlignment="1" applyProtection="1">
      <alignment horizontal="left" vertical="center" wrapText="1"/>
      <protection hidden="1"/>
    </xf>
    <xf numFmtId="0" fontId="54" fillId="4" borderId="1" xfId="0" applyFont="1" applyFill="1" applyBorder="1" applyAlignment="1" applyProtection="1">
      <alignment horizontal="center" vertical="center" wrapText="1"/>
      <protection hidden="1"/>
    </xf>
    <xf numFmtId="2" fontId="54" fillId="4" borderId="1" xfId="0" applyNumberFormat="1" applyFont="1" applyFill="1" applyBorder="1" applyAlignment="1" applyProtection="1">
      <alignment horizontal="center" vertical="center" wrapText="1"/>
      <protection hidden="1"/>
    </xf>
    <xf numFmtId="0" fontId="54" fillId="4" borderId="1" xfId="2" applyNumberFormat="1" applyFont="1" applyFill="1" applyBorder="1" applyAlignment="1" applyProtection="1">
      <alignment horizontal="left" vertical="center" wrapText="1"/>
      <protection hidden="1"/>
    </xf>
    <xf numFmtId="0" fontId="54" fillId="10" borderId="1" xfId="2" applyNumberFormat="1" applyFont="1" applyFill="1" applyBorder="1" applyAlignment="1" applyProtection="1">
      <alignment horizontal="left" vertical="center" wrapText="1"/>
      <protection hidden="1"/>
    </xf>
    <xf numFmtId="0" fontId="54" fillId="4" borderId="1" xfId="0" applyFont="1" applyFill="1" applyBorder="1" applyProtection="1"/>
    <xf numFmtId="0" fontId="54" fillId="10" borderId="1" xfId="0" applyFont="1" applyFill="1" applyBorder="1" applyProtection="1"/>
    <xf numFmtId="0" fontId="54" fillId="2" borderId="0" xfId="0" applyFont="1" applyFill="1" applyBorder="1" applyProtection="1">
      <protection hidden="1"/>
    </xf>
    <xf numFmtId="165" fontId="54" fillId="4" borderId="1" xfId="6" applyFont="1" applyFill="1" applyBorder="1" applyAlignment="1" applyProtection="1">
      <alignment horizontal="center" vertical="center"/>
      <protection hidden="1"/>
    </xf>
    <xf numFmtId="165" fontId="54" fillId="10" borderId="1" xfId="6" applyFont="1" applyFill="1" applyBorder="1" applyAlignment="1" applyProtection="1">
      <alignment horizontal="center" vertical="center"/>
      <protection hidden="1"/>
    </xf>
    <xf numFmtId="0" fontId="90" fillId="2" borderId="0" xfId="0" applyFont="1" applyFill="1" applyBorder="1" applyAlignment="1" applyProtection="1">
      <alignment vertical="center"/>
      <protection hidden="1"/>
    </xf>
    <xf numFmtId="0" fontId="54" fillId="2" borderId="0" xfId="0" applyFont="1" applyFill="1" applyBorder="1" applyProtection="1"/>
    <xf numFmtId="165" fontId="41" fillId="6" borderId="1" xfId="0" applyNumberFormat="1" applyFont="1" applyFill="1" applyBorder="1" applyAlignment="1" applyProtection="1">
      <alignment horizontal="center" vertical="center"/>
      <protection hidden="1"/>
    </xf>
    <xf numFmtId="173" fontId="54" fillId="4" borderId="1" xfId="6" applyNumberFormat="1" applyFont="1" applyFill="1" applyBorder="1" applyAlignment="1" applyProtection="1">
      <alignment horizontal="center" vertical="center"/>
      <protection hidden="1"/>
    </xf>
    <xf numFmtId="173" fontId="54" fillId="10" borderId="1" xfId="6" applyNumberFormat="1" applyFont="1" applyFill="1" applyBorder="1" applyAlignment="1" applyProtection="1">
      <alignment horizontal="center" vertical="center"/>
      <protection hidden="1"/>
    </xf>
    <xf numFmtId="0" fontId="33" fillId="9" borderId="12" xfId="0" applyFont="1" applyFill="1" applyBorder="1" applyAlignment="1" applyProtection="1">
      <alignment vertical="center"/>
      <protection hidden="1"/>
    </xf>
    <xf numFmtId="0" fontId="33" fillId="9" borderId="3" xfId="0" applyFont="1" applyFill="1" applyBorder="1" applyAlignment="1" applyProtection="1">
      <alignment vertical="center"/>
      <protection hidden="1"/>
    </xf>
    <xf numFmtId="9" fontId="54" fillId="4" borderId="1" xfId="4" applyFont="1" applyFill="1" applyBorder="1" applyProtection="1"/>
    <xf numFmtId="165" fontId="54" fillId="4" borderId="1" xfId="6" applyNumberFormat="1" applyFont="1" applyFill="1" applyBorder="1" applyProtection="1"/>
    <xf numFmtId="9" fontId="54" fillId="10" borderId="1" xfId="4" applyFont="1" applyFill="1" applyBorder="1" applyProtection="1"/>
    <xf numFmtId="165" fontId="54" fillId="10" borderId="1" xfId="6" applyNumberFormat="1" applyFont="1" applyFill="1" applyBorder="1" applyProtection="1"/>
    <xf numFmtId="0" fontId="26" fillId="10" borderId="10" xfId="8" applyFont="1" applyFill="1" applyBorder="1"/>
    <xf numFmtId="0" fontId="26" fillId="10" borderId="0" xfId="8" applyFont="1" applyFill="1" applyBorder="1"/>
    <xf numFmtId="0" fontId="26" fillId="10" borderId="13" xfId="8" applyFont="1" applyFill="1" applyBorder="1"/>
    <xf numFmtId="0" fontId="26" fillId="10" borderId="1" xfId="8" applyFont="1" applyFill="1" applyBorder="1" applyAlignment="1">
      <alignment horizontal="right"/>
    </xf>
    <xf numFmtId="0" fontId="26" fillId="2" borderId="0" xfId="8" applyFont="1" applyFill="1"/>
    <xf numFmtId="0" fontId="25" fillId="10" borderId="8" xfId="8" applyFont="1" applyFill="1" applyBorder="1"/>
    <xf numFmtId="0" fontId="52" fillId="16" borderId="8" xfId="0" applyFont="1" applyFill="1" applyBorder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horizontal="center" vertical="center"/>
      <protection hidden="1"/>
    </xf>
    <xf numFmtId="0" fontId="52" fillId="4" borderId="8" xfId="0" applyFont="1" applyFill="1" applyBorder="1" applyAlignment="1" applyProtection="1">
      <alignment horizontal="center" vertical="center"/>
      <protection hidden="1"/>
    </xf>
    <xf numFmtId="0" fontId="52" fillId="0" borderId="0" xfId="0" applyFont="1" applyFill="1" applyAlignment="1" applyProtection="1">
      <alignment horizontal="center" vertical="center"/>
      <protection hidden="1"/>
    </xf>
    <xf numFmtId="0" fontId="52" fillId="14" borderId="1" xfId="0" applyFont="1" applyFill="1" applyBorder="1" applyAlignment="1" applyProtection="1">
      <alignment horizontal="center" vertical="center" wrapText="1"/>
      <protection hidden="1"/>
    </xf>
    <xf numFmtId="165" fontId="52" fillId="0" borderId="0" xfId="0" applyNumberFormat="1" applyFont="1"/>
    <xf numFmtId="0" fontId="52" fillId="14" borderId="8" xfId="0" applyFont="1" applyFill="1" applyBorder="1" applyAlignment="1" applyProtection="1">
      <alignment horizontal="center" vertical="center"/>
      <protection hidden="1"/>
    </xf>
    <xf numFmtId="165" fontId="52" fillId="4" borderId="8" xfId="0" applyNumberFormat="1" applyFont="1" applyFill="1" applyBorder="1" applyAlignment="1" applyProtection="1">
      <alignment horizontal="center" vertical="center"/>
      <protection hidden="1"/>
    </xf>
    <xf numFmtId="165" fontId="52" fillId="16" borderId="8" xfId="0" applyNumberFormat="1" applyFont="1" applyFill="1" applyBorder="1" applyAlignment="1" applyProtection="1">
      <alignment horizontal="center" vertical="center"/>
      <protection hidden="1"/>
    </xf>
    <xf numFmtId="0" fontId="68" fillId="18" borderId="3" xfId="0" applyFont="1" applyFill="1" applyBorder="1" applyAlignment="1" applyProtection="1">
      <alignment horizontal="center" vertical="center"/>
      <protection hidden="1"/>
    </xf>
    <xf numFmtId="0" fontId="54" fillId="8" borderId="1" xfId="0" applyFont="1" applyFill="1" applyBorder="1" applyAlignment="1" applyProtection="1">
      <alignment horizontal="center" vertical="center" wrapText="1"/>
      <protection hidden="1"/>
    </xf>
    <xf numFmtId="164" fontId="54" fillId="4" borderId="1" xfId="2" applyFont="1" applyFill="1" applyBorder="1" applyAlignment="1" applyProtection="1">
      <alignment horizontal="center" vertical="center" wrapText="1"/>
      <protection hidden="1"/>
    </xf>
    <xf numFmtId="164" fontId="54" fillId="10" borderId="1" xfId="2" applyFont="1" applyFill="1" applyBorder="1" applyAlignment="1" applyProtection="1">
      <alignment horizontal="center" vertical="center" wrapText="1"/>
      <protection hidden="1"/>
    </xf>
    <xf numFmtId="173" fontId="54" fillId="10" borderId="1" xfId="6" applyNumberFormat="1" applyFont="1" applyFill="1" applyBorder="1" applyAlignment="1" applyProtection="1">
      <alignment horizontal="center" vertical="center" wrapText="1"/>
      <protection hidden="1"/>
    </xf>
    <xf numFmtId="1" fontId="52" fillId="4" borderId="9" xfId="0" applyNumberFormat="1" applyFont="1" applyFill="1" applyBorder="1" applyAlignment="1" applyProtection="1">
      <alignment horizontal="center" vertical="center"/>
      <protection hidden="1"/>
    </xf>
    <xf numFmtId="1" fontId="52" fillId="4" borderId="14" xfId="0" applyNumberFormat="1" applyFont="1" applyFill="1" applyBorder="1" applyAlignment="1" applyProtection="1">
      <alignment horizontal="center" vertical="center"/>
      <protection hidden="1"/>
    </xf>
    <xf numFmtId="1" fontId="52" fillId="4" borderId="4" xfId="0" applyNumberFormat="1" applyFont="1" applyFill="1" applyBorder="1" applyAlignment="1" applyProtection="1">
      <alignment horizontal="center" vertical="center"/>
      <protection hidden="1"/>
    </xf>
    <xf numFmtId="165" fontId="63" fillId="20" borderId="2" xfId="6" applyFont="1" applyFill="1" applyBorder="1" applyAlignment="1" applyProtection="1">
      <alignment horizontal="center" vertical="center"/>
      <protection hidden="1"/>
    </xf>
    <xf numFmtId="44" fontId="52" fillId="2" borderId="0" xfId="0" applyNumberFormat="1" applyFont="1" applyFill="1" applyProtection="1">
      <protection hidden="1"/>
    </xf>
    <xf numFmtId="0" fontId="23" fillId="4" borderId="6" xfId="8" applyFont="1" applyFill="1" applyBorder="1" applyAlignment="1">
      <alignment vertical="center"/>
    </xf>
    <xf numFmtId="0" fontId="32" fillId="10" borderId="6" xfId="8" applyFill="1" applyBorder="1" applyAlignment="1">
      <alignment vertical="center"/>
    </xf>
    <xf numFmtId="0" fontId="32" fillId="4" borderId="6" xfId="8" applyFill="1" applyBorder="1" applyAlignment="1">
      <alignment vertical="center"/>
    </xf>
    <xf numFmtId="0" fontId="53" fillId="8" borderId="0" xfId="0" applyFont="1" applyFill="1" applyBorder="1" applyAlignment="1" applyProtection="1">
      <alignment horizontal="left"/>
      <protection hidden="1"/>
    </xf>
    <xf numFmtId="0" fontId="54" fillId="8" borderId="0" xfId="0" applyFont="1" applyFill="1" applyBorder="1" applyAlignment="1" applyProtection="1">
      <alignment horizontal="left"/>
      <protection hidden="1"/>
    </xf>
    <xf numFmtId="0" fontId="54" fillId="8" borderId="0" xfId="0" applyFont="1" applyFill="1" applyBorder="1" applyAlignment="1" applyProtection="1">
      <alignment horizontal="center"/>
      <protection hidden="1"/>
    </xf>
    <xf numFmtId="0" fontId="53" fillId="8" borderId="0" xfId="0" applyFont="1" applyFill="1" applyBorder="1" applyAlignment="1" applyProtection="1">
      <alignment horizontal="left" vertical="center"/>
      <protection hidden="1"/>
    </xf>
    <xf numFmtId="0" fontId="42" fillId="10" borderId="2" xfId="8" applyFont="1" applyFill="1" applyBorder="1" applyAlignment="1">
      <alignment horizontal="center"/>
    </xf>
    <xf numFmtId="0" fontId="41" fillId="25" borderId="12" xfId="8" applyFont="1" applyFill="1" applyBorder="1" applyAlignment="1" applyProtection="1">
      <alignment horizontal="center" vertical="center"/>
    </xf>
    <xf numFmtId="0" fontId="42" fillId="10" borderId="1" xfId="0" applyFont="1" applyFill="1" applyBorder="1" applyAlignment="1" applyProtection="1">
      <alignment horizontal="center"/>
    </xf>
    <xf numFmtId="0" fontId="72" fillId="10" borderId="1" xfId="0" applyFont="1" applyFill="1" applyBorder="1" applyAlignment="1" applyProtection="1">
      <alignment horizontal="center" vertical="center" wrapText="1"/>
    </xf>
    <xf numFmtId="4" fontId="72" fillId="10" borderId="1" xfId="0" applyNumberFormat="1" applyFont="1" applyFill="1" applyBorder="1" applyAlignment="1" applyProtection="1">
      <alignment horizontal="center" vertical="center" wrapText="1"/>
    </xf>
    <xf numFmtId="0" fontId="0" fillId="10" borderId="8" xfId="0" applyFill="1" applyBorder="1" applyAlignment="1" applyProtection="1">
      <alignment horizontal="center"/>
    </xf>
    <xf numFmtId="44" fontId="0" fillId="10" borderId="1" xfId="2" applyNumberFormat="1" applyFont="1" applyFill="1" applyBorder="1" applyAlignment="1" applyProtection="1">
      <alignment horizontal="left"/>
    </xf>
    <xf numFmtId="44" fontId="0" fillId="10" borderId="1" xfId="2" applyNumberFormat="1" applyFont="1" applyFill="1" applyBorder="1" applyAlignment="1" applyProtection="1">
      <alignment horizontal="left" vertical="center"/>
    </xf>
    <xf numFmtId="0" fontId="42" fillId="10" borderId="8" xfId="0" applyFont="1" applyFill="1" applyBorder="1" applyProtection="1"/>
    <xf numFmtId="44" fontId="74" fillId="10" borderId="1" xfId="0" applyNumberFormat="1" applyFont="1" applyFill="1" applyBorder="1" applyProtection="1"/>
    <xf numFmtId="44" fontId="41" fillId="6" borderId="1" xfId="0" applyNumberFormat="1" applyFont="1" applyFill="1" applyBorder="1" applyProtection="1"/>
    <xf numFmtId="0" fontId="0" fillId="2" borderId="0" xfId="0" applyFill="1" applyProtection="1"/>
    <xf numFmtId="0" fontId="0" fillId="2" borderId="0" xfId="0" applyFont="1" applyFill="1" applyAlignment="1" applyProtection="1"/>
    <xf numFmtId="4" fontId="72" fillId="21" borderId="1" xfId="0" applyNumberFormat="1" applyFont="1" applyFill="1" applyBorder="1" applyAlignment="1" applyProtection="1">
      <alignment horizontal="center" vertical="center" wrapText="1"/>
    </xf>
    <xf numFmtId="0" fontId="42" fillId="21" borderId="1" xfId="0" applyFont="1" applyFill="1" applyBorder="1" applyAlignment="1" applyProtection="1">
      <alignment horizontal="center"/>
    </xf>
    <xf numFmtId="0" fontId="72" fillId="21" borderId="1" xfId="0" applyFont="1" applyFill="1" applyBorder="1" applyAlignment="1" applyProtection="1">
      <alignment horizontal="center" vertical="center" wrapText="1"/>
    </xf>
    <xf numFmtId="3" fontId="0" fillId="8" borderId="1" xfId="0" applyNumberFormat="1" applyFill="1" applyBorder="1" applyAlignment="1" applyProtection="1">
      <alignment horizontal="right"/>
      <protection locked="0"/>
    </xf>
    <xf numFmtId="44" fontId="0" fillId="0" borderId="1" xfId="2" applyNumberFormat="1" applyFont="1" applyFill="1" applyBorder="1" applyAlignment="1" applyProtection="1">
      <alignment horizontal="left" vertical="center"/>
      <protection locked="0"/>
    </xf>
    <xf numFmtId="0" fontId="54" fillId="6" borderId="8" xfId="0" applyFont="1" applyFill="1" applyBorder="1" applyAlignment="1" applyProtection="1">
      <alignment vertical="center"/>
    </xf>
    <xf numFmtId="0" fontId="0" fillId="10" borderId="12" xfId="0" applyFill="1" applyBorder="1" applyAlignment="1" applyProtection="1">
      <alignment horizontal="center"/>
    </xf>
    <xf numFmtId="3" fontId="0" fillId="8" borderId="9" xfId="0" applyNumberFormat="1" applyFill="1" applyBorder="1" applyAlignment="1" applyProtection="1">
      <alignment horizontal="right"/>
      <protection locked="0"/>
    </xf>
    <xf numFmtId="44" fontId="0" fillId="0" borderId="9" xfId="2" applyNumberFormat="1" applyFont="1" applyFill="1" applyBorder="1" applyAlignment="1" applyProtection="1">
      <alignment horizontal="left" vertical="center"/>
      <protection locked="0"/>
    </xf>
    <xf numFmtId="44" fontId="0" fillId="10" borderId="1" xfId="2" applyNumberFormat="1" applyFont="1" applyFill="1" applyBorder="1" applyAlignment="1" applyProtection="1">
      <alignment horizontal="left"/>
      <protection locked="0"/>
    </xf>
    <xf numFmtId="0" fontId="41" fillId="6" borderId="1" xfId="0" applyFont="1" applyFill="1" applyBorder="1" applyAlignment="1" applyProtection="1">
      <alignment horizontal="center" vertical="center"/>
    </xf>
    <xf numFmtId="43" fontId="0" fillId="10" borderId="1" xfId="0" applyNumberFormat="1" applyFill="1" applyBorder="1" applyAlignment="1" applyProtection="1">
      <alignment horizontal="right"/>
      <protection locked="0"/>
    </xf>
    <xf numFmtId="0" fontId="41" fillId="6" borderId="7" xfId="8" applyFont="1" applyFill="1" applyBorder="1" applyAlignment="1"/>
    <xf numFmtId="0" fontId="41" fillId="6" borderId="2" xfId="8" applyFont="1" applyFill="1" applyBorder="1" applyAlignment="1"/>
    <xf numFmtId="0" fontId="41" fillId="18" borderId="8" xfId="8" applyFont="1" applyFill="1" applyBorder="1" applyAlignment="1">
      <alignment vertical="center"/>
    </xf>
    <xf numFmtId="0" fontId="41" fillId="18" borderId="7" xfId="8" applyFont="1" applyFill="1" applyBorder="1" applyAlignment="1">
      <alignment vertical="center"/>
    </xf>
    <xf numFmtId="0" fontId="41" fillId="18" borderId="2" xfId="8" applyFont="1" applyFill="1" applyBorder="1" applyAlignment="1">
      <alignment vertical="center"/>
    </xf>
    <xf numFmtId="0" fontId="41" fillId="6" borderId="1" xfId="8" applyFont="1" applyFill="1" applyBorder="1" applyAlignment="1">
      <alignment horizontal="center"/>
    </xf>
    <xf numFmtId="0" fontId="53" fillId="10" borderId="1" xfId="8" applyFont="1" applyFill="1" applyBorder="1" applyAlignment="1" applyProtection="1">
      <alignment horizontal="center" vertical="center"/>
    </xf>
    <xf numFmtId="0" fontId="42" fillId="5" borderId="8" xfId="8" applyFont="1" applyFill="1" applyBorder="1"/>
    <xf numFmtId="44" fontId="42" fillId="5" borderId="8" xfId="9" applyFont="1" applyFill="1" applyBorder="1" applyAlignment="1" applyProtection="1">
      <alignment vertical="center"/>
    </xf>
    <xf numFmtId="44" fontId="42" fillId="5" borderId="7" xfId="9" applyFont="1" applyFill="1" applyBorder="1" applyAlignment="1" applyProtection="1">
      <alignment vertical="center"/>
    </xf>
    <xf numFmtId="3" fontId="32" fillId="8" borderId="1" xfId="8" applyNumberFormat="1" applyFill="1" applyBorder="1" applyAlignment="1" applyProtection="1">
      <alignment horizontal="right"/>
      <protection locked="0"/>
    </xf>
    <xf numFmtId="44" fontId="0" fillId="8" borderId="1" xfId="9" applyFont="1" applyFill="1" applyBorder="1" applyAlignment="1" applyProtection="1">
      <alignment horizontal="left" vertical="center"/>
      <protection locked="0"/>
    </xf>
    <xf numFmtId="0" fontId="0" fillId="8" borderId="1" xfId="0" applyFill="1" applyBorder="1" applyAlignment="1" applyProtection="1">
      <alignment horizontal="left" vertical="center"/>
      <protection locked="0"/>
    </xf>
    <xf numFmtId="174" fontId="54" fillId="0" borderId="1" xfId="0" applyNumberFormat="1" applyFont="1" applyFill="1" applyBorder="1" applyAlignment="1" applyProtection="1">
      <alignment horizontal="left" vertical="center"/>
      <protection locked="0"/>
    </xf>
    <xf numFmtId="14" fontId="33" fillId="8" borderId="1" xfId="0" applyNumberFormat="1" applyFont="1" applyFill="1" applyBorder="1" applyAlignment="1" applyProtection="1">
      <alignment horizontal="left" vertical="center"/>
      <protection locked="0"/>
    </xf>
    <xf numFmtId="175" fontId="54" fillId="0" borderId="1" xfId="0" applyNumberFormat="1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41" fontId="32" fillId="10" borderId="1" xfId="8" applyNumberFormat="1" applyFill="1" applyBorder="1" applyAlignment="1">
      <alignment horizontal="right"/>
    </xf>
    <xf numFmtId="0" fontId="53" fillId="21" borderId="11" xfId="8" applyFont="1" applyFill="1" applyBorder="1" applyAlignment="1" applyProtection="1">
      <alignment horizontal="center" vertical="center"/>
    </xf>
    <xf numFmtId="4" fontId="32" fillId="10" borderId="2" xfId="8" applyNumberFormat="1" applyFill="1" applyBorder="1" applyAlignment="1">
      <alignment horizontal="right"/>
    </xf>
    <xf numFmtId="164" fontId="32" fillId="10" borderId="2" xfId="2" applyFont="1" applyFill="1" applyBorder="1" applyAlignment="1">
      <alignment horizontal="right"/>
    </xf>
    <xf numFmtId="165" fontId="32" fillId="10" borderId="2" xfId="6" applyFont="1" applyFill="1" applyBorder="1" applyAlignment="1">
      <alignment horizontal="right"/>
    </xf>
    <xf numFmtId="4" fontId="32" fillId="8" borderId="2" xfId="8" applyNumberFormat="1" applyFill="1" applyBorder="1" applyAlignment="1" applyProtection="1">
      <alignment horizontal="right"/>
      <protection locked="0"/>
    </xf>
    <xf numFmtId="44" fontId="0" fillId="10" borderId="1" xfId="9" applyFont="1" applyFill="1" applyBorder="1" applyAlignment="1" applyProtection="1">
      <alignment horizontal="left"/>
    </xf>
    <xf numFmtId="0" fontId="53" fillId="21" borderId="13" xfId="8" applyFont="1" applyFill="1" applyBorder="1" applyAlignment="1" applyProtection="1">
      <alignment horizontal="center" vertical="center"/>
    </xf>
    <xf numFmtId="0" fontId="41" fillId="18" borderId="1" xfId="0" applyFont="1" applyFill="1" applyBorder="1" applyAlignment="1" applyProtection="1">
      <alignment vertical="center"/>
    </xf>
    <xf numFmtId="44" fontId="42" fillId="5" borderId="1" xfId="9" applyFont="1" applyFill="1" applyBorder="1" applyAlignment="1" applyProtection="1">
      <alignment horizontal="center" vertical="center"/>
    </xf>
    <xf numFmtId="0" fontId="53" fillId="21" borderId="1" xfId="8" applyFont="1" applyFill="1" applyBorder="1" applyAlignment="1" applyProtection="1">
      <alignment horizontal="center" vertical="center"/>
    </xf>
    <xf numFmtId="0" fontId="41" fillId="6" borderId="1" xfId="8" applyFont="1" applyFill="1" applyBorder="1" applyAlignment="1" applyProtection="1">
      <alignment horizontal="center" vertical="center"/>
    </xf>
    <xf numFmtId="44" fontId="34" fillId="10" borderId="1" xfId="2" applyNumberFormat="1" applyFont="1" applyFill="1" applyBorder="1" applyAlignment="1" applyProtection="1">
      <alignment horizontal="left" vertical="center"/>
    </xf>
    <xf numFmtId="164" fontId="34" fillId="21" borderId="1" xfId="2" applyFont="1" applyFill="1" applyBorder="1" applyAlignment="1" applyProtection="1">
      <alignment horizontal="left" vertical="center"/>
    </xf>
    <xf numFmtId="0" fontId="53" fillId="8" borderId="0" xfId="0" applyFont="1" applyFill="1" applyBorder="1" applyAlignment="1" applyProtection="1">
      <alignment horizontal="left"/>
      <protection hidden="1"/>
    </xf>
    <xf numFmtId="0" fontId="54" fillId="8" borderId="0" xfId="0" applyFont="1" applyFill="1" applyBorder="1" applyAlignment="1" applyProtection="1">
      <alignment horizontal="left"/>
      <protection hidden="1"/>
    </xf>
    <xf numFmtId="0" fontId="41" fillId="18" borderId="7" xfId="0" applyFont="1" applyFill="1" applyBorder="1" applyAlignment="1" applyProtection="1">
      <alignment horizontal="center" vertical="center"/>
    </xf>
    <xf numFmtId="0" fontId="42" fillId="10" borderId="2" xfId="8" applyFont="1" applyFill="1" applyBorder="1" applyAlignment="1">
      <alignment horizontal="center"/>
    </xf>
    <xf numFmtId="0" fontId="41" fillId="25" borderId="12" xfId="8" applyFont="1" applyFill="1" applyBorder="1" applyAlignment="1" applyProtection="1">
      <alignment horizontal="center" vertical="center"/>
    </xf>
    <xf numFmtId="0" fontId="41" fillId="6" borderId="1" xfId="8" applyFont="1" applyFill="1" applyBorder="1" applyAlignment="1">
      <alignment horizontal="center"/>
    </xf>
    <xf numFmtId="0" fontId="72" fillId="10" borderId="4" xfId="8" applyFont="1" applyFill="1" applyBorder="1" applyAlignment="1" applyProtection="1">
      <alignment horizontal="center" vertical="center" wrapText="1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0" fontId="32" fillId="10" borderId="12" xfId="8" applyFill="1" applyBorder="1" applyAlignment="1">
      <alignment horizontal="center" vertical="center"/>
    </xf>
    <xf numFmtId="0" fontId="41" fillId="6" borderId="1" xfId="8" applyFont="1" applyFill="1" applyBorder="1" applyAlignment="1">
      <alignment horizontal="center" vertical="center"/>
    </xf>
    <xf numFmtId="0" fontId="32" fillId="10" borderId="3" xfId="8" applyFill="1" applyBorder="1" applyAlignment="1">
      <alignment horizontal="right" vertical="center"/>
    </xf>
    <xf numFmtId="0" fontId="32" fillId="10" borderId="6" xfId="8" applyFill="1" applyBorder="1" applyAlignment="1">
      <alignment horizontal="right" vertical="center"/>
    </xf>
    <xf numFmtId="170" fontId="42" fillId="5" borderId="9" xfId="8" applyNumberFormat="1" applyFont="1" applyFill="1" applyBorder="1" applyAlignment="1">
      <alignment vertical="center"/>
    </xf>
    <xf numFmtId="0" fontId="41" fillId="6" borderId="7" xfId="8" applyFont="1" applyFill="1" applyBorder="1" applyAlignment="1" applyProtection="1">
      <alignment vertical="center"/>
    </xf>
    <xf numFmtId="0" fontId="41" fillId="6" borderId="2" xfId="8" applyFont="1" applyFill="1" applyBorder="1" applyAlignment="1" applyProtection="1">
      <alignment vertical="center"/>
    </xf>
    <xf numFmtId="0" fontId="41" fillId="18" borderId="8" xfId="8" applyFont="1" applyFill="1" applyBorder="1" applyAlignment="1" applyProtection="1">
      <alignment vertical="center"/>
    </xf>
    <xf numFmtId="0" fontId="41" fillId="18" borderId="7" xfId="8" applyFont="1" applyFill="1" applyBorder="1" applyAlignment="1" applyProtection="1">
      <alignment vertical="center"/>
    </xf>
    <xf numFmtId="0" fontId="41" fillId="18" borderId="2" xfId="8" applyFont="1" applyFill="1" applyBorder="1" applyAlignment="1" applyProtection="1">
      <alignment vertical="center"/>
    </xf>
    <xf numFmtId="44" fontId="54" fillId="10" borderId="1" xfId="9" applyFont="1" applyFill="1" applyBorder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</xf>
    <xf numFmtId="164" fontId="52" fillId="29" borderId="1" xfId="2" applyFont="1" applyFill="1" applyBorder="1" applyProtection="1">
      <protection hidden="1"/>
    </xf>
    <xf numFmtId="0" fontId="41" fillId="18" borderId="8" xfId="0" applyFont="1" applyFill="1" applyBorder="1" applyAlignment="1" applyProtection="1">
      <alignment vertical="center"/>
    </xf>
    <xf numFmtId="0" fontId="41" fillId="18" borderId="7" xfId="0" applyFont="1" applyFill="1" applyBorder="1" applyAlignment="1" applyProtection="1">
      <alignment vertical="center"/>
    </xf>
    <xf numFmtId="0" fontId="41" fillId="18" borderId="2" xfId="0" applyFont="1" applyFill="1" applyBorder="1" applyAlignment="1" applyProtection="1">
      <alignment vertical="center"/>
    </xf>
    <xf numFmtId="0" fontId="42" fillId="10" borderId="1" xfId="0" applyFont="1" applyFill="1" applyBorder="1" applyAlignment="1" applyProtection="1">
      <alignment horizontal="center" wrapText="1"/>
    </xf>
    <xf numFmtId="165" fontId="54" fillId="10" borderId="1" xfId="6" applyFont="1" applyFill="1" applyBorder="1" applyAlignment="1" applyProtection="1">
      <alignment horizontal="right" vertical="center" shrinkToFit="1"/>
    </xf>
    <xf numFmtId="165" fontId="30" fillId="10" borderId="1" xfId="6" quotePrefix="1" applyFont="1" applyFill="1" applyBorder="1" applyAlignment="1" applyProtection="1">
      <alignment horizontal="right" vertical="center"/>
      <protection locked="0"/>
    </xf>
    <xf numFmtId="165" fontId="32" fillId="10" borderId="1" xfId="6" quotePrefix="1" applyFont="1" applyFill="1" applyBorder="1" applyAlignment="1" applyProtection="1">
      <alignment horizontal="right" vertical="center"/>
      <protection locked="0"/>
    </xf>
    <xf numFmtId="44" fontId="0" fillId="10" borderId="1" xfId="9" applyFont="1" applyFill="1" applyBorder="1" applyAlignment="1" applyProtection="1">
      <alignment horizontal="left" vertical="center"/>
      <protection locked="0"/>
    </xf>
    <xf numFmtId="165" fontId="32" fillId="10" borderId="1" xfId="6" quotePrefix="1" applyFont="1" applyFill="1" applyBorder="1" applyAlignment="1" applyProtection="1">
      <alignment horizontal="right" vertical="center"/>
    </xf>
    <xf numFmtId="0" fontId="21" fillId="10" borderId="8" xfId="8" applyFont="1" applyFill="1" applyBorder="1"/>
    <xf numFmtId="4" fontId="52" fillId="12" borderId="1" xfId="0" applyNumberFormat="1" applyFont="1" applyFill="1" applyBorder="1"/>
    <xf numFmtId="44" fontId="52" fillId="12" borderId="1" xfId="2" applyNumberFormat="1" applyFont="1" applyFill="1" applyBorder="1"/>
    <xf numFmtId="2" fontId="52" fillId="12" borderId="1" xfId="0" applyNumberFormat="1" applyFont="1" applyFill="1" applyBorder="1"/>
    <xf numFmtId="0" fontId="21" fillId="10" borderId="7" xfId="8" applyFont="1" applyFill="1" applyBorder="1" applyAlignment="1">
      <alignment vertical="center"/>
    </xf>
    <xf numFmtId="0" fontId="21" fillId="10" borderId="10" xfId="8" applyFont="1" applyFill="1" applyBorder="1" applyAlignment="1">
      <alignment vertical="center"/>
    </xf>
    <xf numFmtId="0" fontId="21" fillId="10" borderId="13" xfId="8" applyFont="1" applyFill="1" applyBorder="1" applyAlignment="1">
      <alignment vertical="center"/>
    </xf>
    <xf numFmtId="0" fontId="21" fillId="10" borderId="6" xfId="8" applyFont="1" applyFill="1" applyBorder="1" applyAlignment="1">
      <alignment horizontal="right" vertical="center"/>
    </xf>
    <xf numFmtId="165" fontId="42" fillId="5" borderId="1" xfId="6" applyFont="1" applyFill="1" applyBorder="1" applyAlignment="1">
      <alignment vertical="center"/>
    </xf>
    <xf numFmtId="165" fontId="32" fillId="10" borderId="1" xfId="6" applyFont="1" applyFill="1" applyBorder="1" applyAlignment="1">
      <alignment vertical="center"/>
    </xf>
    <xf numFmtId="170" fontId="32" fillId="0" borderId="1" xfId="8" applyNumberFormat="1" applyFill="1" applyBorder="1" applyAlignment="1" applyProtection="1">
      <alignment vertical="center"/>
      <protection locked="0"/>
    </xf>
    <xf numFmtId="0" fontId="21" fillId="22" borderId="7" xfId="8" applyFont="1" applyFill="1" applyBorder="1" applyAlignment="1">
      <alignment vertical="center"/>
    </xf>
    <xf numFmtId="0" fontId="76" fillId="10" borderId="14" xfId="8" applyFont="1" applyFill="1" applyBorder="1" applyAlignment="1">
      <alignment horizontal="center" vertical="center"/>
    </xf>
    <xf numFmtId="0" fontId="74" fillId="10" borderId="7" xfId="0" applyFont="1" applyFill="1" applyBorder="1" applyAlignment="1" applyProtection="1"/>
    <xf numFmtId="0" fontId="0" fillId="2" borderId="0" xfId="0" applyFill="1"/>
    <xf numFmtId="0" fontId="41" fillId="27" borderId="12" xfId="8" applyFont="1" applyFill="1" applyBorder="1" applyAlignment="1">
      <alignment vertical="center"/>
    </xf>
    <xf numFmtId="0" fontId="41" fillId="27" borderId="11" xfId="8" applyFont="1" applyFill="1" applyBorder="1" applyAlignment="1">
      <alignment vertical="center"/>
    </xf>
    <xf numFmtId="0" fontId="34" fillId="8" borderId="0" xfId="0" applyFont="1" applyFill="1" applyAlignment="1" applyProtection="1">
      <alignment vertical="center"/>
      <protection hidden="1"/>
    </xf>
    <xf numFmtId="0" fontId="35" fillId="8" borderId="0" xfId="0" applyFont="1" applyFill="1" applyAlignment="1" applyProtection="1">
      <alignment horizontal="right" vertical="center"/>
      <protection hidden="1"/>
    </xf>
    <xf numFmtId="0" fontId="35" fillId="8" borderId="0" xfId="0" applyFont="1" applyFill="1" applyAlignment="1" applyProtection="1">
      <alignment horizontal="left" vertical="center"/>
      <protection hidden="1"/>
    </xf>
    <xf numFmtId="0" fontId="53" fillId="8" borderId="0" xfId="0" applyFont="1" applyFill="1" applyBorder="1" applyAlignment="1" applyProtection="1">
      <alignment horizontal="left"/>
      <protection hidden="1"/>
    </xf>
    <xf numFmtId="0" fontId="52" fillId="4" borderId="1" xfId="0" applyFont="1" applyFill="1" applyBorder="1" applyAlignment="1" applyProtection="1">
      <alignment horizontal="left" vertical="center"/>
      <protection hidden="1"/>
    </xf>
    <xf numFmtId="1" fontId="54" fillId="22" borderId="0" xfId="10" applyNumberFormat="1" applyFont="1" applyFill="1" applyBorder="1" applyAlignment="1">
      <alignment horizontal="right"/>
    </xf>
    <xf numFmtId="0" fontId="25" fillId="22" borderId="0" xfId="8" applyFont="1" applyFill="1" applyBorder="1" applyAlignment="1">
      <alignment horizontal="right"/>
    </xf>
    <xf numFmtId="1" fontId="54" fillId="22" borderId="5" xfId="10" applyNumberFormat="1" applyFont="1" applyFill="1" applyBorder="1" applyAlignment="1">
      <alignment horizontal="right"/>
    </xf>
    <xf numFmtId="1" fontId="54" fillId="22" borderId="6" xfId="10" applyNumberFormat="1" applyFont="1" applyFill="1" applyBorder="1" applyAlignment="1">
      <alignment horizontal="right"/>
    </xf>
    <xf numFmtId="1" fontId="54" fillId="22" borderId="3" xfId="10" applyNumberFormat="1" applyFont="1" applyFill="1" applyBorder="1" applyAlignment="1">
      <alignment horizontal="right"/>
    </xf>
    <xf numFmtId="0" fontId="52" fillId="8" borderId="0" xfId="0" applyFont="1" applyFill="1" applyAlignment="1" applyProtection="1">
      <alignment vertical="center"/>
      <protection hidden="1"/>
    </xf>
    <xf numFmtId="0" fontId="54" fillId="10" borderId="15" xfId="0" applyFont="1" applyFill="1" applyBorder="1" applyAlignment="1" applyProtection="1">
      <alignment vertical="center"/>
      <protection hidden="1"/>
    </xf>
    <xf numFmtId="0" fontId="53" fillId="10" borderId="0" xfId="0" applyFont="1" applyFill="1" applyBorder="1" applyAlignment="1" applyProtection="1">
      <alignment vertical="center"/>
      <protection hidden="1"/>
    </xf>
    <xf numFmtId="0" fontId="54" fillId="10" borderId="0" xfId="0" applyFont="1" applyFill="1" applyBorder="1" applyAlignment="1" applyProtection="1">
      <alignment vertical="center"/>
      <protection hidden="1"/>
    </xf>
    <xf numFmtId="0" fontId="54" fillId="10" borderId="5" xfId="0" applyFont="1" applyFill="1" applyBorder="1" applyAlignment="1" applyProtection="1">
      <alignment vertical="center"/>
      <protection hidden="1"/>
    </xf>
    <xf numFmtId="0" fontId="54" fillId="10" borderId="0" xfId="0" applyFont="1" applyFill="1"/>
    <xf numFmtId="0" fontId="54" fillId="10" borderId="0" xfId="0" applyFont="1" applyFill="1" applyBorder="1" applyAlignment="1" applyProtection="1">
      <alignment horizontal="right" vertical="center" wrapText="1" indent="1"/>
      <protection hidden="1"/>
    </xf>
    <xf numFmtId="0" fontId="52" fillId="10" borderId="12" xfId="0" applyFont="1" applyFill="1" applyBorder="1" applyAlignment="1" applyProtection="1">
      <alignment vertical="center"/>
      <protection hidden="1"/>
    </xf>
    <xf numFmtId="0" fontId="52" fillId="10" borderId="10" xfId="0" applyFont="1" applyFill="1" applyBorder="1" applyAlignment="1" applyProtection="1">
      <alignment vertical="center"/>
      <protection hidden="1"/>
    </xf>
    <xf numFmtId="0" fontId="52" fillId="10" borderId="10" xfId="0" applyFont="1" applyFill="1" applyBorder="1" applyAlignment="1" applyProtection="1">
      <alignment horizontal="right" vertical="center"/>
      <protection hidden="1"/>
    </xf>
    <xf numFmtId="0" fontId="52" fillId="10" borderId="10" xfId="0" applyFont="1" applyFill="1" applyBorder="1" applyAlignment="1" applyProtection="1">
      <alignment horizontal="center" vertical="center"/>
      <protection hidden="1"/>
    </xf>
    <xf numFmtId="0" fontId="52" fillId="10" borderId="3" xfId="0" applyFont="1" applyFill="1" applyBorder="1" applyAlignment="1" applyProtection="1">
      <alignment vertical="center"/>
      <protection hidden="1"/>
    </xf>
    <xf numFmtId="0" fontId="54" fillId="10" borderId="0" xfId="0" applyFont="1" applyFill="1" applyBorder="1" applyAlignment="1" applyProtection="1">
      <alignment horizontal="right" vertical="center"/>
      <protection hidden="1"/>
    </xf>
    <xf numFmtId="0" fontId="54" fillId="10" borderId="0" xfId="0" applyFont="1" applyFill="1" applyBorder="1" applyAlignment="1" applyProtection="1">
      <alignment horizontal="left" vertical="center"/>
      <protection hidden="1"/>
    </xf>
    <xf numFmtId="0" fontId="60" fillId="10" borderId="0" xfId="0" applyFont="1" applyFill="1" applyBorder="1" applyAlignment="1" applyProtection="1">
      <alignment vertical="center"/>
      <protection hidden="1"/>
    </xf>
    <xf numFmtId="0" fontId="61" fillId="10" borderId="0" xfId="0" applyFont="1" applyFill="1" applyBorder="1" applyAlignment="1" applyProtection="1">
      <alignment vertical="center"/>
      <protection locked="0" hidden="1"/>
    </xf>
    <xf numFmtId="0" fontId="60" fillId="10" borderId="0" xfId="0" applyFont="1" applyFill="1" applyBorder="1" applyAlignment="1" applyProtection="1">
      <alignment horizontal="left" vertical="center"/>
      <protection locked="0" hidden="1"/>
    </xf>
    <xf numFmtId="0" fontId="54" fillId="10" borderId="0" xfId="0" applyFont="1" applyFill="1" applyBorder="1" applyAlignment="1" applyProtection="1">
      <alignment vertical="center"/>
      <protection locked="0" hidden="1"/>
    </xf>
    <xf numFmtId="0" fontId="60" fillId="10" borderId="0" xfId="0" applyFont="1" applyFill="1" applyBorder="1" applyAlignment="1" applyProtection="1">
      <alignment vertical="center"/>
      <protection locked="0" hidden="1"/>
    </xf>
    <xf numFmtId="0" fontId="54" fillId="10" borderId="5" xfId="0" applyFont="1" applyFill="1" applyBorder="1" applyAlignment="1" applyProtection="1">
      <alignment horizontal="center" vertical="center"/>
      <protection hidden="1"/>
    </xf>
    <xf numFmtId="0" fontId="54" fillId="10" borderId="5" xfId="0" applyFont="1" applyFill="1" applyBorder="1" applyAlignment="1" applyProtection="1">
      <alignment horizontal="left" vertical="center"/>
      <protection hidden="1"/>
    </xf>
    <xf numFmtId="0" fontId="61" fillId="10" borderId="5" xfId="0" applyFont="1" applyFill="1" applyBorder="1" applyAlignment="1" applyProtection="1">
      <alignment vertical="center"/>
      <protection hidden="1"/>
    </xf>
    <xf numFmtId="0" fontId="60" fillId="10" borderId="5" xfId="0" applyFont="1" applyFill="1" applyBorder="1" applyAlignment="1" applyProtection="1">
      <alignment vertical="center"/>
      <protection hidden="1"/>
    </xf>
    <xf numFmtId="0" fontId="52" fillId="10" borderId="6" xfId="0" applyFont="1" applyFill="1" applyBorder="1" applyAlignment="1" applyProtection="1">
      <alignment vertical="center"/>
      <protection hidden="1"/>
    </xf>
    <xf numFmtId="0" fontId="62" fillId="10" borderId="0" xfId="0" applyFont="1" applyFill="1" applyBorder="1" applyAlignment="1" applyProtection="1">
      <alignment vertical="center"/>
      <protection locked="0" hidden="1"/>
    </xf>
    <xf numFmtId="0" fontId="54" fillId="10" borderId="0" xfId="0" applyFont="1" applyFill="1" applyBorder="1" applyAlignment="1" applyProtection="1">
      <alignment horizontal="center" vertical="center" wrapText="1"/>
      <protection hidden="1"/>
    </xf>
    <xf numFmtId="0" fontId="54" fillId="10" borderId="0" xfId="0" applyFont="1" applyFill="1" applyBorder="1" applyAlignment="1" applyProtection="1">
      <alignment vertical="center" wrapText="1"/>
      <protection hidden="1"/>
    </xf>
    <xf numFmtId="0" fontId="54" fillId="10" borderId="0" xfId="0" applyFont="1" applyFill="1" applyBorder="1" applyAlignment="1" applyProtection="1">
      <protection hidden="1"/>
    </xf>
    <xf numFmtId="0" fontId="52" fillId="10" borderId="13" xfId="0" applyFont="1" applyFill="1" applyBorder="1" applyAlignment="1" applyProtection="1">
      <protection hidden="1"/>
    </xf>
    <xf numFmtId="0" fontId="97" fillId="10" borderId="5" xfId="0" applyFont="1" applyFill="1" applyBorder="1" applyAlignment="1" applyProtection="1">
      <alignment vertical="center"/>
      <protection hidden="1"/>
    </xf>
    <xf numFmtId="0" fontId="53" fillId="10" borderId="0" xfId="0" applyFont="1" applyFill="1" applyBorder="1" applyAlignment="1" applyProtection="1">
      <alignment horizontal="right" vertical="center"/>
      <protection hidden="1"/>
    </xf>
    <xf numFmtId="0" fontId="54" fillId="10" borderId="0" xfId="0" applyFont="1" applyFill="1" applyBorder="1" applyAlignment="1" applyProtection="1">
      <alignment horizontal="center" vertical="center"/>
      <protection hidden="1"/>
    </xf>
    <xf numFmtId="0" fontId="53" fillId="10" borderId="0" xfId="0" applyFont="1" applyFill="1" applyBorder="1" applyAlignment="1" applyProtection="1">
      <protection hidden="1"/>
    </xf>
    <xf numFmtId="0" fontId="54" fillId="10" borderId="0" xfId="0" applyFont="1" applyFill="1" applyBorder="1" applyAlignment="1" applyProtection="1">
      <alignment horizontal="center"/>
      <protection hidden="1"/>
    </xf>
    <xf numFmtId="0" fontId="52" fillId="10" borderId="13" xfId="0" applyFont="1" applyFill="1" applyBorder="1" applyAlignment="1" applyProtection="1">
      <alignment vertical="center"/>
      <protection hidden="1"/>
    </xf>
    <xf numFmtId="0" fontId="52" fillId="10" borderId="13" xfId="0" applyFont="1" applyFill="1" applyBorder="1" applyAlignment="1" applyProtection="1">
      <alignment horizontal="center"/>
      <protection hidden="1"/>
    </xf>
    <xf numFmtId="0" fontId="52" fillId="10" borderId="11" xfId="0" applyFont="1" applyFill="1" applyBorder="1" applyAlignment="1" applyProtection="1">
      <alignment vertical="center"/>
      <protection hidden="1"/>
    </xf>
    <xf numFmtId="0" fontId="54" fillId="10" borderId="12" xfId="0" applyFont="1" applyFill="1" applyBorder="1" applyAlignment="1" applyProtection="1">
      <alignment vertical="center"/>
      <protection hidden="1"/>
    </xf>
    <xf numFmtId="0" fontId="53" fillId="10" borderId="10" xfId="0" applyFont="1" applyFill="1" applyBorder="1" applyAlignment="1" applyProtection="1">
      <alignment vertical="center"/>
      <protection hidden="1"/>
    </xf>
    <xf numFmtId="0" fontId="54" fillId="10" borderId="10" xfId="0" applyFont="1" applyFill="1" applyBorder="1" applyAlignment="1" applyProtection="1">
      <alignment vertical="center"/>
      <protection hidden="1"/>
    </xf>
    <xf numFmtId="0" fontId="54" fillId="10" borderId="10" xfId="0" applyFont="1" applyFill="1" applyBorder="1" applyAlignment="1" applyProtection="1">
      <protection hidden="1"/>
    </xf>
    <xf numFmtId="0" fontId="54" fillId="10" borderId="3" xfId="0" applyFont="1" applyFill="1" applyBorder="1" applyAlignment="1" applyProtection="1">
      <alignment vertical="center"/>
      <protection hidden="1"/>
    </xf>
    <xf numFmtId="0" fontId="53" fillId="10" borderId="0" xfId="0" applyFont="1" applyFill="1" applyBorder="1" applyAlignment="1" applyProtection="1">
      <alignment vertical="top"/>
      <protection hidden="1"/>
    </xf>
    <xf numFmtId="0" fontId="97" fillId="10" borderId="10" xfId="0" applyFont="1" applyFill="1" applyBorder="1" applyAlignment="1" applyProtection="1">
      <alignment horizontal="center"/>
      <protection hidden="1"/>
    </xf>
    <xf numFmtId="0" fontId="97" fillId="10" borderId="10" xfId="0" applyFont="1" applyFill="1" applyBorder="1" applyAlignment="1" applyProtection="1">
      <alignment vertical="center"/>
      <protection hidden="1"/>
    </xf>
    <xf numFmtId="0" fontId="35" fillId="10" borderId="15" xfId="0" applyFont="1" applyFill="1" applyBorder="1" applyAlignment="1" applyProtection="1">
      <alignment vertical="center"/>
      <protection hidden="1"/>
    </xf>
    <xf numFmtId="0" fontId="43" fillId="10" borderId="15" xfId="0" applyFont="1" applyFill="1" applyBorder="1" applyAlignment="1" applyProtection="1">
      <alignment vertical="center"/>
      <protection hidden="1"/>
    </xf>
    <xf numFmtId="0" fontId="44" fillId="10" borderId="5" xfId="0" applyFont="1" applyFill="1" applyBorder="1" applyAlignment="1" applyProtection="1">
      <alignment vertical="center"/>
      <protection hidden="1"/>
    </xf>
    <xf numFmtId="0" fontId="43" fillId="10" borderId="5" xfId="0" applyFont="1" applyFill="1" applyBorder="1" applyAlignment="1" applyProtection="1">
      <alignment vertical="center"/>
      <protection hidden="1"/>
    </xf>
    <xf numFmtId="0" fontId="45" fillId="10" borderId="0" xfId="0" applyFont="1" applyFill="1" applyBorder="1" applyAlignment="1" applyProtection="1">
      <alignment horizontal="center" vertical="center"/>
      <protection hidden="1"/>
    </xf>
    <xf numFmtId="0" fontId="46" fillId="10" borderId="0" xfId="0" applyFont="1" applyFill="1" applyBorder="1" applyAlignment="1" applyProtection="1">
      <alignment vertical="center"/>
      <protection hidden="1"/>
    </xf>
    <xf numFmtId="0" fontId="44" fillId="10" borderId="0" xfId="0" applyFont="1" applyFill="1" applyBorder="1" applyAlignment="1" applyProtection="1">
      <alignment vertical="center"/>
      <protection hidden="1"/>
    </xf>
    <xf numFmtId="0" fontId="44" fillId="10" borderId="0" xfId="0" applyFont="1" applyFill="1" applyBorder="1" applyAlignment="1" applyProtection="1">
      <alignment horizontal="center" vertical="center"/>
      <protection hidden="1"/>
    </xf>
    <xf numFmtId="0" fontId="47" fillId="10" borderId="0" xfId="0" applyFont="1" applyFill="1" applyBorder="1" applyAlignment="1" applyProtection="1">
      <alignment horizontal="right" vertical="center"/>
      <protection hidden="1"/>
    </xf>
    <xf numFmtId="0" fontId="47" fillId="10" borderId="0" xfId="0" applyFont="1" applyFill="1" applyBorder="1" applyAlignment="1" applyProtection="1">
      <alignment vertical="center"/>
      <protection hidden="1"/>
    </xf>
    <xf numFmtId="0" fontId="58" fillId="10" borderId="0" xfId="0" applyFont="1" applyFill="1" applyBorder="1" applyAlignment="1" applyProtection="1">
      <alignment horizontal="center" vertical="center"/>
      <protection hidden="1"/>
    </xf>
    <xf numFmtId="0" fontId="58" fillId="10" borderId="0" xfId="0" applyFont="1" applyFill="1" applyBorder="1" applyAlignment="1" applyProtection="1">
      <alignment vertical="center"/>
      <protection hidden="1"/>
    </xf>
    <xf numFmtId="0" fontId="65" fillId="10" borderId="0" xfId="0" applyFont="1" applyFill="1" applyBorder="1" applyAlignment="1" applyProtection="1">
      <alignment vertical="center"/>
      <protection hidden="1"/>
    </xf>
    <xf numFmtId="0" fontId="58" fillId="10" borderId="0" xfId="0" applyFont="1" applyFill="1" applyBorder="1" applyAlignment="1" applyProtection="1">
      <alignment horizontal="right" vertical="center"/>
      <protection hidden="1"/>
    </xf>
    <xf numFmtId="0" fontId="44" fillId="4" borderId="0" xfId="0" applyFont="1" applyFill="1" applyBorder="1" applyAlignment="1" applyProtection="1">
      <alignment horizontal="center" vertical="center"/>
      <protection hidden="1"/>
    </xf>
    <xf numFmtId="0" fontId="65" fillId="4" borderId="0" xfId="0" applyFont="1" applyFill="1" applyBorder="1" applyAlignment="1" applyProtection="1">
      <alignment horizontal="center" vertical="center"/>
      <protection hidden="1"/>
    </xf>
    <xf numFmtId="0" fontId="63" fillId="10" borderId="0" xfId="0" applyFont="1" applyFill="1" applyBorder="1" applyAlignment="1" applyProtection="1">
      <alignment vertical="center"/>
      <protection hidden="1"/>
    </xf>
    <xf numFmtId="0" fontId="98" fillId="25" borderId="0" xfId="0" applyFont="1" applyFill="1" applyBorder="1" applyAlignment="1" applyProtection="1">
      <alignment horizontal="center" vertical="center"/>
      <protection hidden="1"/>
    </xf>
    <xf numFmtId="0" fontId="64" fillId="25" borderId="0" xfId="0" applyFont="1" applyFill="1" applyBorder="1" applyAlignment="1" applyProtection="1">
      <alignment vertical="center"/>
      <protection hidden="1"/>
    </xf>
    <xf numFmtId="0" fontId="43" fillId="25" borderId="0" xfId="0" applyFont="1" applyFill="1" applyBorder="1" applyAlignment="1" applyProtection="1">
      <alignment vertical="center"/>
      <protection hidden="1"/>
    </xf>
    <xf numFmtId="0" fontId="43" fillId="25" borderId="0" xfId="0" applyFont="1" applyFill="1" applyBorder="1" applyAlignment="1" applyProtection="1">
      <alignment horizontal="center" vertical="center"/>
      <protection hidden="1"/>
    </xf>
    <xf numFmtId="0" fontId="43" fillId="25" borderId="0" xfId="0" applyFont="1" applyFill="1" applyBorder="1" applyAlignment="1" applyProtection="1">
      <alignment horizontal="right" vertical="center"/>
      <protection hidden="1"/>
    </xf>
    <xf numFmtId="2" fontId="41" fillId="25" borderId="1" xfId="0" applyNumberFormat="1" applyFont="1" applyFill="1" applyBorder="1" applyAlignment="1" applyProtection="1">
      <alignment horizontal="center" vertical="center"/>
      <protection hidden="1"/>
    </xf>
    <xf numFmtId="2" fontId="41" fillId="25" borderId="1" xfId="6" applyNumberFormat="1" applyFont="1" applyFill="1" applyBorder="1" applyAlignment="1" applyProtection="1">
      <alignment horizontal="center" vertical="center"/>
      <protection hidden="1"/>
    </xf>
    <xf numFmtId="165" fontId="63" fillId="30" borderId="2" xfId="6" applyFont="1" applyFill="1" applyBorder="1" applyAlignment="1" applyProtection="1">
      <alignment vertical="center"/>
      <protection hidden="1"/>
    </xf>
    <xf numFmtId="0" fontId="54" fillId="10" borderId="0" xfId="0" applyFont="1" applyFill="1" applyBorder="1" applyAlignment="1" applyProtection="1">
      <alignment horizontal="left" vertical="center" wrapText="1"/>
      <protection hidden="1"/>
    </xf>
    <xf numFmtId="0" fontId="54" fillId="2" borderId="0" xfId="0" applyFont="1" applyFill="1"/>
    <xf numFmtId="0" fontId="54" fillId="10" borderId="0" xfId="0" applyFont="1" applyFill="1" applyBorder="1"/>
    <xf numFmtId="0" fontId="54" fillId="10" borderId="15" xfId="0" applyFont="1" applyFill="1" applyBorder="1"/>
    <xf numFmtId="0" fontId="54" fillId="10" borderId="0" xfId="0" applyFont="1" applyFill="1" applyBorder="1" applyAlignment="1">
      <alignment vertical="center"/>
    </xf>
    <xf numFmtId="0" fontId="54" fillId="10" borderId="5" xfId="0" applyFont="1" applyFill="1" applyBorder="1"/>
    <xf numFmtId="0" fontId="54" fillId="10" borderId="0" xfId="0" applyFont="1" applyFill="1" applyBorder="1" applyAlignment="1"/>
    <xf numFmtId="0" fontId="54" fillId="10" borderId="11" xfId="0" applyFont="1" applyFill="1" applyBorder="1"/>
    <xf numFmtId="0" fontId="54" fillId="10" borderId="13" xfId="0" applyFont="1" applyFill="1" applyBorder="1"/>
    <xf numFmtId="0" fontId="54" fillId="10" borderId="6" xfId="0" applyFont="1" applyFill="1" applyBorder="1"/>
    <xf numFmtId="0" fontId="41" fillId="6" borderId="9" xfId="0" applyFont="1" applyFill="1" applyBorder="1" applyAlignment="1">
      <alignment horizontal="center" vertical="center" wrapText="1"/>
    </xf>
    <xf numFmtId="0" fontId="41" fillId="6" borderId="3" xfId="0" applyFont="1" applyFill="1" applyBorder="1" applyAlignment="1">
      <alignment horizontal="center" vertical="center" wrapText="1"/>
    </xf>
    <xf numFmtId="0" fontId="54" fillId="31" borderId="14" xfId="0" applyNumberFormat="1" applyFont="1" applyFill="1" applyBorder="1" applyAlignment="1">
      <alignment vertical="center"/>
    </xf>
    <xf numFmtId="0" fontId="54" fillId="31" borderId="5" xfId="0" applyNumberFormat="1" applyFont="1" applyFill="1" applyBorder="1" applyAlignment="1">
      <alignment vertical="center"/>
    </xf>
    <xf numFmtId="0" fontId="54" fillId="31" borderId="5" xfId="2" applyNumberFormat="1" applyFont="1" applyFill="1" applyBorder="1" applyAlignment="1">
      <alignment vertical="center"/>
    </xf>
    <xf numFmtId="44" fontId="54" fillId="31" borderId="5" xfId="2" applyNumberFormat="1" applyFont="1" applyFill="1" applyBorder="1" applyAlignment="1">
      <alignment vertical="center"/>
    </xf>
    <xf numFmtId="4" fontId="54" fillId="31" borderId="5" xfId="2" applyNumberFormat="1" applyFont="1" applyFill="1" applyBorder="1" applyAlignment="1">
      <alignment vertical="center"/>
    </xf>
    <xf numFmtId="0" fontId="55" fillId="10" borderId="0" xfId="0" applyFont="1" applyFill="1" applyBorder="1" applyAlignment="1" applyProtection="1">
      <alignment vertical="center"/>
      <protection hidden="1"/>
    </xf>
    <xf numFmtId="4" fontId="63" fillId="10" borderId="0" xfId="0" applyNumberFormat="1" applyFont="1" applyFill="1" applyBorder="1" applyAlignment="1" applyProtection="1">
      <alignment vertical="center"/>
      <protection hidden="1"/>
    </xf>
    <xf numFmtId="167" fontId="63" fillId="10" borderId="0" xfId="0" applyNumberFormat="1" applyFont="1" applyFill="1" applyBorder="1" applyAlignment="1" applyProtection="1">
      <alignment vertical="center"/>
      <protection hidden="1"/>
    </xf>
    <xf numFmtId="0" fontId="34" fillId="8" borderId="0" xfId="0" applyFont="1" applyFill="1" applyAlignment="1" applyProtection="1">
      <protection hidden="1"/>
    </xf>
    <xf numFmtId="0" fontId="53" fillId="8" borderId="0" xfId="0" applyFont="1" applyFill="1" applyBorder="1" applyAlignment="1" applyProtection="1">
      <alignment vertical="top"/>
      <protection hidden="1"/>
    </xf>
    <xf numFmtId="4" fontId="52" fillId="0" borderId="0" xfId="0" applyNumberFormat="1" applyFont="1"/>
    <xf numFmtId="0" fontId="52" fillId="32" borderId="0" xfId="0" applyFont="1" applyFill="1" applyAlignment="1">
      <alignment horizontal="center" vertical="center"/>
    </xf>
    <xf numFmtId="0" fontId="54" fillId="10" borderId="0" xfId="0" applyFont="1" applyFill="1" applyBorder="1" applyProtection="1">
      <protection locked="0"/>
    </xf>
    <xf numFmtId="44" fontId="33" fillId="0" borderId="1" xfId="9" applyFont="1" applyFill="1" applyBorder="1" applyAlignment="1" applyProtection="1">
      <alignment horizontal="left" vertical="center"/>
      <protection locked="0"/>
    </xf>
    <xf numFmtId="0" fontId="54" fillId="10" borderId="0" xfId="0" applyFont="1" applyFill="1" applyBorder="1" applyAlignment="1" applyProtection="1">
      <alignment horizontal="right" vertical="center" wrapText="1" indent="1"/>
      <protection locked="0" hidden="1"/>
    </xf>
    <xf numFmtId="0" fontId="60" fillId="10" borderId="0" xfId="0" applyFont="1" applyFill="1" applyBorder="1" applyAlignment="1" applyProtection="1">
      <alignment horizontal="left" vertical="center"/>
      <protection hidden="1"/>
    </xf>
    <xf numFmtId="0" fontId="52" fillId="32" borderId="0" xfId="0" applyFont="1" applyFill="1" applyAlignment="1" applyProtection="1">
      <alignment horizontal="center" vertical="center"/>
      <protection hidden="1"/>
    </xf>
    <xf numFmtId="165" fontId="52" fillId="0" borderId="0" xfId="6" applyFont="1"/>
    <xf numFmtId="165" fontId="52" fillId="32" borderId="0" xfId="0" applyNumberFormat="1" applyFont="1" applyFill="1"/>
    <xf numFmtId="0" fontId="53" fillId="32" borderId="0" xfId="0" applyFont="1" applyFill="1" applyBorder="1" applyAlignment="1" applyProtection="1">
      <alignment vertical="center"/>
      <protection hidden="1"/>
    </xf>
    <xf numFmtId="0" fontId="35" fillId="32" borderId="0" xfId="0" applyFont="1" applyFill="1" applyAlignment="1" applyProtection="1">
      <alignment vertical="center"/>
      <protection hidden="1"/>
    </xf>
    <xf numFmtId="0" fontId="72" fillId="10" borderId="4" xfId="8" applyFont="1" applyFill="1" applyBorder="1" applyAlignment="1" applyProtection="1">
      <alignment horizontal="center" vertical="center" wrapText="1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41" fillId="6" borderId="2" xfId="8" applyFont="1" applyFill="1" applyBorder="1" applyAlignment="1" applyProtection="1">
      <alignment horizontal="center" vertical="center"/>
    </xf>
    <xf numFmtId="2" fontId="67" fillId="4" borderId="1" xfId="0" applyNumberFormat="1" applyFont="1" applyFill="1" applyBorder="1" applyAlignment="1" applyProtection="1">
      <alignment horizontal="center"/>
      <protection hidden="1"/>
    </xf>
    <xf numFmtId="2" fontId="52" fillId="4" borderId="1" xfId="0" applyNumberFormat="1" applyFont="1" applyFill="1" applyBorder="1" applyAlignment="1" applyProtection="1">
      <alignment horizontal="center"/>
      <protection hidden="1"/>
    </xf>
    <xf numFmtId="176" fontId="67" fillId="4" borderId="1" xfId="0" applyNumberFormat="1" applyFont="1" applyFill="1" applyBorder="1" applyAlignment="1" applyProtection="1">
      <alignment horizontal="center"/>
      <protection hidden="1"/>
    </xf>
    <xf numFmtId="176" fontId="52" fillId="4" borderId="1" xfId="0" applyNumberFormat="1" applyFont="1" applyFill="1" applyBorder="1" applyAlignment="1" applyProtection="1">
      <alignment horizontal="center"/>
      <protection hidden="1"/>
    </xf>
    <xf numFmtId="176" fontId="52" fillId="5" borderId="4" xfId="0" applyNumberFormat="1" applyFont="1" applyFill="1" applyBorder="1" applyAlignment="1" applyProtection="1">
      <alignment vertical="center"/>
      <protection hidden="1"/>
    </xf>
    <xf numFmtId="43" fontId="0" fillId="10" borderId="1" xfId="0" applyNumberFormat="1" applyFill="1" applyBorder="1" applyAlignment="1" applyProtection="1">
      <alignment horizontal="right"/>
    </xf>
    <xf numFmtId="4" fontId="54" fillId="8" borderId="1" xfId="8" applyNumberFormat="1" applyFont="1" applyFill="1" applyBorder="1" applyAlignment="1" applyProtection="1">
      <alignment horizontal="right" vertical="center" shrinkToFit="1"/>
      <protection locked="0"/>
    </xf>
    <xf numFmtId="0" fontId="54" fillId="8" borderId="2" xfId="8" applyFont="1" applyFill="1" applyBorder="1" applyAlignment="1" applyProtection="1">
      <alignment vertical="center" shrinkToFit="1"/>
      <protection locked="0"/>
    </xf>
    <xf numFmtId="0" fontId="93" fillId="2" borderId="0" xfId="8" applyFont="1" applyFill="1" applyProtection="1"/>
    <xf numFmtId="44" fontId="93" fillId="2" borderId="0" xfId="8" applyNumberFormat="1" applyFont="1" applyFill="1" applyProtection="1"/>
    <xf numFmtId="0" fontId="29" fillId="10" borderId="8" xfId="8" applyFont="1" applyFill="1" applyBorder="1" applyProtection="1"/>
    <xf numFmtId="0" fontId="30" fillId="10" borderId="7" xfId="8" applyFont="1" applyFill="1" applyBorder="1" applyProtection="1"/>
    <xf numFmtId="2" fontId="42" fillId="10" borderId="2" xfId="8" applyNumberFormat="1" applyFont="1" applyFill="1" applyBorder="1" applyAlignment="1" applyProtection="1">
      <alignment horizontal="center"/>
    </xf>
    <xf numFmtId="2" fontId="30" fillId="10" borderId="1" xfId="8" applyNumberFormat="1" applyFont="1" applyFill="1" applyBorder="1" applyProtection="1"/>
    <xf numFmtId="0" fontId="70" fillId="2" borderId="0" xfId="8" applyFont="1" applyFill="1" applyProtection="1"/>
    <xf numFmtId="0" fontId="30" fillId="2" borderId="0" xfId="8" applyFont="1" applyFill="1" applyProtection="1">
      <protection locked="0"/>
    </xf>
    <xf numFmtId="0" fontId="32" fillId="8" borderId="1" xfId="8" applyFill="1" applyBorder="1" applyAlignment="1" applyProtection="1">
      <alignment horizontal="right" vertical="center" wrapText="1"/>
      <protection locked="0"/>
    </xf>
    <xf numFmtId="0" fontId="32" fillId="8" borderId="1" xfId="8" applyNumberFormat="1" applyFill="1" applyBorder="1" applyAlignment="1" applyProtection="1">
      <alignment vertical="center"/>
      <protection locked="0"/>
    </xf>
    <xf numFmtId="0" fontId="32" fillId="8" borderId="1" xfId="8" applyFill="1" applyBorder="1" applyAlignment="1" applyProtection="1">
      <alignment vertical="center"/>
      <protection locked="0"/>
    </xf>
    <xf numFmtId="3" fontId="32" fillId="8" borderId="1" xfId="8" applyNumberFormat="1" applyFill="1" applyBorder="1" applyAlignment="1" applyProtection="1">
      <alignment vertical="center"/>
      <protection locked="0"/>
    </xf>
    <xf numFmtId="170" fontId="32" fillId="8" borderId="1" xfId="8" applyNumberFormat="1" applyFill="1" applyBorder="1" applyAlignment="1" applyProtection="1">
      <alignment horizontal="right" vertical="center"/>
      <protection locked="0"/>
    </xf>
    <xf numFmtId="170" fontId="32" fillId="8" borderId="1" xfId="8" applyNumberFormat="1" applyFill="1" applyBorder="1" applyAlignment="1" applyProtection="1">
      <alignment vertical="center"/>
      <protection locked="0"/>
    </xf>
    <xf numFmtId="0" fontId="41" fillId="6" borderId="7" xfId="8" applyFont="1" applyFill="1" applyBorder="1" applyAlignment="1" applyProtection="1">
      <alignment vertical="center"/>
      <protection locked="0"/>
    </xf>
    <xf numFmtId="0" fontId="41" fillId="6" borderId="2" xfId="8" applyFont="1" applyFill="1" applyBorder="1" applyAlignment="1" applyProtection="1">
      <alignment vertical="center"/>
      <protection locked="0"/>
    </xf>
    <xf numFmtId="0" fontId="53" fillId="21" borderId="1" xfId="8" applyFont="1" applyFill="1" applyBorder="1" applyAlignment="1" applyProtection="1">
      <alignment horizontal="center" vertical="center"/>
      <protection locked="0"/>
    </xf>
    <xf numFmtId="0" fontId="72" fillId="10" borderId="4" xfId="8" applyFont="1" applyFill="1" applyBorder="1" applyAlignment="1" applyProtection="1">
      <alignment horizontal="center" vertical="center" wrapText="1"/>
      <protection locked="0"/>
    </xf>
    <xf numFmtId="0" fontId="54" fillId="10" borderId="8" xfId="8" quotePrefix="1" applyFont="1" applyFill="1" applyBorder="1" applyAlignment="1" applyProtection="1">
      <alignment horizontal="center" vertical="center"/>
      <protection locked="0"/>
    </xf>
    <xf numFmtId="44" fontId="0" fillId="10" borderId="1" xfId="9" applyFont="1" applyFill="1" applyBorder="1" applyAlignment="1" applyProtection="1">
      <alignment horizontal="left"/>
      <protection locked="0"/>
    </xf>
    <xf numFmtId="0" fontId="54" fillId="10" borderId="8" xfId="8" applyFont="1" applyFill="1" applyBorder="1" applyAlignment="1" applyProtection="1">
      <alignment horizontal="center" vertical="center"/>
      <protection locked="0"/>
    </xf>
    <xf numFmtId="0" fontId="54" fillId="6" borderId="8" xfId="0" applyFont="1" applyFill="1" applyBorder="1" applyAlignment="1" applyProtection="1">
      <alignment vertical="center"/>
      <protection locked="0"/>
    </xf>
    <xf numFmtId="0" fontId="41" fillId="6" borderId="1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vertical="center"/>
      <protection locked="0"/>
    </xf>
    <xf numFmtId="0" fontId="72" fillId="10" borderId="8" xfId="8" applyFont="1" applyFill="1" applyBorder="1" applyAlignment="1" applyProtection="1">
      <alignment vertical="center" wrapText="1"/>
      <protection locked="0"/>
    </xf>
    <xf numFmtId="0" fontId="72" fillId="10" borderId="1" xfId="8" applyFont="1" applyFill="1" applyBorder="1" applyAlignment="1" applyProtection="1">
      <alignment horizontal="center" vertical="center" wrapText="1"/>
      <protection locked="0"/>
    </xf>
    <xf numFmtId="0" fontId="54" fillId="10" borderId="8" xfId="8" applyFont="1" applyFill="1" applyBorder="1" applyAlignment="1" applyProtection="1">
      <alignment horizontal="center" vertical="center" wrapText="1"/>
      <protection locked="0"/>
    </xf>
    <xf numFmtId="165" fontId="67" fillId="32" borderId="1" xfId="6" applyFont="1" applyFill="1" applyBorder="1" applyAlignment="1" applyProtection="1">
      <alignment horizontal="center"/>
      <protection hidden="1"/>
    </xf>
    <xf numFmtId="165" fontId="67" fillId="4" borderId="1" xfId="6" applyFont="1" applyFill="1" applyBorder="1" applyAlignment="1" applyProtection="1">
      <alignment horizontal="center"/>
      <protection hidden="1"/>
    </xf>
    <xf numFmtId="44" fontId="33" fillId="8" borderId="1" xfId="9" applyFont="1" applyFill="1" applyBorder="1" applyAlignment="1" applyProtection="1">
      <alignment horizontal="left" vertical="center"/>
      <protection locked="0"/>
    </xf>
    <xf numFmtId="0" fontId="33" fillId="8" borderId="1" xfId="0" applyFont="1" applyFill="1" applyBorder="1" applyAlignment="1" applyProtection="1">
      <alignment horizontal="center"/>
      <protection locked="0"/>
    </xf>
    <xf numFmtId="10" fontId="32" fillId="8" borderId="1" xfId="8" applyNumberFormat="1" applyFill="1" applyBorder="1" applyAlignment="1" applyProtection="1">
      <alignment vertical="center"/>
      <protection locked="0"/>
    </xf>
    <xf numFmtId="0" fontId="29" fillId="8" borderId="1" xfId="8" applyFont="1" applyFill="1" applyBorder="1" applyAlignment="1" applyProtection="1">
      <alignment horizontal="right" vertical="center" wrapText="1"/>
      <protection locked="0"/>
    </xf>
    <xf numFmtId="0" fontId="32" fillId="2" borderId="0" xfId="8" applyFill="1" applyAlignment="1" applyProtection="1">
      <alignment vertical="center"/>
      <protection locked="0"/>
    </xf>
    <xf numFmtId="4" fontId="32" fillId="8" borderId="1" xfId="8" applyNumberFormat="1" applyFill="1" applyBorder="1" applyAlignment="1" applyProtection="1">
      <alignment vertical="center"/>
      <protection locked="0"/>
    </xf>
    <xf numFmtId="2" fontId="52" fillId="0" borderId="0" xfId="0" applyNumberFormat="1" applyFont="1" applyFill="1" applyAlignment="1" applyProtection="1">
      <alignment vertical="center"/>
      <protection hidden="1"/>
    </xf>
    <xf numFmtId="3" fontId="15" fillId="0" borderId="1" xfId="8" applyNumberFormat="1" applyFont="1" applyFill="1" applyBorder="1" applyAlignment="1" applyProtection="1">
      <alignment horizontal="right" vertical="center"/>
      <protection locked="0"/>
    </xf>
    <xf numFmtId="3" fontId="33" fillId="8" borderId="1" xfId="0" applyNumberFormat="1" applyFont="1" applyFill="1" applyBorder="1" applyAlignment="1" applyProtection="1">
      <alignment horizontal="right"/>
      <protection locked="0"/>
    </xf>
    <xf numFmtId="44" fontId="33" fillId="0" borderId="1" xfId="2" applyNumberFormat="1" applyFont="1" applyFill="1" applyBorder="1" applyAlignment="1" applyProtection="1">
      <alignment horizontal="left" vertical="center"/>
      <protection locked="0"/>
    </xf>
    <xf numFmtId="0" fontId="33" fillId="8" borderId="1" xfId="0" applyFont="1" applyFill="1" applyBorder="1" applyAlignment="1" applyProtection="1">
      <alignment horizontal="left" vertical="center"/>
      <protection locked="0"/>
    </xf>
    <xf numFmtId="3" fontId="14" fillId="8" borderId="1" xfId="8" applyNumberFormat="1" applyFont="1" applyFill="1" applyBorder="1" applyAlignment="1" applyProtection="1">
      <alignment horizontal="right"/>
      <protection locked="0"/>
    </xf>
    <xf numFmtId="0" fontId="32" fillId="2" borderId="0" xfId="8" applyFill="1" applyProtection="1">
      <protection locked="0"/>
    </xf>
    <xf numFmtId="3" fontId="14" fillId="0" borderId="1" xfId="8" applyNumberFormat="1" applyFont="1" applyFill="1" applyBorder="1" applyAlignment="1" applyProtection="1">
      <alignment horizontal="right" vertical="center"/>
      <protection locked="0"/>
    </xf>
    <xf numFmtId="0" fontId="14" fillId="8" borderId="1" xfId="8" applyFont="1" applyFill="1" applyBorder="1" applyAlignment="1" applyProtection="1">
      <alignment vertical="center"/>
      <protection locked="0"/>
    </xf>
    <xf numFmtId="4" fontId="14" fillId="8" borderId="1" xfId="8" applyNumberFormat="1" applyFont="1" applyFill="1" applyBorder="1" applyAlignment="1" applyProtection="1">
      <alignment vertical="center"/>
      <protection locked="0"/>
    </xf>
    <xf numFmtId="0" fontId="13" fillId="4" borderId="2" xfId="8" applyFont="1" applyFill="1" applyBorder="1" applyAlignment="1">
      <alignment vertical="center" wrapText="1"/>
    </xf>
    <xf numFmtId="0" fontId="13" fillId="10" borderId="2" xfId="8" applyFont="1" applyFill="1" applyBorder="1" applyAlignment="1">
      <alignment vertical="center"/>
    </xf>
    <xf numFmtId="4" fontId="11" fillId="8" borderId="2" xfId="8" applyNumberFormat="1" applyFont="1" applyFill="1" applyBorder="1" applyAlignment="1" applyProtection="1">
      <alignment horizontal="right"/>
      <protection locked="0"/>
    </xf>
    <xf numFmtId="3" fontId="11" fillId="8" borderId="1" xfId="8" applyNumberFormat="1" applyFont="1" applyFill="1" applyBorder="1" applyAlignment="1" applyProtection="1">
      <alignment horizontal="right"/>
      <protection locked="0"/>
    </xf>
    <xf numFmtId="0" fontId="19" fillId="8" borderId="1" xfId="8" applyFont="1" applyFill="1" applyBorder="1" applyAlignment="1" applyProtection="1">
      <alignment horizontal="right" vertical="center" wrapText="1"/>
      <protection locked="0"/>
    </xf>
    <xf numFmtId="4" fontId="10" fillId="8" borderId="1" xfId="8" applyNumberFormat="1" applyFont="1" applyFill="1" applyBorder="1" applyAlignment="1" applyProtection="1">
      <alignment vertical="center"/>
      <protection locked="0"/>
    </xf>
    <xf numFmtId="0" fontId="30" fillId="8" borderId="1" xfId="8" applyFont="1" applyFill="1" applyBorder="1" applyAlignment="1" applyProtection="1">
      <alignment horizontal="right" vertical="center" wrapText="1"/>
      <protection locked="0"/>
    </xf>
    <xf numFmtId="4" fontId="42" fillId="0" borderId="2" xfId="8" applyNumberFormat="1" applyFont="1" applyFill="1" applyBorder="1" applyAlignment="1" applyProtection="1">
      <alignment vertical="center"/>
      <protection locked="0"/>
    </xf>
    <xf numFmtId="4" fontId="9" fillId="8" borderId="2" xfId="8" applyNumberFormat="1" applyFont="1" applyFill="1" applyBorder="1" applyAlignment="1" applyProtection="1">
      <alignment horizontal="right"/>
      <protection locked="0"/>
    </xf>
    <xf numFmtId="3" fontId="9" fillId="8" borderId="1" xfId="8" applyNumberFormat="1" applyFont="1" applyFill="1" applyBorder="1" applyAlignment="1" applyProtection="1">
      <alignment horizontal="right"/>
      <protection locked="0"/>
    </xf>
    <xf numFmtId="165" fontId="52" fillId="32" borderId="1" xfId="6" applyFont="1" applyFill="1" applyBorder="1" applyAlignment="1" applyProtection="1">
      <alignment horizontal="center"/>
      <protection hidden="1"/>
    </xf>
    <xf numFmtId="4" fontId="8" fillId="8" borderId="2" xfId="8" applyNumberFormat="1" applyFont="1" applyFill="1" applyBorder="1" applyAlignment="1" applyProtection="1">
      <alignment horizontal="right"/>
      <protection locked="0"/>
    </xf>
    <xf numFmtId="3" fontId="8" fillId="8" borderId="1" xfId="8" applyNumberFormat="1" applyFont="1" applyFill="1" applyBorder="1" applyAlignment="1" applyProtection="1">
      <alignment horizontal="right"/>
      <protection locked="0"/>
    </xf>
    <xf numFmtId="0" fontId="7" fillId="4" borderId="2" xfId="8" applyFont="1" applyFill="1" applyBorder="1" applyAlignment="1">
      <alignment vertical="center" wrapText="1"/>
    </xf>
    <xf numFmtId="164" fontId="17" fillId="8" borderId="1" xfId="2" applyNumberFormat="1" applyFont="1" applyFill="1" applyBorder="1" applyAlignment="1" applyProtection="1">
      <protection locked="0"/>
    </xf>
    <xf numFmtId="164" fontId="32" fillId="8" borderId="4" xfId="2" applyNumberFormat="1" applyFont="1" applyFill="1" applyBorder="1" applyAlignment="1" applyProtection="1">
      <protection locked="0"/>
    </xf>
    <xf numFmtId="164" fontId="32" fillId="8" borderId="1" xfId="2" applyNumberFormat="1" applyFont="1" applyFill="1" applyBorder="1" applyAlignment="1" applyProtection="1">
      <protection locked="0"/>
    </xf>
    <xf numFmtId="0" fontId="52" fillId="33" borderId="1" xfId="0" applyFont="1" applyFill="1" applyBorder="1" applyAlignment="1" applyProtection="1">
      <alignment vertical="center"/>
      <protection hidden="1"/>
    </xf>
    <xf numFmtId="165" fontId="52" fillId="33" borderId="1" xfId="6" applyFont="1" applyFill="1" applyBorder="1" applyAlignment="1" applyProtection="1">
      <alignment horizontal="center"/>
      <protection hidden="1"/>
    </xf>
    <xf numFmtId="165" fontId="52" fillId="33" borderId="8" xfId="0" applyNumberFormat="1" applyFont="1" applyFill="1" applyBorder="1" applyAlignment="1" applyProtection="1">
      <alignment horizontal="center" vertical="center"/>
      <protection hidden="1"/>
    </xf>
    <xf numFmtId="0" fontId="41" fillId="27" borderId="3" xfId="8" applyFont="1" applyFill="1" applyBorder="1" applyAlignment="1">
      <alignment horizontal="center" vertical="center"/>
    </xf>
    <xf numFmtId="0" fontId="32" fillId="8" borderId="9" xfId="8" applyFont="1" applyFill="1" applyBorder="1" applyAlignment="1" applyProtection="1">
      <alignment horizontal="center"/>
      <protection locked="0"/>
    </xf>
    <xf numFmtId="0" fontId="32" fillId="8" borderId="4" xfId="8" applyFont="1" applyFill="1" applyBorder="1" applyAlignment="1" applyProtection="1">
      <alignment horizontal="center"/>
      <protection locked="0"/>
    </xf>
    <xf numFmtId="164" fontId="32" fillId="8" borderId="9" xfId="2" applyNumberFormat="1" applyFont="1" applyFill="1" applyBorder="1" applyAlignment="1" applyProtection="1">
      <alignment horizontal="center" vertical="center"/>
      <protection locked="0"/>
    </xf>
    <xf numFmtId="164" fontId="32" fillId="8" borderId="4" xfId="2" applyNumberFormat="1" applyFont="1" applyFill="1" applyBorder="1" applyAlignment="1" applyProtection="1">
      <alignment horizontal="center" vertical="center"/>
      <protection locked="0"/>
    </xf>
    <xf numFmtId="165" fontId="32" fillId="10" borderId="9" xfId="6" applyFont="1" applyFill="1" applyBorder="1" applyAlignment="1">
      <alignment horizontal="center" vertical="center"/>
    </xf>
    <xf numFmtId="165" fontId="32" fillId="10" borderId="4" xfId="6" applyFont="1" applyFill="1" applyBorder="1" applyAlignment="1">
      <alignment horizontal="center" vertical="center"/>
    </xf>
    <xf numFmtId="0" fontId="3" fillId="10" borderId="10" xfId="8" applyFont="1" applyFill="1" applyBorder="1" applyAlignment="1">
      <alignment vertical="center"/>
    </xf>
    <xf numFmtId="0" fontId="2" fillId="8" borderId="1" xfId="8" applyFont="1" applyFill="1" applyBorder="1" applyAlignment="1" applyProtection="1">
      <alignment horizontal="right" vertical="center" wrapText="1"/>
      <protection locked="0"/>
    </xf>
    <xf numFmtId="170" fontId="2" fillId="8" borderId="1" xfId="8" applyNumberFormat="1" applyFont="1" applyFill="1" applyBorder="1" applyAlignment="1" applyProtection="1">
      <alignment horizontal="right" vertical="center"/>
      <protection locked="0"/>
    </xf>
    <xf numFmtId="170" fontId="2" fillId="8" borderId="1" xfId="8" applyNumberFormat="1" applyFont="1" applyFill="1" applyBorder="1" applyAlignment="1" applyProtection="1">
      <alignment vertical="center"/>
      <protection locked="0"/>
    </xf>
    <xf numFmtId="3" fontId="2" fillId="8" borderId="1" xfId="8" applyNumberFormat="1" applyFont="1" applyFill="1" applyBorder="1" applyAlignment="1" applyProtection="1">
      <alignment vertical="center"/>
      <protection locked="0"/>
    </xf>
    <xf numFmtId="3" fontId="2" fillId="0" borderId="1" xfId="8" quotePrefix="1" applyNumberFormat="1" applyFont="1" applyBorder="1" applyAlignment="1" applyProtection="1">
      <alignment horizontal="right" vertical="center"/>
      <protection locked="0"/>
    </xf>
    <xf numFmtId="4" fontId="54" fillId="0" borderId="1" xfId="8" applyNumberFormat="1" applyFont="1" applyBorder="1" applyAlignment="1" applyProtection="1">
      <alignment horizontal="right" vertical="center" shrinkToFit="1"/>
      <protection locked="0"/>
    </xf>
    <xf numFmtId="3" fontId="2" fillId="0" borderId="1" xfId="8" applyNumberFormat="1" applyFont="1" applyBorder="1" applyAlignment="1" applyProtection="1">
      <alignment horizontal="right" vertical="center"/>
      <protection locked="0"/>
    </xf>
    <xf numFmtId="174" fontId="54" fillId="0" borderId="1" xfId="0" applyNumberFormat="1" applyFont="1" applyBorder="1" applyAlignment="1" applyProtection="1">
      <alignment horizontal="left" vertical="center"/>
      <protection locked="0"/>
    </xf>
    <xf numFmtId="175" fontId="54" fillId="0" borderId="1" xfId="0" applyNumberFormat="1" applyFont="1" applyBorder="1" applyAlignment="1" applyProtection="1">
      <alignment horizontal="center" vertical="center"/>
      <protection locked="0"/>
    </xf>
    <xf numFmtId="170" fontId="32" fillId="0" borderId="1" xfId="8" applyNumberFormat="1" applyBorder="1" applyAlignment="1" applyProtection="1">
      <alignment vertical="center"/>
      <protection locked="0"/>
    </xf>
    <xf numFmtId="4" fontId="42" fillId="0" borderId="2" xfId="8" applyNumberFormat="1" applyFont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horizontal="left" vertical="center" wrapText="1" indent="1"/>
      <protection hidden="1"/>
    </xf>
    <xf numFmtId="0" fontId="54" fillId="10" borderId="0" xfId="0" applyFont="1" applyFill="1" applyBorder="1" applyAlignment="1" applyProtection="1">
      <alignment horizontal="left" vertical="center" wrapText="1"/>
      <protection hidden="1"/>
    </xf>
    <xf numFmtId="0" fontId="54" fillId="0" borderId="1" xfId="0" applyFont="1" applyBorder="1" applyAlignment="1" applyProtection="1">
      <alignment horizontal="left" vertical="center"/>
      <protection locked="0" hidden="1"/>
    </xf>
    <xf numFmtId="4" fontId="64" fillId="17" borderId="8" xfId="0" applyNumberFormat="1" applyFont="1" applyFill="1" applyBorder="1" applyAlignment="1" applyProtection="1">
      <alignment horizontal="left" vertical="center" wrapText="1"/>
      <protection hidden="1"/>
    </xf>
    <xf numFmtId="4" fontId="64" fillId="17" borderId="7" xfId="0" applyNumberFormat="1" applyFont="1" applyFill="1" applyBorder="1" applyAlignment="1" applyProtection="1">
      <alignment horizontal="left" vertical="center"/>
      <protection hidden="1"/>
    </xf>
    <xf numFmtId="0" fontId="64" fillId="17" borderId="8" xfId="0" applyFont="1" applyFill="1" applyBorder="1" applyAlignment="1" applyProtection="1">
      <alignment horizontal="left" vertical="center" wrapText="1"/>
      <protection hidden="1"/>
    </xf>
    <xf numFmtId="0" fontId="64" fillId="17" borderId="7" xfId="0" applyFont="1" applyFill="1" applyBorder="1" applyAlignment="1" applyProtection="1">
      <alignment horizontal="left" vertical="center"/>
      <protection hidden="1"/>
    </xf>
    <xf numFmtId="0" fontId="68" fillId="18" borderId="7" xfId="0" applyFont="1" applyFill="1" applyBorder="1" applyAlignment="1" applyProtection="1">
      <alignment horizontal="center" vertical="center"/>
      <protection hidden="1"/>
    </xf>
    <xf numFmtId="0" fontId="64" fillId="25" borderId="12" xfId="0" applyFont="1" applyFill="1" applyBorder="1" applyAlignment="1" applyProtection="1">
      <alignment horizontal="center" vertical="center" wrapText="1"/>
      <protection hidden="1"/>
    </xf>
    <xf numFmtId="0" fontId="64" fillId="25" borderId="10" xfId="0" applyFont="1" applyFill="1" applyBorder="1" applyAlignment="1" applyProtection="1">
      <alignment horizontal="center" vertical="center" wrapText="1"/>
      <protection hidden="1"/>
    </xf>
    <xf numFmtId="0" fontId="64" fillId="25" borderId="3" xfId="0" applyFont="1" applyFill="1" applyBorder="1" applyAlignment="1" applyProtection="1">
      <alignment horizontal="center" vertical="center" wrapText="1"/>
      <protection hidden="1"/>
    </xf>
    <xf numFmtId="0" fontId="64" fillId="25" borderId="11" xfId="0" applyFont="1" applyFill="1" applyBorder="1" applyAlignment="1" applyProtection="1">
      <alignment horizontal="center" vertical="center" wrapText="1"/>
      <protection hidden="1"/>
    </xf>
    <xf numFmtId="0" fontId="64" fillId="25" borderId="13" xfId="0" applyFont="1" applyFill="1" applyBorder="1" applyAlignment="1" applyProtection="1">
      <alignment horizontal="center" vertical="center" wrapText="1"/>
      <protection hidden="1"/>
    </xf>
    <xf numFmtId="0" fontId="64" fillId="25" borderId="6" xfId="0" applyFont="1" applyFill="1" applyBorder="1" applyAlignment="1" applyProtection="1">
      <alignment horizontal="center" vertical="center" wrapText="1"/>
      <protection hidden="1"/>
    </xf>
    <xf numFmtId="165" fontId="63" fillId="30" borderId="7" xfId="6" applyFont="1" applyFill="1" applyBorder="1" applyAlignment="1" applyProtection="1">
      <alignment horizontal="center" vertical="center"/>
      <protection hidden="1"/>
    </xf>
    <xf numFmtId="165" fontId="63" fillId="30" borderId="8" xfId="6" applyFont="1" applyFill="1" applyBorder="1" applyAlignment="1" applyProtection="1">
      <alignment horizontal="center" vertical="center"/>
      <protection hidden="1"/>
    </xf>
    <xf numFmtId="2" fontId="41" fillId="25" borderId="1" xfId="6" applyNumberFormat="1" applyFont="1" applyFill="1" applyBorder="1" applyAlignment="1" applyProtection="1">
      <alignment horizontal="center" vertical="center"/>
      <protection hidden="1"/>
    </xf>
    <xf numFmtId="0" fontId="54" fillId="8" borderId="0" xfId="0" applyFont="1" applyFill="1" applyBorder="1" applyAlignment="1" applyProtection="1">
      <alignment horizontal="left"/>
      <protection hidden="1"/>
    </xf>
    <xf numFmtId="0" fontId="54" fillId="8" borderId="0" xfId="0" applyFont="1" applyFill="1" applyAlignment="1" applyProtection="1">
      <alignment horizontal="left"/>
      <protection hidden="1"/>
    </xf>
    <xf numFmtId="0" fontId="54" fillId="8" borderId="0" xfId="0" applyFont="1" applyFill="1" applyBorder="1" applyAlignment="1" applyProtection="1">
      <alignment horizontal="center"/>
      <protection hidden="1"/>
    </xf>
    <xf numFmtId="0" fontId="53" fillId="8" borderId="0" xfId="0" applyFont="1" applyFill="1" applyBorder="1" applyAlignment="1" applyProtection="1">
      <alignment horizontal="left" vertical="center"/>
      <protection hidden="1"/>
    </xf>
    <xf numFmtId="0" fontId="53" fillId="8" borderId="0" xfId="0" applyFont="1" applyFill="1" applyBorder="1" applyAlignment="1" applyProtection="1">
      <alignment horizontal="left"/>
      <protection hidden="1"/>
    </xf>
    <xf numFmtId="0" fontId="53" fillId="8" borderId="0" xfId="0" applyFont="1" applyFill="1" applyAlignment="1" applyProtection="1">
      <alignment horizontal="left" vertical="top"/>
      <protection hidden="1"/>
    </xf>
    <xf numFmtId="0" fontId="54" fillId="8" borderId="0" xfId="0" applyFont="1" applyFill="1" applyBorder="1" applyAlignment="1" applyProtection="1">
      <alignment horizontal="right" vertical="center"/>
      <protection hidden="1"/>
    </xf>
    <xf numFmtId="0" fontId="54" fillId="8" borderId="0" xfId="0" applyFont="1" applyFill="1" applyAlignment="1" applyProtection="1">
      <alignment horizontal="right" vertical="center"/>
      <protection hidden="1"/>
    </xf>
    <xf numFmtId="0" fontId="54" fillId="10" borderId="0" xfId="0" applyFont="1" applyFill="1" applyBorder="1" applyAlignment="1" applyProtection="1">
      <alignment horizontal="right" vertical="center" wrapText="1" indent="1"/>
      <protection hidden="1"/>
    </xf>
    <xf numFmtId="9" fontId="41" fillId="25" borderId="4" xfId="4" applyFont="1" applyFill="1" applyBorder="1" applyAlignment="1" applyProtection="1">
      <alignment horizontal="center" vertical="center"/>
      <protection hidden="1"/>
    </xf>
    <xf numFmtId="4" fontId="64" fillId="25" borderId="12" xfId="0" applyNumberFormat="1" applyFont="1" applyFill="1" applyBorder="1" applyAlignment="1" applyProtection="1">
      <alignment horizontal="left" vertical="center"/>
      <protection hidden="1"/>
    </xf>
    <xf numFmtId="4" fontId="64" fillId="25" borderId="10" xfId="0" applyNumberFormat="1" applyFont="1" applyFill="1" applyBorder="1" applyAlignment="1" applyProtection="1">
      <alignment horizontal="left" vertical="center"/>
      <protection hidden="1"/>
    </xf>
    <xf numFmtId="4" fontId="64" fillId="25" borderId="3" xfId="0" applyNumberFormat="1" applyFont="1" applyFill="1" applyBorder="1" applyAlignment="1" applyProtection="1">
      <alignment horizontal="left" vertical="center"/>
      <protection hidden="1"/>
    </xf>
    <xf numFmtId="4" fontId="64" fillId="25" borderId="11" xfId="0" applyNumberFormat="1" applyFont="1" applyFill="1" applyBorder="1" applyAlignment="1" applyProtection="1">
      <alignment horizontal="left" vertical="center"/>
      <protection hidden="1"/>
    </xf>
    <xf numFmtId="4" fontId="64" fillId="25" borderId="13" xfId="0" applyNumberFormat="1" applyFont="1" applyFill="1" applyBorder="1" applyAlignment="1" applyProtection="1">
      <alignment horizontal="left" vertical="center"/>
      <protection hidden="1"/>
    </xf>
    <xf numFmtId="4" fontId="64" fillId="25" borderId="6" xfId="0" applyNumberFormat="1" applyFont="1" applyFill="1" applyBorder="1" applyAlignment="1" applyProtection="1">
      <alignment horizontal="left" vertical="center"/>
      <protection hidden="1"/>
    </xf>
    <xf numFmtId="164" fontId="63" fillId="30" borderId="10" xfId="2" applyFont="1" applyFill="1" applyBorder="1" applyAlignment="1" applyProtection="1">
      <alignment horizontal="center" vertical="center"/>
      <protection hidden="1"/>
    </xf>
    <xf numFmtId="164" fontId="63" fillId="30" borderId="3" xfId="2" applyFont="1" applyFill="1" applyBorder="1" applyAlignment="1" applyProtection="1">
      <alignment horizontal="center" vertical="center"/>
      <protection hidden="1"/>
    </xf>
    <xf numFmtId="164" fontId="63" fillId="30" borderId="13" xfId="2" applyFont="1" applyFill="1" applyBorder="1" applyAlignment="1" applyProtection="1">
      <alignment horizontal="center" vertical="center"/>
      <protection hidden="1"/>
    </xf>
    <xf numFmtId="164" fontId="63" fillId="30" borderId="6" xfId="2" applyFont="1" applyFill="1" applyBorder="1" applyAlignment="1" applyProtection="1">
      <alignment horizontal="center" vertical="center"/>
      <protection hidden="1"/>
    </xf>
    <xf numFmtId="0" fontId="54" fillId="10" borderId="0" xfId="0" applyFont="1" applyFill="1" applyBorder="1" applyAlignment="1" applyProtection="1">
      <alignment horizontal="left" vertical="center"/>
      <protection hidden="1"/>
    </xf>
    <xf numFmtId="0" fontId="54" fillId="10" borderId="0" xfId="0" applyFont="1" applyFill="1" applyBorder="1" applyAlignment="1" applyProtection="1">
      <alignment horizontal="center" vertical="center"/>
      <protection hidden="1"/>
    </xf>
    <xf numFmtId="0" fontId="54" fillId="8" borderId="1" xfId="0" applyFont="1" applyFill="1" applyBorder="1" applyAlignment="1" applyProtection="1">
      <alignment horizontal="left"/>
      <protection locked="0"/>
    </xf>
    <xf numFmtId="174" fontId="54" fillId="0" borderId="9" xfId="0" applyNumberFormat="1" applyFont="1" applyFill="1" applyBorder="1" applyAlignment="1" applyProtection="1">
      <alignment horizontal="left" vertical="center"/>
      <protection locked="0" hidden="1"/>
    </xf>
    <xf numFmtId="0" fontId="54" fillId="0" borderId="1" xfId="0" applyFont="1" applyFill="1" applyBorder="1" applyAlignment="1" applyProtection="1">
      <alignment horizontal="left" vertical="center"/>
      <protection locked="0" hidden="1"/>
    </xf>
    <xf numFmtId="0" fontId="59" fillId="0" borderId="1" xfId="1" applyFont="1" applyFill="1" applyBorder="1" applyAlignment="1" applyProtection="1">
      <alignment horizontal="left" vertical="center"/>
      <protection locked="0" hidden="1"/>
    </xf>
    <xf numFmtId="175" fontId="54" fillId="0" borderId="1" xfId="0" applyNumberFormat="1" applyFont="1" applyFill="1" applyBorder="1" applyAlignment="1" applyProtection="1">
      <alignment horizontal="center" vertical="center"/>
      <protection locked="0" hidden="1"/>
    </xf>
    <xf numFmtId="0" fontId="54" fillId="10" borderId="8" xfId="0" applyFont="1" applyFill="1" applyBorder="1" applyAlignment="1" applyProtection="1">
      <alignment horizontal="center" vertical="center" wrapText="1"/>
      <protection hidden="1"/>
    </xf>
    <xf numFmtId="0" fontId="54" fillId="10" borderId="2" xfId="0" applyFont="1" applyFill="1" applyBorder="1" applyAlignment="1" applyProtection="1">
      <alignment horizontal="center" vertical="center" wrapText="1"/>
      <protection hidden="1"/>
    </xf>
    <xf numFmtId="4" fontId="36" fillId="32" borderId="13" xfId="1" applyNumberFormat="1" applyFill="1" applyBorder="1" applyAlignment="1" applyProtection="1">
      <alignment horizontal="center" vertical="center"/>
      <protection hidden="1"/>
    </xf>
    <xf numFmtId="0" fontId="64" fillId="25" borderId="8" xfId="0" applyFont="1" applyFill="1" applyBorder="1" applyAlignment="1" applyProtection="1">
      <alignment horizontal="left" vertical="center"/>
      <protection hidden="1"/>
    </xf>
    <xf numFmtId="0" fontId="64" fillId="25" borderId="7" xfId="0" applyFont="1" applyFill="1" applyBorder="1" applyAlignment="1" applyProtection="1">
      <alignment horizontal="left" vertical="center"/>
      <protection hidden="1"/>
    </xf>
    <xf numFmtId="0" fontId="64" fillId="25" borderId="2" xfId="0" applyFont="1" applyFill="1" applyBorder="1" applyAlignment="1" applyProtection="1">
      <alignment horizontal="left" vertical="center"/>
      <protection hidden="1"/>
    </xf>
    <xf numFmtId="164" fontId="63" fillId="30" borderId="8" xfId="2" applyFont="1" applyFill="1" applyBorder="1" applyAlignment="1" applyProtection="1">
      <alignment horizontal="center" vertical="center"/>
      <protection hidden="1"/>
    </xf>
    <xf numFmtId="164" fontId="63" fillId="30" borderId="2" xfId="2" applyFont="1" applyFill="1" applyBorder="1" applyAlignment="1" applyProtection="1">
      <alignment horizontal="center" vertical="center"/>
      <protection hidden="1"/>
    </xf>
    <xf numFmtId="0" fontId="64" fillId="25" borderId="11" xfId="0" applyFont="1" applyFill="1" applyBorder="1" applyAlignment="1" applyProtection="1">
      <alignment horizontal="left" vertical="center"/>
      <protection hidden="1"/>
    </xf>
    <xf numFmtId="0" fontId="64" fillId="25" borderId="13" xfId="0" applyFont="1" applyFill="1" applyBorder="1" applyAlignment="1" applyProtection="1">
      <alignment horizontal="left" vertical="center"/>
      <protection hidden="1"/>
    </xf>
    <xf numFmtId="0" fontId="64" fillId="25" borderId="6" xfId="0" applyFont="1" applyFill="1" applyBorder="1" applyAlignment="1" applyProtection="1">
      <alignment horizontal="left" vertical="center"/>
      <protection hidden="1"/>
    </xf>
    <xf numFmtId="0" fontId="64" fillId="25" borderId="12" xfId="0" applyFont="1" applyFill="1" applyBorder="1" applyAlignment="1" applyProtection="1">
      <alignment horizontal="left" vertical="center"/>
      <protection hidden="1"/>
    </xf>
    <xf numFmtId="0" fontId="64" fillId="25" borderId="10" xfId="0" applyFont="1" applyFill="1" applyBorder="1" applyAlignment="1" applyProtection="1">
      <alignment horizontal="left" vertical="center"/>
      <protection hidden="1"/>
    </xf>
    <xf numFmtId="0" fontId="64" fillId="25" borderId="3" xfId="0" applyFont="1" applyFill="1" applyBorder="1" applyAlignment="1" applyProtection="1">
      <alignment horizontal="left" vertical="center"/>
      <protection hidden="1"/>
    </xf>
    <xf numFmtId="165" fontId="63" fillId="30" borderId="12" xfId="6" applyFont="1" applyFill="1" applyBorder="1" applyAlignment="1" applyProtection="1">
      <alignment horizontal="center" vertical="center"/>
      <protection hidden="1"/>
    </xf>
    <xf numFmtId="165" fontId="63" fillId="30" borderId="3" xfId="6" applyFont="1" applyFill="1" applyBorder="1" applyAlignment="1" applyProtection="1">
      <alignment horizontal="center" vertical="center"/>
      <protection hidden="1"/>
    </xf>
    <xf numFmtId="164" fontId="63" fillId="30" borderId="11" xfId="2" applyFont="1" applyFill="1" applyBorder="1" applyAlignment="1" applyProtection="1">
      <alignment horizontal="center" vertical="center"/>
      <protection hidden="1"/>
    </xf>
    <xf numFmtId="165" fontId="63" fillId="30" borderId="10" xfId="2" applyNumberFormat="1" applyFont="1" applyFill="1" applyBorder="1" applyAlignment="1" applyProtection="1">
      <alignment horizontal="center" vertical="center"/>
      <protection hidden="1"/>
    </xf>
    <xf numFmtId="165" fontId="63" fillId="30" borderId="3" xfId="2" applyNumberFormat="1" applyFont="1" applyFill="1" applyBorder="1" applyAlignment="1" applyProtection="1">
      <alignment horizontal="center" vertical="center"/>
      <protection hidden="1"/>
    </xf>
    <xf numFmtId="165" fontId="63" fillId="30" borderId="13" xfId="2" applyNumberFormat="1" applyFont="1" applyFill="1" applyBorder="1" applyAlignment="1" applyProtection="1">
      <alignment horizontal="center" vertical="center"/>
      <protection hidden="1"/>
    </xf>
    <xf numFmtId="165" fontId="63" fillId="30" borderId="6" xfId="2" applyNumberFormat="1" applyFont="1" applyFill="1" applyBorder="1" applyAlignment="1" applyProtection="1">
      <alignment horizontal="center" vertical="center"/>
      <protection hidden="1"/>
    </xf>
    <xf numFmtId="0" fontId="52" fillId="4" borderId="9" xfId="0" applyNumberFormat="1" applyFont="1" applyFill="1" applyBorder="1" applyAlignment="1" applyProtection="1">
      <alignment horizontal="center" vertical="center"/>
      <protection hidden="1"/>
    </xf>
    <xf numFmtId="0" fontId="52" fillId="4" borderId="4" xfId="0" applyNumberFormat="1" applyFont="1" applyFill="1" applyBorder="1" applyAlignment="1" applyProtection="1">
      <alignment horizontal="center" vertical="center"/>
      <protection hidden="1"/>
    </xf>
    <xf numFmtId="0" fontId="52" fillId="4" borderId="14" xfId="0" applyNumberFormat="1" applyFont="1" applyFill="1" applyBorder="1" applyAlignment="1" applyProtection="1">
      <alignment horizontal="center" vertical="center"/>
      <protection hidden="1"/>
    </xf>
    <xf numFmtId="1" fontId="52" fillId="4" borderId="9" xfId="0" applyNumberFormat="1" applyFont="1" applyFill="1" applyBorder="1" applyAlignment="1" applyProtection="1">
      <alignment horizontal="center" vertical="center"/>
      <protection hidden="1"/>
    </xf>
    <xf numFmtId="1" fontId="52" fillId="4" borderId="14" xfId="0" applyNumberFormat="1" applyFont="1" applyFill="1" applyBorder="1" applyAlignment="1" applyProtection="1">
      <alignment horizontal="center" vertical="center"/>
      <protection hidden="1"/>
    </xf>
    <xf numFmtId="1" fontId="52" fillId="4" borderId="4" xfId="0" applyNumberFormat="1" applyFont="1" applyFill="1" applyBorder="1" applyAlignment="1" applyProtection="1">
      <alignment horizontal="center" vertical="center"/>
      <protection hidden="1"/>
    </xf>
    <xf numFmtId="0" fontId="52" fillId="13" borderId="0" xfId="0" applyFont="1" applyFill="1" applyAlignment="1" applyProtection="1">
      <alignment horizontal="right" vertical="center"/>
      <protection hidden="1"/>
    </xf>
    <xf numFmtId="0" fontId="52" fillId="15" borderId="9" xfId="0" applyFont="1" applyFill="1" applyBorder="1" applyAlignment="1" applyProtection="1">
      <alignment horizontal="center" vertical="center"/>
      <protection hidden="1"/>
    </xf>
    <xf numFmtId="0" fontId="52" fillId="15" borderId="14" xfId="0" applyFont="1" applyFill="1" applyBorder="1" applyAlignment="1" applyProtection="1">
      <alignment horizontal="center" vertical="center"/>
      <protection hidden="1"/>
    </xf>
    <xf numFmtId="0" fontId="52" fillId="15" borderId="4" xfId="0" applyFont="1" applyFill="1" applyBorder="1" applyAlignment="1" applyProtection="1">
      <alignment horizontal="center" vertical="center"/>
      <protection hidden="1"/>
    </xf>
    <xf numFmtId="0" fontId="56" fillId="5" borderId="8" xfId="0" applyFont="1" applyFill="1" applyBorder="1" applyAlignment="1" applyProtection="1">
      <alignment horizontal="center" vertical="center"/>
      <protection hidden="1"/>
    </xf>
    <xf numFmtId="0" fontId="56" fillId="5" borderId="7" xfId="0" applyFont="1" applyFill="1" applyBorder="1" applyAlignment="1" applyProtection="1">
      <alignment horizontal="center" vertical="center"/>
      <protection hidden="1"/>
    </xf>
    <xf numFmtId="0" fontId="56" fillId="5" borderId="2" xfId="0" applyFont="1" applyFill="1" applyBorder="1" applyAlignment="1" applyProtection="1">
      <alignment horizontal="center" vertical="center"/>
      <protection hidden="1"/>
    </xf>
    <xf numFmtId="0" fontId="52" fillId="4" borderId="8" xfId="0" applyFont="1" applyFill="1" applyBorder="1" applyAlignment="1" applyProtection="1">
      <alignment horizontal="left" vertical="center"/>
      <protection hidden="1"/>
    </xf>
    <xf numFmtId="0" fontId="52" fillId="4" borderId="7" xfId="0" applyFont="1" applyFill="1" applyBorder="1" applyAlignment="1" applyProtection="1">
      <alignment horizontal="left" vertical="center"/>
      <protection hidden="1"/>
    </xf>
    <xf numFmtId="0" fontId="52" fillId="4" borderId="2" xfId="0" applyFont="1" applyFill="1" applyBorder="1" applyAlignment="1" applyProtection="1">
      <alignment horizontal="left" vertical="center"/>
      <protection hidden="1"/>
    </xf>
    <xf numFmtId="14" fontId="67" fillId="15" borderId="9" xfId="0" applyNumberFormat="1" applyFont="1" applyFill="1" applyBorder="1" applyAlignment="1" applyProtection="1">
      <alignment horizontal="center" vertical="center"/>
      <protection hidden="1"/>
    </xf>
    <xf numFmtId="14" fontId="67" fillId="15" borderId="14" xfId="0" applyNumberFormat="1" applyFont="1" applyFill="1" applyBorder="1" applyAlignment="1" applyProtection="1">
      <alignment horizontal="center" vertical="center"/>
      <protection hidden="1"/>
    </xf>
    <xf numFmtId="14" fontId="67" fillId="15" borderId="4" xfId="0" applyNumberFormat="1" applyFont="1" applyFill="1" applyBorder="1" applyAlignment="1" applyProtection="1">
      <alignment horizontal="center" vertical="center"/>
      <protection hidden="1"/>
    </xf>
    <xf numFmtId="0" fontId="52" fillId="5" borderId="8" xfId="0" applyFont="1" applyFill="1" applyBorder="1" applyAlignment="1" applyProtection="1">
      <alignment horizontal="center" vertical="center"/>
      <protection hidden="1"/>
    </xf>
    <xf numFmtId="0" fontId="52" fillId="5" borderId="7" xfId="0" applyFont="1" applyFill="1" applyBorder="1" applyAlignment="1" applyProtection="1">
      <alignment horizontal="center" vertical="center"/>
      <protection hidden="1"/>
    </xf>
    <xf numFmtId="0" fontId="52" fillId="5" borderId="2" xfId="0" applyFont="1" applyFill="1" applyBorder="1" applyAlignment="1" applyProtection="1">
      <alignment horizontal="center" vertical="center"/>
      <protection hidden="1"/>
    </xf>
    <xf numFmtId="0" fontId="52" fillId="5" borderId="12" xfId="0" applyFont="1" applyFill="1" applyBorder="1" applyAlignment="1" applyProtection="1">
      <alignment horizontal="center" vertical="center"/>
      <protection hidden="1"/>
    </xf>
    <xf numFmtId="0" fontId="52" fillId="5" borderId="3" xfId="0" applyFont="1" applyFill="1" applyBorder="1" applyAlignment="1" applyProtection="1">
      <alignment horizontal="center" vertical="center"/>
      <protection hidden="1"/>
    </xf>
    <xf numFmtId="0" fontId="52" fillId="0" borderId="14" xfId="0" applyFont="1" applyBorder="1"/>
    <xf numFmtId="0" fontId="52" fillId="0" borderId="4" xfId="0" applyFont="1" applyBorder="1"/>
    <xf numFmtId="0" fontId="52" fillId="5" borderId="1" xfId="0" applyFont="1" applyFill="1" applyBorder="1" applyAlignment="1" applyProtection="1">
      <alignment horizontal="center"/>
      <protection hidden="1"/>
    </xf>
    <xf numFmtId="0" fontId="56" fillId="5" borderId="1" xfId="0" applyFont="1" applyFill="1" applyBorder="1" applyAlignment="1" applyProtection="1">
      <alignment horizontal="center" vertical="center"/>
      <protection hidden="1"/>
    </xf>
    <xf numFmtId="0" fontId="52" fillId="5" borderId="1" xfId="0" applyFont="1" applyFill="1" applyBorder="1" applyAlignment="1" applyProtection="1">
      <alignment horizontal="center" vertical="center"/>
      <protection hidden="1"/>
    </xf>
    <xf numFmtId="0" fontId="52" fillId="14" borderId="1" xfId="0" applyFont="1" applyFill="1" applyBorder="1" applyAlignment="1" applyProtection="1">
      <alignment horizontal="center" vertical="center"/>
      <protection hidden="1"/>
    </xf>
    <xf numFmtId="0" fontId="56" fillId="14" borderId="1" xfId="0" applyFont="1" applyFill="1" applyBorder="1" applyAlignment="1" applyProtection="1">
      <alignment horizontal="center" vertical="center"/>
      <protection hidden="1"/>
    </xf>
    <xf numFmtId="0" fontId="52" fillId="0" borderId="0" xfId="0" applyFont="1" applyFill="1" applyAlignment="1" applyProtection="1">
      <alignment horizontal="left" vertical="center"/>
      <protection hidden="1"/>
    </xf>
    <xf numFmtId="0" fontId="52" fillId="0" borderId="0" xfId="0" applyFont="1" applyFill="1" applyAlignment="1" applyProtection="1">
      <alignment horizontal="left"/>
      <protection hidden="1"/>
    </xf>
    <xf numFmtId="0" fontId="68" fillId="11" borderId="1" xfId="0" applyFont="1" applyFill="1" applyBorder="1" applyAlignment="1" applyProtection="1">
      <alignment horizontal="center"/>
      <protection hidden="1"/>
    </xf>
    <xf numFmtId="0" fontId="68" fillId="25" borderId="8" xfId="0" applyFont="1" applyFill="1" applyBorder="1" applyAlignment="1" applyProtection="1">
      <alignment horizontal="center"/>
      <protection hidden="1"/>
    </xf>
    <xf numFmtId="0" fontId="68" fillId="25" borderId="7" xfId="0" applyFont="1" applyFill="1" applyBorder="1" applyAlignment="1" applyProtection="1">
      <alignment horizontal="center"/>
      <protection hidden="1"/>
    </xf>
    <xf numFmtId="0" fontId="68" fillId="25" borderId="2" xfId="0" applyFont="1" applyFill="1" applyBorder="1" applyAlignment="1" applyProtection="1">
      <alignment horizontal="center"/>
      <protection hidden="1"/>
    </xf>
    <xf numFmtId="0" fontId="52" fillId="4" borderId="8" xfId="0" applyFont="1" applyFill="1" applyBorder="1" applyAlignment="1" applyProtection="1">
      <alignment horizontal="left"/>
      <protection hidden="1"/>
    </xf>
    <xf numFmtId="0" fontId="52" fillId="4" borderId="7" xfId="0" applyFont="1" applyFill="1" applyBorder="1" applyAlignment="1" applyProtection="1">
      <alignment horizontal="left"/>
      <protection hidden="1"/>
    </xf>
    <xf numFmtId="0" fontId="68" fillId="11" borderId="12" xfId="0" applyFont="1" applyFill="1" applyBorder="1" applyAlignment="1" applyProtection="1">
      <alignment horizontal="center"/>
      <protection hidden="1"/>
    </xf>
    <xf numFmtId="0" fontId="68" fillId="11" borderId="10" xfId="0" applyFont="1" applyFill="1" applyBorder="1" applyAlignment="1" applyProtection="1">
      <alignment horizontal="center"/>
      <protection hidden="1"/>
    </xf>
    <xf numFmtId="0" fontId="68" fillId="11" borderId="3" xfId="0" applyFont="1" applyFill="1" applyBorder="1" applyAlignment="1" applyProtection="1">
      <alignment horizontal="center"/>
      <protection hidden="1"/>
    </xf>
    <xf numFmtId="0" fontId="88" fillId="18" borderId="13" xfId="0" applyFont="1" applyFill="1" applyBorder="1" applyAlignment="1" applyProtection="1">
      <alignment horizontal="center" vertical="center"/>
      <protection hidden="1"/>
    </xf>
    <xf numFmtId="0" fontId="68" fillId="25" borderId="8" xfId="0" applyFont="1" applyFill="1" applyBorder="1" applyAlignment="1" applyProtection="1">
      <alignment horizontal="center" vertical="center"/>
      <protection hidden="1"/>
    </xf>
    <xf numFmtId="0" fontId="68" fillId="25" borderId="2" xfId="0" applyFont="1" applyFill="1" applyBorder="1" applyAlignment="1" applyProtection="1">
      <alignment horizontal="center" vertical="center"/>
      <protection hidden="1"/>
    </xf>
    <xf numFmtId="0" fontId="68" fillId="25" borderId="1" xfId="0" applyFont="1" applyFill="1" applyBorder="1" applyAlignment="1" applyProtection="1">
      <alignment horizontal="center" vertical="center"/>
      <protection hidden="1"/>
    </xf>
    <xf numFmtId="0" fontId="68" fillId="25" borderId="12" xfId="0" applyFont="1" applyFill="1" applyBorder="1" applyAlignment="1" applyProtection="1">
      <alignment horizontal="center" vertical="center"/>
      <protection hidden="1"/>
    </xf>
    <xf numFmtId="0" fontId="68" fillId="25" borderId="3" xfId="0" applyFont="1" applyFill="1" applyBorder="1" applyAlignment="1" applyProtection="1">
      <alignment horizontal="center" vertical="center"/>
      <protection hidden="1"/>
    </xf>
    <xf numFmtId="0" fontId="68" fillId="25" borderId="11" xfId="0" applyFont="1" applyFill="1" applyBorder="1" applyAlignment="1" applyProtection="1">
      <alignment horizontal="center" vertical="center"/>
      <protection hidden="1"/>
    </xf>
    <xf numFmtId="0" fontId="68" fillId="25" borderId="6" xfId="0" applyFont="1" applyFill="1" applyBorder="1" applyAlignment="1" applyProtection="1">
      <alignment horizontal="center" vertical="center"/>
      <protection hidden="1"/>
    </xf>
    <xf numFmtId="0" fontId="56" fillId="21" borderId="8" xfId="0" applyFont="1" applyFill="1" applyBorder="1" applyAlignment="1" applyProtection="1">
      <alignment horizontal="center" vertical="center"/>
      <protection hidden="1"/>
    </xf>
    <xf numFmtId="0" fontId="56" fillId="21" borderId="7" xfId="0" applyFont="1" applyFill="1" applyBorder="1" applyAlignment="1" applyProtection="1">
      <alignment horizontal="center" vertical="center"/>
      <protection hidden="1"/>
    </xf>
    <xf numFmtId="0" fontId="56" fillId="21" borderId="2" xfId="0" applyFont="1" applyFill="1" applyBorder="1" applyAlignment="1" applyProtection="1">
      <alignment horizontal="center" vertical="center"/>
      <protection hidden="1"/>
    </xf>
    <xf numFmtId="0" fontId="68" fillId="11" borderId="4" xfId="0" applyFont="1" applyFill="1" applyBorder="1" applyAlignment="1" applyProtection="1">
      <alignment horizontal="center"/>
      <protection hidden="1"/>
    </xf>
    <xf numFmtId="0" fontId="69" fillId="25" borderId="1" xfId="0" applyFont="1" applyFill="1" applyBorder="1" applyAlignment="1" applyProtection="1">
      <alignment horizontal="center"/>
      <protection hidden="1"/>
    </xf>
    <xf numFmtId="0" fontId="52" fillId="12" borderId="1" xfId="0" applyFont="1" applyFill="1" applyBorder="1" applyAlignment="1" applyProtection="1">
      <alignment horizontal="center" vertical="center"/>
      <protection hidden="1"/>
    </xf>
    <xf numFmtId="0" fontId="68" fillId="6" borderId="16" xfId="0" applyFont="1" applyFill="1" applyBorder="1" applyAlignment="1" applyProtection="1">
      <alignment horizontal="left" wrapText="1"/>
      <protection hidden="1"/>
    </xf>
    <xf numFmtId="0" fontId="68" fillId="6" borderId="17" xfId="0" applyFont="1" applyFill="1" applyBorder="1" applyAlignment="1" applyProtection="1">
      <alignment horizontal="left"/>
      <protection hidden="1"/>
    </xf>
    <xf numFmtId="0" fontId="68" fillId="6" borderId="18" xfId="0" applyFont="1" applyFill="1" applyBorder="1" applyAlignment="1" applyProtection="1">
      <alignment horizontal="left"/>
      <protection hidden="1"/>
    </xf>
    <xf numFmtId="0" fontId="68" fillId="6" borderId="19" xfId="0" applyFont="1" applyFill="1" applyBorder="1" applyAlignment="1" applyProtection="1">
      <alignment horizontal="left"/>
      <protection hidden="1"/>
    </xf>
    <xf numFmtId="0" fontId="68" fillId="6" borderId="9" xfId="0" applyFont="1" applyFill="1" applyBorder="1" applyAlignment="1" applyProtection="1">
      <alignment horizontal="center" vertical="center"/>
      <protection hidden="1"/>
    </xf>
    <xf numFmtId="0" fontId="68" fillId="6" borderId="4" xfId="0" applyFont="1" applyFill="1" applyBorder="1" applyAlignment="1" applyProtection="1">
      <alignment horizontal="center" vertical="center"/>
      <protection hidden="1"/>
    </xf>
    <xf numFmtId="0" fontId="68" fillId="6" borderId="9" xfId="0" applyFont="1" applyFill="1" applyBorder="1" applyAlignment="1" applyProtection="1">
      <alignment horizontal="center" vertical="center" wrapText="1"/>
      <protection hidden="1"/>
    </xf>
    <xf numFmtId="0" fontId="68" fillId="6" borderId="4" xfId="0" applyFont="1" applyFill="1" applyBorder="1" applyAlignment="1" applyProtection="1">
      <alignment horizontal="center" vertical="center" wrapText="1"/>
      <protection hidden="1"/>
    </xf>
    <xf numFmtId="0" fontId="68" fillId="11" borderId="9" xfId="0" applyFont="1" applyFill="1" applyBorder="1" applyAlignment="1" applyProtection="1">
      <alignment horizontal="center"/>
      <protection hidden="1"/>
    </xf>
    <xf numFmtId="0" fontId="52" fillId="12" borderId="1" xfId="0" applyFont="1" applyFill="1" applyBorder="1" applyAlignment="1" applyProtection="1">
      <alignment horizontal="left"/>
      <protection hidden="1"/>
    </xf>
    <xf numFmtId="0" fontId="52" fillId="4" borderId="1" xfId="0" applyFont="1" applyFill="1" applyBorder="1" applyAlignment="1" applyProtection="1">
      <alignment horizontal="left" vertical="center"/>
      <protection hidden="1"/>
    </xf>
    <xf numFmtId="0" fontId="88" fillId="18" borderId="8" xfId="0" applyFont="1" applyFill="1" applyBorder="1" applyAlignment="1">
      <alignment horizontal="center" vertical="center"/>
    </xf>
    <xf numFmtId="0" fontId="88" fillId="18" borderId="7" xfId="0" applyFont="1" applyFill="1" applyBorder="1" applyAlignment="1">
      <alignment horizontal="center" vertical="center"/>
    </xf>
    <xf numFmtId="0" fontId="88" fillId="18" borderId="2" xfId="0" applyFont="1" applyFill="1" applyBorder="1" applyAlignment="1">
      <alignment horizontal="center" vertical="center"/>
    </xf>
    <xf numFmtId="0" fontId="41" fillId="25" borderId="0" xfId="0" applyFont="1" applyFill="1" applyBorder="1" applyAlignment="1">
      <alignment horizontal="left" vertical="center"/>
    </xf>
    <xf numFmtId="164" fontId="54" fillId="8" borderId="0" xfId="2" applyFont="1" applyFill="1" applyBorder="1" applyAlignment="1" applyProtection="1">
      <alignment horizontal="center" vertical="center"/>
      <protection locked="0"/>
    </xf>
    <xf numFmtId="0" fontId="54" fillId="30" borderId="0" xfId="0" applyFont="1" applyFill="1" applyBorder="1" applyAlignment="1" applyProtection="1">
      <alignment horizontal="left" vertical="center"/>
      <protection locked="0" hidden="1"/>
    </xf>
    <xf numFmtId="174" fontId="54" fillId="30" borderId="0" xfId="0" applyNumberFormat="1" applyFont="1" applyFill="1" applyBorder="1" applyAlignment="1" applyProtection="1">
      <alignment horizontal="left" vertical="center"/>
      <protection locked="0" hidden="1"/>
    </xf>
    <xf numFmtId="0" fontId="41" fillId="25" borderId="0" xfId="0" applyFont="1" applyFill="1" applyBorder="1" applyAlignment="1">
      <alignment horizontal="center" vertical="center"/>
    </xf>
    <xf numFmtId="0" fontId="53" fillId="30" borderId="0" xfId="0" applyFont="1" applyFill="1" applyBorder="1" applyAlignment="1">
      <alignment horizontal="center" vertical="center" wrapText="1"/>
    </xf>
    <xf numFmtId="165" fontId="53" fillId="30" borderId="0" xfId="6" applyFont="1" applyFill="1" applyBorder="1" applyAlignment="1">
      <alignment horizontal="center" vertical="center"/>
    </xf>
    <xf numFmtId="0" fontId="41" fillId="18" borderId="8" xfId="0" applyFont="1" applyFill="1" applyBorder="1" applyAlignment="1">
      <alignment horizontal="center" vertical="center"/>
    </xf>
    <xf numFmtId="0" fontId="41" fillId="18" borderId="7" xfId="0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68" fillId="6" borderId="12" xfId="0" applyFont="1" applyFill="1" applyBorder="1" applyAlignment="1">
      <alignment horizontal="left"/>
    </xf>
    <xf numFmtId="0" fontId="68" fillId="6" borderId="3" xfId="0" applyFont="1" applyFill="1" applyBorder="1" applyAlignment="1">
      <alignment horizontal="left"/>
    </xf>
    <xf numFmtId="0" fontId="68" fillId="6" borderId="11" xfId="0" applyFont="1" applyFill="1" applyBorder="1" applyAlignment="1">
      <alignment horizontal="left"/>
    </xf>
    <xf numFmtId="0" fontId="68" fillId="6" borderId="6" xfId="0" applyFont="1" applyFill="1" applyBorder="1" applyAlignment="1">
      <alignment horizontal="left"/>
    </xf>
    <xf numFmtId="0" fontId="68" fillId="18" borderId="13" xfId="0" applyFont="1" applyFill="1" applyBorder="1" applyAlignment="1">
      <alignment horizontal="center" vertical="center"/>
    </xf>
    <xf numFmtId="4" fontId="53" fillId="12" borderId="12" xfId="0" applyNumberFormat="1" applyFont="1" applyFill="1" applyBorder="1" applyAlignment="1">
      <alignment horizontal="right"/>
    </xf>
    <xf numFmtId="4" fontId="53" fillId="12" borderId="10" xfId="0" applyNumberFormat="1" applyFont="1" applyFill="1" applyBorder="1" applyAlignment="1">
      <alignment horizontal="right"/>
    </xf>
    <xf numFmtId="4" fontId="53" fillId="12" borderId="11" xfId="0" applyNumberFormat="1" applyFont="1" applyFill="1" applyBorder="1" applyAlignment="1">
      <alignment horizontal="right"/>
    </xf>
    <xf numFmtId="4" fontId="53" fillId="12" borderId="13" xfId="0" applyNumberFormat="1" applyFont="1" applyFill="1" applyBorder="1" applyAlignment="1">
      <alignment horizontal="right"/>
    </xf>
    <xf numFmtId="0" fontId="68" fillId="18" borderId="8" xfId="0" applyFont="1" applyFill="1" applyBorder="1" applyAlignment="1">
      <alignment horizontal="center"/>
    </xf>
    <xf numFmtId="0" fontId="68" fillId="18" borderId="7" xfId="0" applyFont="1" applyFill="1" applyBorder="1" applyAlignment="1">
      <alignment horizontal="center"/>
    </xf>
    <xf numFmtId="0" fontId="68" fillId="18" borderId="2" xfId="0" applyFont="1" applyFill="1" applyBorder="1" applyAlignment="1">
      <alignment horizontal="center"/>
    </xf>
    <xf numFmtId="0" fontId="68" fillId="6" borderId="12" xfId="0" applyFont="1" applyFill="1" applyBorder="1" applyAlignment="1">
      <alignment horizontal="center" vertical="center" wrapText="1"/>
    </xf>
    <xf numFmtId="0" fontId="68" fillId="6" borderId="3" xfId="0" applyFont="1" applyFill="1" applyBorder="1" applyAlignment="1">
      <alignment horizontal="center" vertical="center" wrapText="1"/>
    </xf>
    <xf numFmtId="0" fontId="68" fillId="6" borderId="11" xfId="0" applyFont="1" applyFill="1" applyBorder="1" applyAlignment="1">
      <alignment horizontal="center" vertical="center" wrapText="1"/>
    </xf>
    <xf numFmtId="0" fontId="68" fillId="6" borderId="6" xfId="0" applyFont="1" applyFill="1" applyBorder="1" applyAlignment="1">
      <alignment horizontal="center" vertical="center" wrapText="1"/>
    </xf>
    <xf numFmtId="0" fontId="41" fillId="6" borderId="1" xfId="0" applyFont="1" applyFill="1" applyBorder="1" applyAlignment="1">
      <alignment horizontal="center"/>
    </xf>
    <xf numFmtId="2" fontId="51" fillId="6" borderId="9" xfId="0" applyNumberFormat="1" applyFont="1" applyFill="1" applyBorder="1" applyAlignment="1">
      <alignment horizontal="center" vertical="center"/>
    </xf>
    <xf numFmtId="2" fontId="51" fillId="6" borderId="14" xfId="0" applyNumberFormat="1" applyFont="1" applyFill="1" applyBorder="1" applyAlignment="1">
      <alignment horizontal="center" vertical="center"/>
    </xf>
    <xf numFmtId="2" fontId="51" fillId="6" borderId="4" xfId="0" applyNumberFormat="1" applyFont="1" applyFill="1" applyBorder="1" applyAlignment="1">
      <alignment horizontal="center" vertical="center"/>
    </xf>
    <xf numFmtId="0" fontId="52" fillId="12" borderId="12" xfId="0" applyFont="1" applyFill="1" applyBorder="1" applyAlignment="1">
      <alignment horizontal="center" vertical="center" wrapText="1"/>
    </xf>
    <xf numFmtId="0" fontId="52" fillId="12" borderId="10" xfId="0" applyFont="1" applyFill="1" applyBorder="1" applyAlignment="1">
      <alignment horizontal="center" vertical="center" wrapText="1"/>
    </xf>
    <xf numFmtId="0" fontId="52" fillId="12" borderId="3" xfId="0" applyFont="1" applyFill="1" applyBorder="1" applyAlignment="1">
      <alignment horizontal="center" vertical="center" wrapText="1"/>
    </xf>
    <xf numFmtId="0" fontId="52" fillId="12" borderId="11" xfId="0" applyFont="1" applyFill="1" applyBorder="1" applyAlignment="1">
      <alignment horizontal="center" vertical="center" wrapText="1"/>
    </xf>
    <xf numFmtId="0" fontId="52" fillId="12" borderId="13" xfId="0" applyFont="1" applyFill="1" applyBorder="1" applyAlignment="1">
      <alignment horizontal="center" vertical="center" wrapText="1"/>
    </xf>
    <xf numFmtId="0" fontId="52" fillId="12" borderId="6" xfId="0" applyFont="1" applyFill="1" applyBorder="1" applyAlignment="1">
      <alignment horizontal="center" vertical="center" wrapText="1"/>
    </xf>
    <xf numFmtId="0" fontId="91" fillId="6" borderId="8" xfId="0" applyFont="1" applyFill="1" applyBorder="1" applyAlignment="1" applyProtection="1">
      <alignment horizontal="center" vertical="center"/>
      <protection hidden="1"/>
    </xf>
    <xf numFmtId="0" fontId="91" fillId="6" borderId="2" xfId="0" applyFont="1" applyFill="1" applyBorder="1" applyAlignment="1" applyProtection="1">
      <alignment horizontal="center" vertical="center"/>
      <protection hidden="1"/>
    </xf>
    <xf numFmtId="0" fontId="91" fillId="6" borderId="8" xfId="0" applyFont="1" applyFill="1" applyBorder="1" applyAlignment="1" applyProtection="1">
      <alignment horizontal="left" vertical="center"/>
      <protection hidden="1"/>
    </xf>
    <xf numFmtId="0" fontId="91" fillId="6" borderId="7" xfId="0" applyFont="1" applyFill="1" applyBorder="1" applyAlignment="1" applyProtection="1">
      <alignment horizontal="left" vertical="center"/>
      <protection hidden="1"/>
    </xf>
    <xf numFmtId="0" fontId="91" fillId="6" borderId="2" xfId="0" applyFont="1" applyFill="1" applyBorder="1" applyAlignment="1" applyProtection="1">
      <alignment horizontal="left" vertical="center"/>
      <protection hidden="1"/>
    </xf>
    <xf numFmtId="0" fontId="41" fillId="6" borderId="8" xfId="0" applyFont="1" applyFill="1" applyBorder="1" applyAlignment="1" applyProtection="1">
      <alignment horizontal="center" vertical="center"/>
      <protection hidden="1"/>
    </xf>
    <xf numFmtId="0" fontId="41" fillId="6" borderId="7" xfId="0" applyFont="1" applyFill="1" applyBorder="1" applyAlignment="1" applyProtection="1">
      <alignment horizontal="center" vertical="center"/>
      <protection hidden="1"/>
    </xf>
    <xf numFmtId="0" fontId="41" fillId="6" borderId="2" xfId="0" applyFont="1" applyFill="1" applyBorder="1" applyAlignment="1" applyProtection="1">
      <alignment horizontal="center" vertical="center"/>
      <protection hidden="1"/>
    </xf>
    <xf numFmtId="0" fontId="74" fillId="10" borderId="8" xfId="8" applyFont="1" applyFill="1" applyBorder="1" applyAlignment="1">
      <alignment horizontal="right" vertical="center" wrapText="1"/>
    </xf>
    <xf numFmtId="0" fontId="74" fillId="10" borderId="7" xfId="8" applyFont="1" applyFill="1" applyBorder="1" applyAlignment="1">
      <alignment horizontal="right" vertical="center" wrapText="1"/>
    </xf>
    <xf numFmtId="0" fontId="74" fillId="10" borderId="2" xfId="8" applyFont="1" applyFill="1" applyBorder="1" applyAlignment="1">
      <alignment horizontal="right" vertical="center" wrapText="1"/>
    </xf>
    <xf numFmtId="0" fontId="33" fillId="0" borderId="7" xfId="0" applyFont="1" applyFill="1" applyBorder="1" applyAlignment="1" applyProtection="1">
      <alignment horizontal="left"/>
      <protection locked="0"/>
    </xf>
    <xf numFmtId="0" fontId="0" fillId="0" borderId="7" xfId="0" applyFill="1" applyBorder="1" applyAlignment="1" applyProtection="1">
      <alignment horizontal="left"/>
      <protection locked="0"/>
    </xf>
    <xf numFmtId="0" fontId="0" fillId="0" borderId="2" xfId="0" applyFill="1" applyBorder="1" applyAlignment="1" applyProtection="1">
      <alignment horizontal="left"/>
      <protection locked="0"/>
    </xf>
    <xf numFmtId="0" fontId="0" fillId="8" borderId="7" xfId="0" applyFill="1" applyBorder="1" applyAlignment="1" applyProtection="1">
      <alignment horizontal="left"/>
      <protection locked="0"/>
    </xf>
    <xf numFmtId="0" fontId="0" fillId="8" borderId="2" xfId="0" applyFill="1" applyBorder="1" applyAlignment="1" applyProtection="1">
      <alignment horizontal="left"/>
      <protection locked="0"/>
    </xf>
    <xf numFmtId="0" fontId="41" fillId="6" borderId="8" xfId="0" applyFont="1" applyFill="1" applyBorder="1" applyAlignment="1" applyProtection="1">
      <alignment horizontal="center" vertical="center"/>
    </xf>
    <xf numFmtId="0" fontId="41" fillId="6" borderId="7" xfId="0" applyFont="1" applyFill="1" applyBorder="1" applyAlignment="1" applyProtection="1">
      <alignment horizontal="center" vertical="center"/>
    </xf>
    <xf numFmtId="0" fontId="42" fillId="10" borderId="8" xfId="0" applyFont="1" applyFill="1" applyBorder="1" applyAlignment="1" applyProtection="1">
      <alignment horizontal="center"/>
    </xf>
    <xf numFmtId="0" fontId="42" fillId="10" borderId="7" xfId="0" applyFont="1" applyFill="1" applyBorder="1" applyAlignment="1" applyProtection="1">
      <alignment horizontal="center"/>
    </xf>
    <xf numFmtId="0" fontId="42" fillId="10" borderId="2" xfId="0" applyFont="1" applyFill="1" applyBorder="1" applyAlignment="1" applyProtection="1">
      <alignment horizontal="center"/>
    </xf>
    <xf numFmtId="0" fontId="41" fillId="18" borderId="7" xfId="0" applyFont="1" applyFill="1" applyBorder="1" applyAlignment="1" applyProtection="1">
      <alignment horizontal="center" vertical="center"/>
    </xf>
    <xf numFmtId="0" fontId="41" fillId="6" borderId="7" xfId="0" applyFont="1" applyFill="1" applyBorder="1" applyAlignment="1" applyProtection="1">
      <alignment horizontal="right" vertical="center"/>
    </xf>
    <xf numFmtId="0" fontId="72" fillId="5" borderId="8" xfId="8" applyFont="1" applyFill="1" applyBorder="1" applyAlignment="1">
      <alignment horizontal="right" vertical="center" wrapText="1"/>
    </xf>
    <xf numFmtId="0" fontId="72" fillId="5" borderId="7" xfId="8" applyFont="1" applyFill="1" applyBorder="1" applyAlignment="1">
      <alignment horizontal="right" vertical="center" wrapText="1"/>
    </xf>
    <xf numFmtId="0" fontId="72" fillId="5" borderId="2" xfId="8" applyFont="1" applyFill="1" applyBorder="1" applyAlignment="1">
      <alignment horizontal="right" vertical="center" wrapText="1"/>
    </xf>
    <xf numFmtId="0" fontId="96" fillId="6" borderId="8" xfId="0" applyFont="1" applyFill="1" applyBorder="1" applyAlignment="1" applyProtection="1">
      <alignment horizontal="left" vertical="center"/>
    </xf>
    <xf numFmtId="0" fontId="96" fillId="6" borderId="7" xfId="0" applyFont="1" applyFill="1" applyBorder="1" applyAlignment="1" applyProtection="1">
      <alignment horizontal="left" vertical="center"/>
    </xf>
    <xf numFmtId="0" fontId="96" fillId="6" borderId="2" xfId="0" applyFont="1" applyFill="1" applyBorder="1" applyAlignment="1" applyProtection="1">
      <alignment horizontal="left" vertical="center"/>
    </xf>
    <xf numFmtId="0" fontId="74" fillId="10" borderId="7" xfId="0" applyFont="1" applyFill="1" applyBorder="1" applyAlignment="1" applyProtection="1">
      <alignment horizontal="left"/>
    </xf>
    <xf numFmtId="0" fontId="74" fillId="10" borderId="2" xfId="0" applyFont="1" applyFill="1" applyBorder="1" applyAlignment="1" applyProtection="1">
      <alignment horizontal="left"/>
    </xf>
    <xf numFmtId="0" fontId="41" fillId="6" borderId="2" xfId="0" applyFont="1" applyFill="1" applyBorder="1" applyAlignment="1" applyProtection="1">
      <alignment horizontal="center" vertical="center"/>
    </xf>
    <xf numFmtId="0" fontId="33" fillId="10" borderId="7" xfId="0" applyFont="1" applyFill="1" applyBorder="1" applyAlignment="1" applyProtection="1">
      <alignment horizontal="left"/>
    </xf>
    <xf numFmtId="0" fontId="0" fillId="10" borderId="7" xfId="0" applyFill="1" applyBorder="1" applyAlignment="1" applyProtection="1">
      <alignment horizontal="left"/>
    </xf>
    <xf numFmtId="0" fontId="0" fillId="10" borderId="2" xfId="0" applyFill="1" applyBorder="1" applyAlignment="1" applyProtection="1">
      <alignment horizontal="left"/>
    </xf>
    <xf numFmtId="0" fontId="41" fillId="6" borderId="8" xfId="0" applyFont="1" applyFill="1" applyBorder="1" applyAlignment="1" applyProtection="1">
      <alignment horizontal="right"/>
    </xf>
    <xf numFmtId="0" fontId="41" fillId="6" borderId="7" xfId="0" applyFont="1" applyFill="1" applyBorder="1" applyAlignment="1" applyProtection="1">
      <alignment horizontal="right"/>
    </xf>
    <xf numFmtId="0" fontId="41" fillId="6" borderId="2" xfId="0" applyFont="1" applyFill="1" applyBorder="1" applyAlignment="1" applyProtection="1">
      <alignment horizontal="right"/>
    </xf>
    <xf numFmtId="0" fontId="41" fillId="18" borderId="8" xfId="0" applyFont="1" applyFill="1" applyBorder="1" applyAlignment="1" applyProtection="1">
      <alignment horizontal="center" vertical="center"/>
    </xf>
    <xf numFmtId="0" fontId="54" fillId="10" borderId="8" xfId="0" applyFont="1" applyFill="1" applyBorder="1" applyAlignment="1" applyProtection="1">
      <alignment horizontal="right" vertical="center"/>
    </xf>
    <xf numFmtId="0" fontId="54" fillId="10" borderId="7" xfId="0" applyFont="1" applyFill="1" applyBorder="1" applyAlignment="1" applyProtection="1">
      <alignment horizontal="right" vertical="center"/>
    </xf>
    <xf numFmtId="0" fontId="54" fillId="10" borderId="2" xfId="0" applyFont="1" applyFill="1" applyBorder="1" applyAlignment="1" applyProtection="1">
      <alignment horizontal="right" vertical="center"/>
    </xf>
    <xf numFmtId="0" fontId="53" fillId="21" borderId="8" xfId="0" applyFont="1" applyFill="1" applyBorder="1" applyAlignment="1" applyProtection="1">
      <alignment horizontal="center" vertical="center"/>
    </xf>
    <xf numFmtId="0" fontId="53" fillId="21" borderId="7" xfId="0" applyFont="1" applyFill="1" applyBorder="1" applyAlignment="1" applyProtection="1">
      <alignment horizontal="center" vertical="center"/>
    </xf>
    <xf numFmtId="0" fontId="53" fillId="21" borderId="2" xfId="0" applyFont="1" applyFill="1" applyBorder="1" applyAlignment="1" applyProtection="1">
      <alignment horizontal="center" vertical="center"/>
    </xf>
    <xf numFmtId="0" fontId="33" fillId="8" borderId="7" xfId="0" applyFont="1" applyFill="1" applyBorder="1" applyAlignment="1" applyProtection="1">
      <alignment horizontal="left"/>
      <protection locked="0"/>
    </xf>
    <xf numFmtId="0" fontId="0" fillId="8" borderId="10" xfId="0" applyFill="1" applyBorder="1" applyAlignment="1" applyProtection="1">
      <alignment horizontal="left"/>
      <protection locked="0"/>
    </xf>
    <xf numFmtId="0" fontId="0" fillId="8" borderId="3" xfId="0" applyFill="1" applyBorder="1" applyAlignment="1" applyProtection="1">
      <alignment horizontal="left"/>
      <protection locked="0"/>
    </xf>
    <xf numFmtId="166" fontId="41" fillId="25" borderId="9" xfId="2" applyNumberFormat="1" applyFont="1" applyFill="1" applyBorder="1" applyAlignment="1" applyProtection="1">
      <alignment horizontal="center" vertical="center" wrapText="1"/>
      <protection hidden="1"/>
    </xf>
    <xf numFmtId="164" fontId="41" fillId="25" borderId="14" xfId="2" applyFont="1" applyFill="1" applyBorder="1" applyAlignment="1" applyProtection="1">
      <alignment horizontal="center" vertical="center" wrapText="1"/>
      <protection hidden="1"/>
    </xf>
    <xf numFmtId="164" fontId="41" fillId="25" borderId="4" xfId="2" applyFont="1" applyFill="1" applyBorder="1" applyAlignment="1" applyProtection="1">
      <alignment horizontal="center" vertical="center" wrapText="1"/>
      <protection hidden="1"/>
    </xf>
    <xf numFmtId="0" fontId="90" fillId="25" borderId="8" xfId="0" applyFont="1" applyFill="1" applyBorder="1" applyAlignment="1" applyProtection="1">
      <alignment horizontal="center" vertical="center" wrapText="1"/>
      <protection hidden="1"/>
    </xf>
    <xf numFmtId="0" fontId="90" fillId="25" borderId="7" xfId="0" applyFont="1" applyFill="1" applyBorder="1" applyAlignment="1" applyProtection="1">
      <alignment horizontal="center" vertical="center" wrapText="1"/>
      <protection hidden="1"/>
    </xf>
    <xf numFmtId="0" fontId="90" fillId="25" borderId="2" xfId="0" applyFont="1" applyFill="1" applyBorder="1" applyAlignment="1" applyProtection="1">
      <alignment horizontal="center" vertical="center" wrapText="1"/>
      <protection hidden="1"/>
    </xf>
    <xf numFmtId="0" fontId="89" fillId="25" borderId="9" xfId="0" applyNumberFormat="1" applyFont="1" applyFill="1" applyBorder="1" applyAlignment="1" applyProtection="1">
      <alignment horizontal="center" vertical="center" wrapText="1"/>
      <protection hidden="1"/>
    </xf>
    <xf numFmtId="0" fontId="89" fillId="25" borderId="4" xfId="0" applyNumberFormat="1" applyFont="1" applyFill="1" applyBorder="1" applyAlignment="1" applyProtection="1">
      <alignment horizontal="center" vertical="center" wrapText="1"/>
      <protection hidden="1"/>
    </xf>
    <xf numFmtId="0" fontId="54" fillId="10" borderId="9" xfId="0" applyNumberFormat="1" applyFont="1" applyFill="1" applyBorder="1" applyAlignment="1" applyProtection="1">
      <alignment horizontal="center" vertical="center" wrapText="1"/>
      <protection hidden="1"/>
    </xf>
    <xf numFmtId="0" fontId="54" fillId="10" borderId="4" xfId="0" applyNumberFormat="1" applyFont="1" applyFill="1" applyBorder="1" applyAlignment="1" applyProtection="1">
      <alignment horizontal="center" vertical="center" wrapText="1"/>
      <protection hidden="1"/>
    </xf>
    <xf numFmtId="0" fontId="42" fillId="10" borderId="8" xfId="8" applyFont="1" applyFill="1" applyBorder="1" applyAlignment="1">
      <alignment horizontal="center"/>
    </xf>
    <xf numFmtId="0" fontId="42" fillId="10" borderId="7" xfId="8" applyFont="1" applyFill="1" applyBorder="1" applyAlignment="1">
      <alignment horizontal="center"/>
    </xf>
    <xf numFmtId="0" fontId="42" fillId="10" borderId="2" xfId="8" applyFont="1" applyFill="1" applyBorder="1" applyAlignment="1">
      <alignment horizontal="center"/>
    </xf>
    <xf numFmtId="0" fontId="2" fillId="8" borderId="7" xfId="8" applyFont="1" applyFill="1" applyBorder="1" applyAlignment="1" applyProtection="1">
      <alignment horizontal="left"/>
      <protection locked="0"/>
    </xf>
    <xf numFmtId="0" fontId="32" fillId="8" borderId="7" xfId="8" applyFill="1" applyBorder="1" applyAlignment="1" applyProtection="1">
      <alignment horizontal="left"/>
      <protection locked="0"/>
    </xf>
    <xf numFmtId="0" fontId="32" fillId="8" borderId="2" xfId="8" applyFill="1" applyBorder="1" applyAlignment="1" applyProtection="1">
      <alignment horizontal="left"/>
      <protection locked="0"/>
    </xf>
    <xf numFmtId="0" fontId="16" fillId="8" borderId="7" xfId="8" applyFont="1" applyFill="1" applyBorder="1" applyAlignment="1" applyProtection="1">
      <alignment horizontal="left"/>
      <protection locked="0"/>
    </xf>
    <xf numFmtId="0" fontId="42" fillId="5" borderId="7" xfId="8" applyFont="1" applyFill="1" applyBorder="1" applyAlignment="1">
      <alignment horizontal="right"/>
    </xf>
    <xf numFmtId="0" fontId="42" fillId="5" borderId="2" xfId="8" applyFont="1" applyFill="1" applyBorder="1" applyAlignment="1">
      <alignment horizontal="right"/>
    </xf>
    <xf numFmtId="0" fontId="14" fillId="8" borderId="7" xfId="8" applyFont="1" applyFill="1" applyBorder="1" applyAlignment="1" applyProtection="1">
      <alignment horizontal="left"/>
      <protection locked="0"/>
    </xf>
    <xf numFmtId="0" fontId="30" fillId="8" borderId="7" xfId="8" applyFont="1" applyFill="1" applyBorder="1" applyAlignment="1" applyProtection="1">
      <alignment horizontal="left"/>
      <protection locked="0"/>
    </xf>
    <xf numFmtId="0" fontId="17" fillId="8" borderId="7" xfId="8" applyFont="1" applyFill="1" applyBorder="1" applyAlignment="1" applyProtection="1">
      <alignment horizontal="left"/>
      <protection locked="0"/>
    </xf>
    <xf numFmtId="0" fontId="41" fillId="18" borderId="8" xfId="8" applyFont="1" applyFill="1" applyBorder="1" applyAlignment="1">
      <alignment horizontal="center" vertical="center"/>
    </xf>
    <xf numFmtId="0" fontId="41" fillId="18" borderId="7" xfId="8" applyFont="1" applyFill="1" applyBorder="1" applyAlignment="1">
      <alignment horizontal="center" vertical="center"/>
    </xf>
    <xf numFmtId="0" fontId="41" fillId="25" borderId="8" xfId="8" applyFont="1" applyFill="1" applyBorder="1" applyAlignment="1">
      <alignment horizontal="center" vertical="center"/>
    </xf>
    <xf numFmtId="0" fontId="41" fillId="25" borderId="7" xfId="8" applyFont="1" applyFill="1" applyBorder="1" applyAlignment="1">
      <alignment horizontal="center" vertical="center"/>
    </xf>
    <xf numFmtId="0" fontId="41" fillId="25" borderId="2" xfId="8" applyFont="1" applyFill="1" applyBorder="1" applyAlignment="1">
      <alignment horizontal="center" vertical="center"/>
    </xf>
    <xf numFmtId="0" fontId="41" fillId="6" borderId="8" xfId="8" applyFont="1" applyFill="1" applyBorder="1" applyAlignment="1">
      <alignment horizontal="center"/>
    </xf>
    <xf numFmtId="0" fontId="41" fillId="6" borderId="7" xfId="8" applyFont="1" applyFill="1" applyBorder="1" applyAlignment="1">
      <alignment horizontal="center"/>
    </xf>
    <xf numFmtId="0" fontId="41" fillId="6" borderId="2" xfId="8" applyFont="1" applyFill="1" applyBorder="1" applyAlignment="1">
      <alignment horizontal="center"/>
    </xf>
    <xf numFmtId="0" fontId="29" fillId="8" borderId="7" xfId="8" applyFont="1" applyFill="1" applyBorder="1" applyAlignment="1" applyProtection="1">
      <alignment horizontal="left"/>
      <protection locked="0"/>
    </xf>
    <xf numFmtId="0" fontId="29" fillId="8" borderId="2" xfId="8" applyFont="1" applyFill="1" applyBorder="1" applyAlignment="1" applyProtection="1">
      <alignment horizontal="left"/>
      <protection locked="0"/>
    </xf>
    <xf numFmtId="0" fontId="41" fillId="18" borderId="2" xfId="8" applyFont="1" applyFill="1" applyBorder="1" applyAlignment="1">
      <alignment horizontal="center" vertical="center"/>
    </xf>
    <xf numFmtId="0" fontId="41" fillId="25" borderId="12" xfId="8" applyFont="1" applyFill="1" applyBorder="1" applyAlignment="1" applyProtection="1">
      <alignment horizontal="center" vertical="center"/>
    </xf>
    <xf numFmtId="0" fontId="41" fillId="25" borderId="10" xfId="8" applyFont="1" applyFill="1" applyBorder="1" applyAlignment="1" applyProtection="1">
      <alignment horizontal="center" vertical="center"/>
    </xf>
    <xf numFmtId="0" fontId="41" fillId="25" borderId="3" xfId="8" applyFont="1" applyFill="1" applyBorder="1" applyAlignment="1" applyProtection="1">
      <alignment horizontal="center" vertical="center"/>
    </xf>
    <xf numFmtId="0" fontId="41" fillId="25" borderId="12" xfId="8" applyFont="1" applyFill="1" applyBorder="1" applyAlignment="1">
      <alignment horizontal="center" vertical="center"/>
    </xf>
    <xf numFmtId="0" fontId="41" fillId="25" borderId="10" xfId="8" applyFont="1" applyFill="1" applyBorder="1" applyAlignment="1">
      <alignment horizontal="center" vertical="center"/>
    </xf>
    <xf numFmtId="0" fontId="41" fillId="25" borderId="3" xfId="8" applyFont="1" applyFill="1" applyBorder="1" applyAlignment="1">
      <alignment horizontal="center" vertical="center"/>
    </xf>
    <xf numFmtId="0" fontId="41" fillId="25" borderId="11" xfId="8" applyFont="1" applyFill="1" applyBorder="1" applyAlignment="1">
      <alignment horizontal="center" vertical="center"/>
    </xf>
    <xf numFmtId="0" fontId="41" fillId="25" borderId="13" xfId="8" applyFont="1" applyFill="1" applyBorder="1" applyAlignment="1">
      <alignment horizontal="center" vertical="center"/>
    </xf>
    <xf numFmtId="0" fontId="41" fillId="25" borderId="6" xfId="8" applyFont="1" applyFill="1" applyBorder="1" applyAlignment="1">
      <alignment horizontal="center" vertical="center"/>
    </xf>
    <xf numFmtId="0" fontId="30" fillId="10" borderId="7" xfId="8" applyFont="1" applyFill="1" applyBorder="1" applyAlignment="1">
      <alignment horizontal="left"/>
    </xf>
    <xf numFmtId="0" fontId="32" fillId="10" borderId="7" xfId="8" applyFill="1" applyBorder="1" applyAlignment="1">
      <alignment horizontal="left"/>
    </xf>
    <xf numFmtId="0" fontId="32" fillId="10" borderId="2" xfId="8" applyFill="1" applyBorder="1" applyAlignment="1">
      <alignment horizontal="left"/>
    </xf>
    <xf numFmtId="0" fontId="42" fillId="10" borderId="7" xfId="8" applyFont="1" applyFill="1" applyBorder="1" applyAlignment="1">
      <alignment horizontal="right"/>
    </xf>
    <xf numFmtId="0" fontId="42" fillId="10" borderId="2" xfId="8" applyFont="1" applyFill="1" applyBorder="1" applyAlignment="1">
      <alignment horizontal="right"/>
    </xf>
    <xf numFmtId="0" fontId="41" fillId="6" borderId="7" xfId="8" applyFont="1" applyFill="1" applyBorder="1" applyAlignment="1">
      <alignment horizontal="right"/>
    </xf>
    <xf numFmtId="0" fontId="41" fillId="6" borderId="2" xfId="8" applyFont="1" applyFill="1" applyBorder="1" applyAlignment="1">
      <alignment horizontal="right"/>
    </xf>
    <xf numFmtId="0" fontId="8" fillId="8" borderId="7" xfId="8" applyFont="1" applyFill="1" applyBorder="1" applyAlignment="1" applyProtection="1">
      <alignment horizontal="left"/>
      <protection locked="0"/>
    </xf>
    <xf numFmtId="0" fontId="41" fillId="6" borderId="1" xfId="8" applyFont="1" applyFill="1" applyBorder="1" applyAlignment="1">
      <alignment horizontal="center"/>
    </xf>
    <xf numFmtId="0" fontId="53" fillId="21" borderId="1" xfId="8" applyFont="1" applyFill="1" applyBorder="1" applyAlignment="1">
      <alignment horizontal="center"/>
    </xf>
    <xf numFmtId="0" fontId="20" fillId="8" borderId="7" xfId="8" applyFont="1" applyFill="1" applyBorder="1" applyAlignment="1" applyProtection="1">
      <alignment horizontal="left"/>
      <protection locked="0"/>
    </xf>
    <xf numFmtId="0" fontId="12" fillId="8" borderId="7" xfId="8" applyFont="1" applyFill="1" applyBorder="1" applyAlignment="1" applyProtection="1">
      <alignment horizontal="left"/>
      <protection locked="0"/>
    </xf>
    <xf numFmtId="0" fontId="9" fillId="8" borderId="7" xfId="8" applyFont="1" applyFill="1" applyBorder="1" applyAlignment="1" applyProtection="1">
      <alignment horizontal="left"/>
      <protection locked="0"/>
    </xf>
    <xf numFmtId="0" fontId="11" fillId="8" borderId="7" xfId="8" applyFont="1" applyFill="1" applyBorder="1" applyAlignment="1" applyProtection="1">
      <alignment horizontal="left"/>
      <protection locked="0"/>
    </xf>
    <xf numFmtId="0" fontId="11" fillId="8" borderId="7" xfId="8" applyFont="1" applyFill="1" applyBorder="1" applyAlignment="1">
      <alignment horizontal="left"/>
    </xf>
    <xf numFmtId="0" fontId="32" fillId="8" borderId="7" xfId="8" applyFill="1" applyBorder="1" applyAlignment="1">
      <alignment horizontal="left"/>
    </xf>
    <xf numFmtId="0" fontId="32" fillId="8" borderId="2" xfId="8" applyFill="1" applyBorder="1" applyAlignment="1">
      <alignment horizontal="left"/>
    </xf>
    <xf numFmtId="0" fontId="7" fillId="8" borderId="7" xfId="8" applyFont="1" applyFill="1" applyBorder="1" applyAlignment="1">
      <alignment horizontal="left"/>
    </xf>
    <xf numFmtId="0" fontId="12" fillId="8" borderId="7" xfId="8" applyFont="1" applyFill="1" applyBorder="1" applyAlignment="1">
      <alignment horizontal="left"/>
    </xf>
    <xf numFmtId="0" fontId="5" fillId="8" borderId="7" xfId="8" applyFont="1" applyFill="1" applyBorder="1" applyAlignment="1" applyProtection="1">
      <alignment horizontal="left"/>
      <protection locked="0"/>
    </xf>
    <xf numFmtId="0" fontId="5" fillId="8" borderId="7" xfId="8" applyFont="1" applyFill="1" applyBorder="1" applyAlignment="1">
      <alignment horizontal="left"/>
    </xf>
    <xf numFmtId="0" fontId="8" fillId="8" borderId="7" xfId="8" applyFont="1" applyFill="1" applyBorder="1" applyAlignment="1">
      <alignment horizontal="left"/>
    </xf>
    <xf numFmtId="0" fontId="96" fillId="6" borderId="1" xfId="0" applyFont="1" applyFill="1" applyBorder="1" applyAlignment="1" applyProtection="1">
      <alignment horizontal="left" vertical="center"/>
    </xf>
    <xf numFmtId="0" fontId="41" fillId="6" borderId="8" xfId="0" applyFont="1" applyFill="1" applyBorder="1" applyAlignment="1" applyProtection="1">
      <alignment horizontal="right" vertical="center"/>
    </xf>
    <xf numFmtId="0" fontId="41" fillId="6" borderId="2" xfId="0" applyFont="1" applyFill="1" applyBorder="1" applyAlignment="1" applyProtection="1">
      <alignment horizontal="right" vertical="center"/>
    </xf>
    <xf numFmtId="0" fontId="72" fillId="5" borderId="1" xfId="8" applyFont="1" applyFill="1" applyBorder="1" applyAlignment="1">
      <alignment horizontal="right" vertical="center" wrapText="1"/>
    </xf>
    <xf numFmtId="0" fontId="41" fillId="25" borderId="15" xfId="8" applyFont="1" applyFill="1" applyBorder="1" applyAlignment="1" applyProtection="1">
      <alignment horizontal="center" vertical="center"/>
    </xf>
    <xf numFmtId="0" fontId="41" fillId="25" borderId="0" xfId="8" applyFont="1" applyFill="1" applyBorder="1" applyAlignment="1" applyProtection="1">
      <alignment horizontal="center" vertical="center"/>
    </xf>
    <xf numFmtId="0" fontId="1" fillId="8" borderId="7" xfId="8" applyFont="1" applyFill="1" applyBorder="1" applyAlignment="1" applyProtection="1">
      <alignment horizontal="left"/>
      <protection locked="0"/>
    </xf>
    <xf numFmtId="0" fontId="53" fillId="21" borderId="8" xfId="8" applyFont="1" applyFill="1" applyBorder="1" applyAlignment="1">
      <alignment horizontal="center"/>
    </xf>
    <xf numFmtId="0" fontId="53" fillId="21" borderId="7" xfId="8" applyFont="1" applyFill="1" applyBorder="1" applyAlignment="1">
      <alignment horizontal="center"/>
    </xf>
    <xf numFmtId="0" fontId="53" fillId="21" borderId="2" xfId="8" applyFont="1" applyFill="1" applyBorder="1" applyAlignment="1">
      <alignment horizontal="center"/>
    </xf>
    <xf numFmtId="0" fontId="41" fillId="25" borderId="5" xfId="8" applyFont="1" applyFill="1" applyBorder="1" applyAlignment="1" applyProtection="1">
      <alignment horizontal="center" vertical="center"/>
    </xf>
    <xf numFmtId="0" fontId="41" fillId="25" borderId="11" xfId="8" applyFont="1" applyFill="1" applyBorder="1" applyAlignment="1" applyProtection="1">
      <alignment horizontal="center" vertical="center"/>
    </xf>
    <xf numFmtId="0" fontId="41" fillId="25" borderId="13" xfId="8" applyFont="1" applyFill="1" applyBorder="1" applyAlignment="1" applyProtection="1">
      <alignment horizontal="center" vertical="center"/>
    </xf>
    <xf numFmtId="0" fontId="41" fillId="25" borderId="6" xfId="8" applyFont="1" applyFill="1" applyBorder="1" applyAlignment="1" applyProtection="1">
      <alignment horizontal="center" vertical="center"/>
    </xf>
    <xf numFmtId="0" fontId="42" fillId="21" borderId="7" xfId="8" applyFont="1" applyFill="1" applyBorder="1" applyAlignment="1">
      <alignment horizontal="right"/>
    </xf>
    <xf numFmtId="0" fontId="42" fillId="21" borderId="2" xfId="8" applyFont="1" applyFill="1" applyBorder="1" applyAlignment="1">
      <alignment horizontal="right"/>
    </xf>
    <xf numFmtId="0" fontId="34" fillId="5" borderId="8" xfId="0" applyFont="1" applyFill="1" applyBorder="1" applyAlignment="1" applyProtection="1">
      <alignment horizontal="left" vertical="center"/>
    </xf>
    <xf numFmtId="0" fontId="34" fillId="5" borderId="7" xfId="0" applyFont="1" applyFill="1" applyBorder="1" applyAlignment="1" applyProtection="1">
      <alignment horizontal="left" vertical="center"/>
    </xf>
    <xf numFmtId="0" fontId="34" fillId="5" borderId="2" xfId="0" applyFont="1" applyFill="1" applyBorder="1" applyAlignment="1" applyProtection="1">
      <alignment horizontal="left" vertical="center"/>
    </xf>
    <xf numFmtId="0" fontId="53" fillId="10" borderId="8" xfId="0" applyFont="1" applyFill="1" applyBorder="1" applyAlignment="1" applyProtection="1">
      <alignment horizontal="right" vertical="center"/>
    </xf>
    <xf numFmtId="0" fontId="53" fillId="10" borderId="7" xfId="0" applyFont="1" applyFill="1" applyBorder="1" applyAlignment="1" applyProtection="1">
      <alignment horizontal="right" vertical="center"/>
    </xf>
    <xf numFmtId="0" fontId="53" fillId="10" borderId="2" xfId="0" applyFont="1" applyFill="1" applyBorder="1" applyAlignment="1" applyProtection="1">
      <alignment horizontal="right" vertical="center"/>
    </xf>
    <xf numFmtId="0" fontId="53" fillId="21" borderId="8" xfId="0" applyFont="1" applyFill="1" applyBorder="1" applyAlignment="1" applyProtection="1">
      <alignment horizontal="right" vertical="center"/>
    </xf>
    <xf numFmtId="0" fontId="53" fillId="21" borderId="7" xfId="0" applyFont="1" applyFill="1" applyBorder="1" applyAlignment="1" applyProtection="1">
      <alignment horizontal="right" vertical="center"/>
    </xf>
    <xf numFmtId="0" fontId="53" fillId="21" borderId="2" xfId="0" applyFont="1" applyFill="1" applyBorder="1" applyAlignment="1" applyProtection="1">
      <alignment horizontal="right" vertical="center"/>
    </xf>
    <xf numFmtId="0" fontId="52" fillId="12" borderId="1" xfId="0" applyFont="1" applyFill="1" applyBorder="1" applyAlignment="1" applyProtection="1">
      <alignment horizontal="center"/>
      <protection hidden="1"/>
    </xf>
    <xf numFmtId="4" fontId="54" fillId="22" borderId="0" xfId="10" applyNumberFormat="1" applyFont="1" applyFill="1" applyBorder="1" applyAlignment="1">
      <alignment horizontal="right"/>
    </xf>
    <xf numFmtId="4" fontId="54" fillId="22" borderId="5" xfId="10" applyNumberFormat="1" applyFont="1" applyFill="1" applyBorder="1" applyAlignment="1">
      <alignment horizontal="right"/>
    </xf>
    <xf numFmtId="44" fontId="54" fillId="9" borderId="1" xfId="9" applyFont="1" applyFill="1" applyBorder="1" applyAlignment="1">
      <alignment horizontal="center"/>
    </xf>
    <xf numFmtId="4" fontId="54" fillId="9" borderId="1" xfId="10" applyNumberFormat="1" applyFont="1" applyFill="1" applyBorder="1" applyAlignment="1">
      <alignment horizontal="center"/>
    </xf>
    <xf numFmtId="0" fontId="30" fillId="22" borderId="10" xfId="8" applyFont="1" applyFill="1" applyBorder="1" applyAlignment="1">
      <alignment horizontal="center"/>
    </xf>
    <xf numFmtId="0" fontId="30" fillId="22" borderId="13" xfId="8" applyFont="1" applyFill="1" applyBorder="1" applyAlignment="1">
      <alignment horizontal="center"/>
    </xf>
    <xf numFmtId="0" fontId="41" fillId="17" borderId="8" xfId="8" applyFont="1" applyFill="1" applyBorder="1" applyAlignment="1">
      <alignment horizontal="center"/>
    </xf>
    <xf numFmtId="0" fontId="41" fillId="17" borderId="7" xfId="8" applyFont="1" applyFill="1" applyBorder="1" applyAlignment="1">
      <alignment horizontal="center"/>
    </xf>
    <xf numFmtId="0" fontId="41" fillId="17" borderId="2" xfId="8" applyFont="1" applyFill="1" applyBorder="1" applyAlignment="1">
      <alignment horizontal="center"/>
    </xf>
    <xf numFmtId="1" fontId="54" fillId="22" borderId="12" xfId="10" applyNumberFormat="1" applyFont="1" applyFill="1" applyBorder="1" applyAlignment="1">
      <alignment horizontal="center" vertical="center" textRotation="90"/>
    </xf>
    <xf numFmtId="1" fontId="54" fillId="22" borderId="15" xfId="10" applyNumberFormat="1" applyFont="1" applyFill="1" applyBorder="1" applyAlignment="1">
      <alignment horizontal="center" vertical="center" textRotation="90"/>
    </xf>
    <xf numFmtId="2" fontId="54" fillId="9" borderId="8" xfId="10" applyNumberFormat="1" applyFont="1" applyFill="1" applyBorder="1" applyAlignment="1">
      <alignment horizontal="center"/>
    </xf>
    <xf numFmtId="2" fontId="54" fillId="9" borderId="2" xfId="10" applyNumberFormat="1" applyFont="1" applyFill="1" applyBorder="1" applyAlignment="1">
      <alignment horizontal="center"/>
    </xf>
    <xf numFmtId="0" fontId="32" fillId="22" borderId="15" xfId="8" applyFont="1" applyFill="1" applyBorder="1" applyAlignment="1">
      <alignment horizontal="right"/>
    </xf>
    <xf numFmtId="0" fontId="32" fillId="22" borderId="5" xfId="8" applyFont="1" applyFill="1" applyBorder="1" applyAlignment="1">
      <alignment horizontal="right"/>
    </xf>
    <xf numFmtId="1" fontId="54" fillId="22" borderId="0" xfId="10" applyNumberFormat="1" applyFont="1" applyFill="1" applyBorder="1" applyAlignment="1">
      <alignment horizontal="right"/>
    </xf>
    <xf numFmtId="1" fontId="54" fillId="22" borderId="5" xfId="10" applyNumberFormat="1" applyFont="1" applyFill="1" applyBorder="1" applyAlignment="1">
      <alignment horizontal="right"/>
    </xf>
    <xf numFmtId="4" fontId="54" fillId="22" borderId="13" xfId="10" applyNumberFormat="1" applyFont="1" applyFill="1" applyBorder="1" applyAlignment="1">
      <alignment horizontal="center" wrapText="1"/>
    </xf>
    <xf numFmtId="0" fontId="41" fillId="17" borderId="8" xfId="8" applyFont="1" applyFill="1" applyBorder="1" applyAlignment="1">
      <alignment horizontal="center" vertical="center"/>
    </xf>
    <xf numFmtId="0" fontId="41" fillId="17" borderId="7" xfId="8" applyFont="1" applyFill="1" applyBorder="1" applyAlignment="1">
      <alignment horizontal="center" vertical="center"/>
    </xf>
    <xf numFmtId="0" fontId="41" fillId="17" borderId="2" xfId="8" applyFont="1" applyFill="1" applyBorder="1" applyAlignment="1">
      <alignment horizontal="center" vertical="center"/>
    </xf>
    <xf numFmtId="1" fontId="54" fillId="22" borderId="11" xfId="10" applyNumberFormat="1" applyFont="1" applyFill="1" applyBorder="1" applyAlignment="1">
      <alignment horizontal="center" vertical="center" textRotation="90"/>
    </xf>
    <xf numFmtId="0" fontId="72" fillId="10" borderId="4" xfId="8" applyFont="1" applyFill="1" applyBorder="1" applyAlignment="1" applyProtection="1">
      <alignment horizontal="center" vertical="center" wrapText="1"/>
    </xf>
    <xf numFmtId="0" fontId="74" fillId="10" borderId="4" xfId="8" applyFont="1" applyFill="1" applyBorder="1" applyAlignment="1" applyProtection="1">
      <alignment horizontal="center" vertical="center" wrapText="1"/>
    </xf>
    <xf numFmtId="0" fontId="54" fillId="8" borderId="2" xfId="8" applyFont="1" applyFill="1" applyBorder="1" applyAlignment="1" applyProtection="1">
      <alignment horizontal="left" vertical="center" shrinkToFit="1"/>
      <protection locked="0"/>
    </xf>
    <xf numFmtId="0" fontId="54" fillId="8" borderId="1" xfId="8" applyFont="1" applyFill="1" applyBorder="1" applyAlignment="1" applyProtection="1">
      <alignment horizontal="left" vertical="center" shrinkToFit="1"/>
      <protection locked="0"/>
    </xf>
    <xf numFmtId="0" fontId="54" fillId="8" borderId="7" xfId="8" applyFont="1" applyFill="1" applyBorder="1" applyAlignment="1" applyProtection="1">
      <alignment horizontal="left" vertical="center" shrinkToFit="1"/>
      <protection locked="0"/>
    </xf>
    <xf numFmtId="0" fontId="53" fillId="10" borderId="7" xfId="8" applyFont="1" applyFill="1" applyBorder="1" applyAlignment="1" applyProtection="1">
      <alignment horizontal="center" vertical="center" wrapText="1"/>
    </xf>
    <xf numFmtId="0" fontId="53" fillId="10" borderId="2" xfId="8" applyFont="1" applyFill="1" applyBorder="1" applyAlignment="1" applyProtection="1">
      <alignment horizontal="center" vertical="center" wrapText="1"/>
    </xf>
    <xf numFmtId="0" fontId="54" fillId="10" borderId="2" xfId="8" applyFont="1" applyFill="1" applyBorder="1" applyAlignment="1" applyProtection="1">
      <alignment horizontal="left" vertical="center" shrinkToFit="1"/>
      <protection locked="0"/>
    </xf>
    <xf numFmtId="0" fontId="54" fillId="10" borderId="1" xfId="8" applyFont="1" applyFill="1" applyBorder="1" applyAlignment="1" applyProtection="1">
      <alignment horizontal="left" vertical="center" shrinkToFit="1"/>
      <protection locked="0"/>
    </xf>
    <xf numFmtId="0" fontId="41" fillId="6" borderId="8" xfId="8" applyFont="1" applyFill="1" applyBorder="1" applyAlignment="1">
      <alignment horizontal="right" vertical="center" wrapText="1"/>
    </xf>
    <xf numFmtId="0" fontId="41" fillId="6" borderId="7" xfId="8" applyFont="1" applyFill="1" applyBorder="1" applyAlignment="1">
      <alignment horizontal="right" vertical="center" wrapText="1"/>
    </xf>
    <xf numFmtId="0" fontId="41" fillId="6" borderId="2" xfId="8" applyFont="1" applyFill="1" applyBorder="1" applyAlignment="1">
      <alignment horizontal="right" vertical="center" wrapText="1"/>
    </xf>
    <xf numFmtId="0" fontId="41" fillId="18" borderId="8" xfId="8" applyFont="1" applyFill="1" applyBorder="1" applyAlignment="1" applyProtection="1">
      <alignment horizontal="center" vertical="center"/>
    </xf>
    <xf numFmtId="0" fontId="41" fillId="18" borderId="7" xfId="8" applyFont="1" applyFill="1" applyBorder="1" applyAlignment="1" applyProtection="1">
      <alignment horizontal="center" vertical="center"/>
    </xf>
    <xf numFmtId="0" fontId="41" fillId="6" borderId="8" xfId="8" applyFont="1" applyFill="1" applyBorder="1" applyAlignment="1" applyProtection="1">
      <alignment horizontal="center" vertical="center"/>
    </xf>
    <xf numFmtId="0" fontId="41" fillId="6" borderId="7" xfId="8" applyFont="1" applyFill="1" applyBorder="1" applyAlignment="1" applyProtection="1">
      <alignment horizontal="center" vertical="center"/>
    </xf>
    <xf numFmtId="0" fontId="53" fillId="21" borderId="8" xfId="8" applyFont="1" applyFill="1" applyBorder="1" applyAlignment="1" applyProtection="1">
      <alignment horizontal="center" vertical="center"/>
    </xf>
    <xf numFmtId="0" fontId="53" fillId="21" borderId="7" xfId="8" applyFont="1" applyFill="1" applyBorder="1" applyAlignment="1" applyProtection="1">
      <alignment horizontal="center" vertical="center"/>
    </xf>
    <xf numFmtId="0" fontId="53" fillId="21" borderId="2" xfId="8" applyFont="1" applyFill="1" applyBorder="1" applyAlignment="1" applyProtection="1">
      <alignment horizontal="center" vertical="center"/>
    </xf>
    <xf numFmtId="0" fontId="54" fillId="8" borderId="7" xfId="8" applyFont="1" applyFill="1" applyBorder="1" applyAlignment="1" applyProtection="1">
      <alignment horizontal="left" vertical="center" wrapText="1"/>
      <protection locked="0"/>
    </xf>
    <xf numFmtId="0" fontId="54" fillId="8" borderId="2" xfId="8" applyFont="1" applyFill="1" applyBorder="1" applyAlignment="1" applyProtection="1">
      <alignment horizontal="left" vertical="center" wrapText="1"/>
      <protection locked="0"/>
    </xf>
    <xf numFmtId="0" fontId="72" fillId="10" borderId="7" xfId="8" applyFont="1" applyFill="1" applyBorder="1" applyAlignment="1" applyProtection="1">
      <alignment horizontal="center" vertical="center" wrapText="1"/>
    </xf>
    <xf numFmtId="0" fontId="72" fillId="10" borderId="2" xfId="8" applyFont="1" applyFill="1" applyBorder="1" applyAlignment="1" applyProtection="1">
      <alignment horizontal="center" vertical="center" wrapText="1"/>
    </xf>
    <xf numFmtId="0" fontId="41" fillId="6" borderId="2" xfId="8" applyFont="1" applyFill="1" applyBorder="1" applyAlignment="1" applyProtection="1">
      <alignment horizontal="center" vertical="center"/>
    </xf>
    <xf numFmtId="0" fontId="72" fillId="10" borderId="8" xfId="8" applyFont="1" applyFill="1" applyBorder="1" applyAlignment="1" applyProtection="1">
      <alignment horizontal="center" vertical="center" wrapText="1"/>
    </xf>
    <xf numFmtId="0" fontId="41" fillId="6" borderId="8" xfId="8" applyFont="1" applyFill="1" applyBorder="1" applyAlignment="1" applyProtection="1">
      <alignment horizontal="right" vertical="center"/>
    </xf>
    <xf numFmtId="0" fontId="41" fillId="6" borderId="7" xfId="8" applyFont="1" applyFill="1" applyBorder="1" applyAlignment="1" applyProtection="1">
      <alignment horizontal="right" vertical="center"/>
    </xf>
    <xf numFmtId="0" fontId="41" fillId="6" borderId="2" xfId="8" applyFont="1" applyFill="1" applyBorder="1" applyAlignment="1" applyProtection="1">
      <alignment horizontal="right" vertical="center"/>
    </xf>
    <xf numFmtId="0" fontId="41" fillId="18" borderId="2" xfId="8" applyFont="1" applyFill="1" applyBorder="1" applyAlignment="1" applyProtection="1">
      <alignment horizontal="center" vertical="center"/>
    </xf>
    <xf numFmtId="0" fontId="54" fillId="10" borderId="7" xfId="8" applyFont="1" applyFill="1" applyBorder="1" applyAlignment="1" applyProtection="1">
      <alignment horizontal="left" vertical="center" wrapText="1"/>
    </xf>
    <xf numFmtId="0" fontId="54" fillId="10" borderId="2" xfId="8" applyFont="1" applyFill="1" applyBorder="1" applyAlignment="1" applyProtection="1">
      <alignment horizontal="left" vertical="center" shrinkToFit="1"/>
    </xf>
    <xf numFmtId="0" fontId="54" fillId="10" borderId="1" xfId="8" applyFont="1" applyFill="1" applyBorder="1" applyAlignment="1" applyProtection="1">
      <alignment horizontal="left" vertical="center" shrinkToFit="1"/>
    </xf>
    <xf numFmtId="0" fontId="54" fillId="10" borderId="7" xfId="8" applyNumberFormat="1" applyFont="1" applyFill="1" applyBorder="1" applyAlignment="1" applyProtection="1">
      <alignment horizontal="left" wrapText="1"/>
    </xf>
    <xf numFmtId="0" fontId="54" fillId="10" borderId="2" xfId="8" applyNumberFormat="1" applyFont="1" applyFill="1" applyBorder="1" applyAlignment="1" applyProtection="1">
      <alignment horizontal="left" wrapText="1"/>
    </xf>
    <xf numFmtId="0" fontId="53" fillId="21" borderId="7" xfId="8" applyFont="1" applyFill="1" applyBorder="1" applyAlignment="1" applyProtection="1">
      <alignment horizontal="right"/>
    </xf>
    <xf numFmtId="0" fontId="53" fillId="21" borderId="2" xfId="8" applyFont="1" applyFill="1" applyBorder="1" applyAlignment="1" applyProtection="1">
      <alignment horizontal="right"/>
    </xf>
    <xf numFmtId="0" fontId="41" fillId="6" borderId="7" xfId="8" applyFont="1" applyFill="1" applyBorder="1" applyAlignment="1" applyProtection="1">
      <alignment horizontal="right"/>
    </xf>
    <xf numFmtId="0" fontId="41" fillId="6" borderId="2" xfId="8" applyFont="1" applyFill="1" applyBorder="1" applyAlignment="1" applyProtection="1">
      <alignment horizontal="right"/>
    </xf>
    <xf numFmtId="0" fontId="54" fillId="10" borderId="2" xfId="8" applyFont="1" applyFill="1" applyBorder="1" applyAlignment="1" applyProtection="1">
      <alignment horizontal="left" vertical="center" wrapText="1"/>
    </xf>
    <xf numFmtId="0" fontId="54" fillId="10" borderId="7" xfId="8" applyFont="1" applyFill="1" applyBorder="1" applyAlignment="1" applyProtection="1">
      <alignment horizontal="right" vertical="center" wrapText="1"/>
    </xf>
    <xf numFmtId="0" fontId="54" fillId="10" borderId="2" xfId="8" applyFont="1" applyFill="1" applyBorder="1" applyAlignment="1" applyProtection="1">
      <alignment horizontal="right" vertical="center" wrapText="1"/>
    </xf>
    <xf numFmtId="0" fontId="53" fillId="5" borderId="7" xfId="8" applyFont="1" applyFill="1" applyBorder="1" applyAlignment="1" applyProtection="1">
      <alignment horizontal="right"/>
    </xf>
    <xf numFmtId="0" fontId="53" fillId="5" borderId="2" xfId="8" applyFont="1" applyFill="1" applyBorder="1" applyAlignment="1" applyProtection="1">
      <alignment horizontal="right"/>
    </xf>
    <xf numFmtId="0" fontId="30" fillId="10" borderId="8" xfId="8" applyFont="1" applyFill="1" applyBorder="1" applyAlignment="1" applyProtection="1">
      <alignment horizontal="center"/>
    </xf>
    <xf numFmtId="0" fontId="30" fillId="10" borderId="2" xfId="8" applyFont="1" applyFill="1" applyBorder="1" applyAlignment="1" applyProtection="1">
      <alignment horizontal="center"/>
    </xf>
    <xf numFmtId="0" fontId="41" fillId="18" borderId="13" xfId="8" applyFont="1" applyFill="1" applyBorder="1" applyAlignment="1">
      <alignment horizontal="center" vertical="center"/>
    </xf>
    <xf numFmtId="0" fontId="41" fillId="6" borderId="8" xfId="8" applyFont="1" applyFill="1" applyBorder="1" applyAlignment="1">
      <alignment horizontal="center" vertical="center"/>
    </xf>
    <xf numFmtId="0" fontId="41" fillId="6" borderId="7" xfId="8" applyFont="1" applyFill="1" applyBorder="1" applyAlignment="1">
      <alignment horizontal="center" vertical="center"/>
    </xf>
    <xf numFmtId="0" fontId="32" fillId="10" borderId="10" xfId="8" applyFill="1" applyBorder="1" applyAlignment="1">
      <alignment horizontal="left" vertical="center"/>
    </xf>
    <xf numFmtId="0" fontId="32" fillId="10" borderId="13" xfId="8" applyFill="1" applyBorder="1" applyAlignment="1">
      <alignment horizontal="left" vertical="center"/>
    </xf>
    <xf numFmtId="0" fontId="32" fillId="10" borderId="12" xfId="8" applyFill="1" applyBorder="1" applyAlignment="1">
      <alignment horizontal="center" vertical="center"/>
    </xf>
    <xf numFmtId="0" fontId="32" fillId="10" borderId="15" xfId="8" applyFill="1" applyBorder="1" applyAlignment="1">
      <alignment horizontal="center" vertical="center"/>
    </xf>
    <xf numFmtId="0" fontId="32" fillId="10" borderId="11" xfId="8" applyFill="1" applyBorder="1" applyAlignment="1">
      <alignment horizontal="center" vertical="center"/>
    </xf>
    <xf numFmtId="0" fontId="41" fillId="17" borderId="1" xfId="8" applyFont="1" applyFill="1" applyBorder="1" applyAlignment="1">
      <alignment horizontal="center" vertical="center"/>
    </xf>
    <xf numFmtId="0" fontId="41" fillId="6" borderId="1" xfId="8" applyFont="1" applyFill="1" applyBorder="1" applyAlignment="1">
      <alignment horizontal="center" vertical="center"/>
    </xf>
    <xf numFmtId="0" fontId="41" fillId="6" borderId="2" xfId="8" applyFont="1" applyFill="1" applyBorder="1" applyAlignment="1">
      <alignment horizontal="center" vertical="center"/>
    </xf>
    <xf numFmtId="0" fontId="96" fillId="6" borderId="1" xfId="0" applyFont="1" applyFill="1" applyBorder="1" applyAlignment="1" applyProtection="1">
      <alignment horizontal="left" vertical="center"/>
      <protection locked="0"/>
    </xf>
    <xf numFmtId="0" fontId="74" fillId="10" borderId="8" xfId="8" applyFont="1" applyFill="1" applyBorder="1" applyAlignment="1" applyProtection="1">
      <alignment horizontal="right" vertical="center" wrapText="1"/>
    </xf>
    <xf numFmtId="0" fontId="74" fillId="10" borderId="7" xfId="8" applyFont="1" applyFill="1" applyBorder="1" applyAlignment="1" applyProtection="1">
      <alignment horizontal="right" vertical="center" wrapText="1"/>
    </xf>
    <xf numFmtId="0" fontId="74" fillId="10" borderId="2" xfId="8" applyFont="1" applyFill="1" applyBorder="1" applyAlignment="1" applyProtection="1">
      <alignment horizontal="right" vertical="center" wrapText="1"/>
    </xf>
    <xf numFmtId="0" fontId="41" fillId="6" borderId="7" xfId="0" applyFont="1" applyFill="1" applyBorder="1" applyAlignment="1" applyProtection="1">
      <alignment horizontal="right" vertical="center"/>
      <protection locked="0"/>
    </xf>
    <xf numFmtId="0" fontId="41" fillId="6" borderId="8" xfId="8" applyFont="1" applyFill="1" applyBorder="1" applyAlignment="1" applyProtection="1">
      <alignment horizontal="right" vertical="center" wrapText="1"/>
      <protection locked="0"/>
    </xf>
    <xf numFmtId="0" fontId="41" fillId="6" borderId="7" xfId="8" applyFont="1" applyFill="1" applyBorder="1" applyAlignment="1" applyProtection="1">
      <alignment horizontal="right" vertical="center" wrapText="1"/>
      <protection locked="0"/>
    </xf>
    <xf numFmtId="0" fontId="41" fillId="6" borderId="2" xfId="8" applyFont="1" applyFill="1" applyBorder="1" applyAlignment="1" applyProtection="1">
      <alignment horizontal="right" vertical="center" wrapText="1"/>
      <protection locked="0"/>
    </xf>
    <xf numFmtId="0" fontId="41" fillId="6" borderId="8" xfId="8" applyFont="1" applyFill="1" applyBorder="1" applyAlignment="1" applyProtection="1">
      <alignment horizontal="right" vertical="center" wrapText="1"/>
    </xf>
    <xf numFmtId="0" fontId="41" fillId="6" borderId="7" xfId="8" applyFont="1" applyFill="1" applyBorder="1" applyAlignment="1" applyProtection="1">
      <alignment horizontal="right" vertical="center" wrapText="1"/>
    </xf>
    <xf numFmtId="0" fontId="41" fillId="6" borderId="2" xfId="8" applyFont="1" applyFill="1" applyBorder="1" applyAlignment="1" applyProtection="1">
      <alignment horizontal="right" vertical="center" wrapText="1"/>
    </xf>
    <xf numFmtId="0" fontId="30" fillId="10" borderId="8" xfId="8" applyFont="1" applyFill="1" applyBorder="1" applyAlignment="1">
      <alignment horizontal="center"/>
    </xf>
    <xf numFmtId="0" fontId="30" fillId="10" borderId="2" xfId="8" applyFont="1" applyFill="1" applyBorder="1" applyAlignment="1">
      <alignment horizontal="center"/>
    </xf>
    <xf numFmtId="0" fontId="54" fillId="10" borderId="7" xfId="8" applyFont="1" applyFill="1" applyBorder="1" applyAlignment="1" applyProtection="1">
      <alignment horizontal="left" vertical="center" shrinkToFit="1"/>
    </xf>
    <xf numFmtId="0" fontId="41" fillId="6" borderId="8" xfId="8" applyFont="1" applyFill="1" applyBorder="1" applyAlignment="1" applyProtection="1">
      <alignment horizontal="center" vertical="center"/>
      <protection locked="0"/>
    </xf>
    <xf numFmtId="0" fontId="41" fillId="6" borderId="7" xfId="8" applyFont="1" applyFill="1" applyBorder="1" applyAlignment="1" applyProtection="1">
      <alignment horizontal="center" vertical="center"/>
      <protection locked="0"/>
    </xf>
    <xf numFmtId="0" fontId="53" fillId="21" borderId="8" xfId="8" applyFont="1" applyFill="1" applyBorder="1" applyAlignment="1" applyProtection="1">
      <alignment horizontal="center" vertical="center"/>
      <protection locked="0"/>
    </xf>
    <xf numFmtId="0" fontId="53" fillId="21" borderId="7" xfId="8" applyFont="1" applyFill="1" applyBorder="1" applyAlignment="1" applyProtection="1">
      <alignment horizontal="center" vertical="center"/>
      <protection locked="0"/>
    </xf>
    <xf numFmtId="0" fontId="53" fillId="21" borderId="2" xfId="8" applyFont="1" applyFill="1" applyBorder="1" applyAlignment="1" applyProtection="1">
      <alignment horizontal="center" vertical="center"/>
      <protection locked="0"/>
    </xf>
    <xf numFmtId="0" fontId="72" fillId="10" borderId="4" xfId="8" applyFont="1" applyFill="1" applyBorder="1" applyAlignment="1" applyProtection="1">
      <alignment horizontal="center" vertical="center" wrapText="1"/>
      <protection locked="0"/>
    </xf>
    <xf numFmtId="0" fontId="74" fillId="10" borderId="4" xfId="8" applyFont="1" applyFill="1" applyBorder="1" applyAlignment="1" applyProtection="1">
      <alignment horizontal="center" vertical="center" wrapText="1"/>
      <protection locked="0"/>
    </xf>
    <xf numFmtId="0" fontId="53" fillId="10" borderId="7" xfId="8" applyFont="1" applyFill="1" applyBorder="1" applyAlignment="1" applyProtection="1">
      <alignment horizontal="center" vertical="center" wrapText="1"/>
      <protection locked="0"/>
    </xf>
    <xf numFmtId="0" fontId="53" fillId="10" borderId="2" xfId="8" applyFont="1" applyFill="1" applyBorder="1" applyAlignment="1" applyProtection="1">
      <alignment horizontal="center" vertical="center" wrapText="1"/>
      <protection locked="0"/>
    </xf>
    <xf numFmtId="0" fontId="74" fillId="10" borderId="8" xfId="8" applyFont="1" applyFill="1" applyBorder="1" applyAlignment="1" applyProtection="1">
      <alignment horizontal="right" vertical="center" wrapText="1"/>
      <protection locked="0"/>
    </xf>
    <xf numFmtId="0" fontId="74" fillId="10" borderId="7" xfId="8" applyFont="1" applyFill="1" applyBorder="1" applyAlignment="1" applyProtection="1">
      <alignment horizontal="right" vertical="center" wrapText="1"/>
      <protection locked="0"/>
    </xf>
    <xf numFmtId="0" fontId="74" fillId="10" borderId="2" xfId="8" applyFont="1" applyFill="1" applyBorder="1" applyAlignment="1" applyProtection="1">
      <alignment horizontal="right" vertical="center" wrapText="1"/>
      <protection locked="0"/>
    </xf>
    <xf numFmtId="0" fontId="54" fillId="10" borderId="7" xfId="8" applyFont="1" applyFill="1" applyBorder="1" applyAlignment="1" applyProtection="1">
      <alignment horizontal="left" vertical="center"/>
      <protection hidden="1"/>
    </xf>
    <xf numFmtId="0" fontId="41" fillId="6" borderId="1" xfId="8" applyFont="1" applyFill="1" applyBorder="1" applyAlignment="1" applyProtection="1">
      <alignment horizontal="center" vertical="center"/>
      <protection hidden="1"/>
    </xf>
    <xf numFmtId="0" fontId="41" fillId="6" borderId="1" xfId="8" applyFont="1" applyFill="1" applyBorder="1" applyAlignment="1" applyProtection="1">
      <alignment horizontal="center" vertical="center" wrapText="1"/>
      <protection hidden="1"/>
    </xf>
    <xf numFmtId="0" fontId="54" fillId="8" borderId="7" xfId="8" applyFont="1" applyFill="1" applyBorder="1" applyAlignment="1" applyProtection="1">
      <alignment horizontal="left" vertical="center"/>
      <protection locked="0"/>
    </xf>
    <xf numFmtId="0" fontId="54" fillId="8" borderId="2" xfId="8" applyFont="1" applyFill="1" applyBorder="1" applyAlignment="1" applyProtection="1">
      <alignment horizontal="left" vertical="center"/>
      <protection locked="0"/>
    </xf>
    <xf numFmtId="0" fontId="74" fillId="10" borderId="7" xfId="8" applyFont="1" applyFill="1" applyBorder="1" applyAlignment="1" applyProtection="1">
      <alignment horizontal="left" vertical="center" wrapText="1"/>
      <protection hidden="1"/>
    </xf>
    <xf numFmtId="0" fontId="53" fillId="10" borderId="8" xfId="8" applyFont="1" applyFill="1" applyBorder="1" applyAlignment="1" applyProtection="1">
      <alignment horizontal="center" vertical="center"/>
      <protection hidden="1"/>
    </xf>
    <xf numFmtId="0" fontId="32" fillId="10" borderId="2" xfId="8" applyFont="1" applyFill="1" applyBorder="1" applyAlignment="1" applyProtection="1">
      <alignment vertical="center"/>
      <protection hidden="1"/>
    </xf>
    <xf numFmtId="0" fontId="54" fillId="8" borderId="8" xfId="8" applyFont="1" applyFill="1" applyBorder="1" applyAlignment="1" applyProtection="1">
      <alignment horizontal="left" vertical="center"/>
      <protection locked="0"/>
    </xf>
    <xf numFmtId="0" fontId="41" fillId="23" borderId="12" xfId="8" applyFont="1" applyFill="1" applyBorder="1" applyAlignment="1" applyProtection="1">
      <alignment horizontal="center" vertical="center"/>
      <protection hidden="1"/>
    </xf>
    <xf numFmtId="0" fontId="41" fillId="23" borderId="3" xfId="8" applyFont="1" applyFill="1" applyBorder="1" applyAlignment="1" applyProtection="1">
      <alignment horizontal="center" vertical="center"/>
      <protection hidden="1"/>
    </xf>
    <xf numFmtId="0" fontId="41" fillId="23" borderId="11" xfId="8" applyFont="1" applyFill="1" applyBorder="1" applyAlignment="1" applyProtection="1">
      <alignment horizontal="center" vertical="center"/>
      <protection hidden="1"/>
    </xf>
    <xf numFmtId="0" fontId="41" fillId="23" borderId="6" xfId="8" applyFont="1" applyFill="1" applyBorder="1" applyAlignment="1" applyProtection="1">
      <alignment horizontal="center" vertical="center"/>
      <protection hidden="1"/>
    </xf>
    <xf numFmtId="0" fontId="42" fillId="28" borderId="1" xfId="8" applyFont="1" applyFill="1" applyBorder="1" applyAlignment="1" applyProtection="1">
      <alignment horizontal="center" vertical="center"/>
      <protection hidden="1"/>
    </xf>
    <xf numFmtId="0" fontId="32" fillId="10" borderId="3" xfId="8" applyFill="1" applyBorder="1" applyAlignment="1">
      <alignment horizontal="right" vertical="center"/>
    </xf>
    <xf numFmtId="0" fontId="32" fillId="10" borderId="6" xfId="8" applyFill="1" applyBorder="1" applyAlignment="1">
      <alignment horizontal="right" vertical="center"/>
    </xf>
    <xf numFmtId="0" fontId="82" fillId="10" borderId="9" xfId="8" applyFont="1" applyFill="1" applyBorder="1" applyAlignment="1" applyProtection="1">
      <alignment horizontal="right" vertical="center"/>
      <protection hidden="1"/>
    </xf>
    <xf numFmtId="0" fontId="82" fillId="10" borderId="4" xfId="8" applyFont="1" applyFill="1" applyBorder="1" applyAlignment="1" applyProtection="1">
      <alignment horizontal="right" vertical="center"/>
      <protection hidden="1"/>
    </xf>
    <xf numFmtId="170" fontId="42" fillId="5" borderId="9" xfId="8" applyNumberFormat="1" applyFont="1" applyFill="1" applyBorder="1" applyAlignment="1">
      <alignment horizontal="right" vertical="center"/>
    </xf>
    <xf numFmtId="170" fontId="42" fillId="5" borderId="4" xfId="8" applyNumberFormat="1" applyFont="1" applyFill="1" applyBorder="1" applyAlignment="1">
      <alignment horizontal="right" vertical="center"/>
    </xf>
    <xf numFmtId="170" fontId="42" fillId="5" borderId="9" xfId="8" applyNumberFormat="1" applyFont="1" applyFill="1" applyBorder="1" applyAlignment="1">
      <alignment vertical="center"/>
    </xf>
    <xf numFmtId="170" fontId="42" fillId="5" borderId="4" xfId="8" applyNumberFormat="1" applyFont="1" applyFill="1" applyBorder="1" applyAlignment="1">
      <alignment vertical="center"/>
    </xf>
    <xf numFmtId="0" fontId="76" fillId="10" borderId="9" xfId="8" applyFont="1" applyFill="1" applyBorder="1" applyAlignment="1">
      <alignment horizontal="center" vertical="center"/>
    </xf>
    <xf numFmtId="0" fontId="76" fillId="10" borderId="4" xfId="8" applyFont="1" applyFill="1" applyBorder="1" applyAlignment="1">
      <alignment horizontal="center" vertical="center"/>
    </xf>
    <xf numFmtId="0" fontId="41" fillId="18" borderId="1" xfId="8" applyFont="1" applyFill="1" applyBorder="1" applyAlignment="1">
      <alignment horizontal="center" vertical="center"/>
    </xf>
    <xf numFmtId="0" fontId="41" fillId="27" borderId="8" xfId="8" applyFont="1" applyFill="1" applyBorder="1" applyAlignment="1">
      <alignment horizontal="center" vertical="center"/>
    </xf>
    <xf numFmtId="0" fontId="41" fillId="27" borderId="7" xfId="8" applyFont="1" applyFill="1" applyBorder="1" applyAlignment="1">
      <alignment horizontal="center" vertical="center"/>
    </xf>
    <xf numFmtId="0" fontId="41" fillId="27" borderId="2" xfId="8" applyFont="1" applyFill="1" applyBorder="1" applyAlignment="1">
      <alignment horizontal="center" vertical="center"/>
    </xf>
    <xf numFmtId="0" fontId="32" fillId="4" borderId="12" xfId="8" applyFill="1" applyBorder="1" applyAlignment="1">
      <alignment horizontal="center" vertical="center"/>
    </xf>
    <xf numFmtId="0" fontId="32" fillId="4" borderId="11" xfId="8" applyFill="1" applyBorder="1" applyAlignment="1">
      <alignment horizontal="center" vertical="center"/>
    </xf>
    <xf numFmtId="0" fontId="18" fillId="4" borderId="10" xfId="8" applyFont="1" applyFill="1" applyBorder="1" applyAlignment="1">
      <alignment horizontal="left" vertical="center" wrapText="1"/>
    </xf>
    <xf numFmtId="0" fontId="32" fillId="4" borderId="13" xfId="8" applyFill="1" applyBorder="1" applyAlignment="1">
      <alignment horizontal="left" vertical="center" wrapText="1"/>
    </xf>
    <xf numFmtId="0" fontId="32" fillId="12" borderId="12" xfId="8" applyFill="1" applyBorder="1" applyAlignment="1">
      <alignment horizontal="center" vertical="center"/>
    </xf>
    <xf numFmtId="0" fontId="32" fillId="12" borderId="11" xfId="8" applyFill="1" applyBorder="1" applyAlignment="1">
      <alignment horizontal="center" vertical="center"/>
    </xf>
    <xf numFmtId="0" fontId="32" fillId="12" borderId="10" xfId="8" applyFill="1" applyBorder="1" applyAlignment="1">
      <alignment horizontal="left" vertical="center" wrapText="1"/>
    </xf>
    <xf numFmtId="0" fontId="32" fillId="12" borderId="13" xfId="8" applyFill="1" applyBorder="1" applyAlignment="1">
      <alignment horizontal="left" vertical="center" wrapText="1"/>
    </xf>
    <xf numFmtId="0" fontId="24" fillId="4" borderId="10" xfId="8" applyFont="1" applyFill="1" applyBorder="1" applyAlignment="1">
      <alignment horizontal="left" vertical="center" wrapText="1"/>
    </xf>
    <xf numFmtId="0" fontId="23" fillId="4" borderId="10" xfId="8" applyFont="1" applyFill="1" applyBorder="1" applyAlignment="1">
      <alignment horizontal="left" vertical="center" wrapText="1"/>
    </xf>
    <xf numFmtId="0" fontId="18" fillId="12" borderId="10" xfId="8" applyFont="1" applyFill="1" applyBorder="1" applyAlignment="1">
      <alignment horizontal="left" vertical="center" wrapText="1"/>
    </xf>
    <xf numFmtId="0" fontId="22" fillId="4" borderId="10" xfId="8" applyFont="1" applyFill="1" applyBorder="1" applyAlignment="1">
      <alignment horizontal="left" vertical="center" wrapText="1"/>
    </xf>
    <xf numFmtId="0" fontId="71" fillId="25" borderId="12" xfId="8" applyFont="1" applyFill="1" applyBorder="1" applyAlignment="1">
      <alignment horizontal="center" vertical="center"/>
    </xf>
    <xf numFmtId="0" fontId="71" fillId="25" borderId="11" xfId="8" applyFont="1" applyFill="1" applyBorder="1" applyAlignment="1">
      <alignment horizontal="center" vertical="center"/>
    </xf>
    <xf numFmtId="0" fontId="41" fillId="25" borderId="10" xfId="8" applyFont="1" applyFill="1" applyBorder="1" applyAlignment="1">
      <alignment horizontal="left" vertical="center" wrapText="1"/>
    </xf>
    <xf numFmtId="0" fontId="41" fillId="25" borderId="13" xfId="8" applyFont="1" applyFill="1" applyBorder="1" applyAlignment="1">
      <alignment horizontal="left" vertical="center" wrapText="1"/>
    </xf>
    <xf numFmtId="0" fontId="32" fillId="4" borderId="10" xfId="8" applyFill="1" applyBorder="1" applyAlignment="1">
      <alignment horizontal="left" vertical="center" wrapText="1"/>
    </xf>
    <xf numFmtId="0" fontId="41" fillId="27" borderId="12" xfId="8" applyFont="1" applyFill="1" applyBorder="1" applyAlignment="1">
      <alignment horizontal="center" vertical="center"/>
    </xf>
    <xf numFmtId="0" fontId="41" fillId="27" borderId="10" xfId="8" applyFont="1" applyFill="1" applyBorder="1" applyAlignment="1">
      <alignment horizontal="center" vertical="center"/>
    </xf>
    <xf numFmtId="0" fontId="41" fillId="27" borderId="3" xfId="8" applyFont="1" applyFill="1" applyBorder="1" applyAlignment="1">
      <alignment horizontal="center" vertical="center"/>
    </xf>
    <xf numFmtId="0" fontId="41" fillId="27" borderId="11" xfId="8" applyFont="1" applyFill="1" applyBorder="1" applyAlignment="1">
      <alignment horizontal="center" vertical="center"/>
    </xf>
    <xf numFmtId="0" fontId="41" fillId="27" borderId="13" xfId="8" applyFont="1" applyFill="1" applyBorder="1" applyAlignment="1">
      <alignment horizontal="center" vertical="center"/>
    </xf>
    <xf numFmtId="0" fontId="41" fillId="27" borderId="6" xfId="8" applyFont="1" applyFill="1" applyBorder="1" applyAlignment="1">
      <alignment horizontal="center" vertical="center"/>
    </xf>
    <xf numFmtId="0" fontId="41" fillId="27" borderId="9" xfId="8" applyFont="1" applyFill="1" applyBorder="1" applyAlignment="1">
      <alignment horizontal="center" wrapText="1"/>
    </xf>
    <xf numFmtId="0" fontId="41" fillId="27" borderId="4" xfId="8" applyFont="1" applyFill="1" applyBorder="1" applyAlignment="1">
      <alignment horizontal="center" wrapText="1"/>
    </xf>
    <xf numFmtId="0" fontId="23" fillId="10" borderId="10" xfId="8" applyFont="1" applyFill="1" applyBorder="1" applyAlignment="1">
      <alignment horizontal="left" vertical="center" wrapText="1"/>
    </xf>
    <xf numFmtId="0" fontId="32" fillId="10" borderId="13" xfId="8" applyFill="1" applyBorder="1" applyAlignment="1">
      <alignment horizontal="left" vertical="center" wrapText="1"/>
    </xf>
    <xf numFmtId="0" fontId="13" fillId="4" borderId="10" xfId="8" applyFont="1" applyFill="1" applyBorder="1" applyAlignment="1">
      <alignment horizontal="left" vertical="center" wrapText="1"/>
    </xf>
    <xf numFmtId="0" fontId="32" fillId="8" borderId="9" xfId="8" applyFont="1" applyFill="1" applyBorder="1" applyAlignment="1" applyProtection="1">
      <alignment horizontal="center"/>
      <protection locked="0"/>
    </xf>
    <xf numFmtId="0" fontId="32" fillId="8" borderId="4" xfId="8" applyFont="1" applyFill="1" applyBorder="1" applyAlignment="1" applyProtection="1">
      <alignment horizontal="center"/>
      <protection locked="0"/>
    </xf>
    <xf numFmtId="0" fontId="6" fillId="10" borderId="3" xfId="8" applyFont="1" applyFill="1" applyBorder="1" applyAlignment="1">
      <alignment horizontal="left" vertical="center" wrapText="1"/>
    </xf>
    <xf numFmtId="0" fontId="32" fillId="10" borderId="6" xfId="8" applyFill="1" applyBorder="1" applyAlignment="1">
      <alignment horizontal="left" vertical="center"/>
    </xf>
    <xf numFmtId="0" fontId="7" fillId="10" borderId="3" xfId="8" applyFont="1" applyFill="1" applyBorder="1" applyAlignment="1">
      <alignment horizontal="left" vertical="center"/>
    </xf>
    <xf numFmtId="0" fontId="7" fillId="4" borderId="3" xfId="8" applyFont="1" applyFill="1" applyBorder="1" applyAlignment="1">
      <alignment horizontal="left" vertical="center"/>
    </xf>
    <xf numFmtId="0" fontId="32" fillId="4" borderId="6" xfId="8" applyFill="1" applyBorder="1" applyAlignment="1">
      <alignment horizontal="left" vertical="center"/>
    </xf>
    <xf numFmtId="0" fontId="23" fillId="10" borderId="3" xfId="8" applyFont="1" applyFill="1" applyBorder="1" applyAlignment="1">
      <alignment horizontal="left" vertical="center"/>
    </xf>
    <xf numFmtId="0" fontId="7" fillId="10" borderId="10" xfId="8" applyFont="1" applyFill="1" applyBorder="1" applyAlignment="1">
      <alignment horizontal="left" vertical="center" wrapText="1"/>
    </xf>
    <xf numFmtId="0" fontId="6" fillId="10" borderId="10" xfId="8" applyFont="1" applyFill="1" applyBorder="1" applyAlignment="1">
      <alignment horizontal="left" vertical="center" wrapText="1"/>
    </xf>
    <xf numFmtId="0" fontId="32" fillId="10" borderId="10" xfId="8" applyFill="1" applyBorder="1" applyAlignment="1">
      <alignment horizontal="left" vertical="center" wrapText="1"/>
    </xf>
    <xf numFmtId="0" fontId="7" fillId="10" borderId="3" xfId="8" applyFont="1" applyFill="1" applyBorder="1" applyAlignment="1">
      <alignment horizontal="left" vertical="center" wrapText="1"/>
    </xf>
    <xf numFmtId="0" fontId="23" fillId="4" borderId="3" xfId="8" applyFont="1" applyFill="1" applyBorder="1" applyAlignment="1">
      <alignment horizontal="left" vertical="center"/>
    </xf>
    <xf numFmtId="0" fontId="7" fillId="4" borderId="3" xfId="8" applyFont="1" applyFill="1" applyBorder="1" applyAlignment="1">
      <alignment horizontal="left" vertical="center" wrapText="1"/>
    </xf>
    <xf numFmtId="0" fontId="23" fillId="4" borderId="6" xfId="8" applyFont="1" applyFill="1" applyBorder="1" applyAlignment="1">
      <alignment horizontal="left" vertical="center"/>
    </xf>
    <xf numFmtId="0" fontId="4" fillId="4" borderId="10" xfId="8" applyFont="1" applyFill="1" applyBorder="1" applyAlignment="1">
      <alignment horizontal="left" vertical="center" wrapText="1"/>
    </xf>
    <xf numFmtId="0" fontId="41" fillId="27" borderId="3" xfId="8" applyFont="1" applyFill="1" applyBorder="1" applyAlignment="1">
      <alignment horizontal="left" vertical="center" wrapText="1"/>
    </xf>
    <xf numFmtId="0" fontId="41" fillId="27" borderId="6" xfId="8" applyFont="1" applyFill="1" applyBorder="1" applyAlignment="1">
      <alignment horizontal="left" vertical="center"/>
    </xf>
    <xf numFmtId="0" fontId="6" fillId="10" borderId="3" xfId="8" applyFont="1" applyFill="1" applyBorder="1" applyAlignment="1">
      <alignment horizontal="left" vertical="center"/>
    </xf>
    <xf numFmtId="164" fontId="32" fillId="8" borderId="9" xfId="2" applyNumberFormat="1" applyFont="1" applyFill="1" applyBorder="1" applyAlignment="1" applyProtection="1">
      <alignment horizontal="center" vertical="center"/>
      <protection locked="0"/>
    </xf>
    <xf numFmtId="164" fontId="32" fillId="8" borderId="4" xfId="2" applyNumberFormat="1" applyFont="1" applyFill="1" applyBorder="1" applyAlignment="1" applyProtection="1">
      <alignment horizontal="center" vertical="center"/>
      <protection locked="0"/>
    </xf>
    <xf numFmtId="165" fontId="32" fillId="10" borderId="9" xfId="6" applyFont="1" applyFill="1" applyBorder="1" applyAlignment="1">
      <alignment horizontal="center" vertical="center"/>
    </xf>
    <xf numFmtId="165" fontId="32" fillId="10" borderId="4" xfId="6" applyFont="1" applyFill="1" applyBorder="1" applyAlignment="1">
      <alignment horizontal="center" vertical="center"/>
    </xf>
    <xf numFmtId="165" fontId="41" fillId="25" borderId="9" xfId="6" applyFont="1" applyFill="1" applyBorder="1" applyAlignment="1">
      <alignment horizontal="center" vertical="center"/>
    </xf>
    <xf numFmtId="165" fontId="41" fillId="25" borderId="4" xfId="6" applyFont="1" applyFill="1" applyBorder="1" applyAlignment="1">
      <alignment horizontal="center" vertical="center"/>
    </xf>
    <xf numFmtId="165" fontId="41" fillId="25" borderId="9" xfId="6" applyFont="1" applyFill="1" applyBorder="1" applyAlignment="1">
      <alignment horizontal="center"/>
    </xf>
    <xf numFmtId="165" fontId="41" fillId="25" borderId="4" xfId="6" applyFont="1" applyFill="1" applyBorder="1" applyAlignment="1">
      <alignment horizontal="center"/>
    </xf>
  </cellXfs>
  <cellStyles count="12">
    <cellStyle name="Hiperlink" xfId="1" builtinId="8"/>
    <cellStyle name="Moeda" xfId="2" builtinId="4"/>
    <cellStyle name="Moeda 2" xfId="3"/>
    <cellStyle name="Moeda 3" xfId="9"/>
    <cellStyle name="Normal" xfId="0" builtinId="0"/>
    <cellStyle name="Normal 2" xfId="8"/>
    <cellStyle name="Porcentagem" xfId="4" builtinId="5"/>
    <cellStyle name="Porcentagem 2" xfId="5"/>
    <cellStyle name="Porcentagem 3" xfId="11"/>
    <cellStyle name="Separador de milhares 2" xfId="7"/>
    <cellStyle name="Separador de milhares 3" xfId="10"/>
    <cellStyle name="Vírgula" xfId="6" builtinId="3"/>
  </cellStyles>
  <dxfs count="180">
    <dxf>
      <font>
        <color rgb="FFC00000"/>
      </font>
      <fill>
        <patternFill>
          <bgColor rgb="FFC00000"/>
        </patternFill>
      </fill>
    </dxf>
    <dxf>
      <font>
        <color rgb="FF006600"/>
      </font>
      <fill>
        <patternFill>
          <bgColor rgb="FF0066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600"/>
      </font>
      <fill>
        <patternFill>
          <bgColor rgb="FF006600"/>
        </patternFill>
      </fill>
    </dxf>
    <dxf>
      <fill>
        <patternFill>
          <bgColor theme="5" tint="0.59996337778862885"/>
        </patternFill>
      </fill>
    </dxf>
    <dxf>
      <font>
        <b/>
        <i/>
        <color theme="6" tint="-0.499984740745262"/>
      </font>
      <fill>
        <patternFill>
          <bgColor theme="6" tint="0.59996337778862885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6600"/>
      </font>
      <fill>
        <patternFill>
          <bgColor rgb="FF0066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fgColor rgb="FF00FF00"/>
          <bgColor rgb="FF00FF00"/>
        </patternFill>
      </fill>
    </dxf>
    <dxf>
      <font>
        <b/>
        <i val="0"/>
      </font>
      <fill>
        <patternFill>
          <bgColor rgb="FF009999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0"/>
      </font>
      <fill>
        <patternFill>
          <bgColor theme="5" tint="-0.24994659260841701"/>
        </patternFill>
      </fill>
    </dxf>
    <dxf>
      <font>
        <b/>
        <i val="0"/>
        <color rgb="FF006600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rgb="FF006600"/>
      </font>
      <fill>
        <patternFill>
          <bgColor theme="6" tint="0.79998168889431442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0033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/>
        <color rgb="FFFFC000"/>
      </font>
    </dxf>
    <dxf>
      <font>
        <color theme="0" tint="-0.14996795556505021"/>
        <name val="Cambria"/>
        <scheme val="none"/>
      </font>
      <fill>
        <patternFill>
          <bgColor theme="0" tint="-0.14996795556505021"/>
        </patternFill>
      </fill>
      <border>
        <left/>
        <right/>
        <top/>
        <bottom/>
      </border>
    </dxf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008000"/>
        </patternFill>
      </fill>
    </dxf>
    <dxf>
      <font>
        <b/>
        <i/>
        <color rgb="FFFFC000"/>
      </font>
    </dxf>
    <dxf>
      <font>
        <b/>
        <i/>
        <color rgb="FFFFC000"/>
      </font>
    </dxf>
    <dxf>
      <font>
        <b/>
        <i/>
        <color rgb="FFFFC000"/>
      </font>
    </dxf>
    <dxf>
      <font>
        <b/>
        <i/>
        <color rgb="FFFFC000"/>
      </font>
    </dxf>
  </dxfs>
  <tableStyles count="0" defaultTableStyle="TableStyleMedium9" defaultPivotStyle="PivotStyleLight16"/>
  <colors>
    <mruColors>
      <color rgb="FF003300"/>
      <color rgb="FF006600"/>
      <color rgb="FF000099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Previsto</c:v>
          </c:tx>
          <c:marker>
            <c:symbol val="none"/>
          </c:marker>
          <c:xVal>
            <c:strRef>
              <c:f>'C. Financeiro'!$E$3:$P$3</c:f>
              <c:strCache>
                <c:ptCount val="12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</c:strCache>
            </c:strRef>
          </c:xVal>
          <c:yVal>
            <c:numRef>
              <c:f>'C. Financeiro'!$E$34:$P$34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47A7-904B-B75C73067872}"/>
            </c:ext>
          </c:extLst>
        </c:ser>
        <c:ser>
          <c:idx val="1"/>
          <c:order val="1"/>
          <c:tx>
            <c:v>Realizado</c:v>
          </c:tx>
          <c:marker>
            <c:symbol val="none"/>
          </c:marker>
          <c:xVal>
            <c:strRef>
              <c:f>'C. Financeiro'!$E$3:$P$3</c:f>
              <c:strCache>
                <c:ptCount val="12"/>
                <c:pt idx="0">
                  <c:v>Mês 1</c:v>
                </c:pt>
                <c:pt idx="1">
                  <c:v>Mês 2</c:v>
                </c:pt>
                <c:pt idx="2">
                  <c:v>Mês 3</c:v>
                </c:pt>
                <c:pt idx="3">
                  <c:v>Mês 4</c:v>
                </c:pt>
                <c:pt idx="4">
                  <c:v>Mês 5</c:v>
                </c:pt>
                <c:pt idx="5">
                  <c:v>Mês 6</c:v>
                </c:pt>
                <c:pt idx="6">
                  <c:v>Mês 7</c:v>
                </c:pt>
                <c:pt idx="7">
                  <c:v>Mês 8</c:v>
                </c:pt>
                <c:pt idx="8">
                  <c:v>Mês 9</c:v>
                </c:pt>
                <c:pt idx="9">
                  <c:v>Mês 10</c:v>
                </c:pt>
                <c:pt idx="10">
                  <c:v>Mês 11</c:v>
                </c:pt>
                <c:pt idx="11">
                  <c:v>Mês 12</c:v>
                </c:pt>
              </c:strCache>
            </c:strRef>
          </c:xVal>
          <c:yVal>
            <c:numRef>
              <c:f>'C. Financeiro'!$E$35:$P$35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C-47A7-904B-B75C73067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68320"/>
        <c:axId val="188569856"/>
      </c:scatterChart>
      <c:valAx>
        <c:axId val="1885683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88569856"/>
        <c:crosses val="autoZero"/>
        <c:crossBetween val="midCat"/>
        <c:majorUnit val="1"/>
      </c:valAx>
      <c:valAx>
        <c:axId val="188569856"/>
        <c:scaling>
          <c:orientation val="minMax"/>
        </c:scaling>
        <c:delete val="0"/>
        <c:axPos val="l"/>
        <c:majorGridlines/>
        <c:numFmt formatCode="_(&quot;R$&quot;* #,##0_);_(&quot;R$&quot;* \(#,##0\);_(&quot;R$&quot;* &quot;-&quot;_);_(@_)" sourceLinked="0"/>
        <c:majorTickMark val="out"/>
        <c:minorTickMark val="none"/>
        <c:tickLblPos val="nextTo"/>
        <c:crossAx val="188568320"/>
        <c:crosses val="autoZero"/>
        <c:crossBetween val="midCat"/>
      </c:valAx>
    </c:plotArea>
    <c:legend>
      <c:legendPos val="r"/>
      <c:overlay val="0"/>
      <c:spPr>
        <a:solidFill>
          <a:schemeClr val="lt1"/>
        </a:solidFill>
        <a:ln w="9525" cap="flat" cmpd="sng" algn="ctr">
          <a:solidFill>
            <a:schemeClr val="tx1"/>
          </a:solidFill>
          <a:prstDash val="solid"/>
        </a:ln>
        <a:effectLst/>
      </c:spPr>
    </c:legend>
    <c:plotVisOnly val="1"/>
    <c:dispBlanksAs val="zero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noFill/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474" footer="0.31496062000000474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E$18" fmlaRange="Apoio!$B$25:$B$36" noThreeD="1" sel="6" val="0"/>
</file>

<file path=xl/ctrlProps/ctrlProp10.xml><?xml version="1.0" encoding="utf-8"?>
<formControlPr xmlns="http://schemas.microsoft.com/office/spreadsheetml/2009/9/main" objectType="Drop" dropLines="10" dropStyle="combo" dx="16" fmlaLink="$E$6" fmlaRange="Apoio!$AG$7:$AG$294" noThreeD="1" sel="1" val="0"/>
</file>

<file path=xl/ctrlProps/ctrlProp11.xml><?xml version="1.0" encoding="utf-8"?>
<formControlPr xmlns="http://schemas.microsoft.com/office/spreadsheetml/2009/9/main" objectType="Drop" dropLines="10" dropStyle="combo" dx="16" fmlaLink="$F$6" fmlaRange="Apoio!$AG$7:$AG$294" noThreeD="1" sel="1" val="0"/>
</file>

<file path=xl/ctrlProps/ctrlProp12.xml><?xml version="1.0" encoding="utf-8"?>
<formControlPr xmlns="http://schemas.microsoft.com/office/spreadsheetml/2009/9/main" objectType="Drop" dropLines="10" dropStyle="combo" dx="16" fmlaLink="$G$6" fmlaRange="Apoio!$AG$7:$AG$294" noThreeD="1" sel="1" val="0"/>
</file>

<file path=xl/ctrlProps/ctrlProp13.xml><?xml version="1.0" encoding="utf-8"?>
<formControlPr xmlns="http://schemas.microsoft.com/office/spreadsheetml/2009/9/main" objectType="Drop" dropLines="10" dropStyle="combo" dx="16" fmlaLink="$H$6" fmlaRange="Apoio!$AG$7:$AG$294" noThreeD="1" sel="1" val="0"/>
</file>

<file path=xl/ctrlProps/ctrlProp14.xml><?xml version="1.0" encoding="utf-8"?>
<formControlPr xmlns="http://schemas.microsoft.com/office/spreadsheetml/2009/9/main" objectType="Drop" dropLines="10" dropStyle="combo" dx="16" fmlaLink="$I$6" fmlaRange="Apoio!$AG$7:$AG$294" noThreeD="1" sel="1" val="0"/>
</file>

<file path=xl/ctrlProps/ctrlProp15.xml><?xml version="1.0" encoding="utf-8"?>
<formControlPr xmlns="http://schemas.microsoft.com/office/spreadsheetml/2009/9/main" objectType="Drop" dropLines="10" dropStyle="combo" dx="16" fmlaLink="$J$6" fmlaRange="Apoio!$AG$7:$AG$294" noThreeD="1" sel="1" val="0"/>
</file>

<file path=xl/ctrlProps/ctrlProp16.xml><?xml version="1.0" encoding="utf-8"?>
<formControlPr xmlns="http://schemas.microsoft.com/office/spreadsheetml/2009/9/main" objectType="Drop" dropLines="10" dropStyle="combo" dx="16" fmlaLink="$K$6" fmlaRange="Apoio!$AG$7:$AG$294" noThreeD="1" sel="1" val="0"/>
</file>

<file path=xl/ctrlProps/ctrlProp17.xml><?xml version="1.0" encoding="utf-8"?>
<formControlPr xmlns="http://schemas.microsoft.com/office/spreadsheetml/2009/9/main" objectType="Drop" dropLines="10" dropStyle="combo" dx="16" fmlaLink="$L$6" fmlaRange="Apoio!$AG$7:$AG$294" noThreeD="1" sel="1" val="0"/>
</file>

<file path=xl/ctrlProps/ctrlProp18.xml><?xml version="1.0" encoding="utf-8"?>
<formControlPr xmlns="http://schemas.microsoft.com/office/spreadsheetml/2009/9/main" objectType="Drop" dropLines="10" dropStyle="combo" dx="16" fmlaLink="$M$6" fmlaRange="Apoio!$AG$7:$AG$294" noThreeD="1" sel="1" val="0"/>
</file>

<file path=xl/ctrlProps/ctrlProp19.xml><?xml version="1.0" encoding="utf-8"?>
<formControlPr xmlns="http://schemas.microsoft.com/office/spreadsheetml/2009/9/main" objectType="Drop" dropLines="10" dropStyle="combo" dx="16" fmlaLink="$N$6" fmlaRange="Apoio!$AG$7:$AG$294" noThreeD="1" sel="1" val="0"/>
</file>

<file path=xl/ctrlProps/ctrlProp2.xml><?xml version="1.0" encoding="utf-8"?>
<formControlPr xmlns="http://schemas.microsoft.com/office/spreadsheetml/2009/9/main" objectType="Drop" dropLines="10" dropStyle="combo" dx="16" fmlaLink="$E$6" fmlaRange="Apoio!$AG$7:$AG$294" noThreeD="1" sel="216" val="210"/>
</file>

<file path=xl/ctrlProps/ctrlProp20.xml><?xml version="1.0" encoding="utf-8"?>
<formControlPr xmlns="http://schemas.microsoft.com/office/spreadsheetml/2009/9/main" objectType="Drop" dropLines="10" dropStyle="combo" dx="16" fmlaLink="$M$14" fmlaRange="Apoio!$B$56:$B$81" noThreeD="1" sel="24" val="16"/>
</file>

<file path=xl/ctrlProps/ctrlProp3.xml><?xml version="1.0" encoding="utf-8"?>
<formControlPr xmlns="http://schemas.microsoft.com/office/spreadsheetml/2009/9/main" objectType="Drop" dropLines="10" dropStyle="combo" dx="16" fmlaLink="$E$7" fmlaRange="Apoio!$AD$10:$AD$20" noThreeD="1" sel="9" val="0"/>
</file>

<file path=xl/ctrlProps/ctrlProp4.xml><?xml version="1.0" encoding="utf-8"?>
<formControlPr xmlns="http://schemas.microsoft.com/office/spreadsheetml/2009/9/main" objectType="Drop" dropLines="10" dropStyle="combo" dx="16" fmlaLink="$M$4" fmlaRange="Apoio!$B$13:$F$21" noThreeD="1" sel="4" val="0"/>
</file>

<file path=xl/ctrlProps/ctrlProp5.xml><?xml version="1.0" encoding="utf-8"?>
<formControlPr xmlns="http://schemas.microsoft.com/office/spreadsheetml/2009/9/main" objectType="Drop" dropLines="4" dropStyle="combo" dx="16" fmlaLink="$E$17" fmlaRange="Apoio!$B$39:$F$44" noThreeD="1" sel="4" val="0"/>
</file>

<file path=xl/ctrlProps/ctrlProp6.xml><?xml version="1.0" encoding="utf-8"?>
<formControlPr xmlns="http://schemas.microsoft.com/office/spreadsheetml/2009/9/main" objectType="Drop" dropLines="4" dropStyle="combo" dx="16" fmlaLink="$E$16" fmlaRange="Apoio!$B$7:$F$9" noThreeD="1" sel="3" val="0"/>
</file>

<file path=xl/ctrlProps/ctrlProp7.xml><?xml version="1.0" encoding="utf-8"?>
<formControlPr xmlns="http://schemas.microsoft.com/office/spreadsheetml/2009/9/main" objectType="Drop" dropLines="4" dropStyle="combo" dx="16" fmlaLink="$E$15" fmlaRange="Apoio!$B$47:$F$49" noThreeD="1" sel="3" val="0"/>
</file>

<file path=xl/ctrlProps/ctrlProp8.xml><?xml version="1.0" encoding="utf-8"?>
<formControlPr xmlns="http://schemas.microsoft.com/office/spreadsheetml/2009/9/main" objectType="Drop" dropLines="10" dropStyle="combo" dx="16" fmlaLink="$C$6" fmlaRange="Apoio!$AG$7:$AG$294" noThreeD="1" sel="1" val="0"/>
</file>

<file path=xl/ctrlProps/ctrlProp9.xml><?xml version="1.0" encoding="utf-8"?>
<formControlPr xmlns="http://schemas.microsoft.com/office/spreadsheetml/2009/9/main" objectType="Drop" dropLines="10" dropStyle="combo" dx="16" fmlaLink="$D$6" fmlaRange="Apoio!$AG$7:$AG$294" noThreeD="1" sel="1" val="0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IlumBenef!A1"/><Relationship Id="rId13" Type="http://schemas.openxmlformats.org/officeDocument/2006/relationships/hyperlink" Target="#'RefrigCusto (OR&#199;)'!A1"/><Relationship Id="rId18" Type="http://schemas.openxmlformats.org/officeDocument/2006/relationships/hyperlink" Target="#OutrosBenef!A1"/><Relationship Id="rId26" Type="http://schemas.openxmlformats.org/officeDocument/2006/relationships/hyperlink" Target="#'Diagn&#243;stico (OR&#199;)'!A1"/><Relationship Id="rId3" Type="http://schemas.openxmlformats.org/officeDocument/2006/relationships/hyperlink" Target="#ContrDesemp!A1"/><Relationship Id="rId21" Type="http://schemas.openxmlformats.org/officeDocument/2006/relationships/hyperlink" Target="#Transporte!A1"/><Relationship Id="rId7" Type="http://schemas.openxmlformats.org/officeDocument/2006/relationships/hyperlink" Target="#'IlumCusto (OR&#199;)'!A1"/><Relationship Id="rId12" Type="http://schemas.openxmlformats.org/officeDocument/2006/relationships/hyperlink" Target="#MotorBenef!A1"/><Relationship Id="rId17" Type="http://schemas.openxmlformats.org/officeDocument/2006/relationships/hyperlink" Target="#'OutrosCusto (OR&#199;)'!A1"/><Relationship Id="rId25" Type="http://schemas.openxmlformats.org/officeDocument/2006/relationships/hyperlink" Target="#'Treinamento (OR&#199;)'!A1"/><Relationship Id="rId2" Type="http://schemas.openxmlformats.org/officeDocument/2006/relationships/hyperlink" Target="#RCB!A1"/><Relationship Id="rId16" Type="http://schemas.openxmlformats.org/officeDocument/2006/relationships/hyperlink" Target="#SolarBenef!A1"/><Relationship Id="rId20" Type="http://schemas.openxmlformats.org/officeDocument/2006/relationships/hyperlink" Target="#HospBenef!A1"/><Relationship Id="rId29" Type="http://schemas.openxmlformats.org/officeDocument/2006/relationships/hyperlink" Target="http://www.nepen.org.br/" TargetMode="External"/><Relationship Id="rId1" Type="http://schemas.openxmlformats.org/officeDocument/2006/relationships/hyperlink" Target="#'Custo Cont&#225;bil'!A1"/><Relationship Id="rId6" Type="http://schemas.openxmlformats.org/officeDocument/2006/relationships/hyperlink" Target="#IndFinanceiro!A1"/><Relationship Id="rId11" Type="http://schemas.openxmlformats.org/officeDocument/2006/relationships/hyperlink" Target="#'MotorCusto (OR&#199;)'!A1"/><Relationship Id="rId24" Type="http://schemas.openxmlformats.org/officeDocument/2006/relationships/hyperlink" Target="#'Marketing (OR&#199;)'!A1"/><Relationship Id="rId32" Type="http://schemas.openxmlformats.org/officeDocument/2006/relationships/image" Target="../media/image3.png"/><Relationship Id="rId5" Type="http://schemas.openxmlformats.org/officeDocument/2006/relationships/hyperlink" Target="#'Descarte (OR&#199;)'!A1"/><Relationship Id="rId15" Type="http://schemas.openxmlformats.org/officeDocument/2006/relationships/hyperlink" Target="#'SolarCusto (OR&#199;)'!A1"/><Relationship Id="rId23" Type="http://schemas.openxmlformats.org/officeDocument/2006/relationships/hyperlink" Target="#Financeiro!A1"/><Relationship Id="rId28" Type="http://schemas.openxmlformats.org/officeDocument/2006/relationships/hyperlink" Target="#FIBenef!A1"/><Relationship Id="rId10" Type="http://schemas.openxmlformats.org/officeDocument/2006/relationships/hyperlink" Target="#CondAmbBenef!A1"/><Relationship Id="rId19" Type="http://schemas.openxmlformats.org/officeDocument/2006/relationships/hyperlink" Target="#'HospCusto (OR&#199;)'!A1"/><Relationship Id="rId31" Type="http://schemas.openxmlformats.org/officeDocument/2006/relationships/image" Target="../media/image2.png"/><Relationship Id="rId4" Type="http://schemas.openxmlformats.org/officeDocument/2006/relationships/hyperlink" Target="#'M&amp;V (OR&#199;)'!A1"/><Relationship Id="rId9" Type="http://schemas.openxmlformats.org/officeDocument/2006/relationships/hyperlink" Target="#'CondAmbCusto (OR&#199;)'!A1"/><Relationship Id="rId14" Type="http://schemas.openxmlformats.org/officeDocument/2006/relationships/hyperlink" Target="#RefrigBenef!A1"/><Relationship Id="rId22" Type="http://schemas.openxmlformats.org/officeDocument/2006/relationships/hyperlink" Target="#F&#237;sico!A1"/><Relationship Id="rId27" Type="http://schemas.openxmlformats.org/officeDocument/2006/relationships/hyperlink" Target="#'FICusto (OR&#199;)'!A1"/><Relationship Id="rId30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Descarte!A1"/><Relationship Id="rId1" Type="http://schemas.openxmlformats.org/officeDocument/2006/relationships/hyperlink" Target="#Apresenta&#231;&#227;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'Descarte (OR&#199;)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M&amp;V'!A1"/><Relationship Id="rId1" Type="http://schemas.openxmlformats.org/officeDocument/2006/relationships/hyperlink" Target="#Apresenta&#231;&#227;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Treinamento!A1"/><Relationship Id="rId1" Type="http://schemas.openxmlformats.org/officeDocument/2006/relationships/hyperlink" Target="#Apresenta&#231;&#227;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'Treinamento (OR&#199;)'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IlumCusto!A1"/><Relationship Id="rId1" Type="http://schemas.openxmlformats.org/officeDocument/2006/relationships/hyperlink" Target="#Apresenta&#231;&#227;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'IlumCusto (OR&#199;)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hyperlink" Target="#CondAmbCusto!A1"/><Relationship Id="rId1" Type="http://schemas.openxmlformats.org/officeDocument/2006/relationships/hyperlink" Target="#Apresenta&#231;&#227;o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hyperlink" Target="#'CondAmbCusto (OR&#199;)'!A1"/><Relationship Id="rId1" Type="http://schemas.openxmlformats.org/officeDocument/2006/relationships/hyperlink" Target="#Apresenta&#231;&#227;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hyperlink" Target="#MotorCusto!A1"/><Relationship Id="rId1" Type="http://schemas.openxmlformats.org/officeDocument/2006/relationships/hyperlink" Target="#Apresenta&#231;&#227;o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hyperlink" Target="#'MotorCusto (OR&#199;)'!A1"/><Relationship Id="rId1" Type="http://schemas.openxmlformats.org/officeDocument/2006/relationships/hyperlink" Target="#Apresenta&#231;&#227;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hyperlink" Target="#RefrigCusto!A1"/><Relationship Id="rId1" Type="http://schemas.openxmlformats.org/officeDocument/2006/relationships/hyperlink" Target="#Apresenta&#231;&#227;o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hyperlink" Target="#'RefrigCusto (OR&#199;)'!A1"/><Relationship Id="rId1" Type="http://schemas.openxmlformats.org/officeDocument/2006/relationships/hyperlink" Target="#Apresenta&#231;&#227;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hyperlink" Target="#SolarCusto!A1"/><Relationship Id="rId1" Type="http://schemas.openxmlformats.org/officeDocument/2006/relationships/hyperlink" Target="#Apresenta&#231;&#227;o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hyperlink" Target="#'SolarCusto (OR&#199;)'!A1"/><Relationship Id="rId1" Type="http://schemas.openxmlformats.org/officeDocument/2006/relationships/hyperlink" Target="#Apresenta&#231;&#227;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hyperlink" Target="#HospCusto!A1"/><Relationship Id="rId1" Type="http://schemas.openxmlformats.org/officeDocument/2006/relationships/hyperlink" Target="#Apresenta&#231;&#227;o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hyperlink" Target="#'HospCusto (OR&#199;)'!A1"/><Relationship Id="rId1" Type="http://schemas.openxmlformats.org/officeDocument/2006/relationships/hyperlink" Target="#Apresenta&#231;&#227;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hyperlink" Target="#OutrosCusto!A1"/><Relationship Id="rId1" Type="http://schemas.openxmlformats.org/officeDocument/2006/relationships/hyperlink" Target="#Apresenta&#231;&#227;o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hyperlink" Target="#'OutrosCusto (OR&#199;)'!A1"/><Relationship Id="rId1" Type="http://schemas.openxmlformats.org/officeDocument/2006/relationships/hyperlink" Target="#Apresenta&#231;&#227;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hyperlink" Target="#FICusto!A1"/><Relationship Id="rId1" Type="http://schemas.openxmlformats.org/officeDocument/2006/relationships/hyperlink" Target="#Apresenta&#231;&#227;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hyperlink" Target="#'FICusto (OR&#199;)'!A1"/><Relationship Id="rId1" Type="http://schemas.openxmlformats.org/officeDocument/2006/relationships/hyperlink" Target="#Apresenta&#231;&#227;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hyperlink" Target="#Apresenta&#231;&#227;o!A1"/><Relationship Id="rId1" Type="http://schemas.openxmlformats.org/officeDocument/2006/relationships/chart" Target="../charts/chart1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Apresenta&#231;&#227;o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Diagn&#243;stico!A1"/><Relationship Id="rId1" Type="http://schemas.openxmlformats.org/officeDocument/2006/relationships/hyperlink" Target="#Apresenta&#231;&#227;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'Diagn&#243;stico (OR&#199;)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arketing!A1"/><Relationship Id="rId1" Type="http://schemas.openxmlformats.org/officeDocument/2006/relationships/hyperlink" Target="#Apresenta&#231;&#227;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'Marketing (OR&#199;)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1178719</xdr:colOff>
      <xdr:row>33</xdr:row>
      <xdr:rowOff>0</xdr:rowOff>
    </xdr:from>
    <xdr:to>
      <xdr:col>8</xdr:col>
      <xdr:colOff>1</xdr:colOff>
      <xdr:row>37</xdr:row>
      <xdr:rowOff>11906</xdr:rowOff>
    </xdr:to>
    <xdr:sp macro="" textlink="">
      <xdr:nvSpPr>
        <xdr:cNvPr id="6" name="Retângulo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 bwMode="auto">
        <a:xfrm>
          <a:off x="3452813" y="5869781"/>
          <a:ext cx="1666876" cy="3929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0</xdr:colOff>
      <xdr:row>35</xdr:row>
      <xdr:rowOff>9526</xdr:rowOff>
    </xdr:from>
    <xdr:to>
      <xdr:col>8</xdr:col>
      <xdr:colOff>0</xdr:colOff>
      <xdr:row>37</xdr:row>
      <xdr:rowOff>23812</xdr:rowOff>
    </xdr:to>
    <xdr:sp macro="" textlink="">
      <xdr:nvSpPr>
        <xdr:cNvPr id="7" name="Retângulo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 bwMode="auto">
        <a:xfrm>
          <a:off x="3464719" y="6260307"/>
          <a:ext cx="1654969" cy="276224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11905</xdr:colOff>
      <xdr:row>35</xdr:row>
      <xdr:rowOff>30959</xdr:rowOff>
    </xdr:from>
    <xdr:to>
      <xdr:col>15</xdr:col>
      <xdr:colOff>0</xdr:colOff>
      <xdr:row>37</xdr:row>
      <xdr:rowOff>23812</xdr:rowOff>
    </xdr:to>
    <xdr:sp macro="" textlink="">
      <xdr:nvSpPr>
        <xdr:cNvPr id="8" name="Retângulo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 bwMode="auto">
        <a:xfrm>
          <a:off x="8465343" y="6281740"/>
          <a:ext cx="1690688" cy="25479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6</xdr:col>
      <xdr:colOff>0</xdr:colOff>
      <xdr:row>38</xdr:row>
      <xdr:rowOff>11906</xdr:rowOff>
    </xdr:from>
    <xdr:to>
      <xdr:col>7</xdr:col>
      <xdr:colOff>1333499</xdr:colOff>
      <xdr:row>40</xdr:row>
      <xdr:rowOff>11906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3464719" y="6738937"/>
          <a:ext cx="1643061" cy="452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13</xdr:col>
      <xdr:colOff>-1</xdr:colOff>
      <xdr:row>38</xdr:row>
      <xdr:rowOff>0</xdr:rowOff>
    </xdr:from>
    <xdr:to>
      <xdr:col>14</xdr:col>
      <xdr:colOff>1333499</xdr:colOff>
      <xdr:row>40</xdr:row>
      <xdr:rowOff>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8453437" y="6727031"/>
          <a:ext cx="1678781" cy="4524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178594</xdr:colOff>
      <xdr:row>48</xdr:row>
      <xdr:rowOff>485774</xdr:rowOff>
    </xdr:from>
    <xdr:to>
      <xdr:col>14</xdr:col>
      <xdr:colOff>1354931</xdr:colOff>
      <xdr:row>50</xdr:row>
      <xdr:rowOff>23812</xdr:rowOff>
    </xdr:to>
    <xdr:sp macro="" textlink="">
      <xdr:nvSpPr>
        <xdr:cNvPr id="11" name="Retângul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416719" y="8939212"/>
          <a:ext cx="9736931" cy="58578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4</xdr:col>
      <xdr:colOff>238125</xdr:colOff>
      <xdr:row>40</xdr:row>
      <xdr:rowOff>33338</xdr:rowOff>
    </xdr:from>
    <xdr:to>
      <xdr:col>8</xdr:col>
      <xdr:colOff>0</xdr:colOff>
      <xdr:row>46</xdr:row>
      <xdr:rowOff>11905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2262188" y="7034213"/>
          <a:ext cx="2857500" cy="102631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71438</xdr:colOff>
      <xdr:row>3</xdr:row>
      <xdr:rowOff>0</xdr:rowOff>
    </xdr:from>
    <xdr:to>
      <xdr:col>18</xdr:col>
      <xdr:colOff>679688</xdr:colOff>
      <xdr:row>4</xdr:row>
      <xdr:rowOff>133782</xdr:rowOff>
    </xdr:to>
    <xdr:sp macro="" textlink="">
      <xdr:nvSpPr>
        <xdr:cNvPr id="13" name="Retângulo de cantos arredondados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10525126" y="309563"/>
          <a:ext cx="1656000" cy="324282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CUSTO CONTÁBIL</a:t>
          </a:r>
        </a:p>
      </xdr:txBody>
    </xdr:sp>
    <xdr:clientData/>
  </xdr:twoCellAnchor>
  <xdr:twoCellAnchor>
    <xdr:from>
      <xdr:col>18</xdr:col>
      <xdr:colOff>821531</xdr:colOff>
      <xdr:row>3</xdr:row>
      <xdr:rowOff>2389</xdr:rowOff>
    </xdr:from>
    <xdr:to>
      <xdr:col>20</xdr:col>
      <xdr:colOff>524906</xdr:colOff>
      <xdr:row>4</xdr:row>
      <xdr:rowOff>135889</xdr:rowOff>
    </xdr:to>
    <xdr:sp macro="" textlink="">
      <xdr:nvSpPr>
        <xdr:cNvPr id="14" name="Retângulo de cantos arredondados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12322969" y="311952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RCB</a:t>
          </a:r>
        </a:p>
      </xdr:txBody>
    </xdr:sp>
    <xdr:clientData/>
  </xdr:twoCellAnchor>
  <xdr:twoCellAnchor>
    <xdr:from>
      <xdr:col>17</xdr:col>
      <xdr:colOff>71399</xdr:colOff>
      <xdr:row>8</xdr:row>
      <xdr:rowOff>178588</xdr:rowOff>
    </xdr:from>
    <xdr:to>
      <xdr:col>18</xdr:col>
      <xdr:colOff>679649</xdr:colOff>
      <xdr:row>10</xdr:row>
      <xdr:rowOff>121870</xdr:rowOff>
    </xdr:to>
    <xdr:sp macro="" textlink="">
      <xdr:nvSpPr>
        <xdr:cNvPr id="16" name="Retângulo de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10525087" y="1440651"/>
          <a:ext cx="1656000" cy="324282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DADOS M&amp;V</a:t>
          </a:r>
        </a:p>
      </xdr:txBody>
    </xdr:sp>
    <xdr:clientData/>
  </xdr:twoCellAnchor>
  <xdr:twoCellAnchor>
    <xdr:from>
      <xdr:col>18</xdr:col>
      <xdr:colOff>833401</xdr:colOff>
      <xdr:row>8</xdr:row>
      <xdr:rowOff>173817</xdr:rowOff>
    </xdr:from>
    <xdr:to>
      <xdr:col>20</xdr:col>
      <xdr:colOff>536776</xdr:colOff>
      <xdr:row>10</xdr:row>
      <xdr:rowOff>116817</xdr:rowOff>
    </xdr:to>
    <xdr:sp macro="" textlink="">
      <xdr:nvSpPr>
        <xdr:cNvPr id="17" name="Retângulo de cantos arredondados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 bwMode="auto">
        <a:xfrm>
          <a:off x="12334839" y="1435880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DADOS DESCARTE</a:t>
          </a:r>
        </a:p>
      </xdr:txBody>
    </xdr:sp>
    <xdr:clientData/>
  </xdr:twoCellAnchor>
  <xdr:twoCellAnchor>
    <xdr:from>
      <xdr:col>17</xdr:col>
      <xdr:colOff>71439</xdr:colOff>
      <xdr:row>14</xdr:row>
      <xdr:rowOff>11900</xdr:rowOff>
    </xdr:from>
    <xdr:to>
      <xdr:col>20</xdr:col>
      <xdr:colOff>527064</xdr:colOff>
      <xdr:row>15</xdr:row>
      <xdr:rowOff>145400</xdr:rowOff>
    </xdr:to>
    <xdr:sp macro="" textlink="">
      <xdr:nvSpPr>
        <xdr:cNvPr id="18" name="Retângulo de cantos arredondados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 bwMode="auto">
        <a:xfrm>
          <a:off x="10525127" y="2416963"/>
          <a:ext cx="3456000" cy="324000"/>
        </a:xfrm>
        <a:prstGeom prst="roundRect">
          <a:avLst/>
        </a:prstGeom>
        <a:solidFill>
          <a:schemeClr val="accent3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INDICADORES</a:t>
          </a:r>
          <a:r>
            <a:rPr lang="pt-BR" sz="1100" b="1" baseline="0"/>
            <a:t> FINANCEIROS  (BALANÇO PATRIMONIAL)</a:t>
          </a:r>
          <a:endParaRPr lang="pt-BR" sz="1100" b="1"/>
        </a:p>
      </xdr:txBody>
    </xdr:sp>
    <xdr:clientData/>
  </xdr:twoCellAnchor>
  <xdr:twoCellAnchor>
    <xdr:from>
      <xdr:col>17</xdr:col>
      <xdr:colOff>71438</xdr:colOff>
      <xdr:row>19</xdr:row>
      <xdr:rowOff>35718</xdr:rowOff>
    </xdr:from>
    <xdr:to>
      <xdr:col>18</xdr:col>
      <xdr:colOff>679688</xdr:colOff>
      <xdr:row>20</xdr:row>
      <xdr:rowOff>169218</xdr:rowOff>
    </xdr:to>
    <xdr:sp macro="" textlink="">
      <xdr:nvSpPr>
        <xdr:cNvPr id="21" name="Retângulo de cantos arredondados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 bwMode="auto">
        <a:xfrm>
          <a:off x="10525126" y="2821781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833401</xdr:colOff>
      <xdr:row>19</xdr:row>
      <xdr:rowOff>35719</xdr:rowOff>
    </xdr:from>
    <xdr:to>
      <xdr:col>20</xdr:col>
      <xdr:colOff>536776</xdr:colOff>
      <xdr:row>20</xdr:row>
      <xdr:rowOff>169219</xdr:rowOff>
    </xdr:to>
    <xdr:sp macro="" textlink="">
      <xdr:nvSpPr>
        <xdr:cNvPr id="22" name="Retângulo de cantos arredondados 2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 bwMode="auto">
        <a:xfrm>
          <a:off x="12334839" y="2821782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83344</xdr:colOff>
      <xdr:row>22</xdr:row>
      <xdr:rowOff>35718</xdr:rowOff>
    </xdr:from>
    <xdr:to>
      <xdr:col>18</xdr:col>
      <xdr:colOff>691594</xdr:colOff>
      <xdr:row>23</xdr:row>
      <xdr:rowOff>169218</xdr:rowOff>
    </xdr:to>
    <xdr:sp macro="" textlink="">
      <xdr:nvSpPr>
        <xdr:cNvPr id="23" name="Retângulo de cantos arredondados 2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 bwMode="auto">
        <a:xfrm>
          <a:off x="10537032" y="3393281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845307</xdr:colOff>
      <xdr:row>22</xdr:row>
      <xdr:rowOff>35719</xdr:rowOff>
    </xdr:from>
    <xdr:to>
      <xdr:col>20</xdr:col>
      <xdr:colOff>548682</xdr:colOff>
      <xdr:row>23</xdr:row>
      <xdr:rowOff>169219</xdr:rowOff>
    </xdr:to>
    <xdr:sp macro="" textlink="">
      <xdr:nvSpPr>
        <xdr:cNvPr id="24" name="Retângulo de cantos arredondados 2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 bwMode="auto">
        <a:xfrm>
          <a:off x="12346745" y="3393282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83344</xdr:colOff>
      <xdr:row>25</xdr:row>
      <xdr:rowOff>59504</xdr:rowOff>
    </xdr:from>
    <xdr:to>
      <xdr:col>18</xdr:col>
      <xdr:colOff>691594</xdr:colOff>
      <xdr:row>28</xdr:row>
      <xdr:rowOff>121567</xdr:rowOff>
    </xdr:to>
    <xdr:sp macro="" textlink="">
      <xdr:nvSpPr>
        <xdr:cNvPr id="25" name="Retângulo de cantos arredondados 2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 bwMode="auto">
        <a:xfrm>
          <a:off x="10537032" y="4750567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845307</xdr:colOff>
      <xdr:row>25</xdr:row>
      <xdr:rowOff>59505</xdr:rowOff>
    </xdr:from>
    <xdr:to>
      <xdr:col>20</xdr:col>
      <xdr:colOff>548682</xdr:colOff>
      <xdr:row>28</xdr:row>
      <xdr:rowOff>121568</xdr:rowOff>
    </xdr:to>
    <xdr:sp macro="" textlink="">
      <xdr:nvSpPr>
        <xdr:cNvPr id="26" name="Retângulo de cantos arredondados 2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346745" y="4750568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59530</xdr:colOff>
      <xdr:row>30</xdr:row>
      <xdr:rowOff>11880</xdr:rowOff>
    </xdr:from>
    <xdr:to>
      <xdr:col>18</xdr:col>
      <xdr:colOff>667780</xdr:colOff>
      <xdr:row>31</xdr:row>
      <xdr:rowOff>14411</xdr:rowOff>
    </xdr:to>
    <xdr:sp macro="" textlink="">
      <xdr:nvSpPr>
        <xdr:cNvPr id="27" name="Retângulo de cantos arredondados 26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 bwMode="auto">
        <a:xfrm>
          <a:off x="10513218" y="5357786"/>
          <a:ext cx="1656000" cy="324000"/>
        </a:xfrm>
        <a:prstGeom prst="roundRect">
          <a:avLst/>
        </a:prstGeom>
        <a:solidFill>
          <a:schemeClr val="accent3">
            <a:lumMod val="50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</a:t>
          </a:r>
          <a:r>
            <a:rPr lang="pt-BR" sz="1100" b="1" baseline="0"/>
            <a:t>S </a:t>
          </a:r>
          <a:r>
            <a:rPr lang="pt-BR" sz="1100" b="1"/>
            <a:t>DE CUSTOS</a:t>
          </a:r>
        </a:p>
      </xdr:txBody>
    </xdr:sp>
    <xdr:clientData/>
  </xdr:twoCellAnchor>
  <xdr:twoCellAnchor>
    <xdr:from>
      <xdr:col>18</xdr:col>
      <xdr:colOff>821493</xdr:colOff>
      <xdr:row>30</xdr:row>
      <xdr:rowOff>11882</xdr:rowOff>
    </xdr:from>
    <xdr:to>
      <xdr:col>20</xdr:col>
      <xdr:colOff>524868</xdr:colOff>
      <xdr:row>31</xdr:row>
      <xdr:rowOff>14413</xdr:rowOff>
    </xdr:to>
    <xdr:sp macro="" textlink="">
      <xdr:nvSpPr>
        <xdr:cNvPr id="28" name="Retângulo de cantos arredondados 27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 bwMode="auto">
        <a:xfrm>
          <a:off x="12322931" y="5357788"/>
          <a:ext cx="1656000" cy="324000"/>
        </a:xfrm>
        <a:prstGeom prst="roundRect">
          <a:avLst/>
        </a:prstGeom>
        <a:solidFill>
          <a:schemeClr val="accent3">
            <a:lumMod val="50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59530</xdr:colOff>
      <xdr:row>31</xdr:row>
      <xdr:rowOff>290481</xdr:rowOff>
    </xdr:from>
    <xdr:to>
      <xdr:col>18</xdr:col>
      <xdr:colOff>667780</xdr:colOff>
      <xdr:row>34</xdr:row>
      <xdr:rowOff>42981</xdr:rowOff>
    </xdr:to>
    <xdr:sp macro="" textlink="">
      <xdr:nvSpPr>
        <xdr:cNvPr id="29" name="Retângulo de cantos arredondados 28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 bwMode="auto">
        <a:xfrm>
          <a:off x="10513218" y="5957856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821493</xdr:colOff>
      <xdr:row>31</xdr:row>
      <xdr:rowOff>290482</xdr:rowOff>
    </xdr:from>
    <xdr:to>
      <xdr:col>20</xdr:col>
      <xdr:colOff>524868</xdr:colOff>
      <xdr:row>34</xdr:row>
      <xdr:rowOff>42982</xdr:rowOff>
    </xdr:to>
    <xdr:sp macro="" textlink="">
      <xdr:nvSpPr>
        <xdr:cNvPr id="30" name="Retângulo de cantos arredondados 29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 bwMode="auto">
        <a:xfrm>
          <a:off x="12322931" y="5957857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71436</xdr:colOff>
      <xdr:row>39</xdr:row>
      <xdr:rowOff>226181</xdr:rowOff>
    </xdr:from>
    <xdr:to>
      <xdr:col>18</xdr:col>
      <xdr:colOff>679686</xdr:colOff>
      <xdr:row>42</xdr:row>
      <xdr:rowOff>109650</xdr:rowOff>
    </xdr:to>
    <xdr:sp macro="" textlink="">
      <xdr:nvSpPr>
        <xdr:cNvPr id="31" name="Retângulo de cantos arredondados 30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 bwMode="auto">
        <a:xfrm>
          <a:off x="10525124" y="7179431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833399</xdr:colOff>
      <xdr:row>39</xdr:row>
      <xdr:rowOff>226182</xdr:rowOff>
    </xdr:from>
    <xdr:to>
      <xdr:col>20</xdr:col>
      <xdr:colOff>536774</xdr:colOff>
      <xdr:row>42</xdr:row>
      <xdr:rowOff>109651</xdr:rowOff>
    </xdr:to>
    <xdr:sp macro="" textlink="">
      <xdr:nvSpPr>
        <xdr:cNvPr id="32" name="Retângulo de cantos arredondados 31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 bwMode="auto">
        <a:xfrm>
          <a:off x="12334837" y="7179432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71436</xdr:colOff>
      <xdr:row>36</xdr:row>
      <xdr:rowOff>154744</xdr:rowOff>
    </xdr:from>
    <xdr:to>
      <xdr:col>18</xdr:col>
      <xdr:colOff>679686</xdr:colOff>
      <xdr:row>38</xdr:row>
      <xdr:rowOff>216807</xdr:rowOff>
    </xdr:to>
    <xdr:sp macro="" textlink="">
      <xdr:nvSpPr>
        <xdr:cNvPr id="33" name="Retângulo de cantos arredondados 32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 bwMode="auto">
        <a:xfrm>
          <a:off x="10525124" y="6619838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833399</xdr:colOff>
      <xdr:row>36</xdr:row>
      <xdr:rowOff>154745</xdr:rowOff>
    </xdr:from>
    <xdr:to>
      <xdr:col>20</xdr:col>
      <xdr:colOff>536774</xdr:colOff>
      <xdr:row>38</xdr:row>
      <xdr:rowOff>216808</xdr:rowOff>
    </xdr:to>
    <xdr:sp macro="" textlink="">
      <xdr:nvSpPr>
        <xdr:cNvPr id="34" name="Retângulo de cantos arredondados 33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 bwMode="auto">
        <a:xfrm>
          <a:off x="12334837" y="6619839"/>
          <a:ext cx="1656000" cy="324000"/>
        </a:xfrm>
        <a:prstGeom prst="roundRect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69055</xdr:colOff>
      <xdr:row>4</xdr:row>
      <xdr:rowOff>178595</xdr:rowOff>
    </xdr:from>
    <xdr:to>
      <xdr:col>18</xdr:col>
      <xdr:colOff>677305</xdr:colOff>
      <xdr:row>6</xdr:row>
      <xdr:rowOff>121595</xdr:rowOff>
    </xdr:to>
    <xdr:sp macro="" textlink="">
      <xdr:nvSpPr>
        <xdr:cNvPr id="36" name="Retângulo de cantos arredondados 35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 bwMode="auto">
        <a:xfrm>
          <a:off x="10522743" y="678658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TRANSPORTE</a:t>
          </a:r>
        </a:p>
      </xdr:txBody>
    </xdr:sp>
    <xdr:clientData/>
  </xdr:twoCellAnchor>
  <xdr:twoCellAnchor>
    <xdr:from>
      <xdr:col>17</xdr:col>
      <xdr:colOff>69056</xdr:colOff>
      <xdr:row>10</xdr:row>
      <xdr:rowOff>178588</xdr:rowOff>
    </xdr:from>
    <xdr:to>
      <xdr:col>18</xdr:col>
      <xdr:colOff>677306</xdr:colOff>
      <xdr:row>12</xdr:row>
      <xdr:rowOff>121588</xdr:rowOff>
    </xdr:to>
    <xdr:sp macro="" textlink="">
      <xdr:nvSpPr>
        <xdr:cNvPr id="37" name="Retângulo de cantos arredondados 36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 bwMode="auto">
        <a:xfrm>
          <a:off x="10522744" y="1821651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050" b="1"/>
            <a:t>CRONOGRAMA FÍSICO</a:t>
          </a:r>
        </a:p>
      </xdr:txBody>
    </xdr:sp>
    <xdr:clientData/>
  </xdr:twoCellAnchor>
  <xdr:twoCellAnchor>
    <xdr:from>
      <xdr:col>18</xdr:col>
      <xdr:colOff>807244</xdr:colOff>
      <xdr:row>10</xdr:row>
      <xdr:rowOff>178588</xdr:rowOff>
    </xdr:from>
    <xdr:to>
      <xdr:col>20</xdr:col>
      <xdr:colOff>510619</xdr:colOff>
      <xdr:row>12</xdr:row>
      <xdr:rowOff>121588</xdr:rowOff>
    </xdr:to>
    <xdr:sp macro="" textlink="">
      <xdr:nvSpPr>
        <xdr:cNvPr id="38" name="Retângulo de cantos arredondados 37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 bwMode="auto">
        <a:xfrm>
          <a:off x="12308682" y="1821651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050" b="1"/>
            <a:t>CRONOGRAMA</a:t>
          </a:r>
          <a:r>
            <a:rPr lang="pt-BR" sz="1050" b="1" baseline="0"/>
            <a:t> FINANCEIRO</a:t>
          </a:r>
          <a:endParaRPr lang="pt-BR" sz="1050" b="1"/>
        </a:p>
      </xdr:txBody>
    </xdr:sp>
    <xdr:clientData/>
  </xdr:twoCellAnchor>
  <xdr:twoCellAnchor>
    <xdr:from>
      <xdr:col>12</xdr:col>
      <xdr:colOff>1178719</xdr:colOff>
      <xdr:row>33</xdr:row>
      <xdr:rowOff>0</xdr:rowOff>
    </xdr:from>
    <xdr:to>
      <xdr:col>15</xdr:col>
      <xdr:colOff>1</xdr:colOff>
      <xdr:row>37</xdr:row>
      <xdr:rowOff>11906</xdr:rowOff>
    </xdr:to>
    <xdr:sp macro="" textlink="">
      <xdr:nvSpPr>
        <xdr:cNvPr id="35" name="Retângulo 3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 bwMode="auto">
        <a:xfrm>
          <a:off x="3452813" y="5869781"/>
          <a:ext cx="1666876" cy="392906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11</xdr:col>
      <xdr:colOff>1259681</xdr:colOff>
      <xdr:row>40</xdr:row>
      <xdr:rowOff>30956</xdr:rowOff>
    </xdr:from>
    <xdr:to>
      <xdr:col>15</xdr:col>
      <xdr:colOff>0</xdr:colOff>
      <xdr:row>46</xdr:row>
      <xdr:rowOff>9523</xdr:rowOff>
    </xdr:to>
    <xdr:sp macro="" textlink="">
      <xdr:nvSpPr>
        <xdr:cNvPr id="39" name="Retângulo 3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 bwMode="auto">
        <a:xfrm>
          <a:off x="7522369" y="7031831"/>
          <a:ext cx="2633662" cy="1026317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pt-BR" sz="1100"/>
        </a:p>
      </xdr:txBody>
    </xdr:sp>
    <xdr:clientData/>
  </xdr:twoCellAnchor>
  <xdr:twoCellAnchor>
    <xdr:from>
      <xdr:col>17</xdr:col>
      <xdr:colOff>83342</xdr:colOff>
      <xdr:row>6</xdr:row>
      <xdr:rowOff>173831</xdr:rowOff>
    </xdr:from>
    <xdr:to>
      <xdr:col>18</xdr:col>
      <xdr:colOff>691592</xdr:colOff>
      <xdr:row>8</xdr:row>
      <xdr:rowOff>116831</xdr:rowOff>
    </xdr:to>
    <xdr:sp macro="" textlink="">
      <xdr:nvSpPr>
        <xdr:cNvPr id="40" name="Retângulo de cantos arredondados 39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 bwMode="auto">
        <a:xfrm>
          <a:off x="10537030" y="1054894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DADOS</a:t>
          </a:r>
          <a:r>
            <a:rPr lang="pt-BR" sz="1100" b="1" baseline="0"/>
            <a:t> MARKETING</a:t>
          </a:r>
          <a:endParaRPr lang="pt-BR" sz="1100" b="1"/>
        </a:p>
      </xdr:txBody>
    </xdr:sp>
    <xdr:clientData/>
  </xdr:twoCellAnchor>
  <xdr:twoCellAnchor>
    <xdr:from>
      <xdr:col>18</xdr:col>
      <xdr:colOff>845305</xdr:colOff>
      <xdr:row>6</xdr:row>
      <xdr:rowOff>166688</xdr:rowOff>
    </xdr:from>
    <xdr:to>
      <xdr:col>20</xdr:col>
      <xdr:colOff>548680</xdr:colOff>
      <xdr:row>8</xdr:row>
      <xdr:rowOff>109688</xdr:rowOff>
    </xdr:to>
    <xdr:sp macro="" textlink="">
      <xdr:nvSpPr>
        <xdr:cNvPr id="41" name="Retângulo de cantos arredondados 4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 bwMode="auto">
        <a:xfrm>
          <a:off x="12346743" y="1047751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DADOS TREINAMENTO</a:t>
          </a:r>
        </a:p>
      </xdr:txBody>
    </xdr:sp>
    <xdr:clientData/>
  </xdr:twoCellAnchor>
  <xdr:twoCellAnchor>
    <xdr:from>
      <xdr:col>18</xdr:col>
      <xdr:colOff>833474</xdr:colOff>
      <xdr:row>4</xdr:row>
      <xdr:rowOff>173831</xdr:rowOff>
    </xdr:from>
    <xdr:to>
      <xdr:col>20</xdr:col>
      <xdr:colOff>536849</xdr:colOff>
      <xdr:row>6</xdr:row>
      <xdr:rowOff>116831</xdr:rowOff>
    </xdr:to>
    <xdr:sp macro="" textlink="">
      <xdr:nvSpPr>
        <xdr:cNvPr id="42" name="Retângulo de cantos arredondados 41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 bwMode="auto">
        <a:xfrm>
          <a:off x="12334912" y="673894"/>
          <a:ext cx="1656000" cy="324000"/>
        </a:xfrm>
        <a:prstGeom prst="roundRect">
          <a:avLst/>
        </a:prstGeom>
        <a:solidFill>
          <a:schemeClr val="accent1"/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050" b="1"/>
            <a:t>ELABORAÇÃO</a:t>
          </a:r>
          <a:r>
            <a:rPr lang="pt-BR" sz="1050" b="1" baseline="0"/>
            <a:t> DO PROJETO</a:t>
          </a:r>
        </a:p>
      </xdr:txBody>
    </xdr:sp>
    <xdr:clientData/>
  </xdr:twoCellAnchor>
  <xdr:twoCellAnchor>
    <xdr:from>
      <xdr:col>17</xdr:col>
      <xdr:colOff>47623</xdr:colOff>
      <xdr:row>43</xdr:row>
      <xdr:rowOff>35704</xdr:rowOff>
    </xdr:from>
    <xdr:to>
      <xdr:col>18</xdr:col>
      <xdr:colOff>655873</xdr:colOff>
      <xdr:row>45</xdr:row>
      <xdr:rowOff>181111</xdr:rowOff>
    </xdr:to>
    <xdr:sp macro="" textlink="">
      <xdr:nvSpPr>
        <xdr:cNvPr id="43" name="Retângulo de cantos arredondados 42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 bwMode="auto">
        <a:xfrm>
          <a:off x="10501311" y="7739048"/>
          <a:ext cx="1656000" cy="359719"/>
        </a:xfrm>
        <a:prstGeom prst="roundRect">
          <a:avLst/>
        </a:prstGeom>
        <a:solidFill>
          <a:srgbClr val="003300"/>
        </a:solidFill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PLANILHAS DE CUSTOS</a:t>
          </a:r>
        </a:p>
      </xdr:txBody>
    </xdr:sp>
    <xdr:clientData/>
  </xdr:twoCellAnchor>
  <xdr:twoCellAnchor>
    <xdr:from>
      <xdr:col>18</xdr:col>
      <xdr:colOff>809586</xdr:colOff>
      <xdr:row>43</xdr:row>
      <xdr:rowOff>35705</xdr:rowOff>
    </xdr:from>
    <xdr:to>
      <xdr:col>20</xdr:col>
      <xdr:colOff>512961</xdr:colOff>
      <xdr:row>45</xdr:row>
      <xdr:rowOff>181112</xdr:rowOff>
    </xdr:to>
    <xdr:sp macro="" textlink="">
      <xdr:nvSpPr>
        <xdr:cNvPr id="44" name="Retângulo de cantos arredondados 43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 bwMode="auto">
        <a:xfrm>
          <a:off x="12311024" y="7739049"/>
          <a:ext cx="1656000" cy="359719"/>
        </a:xfrm>
        <a:prstGeom prst="roundRect">
          <a:avLst/>
        </a:prstGeom>
        <a:solidFill>
          <a:srgbClr val="003300"/>
        </a:solidFill>
        <a:ln>
          <a:headEnd type="none" w="med" len="med"/>
          <a:tailEnd type="none" w="med" len="med"/>
        </a:ln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PLANILHA DE BENEFÍCIOS</a:t>
          </a:r>
        </a:p>
      </xdr:txBody>
    </xdr:sp>
    <xdr:clientData/>
  </xdr:twoCellAnchor>
  <xdr:twoCellAnchor>
    <xdr:from>
      <xdr:col>17</xdr:col>
      <xdr:colOff>59532</xdr:colOff>
      <xdr:row>16</xdr:row>
      <xdr:rowOff>11902</xdr:rowOff>
    </xdr:from>
    <xdr:to>
      <xdr:col>20</xdr:col>
      <xdr:colOff>515157</xdr:colOff>
      <xdr:row>17</xdr:row>
      <xdr:rowOff>145402</xdr:rowOff>
    </xdr:to>
    <xdr:sp macro="" textlink="">
      <xdr:nvSpPr>
        <xdr:cNvPr id="45" name="Retângulo de cantos arredondados 4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 bwMode="auto">
        <a:xfrm>
          <a:off x="10513220" y="2797965"/>
          <a:ext cx="3456000" cy="324000"/>
        </a:xfrm>
        <a:prstGeom prst="roundRect">
          <a:avLst/>
        </a:prstGeom>
        <a:solidFill>
          <a:schemeClr val="accent3">
            <a:lumMod val="75000"/>
          </a:schemeClr>
        </a:solidFill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CONTRATO DE DESEMPENHO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17</xdr:row>
          <xdr:rowOff>0</xdr:rowOff>
        </xdr:from>
        <xdr:to>
          <xdr:col>7</xdr:col>
          <xdr:colOff>1266825</xdr:colOff>
          <xdr:row>18</xdr:row>
          <xdr:rowOff>9525</xdr:rowOff>
        </xdr:to>
        <xdr:sp macro="" textlink="">
          <xdr:nvSpPr>
            <xdr:cNvPr id="30721" name="Drop Dow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7</xdr:col>
          <xdr:colOff>952500</xdr:colOff>
          <xdr:row>6</xdr:row>
          <xdr:rowOff>9525</xdr:rowOff>
        </xdr:to>
        <xdr:sp macro="" textlink="">
          <xdr:nvSpPr>
            <xdr:cNvPr id="30722" name="Drop Dow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6</xdr:col>
          <xdr:colOff>9525</xdr:colOff>
          <xdr:row>7</xdr:row>
          <xdr:rowOff>9525</xdr:rowOff>
        </xdr:to>
        <xdr:sp macro="" textlink="">
          <xdr:nvSpPr>
            <xdr:cNvPr id="30723" name="Drop Dow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1209675</xdr:colOff>
          <xdr:row>2</xdr:row>
          <xdr:rowOff>180975</xdr:rowOff>
        </xdr:from>
        <xdr:to>
          <xdr:col>14</xdr:col>
          <xdr:colOff>942975</xdr:colOff>
          <xdr:row>4</xdr:row>
          <xdr:rowOff>0</xdr:rowOff>
        </xdr:to>
        <xdr:sp macro="" textlink="">
          <xdr:nvSpPr>
            <xdr:cNvPr id="31350" name="Drop Down 630" hidden="1">
              <a:extLst>
                <a:ext uri="{63B3BB69-23CF-44E3-9099-C40C66FF867C}">
                  <a14:compatExt spid="_x0000_s3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</xdr:row>
          <xdr:rowOff>180975</xdr:rowOff>
        </xdr:from>
        <xdr:to>
          <xdr:col>7</xdr:col>
          <xdr:colOff>1266825</xdr:colOff>
          <xdr:row>17</xdr:row>
          <xdr:rowOff>0</xdr:rowOff>
        </xdr:to>
        <xdr:sp macro="" textlink="">
          <xdr:nvSpPr>
            <xdr:cNvPr id="31362" name="Drop Down 642" hidden="1">
              <a:extLst>
                <a:ext uri="{63B3BB69-23CF-44E3-9099-C40C66FF867C}">
                  <a14:compatExt spid="_x0000_s3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</xdr:row>
          <xdr:rowOff>0</xdr:rowOff>
        </xdr:from>
        <xdr:to>
          <xdr:col>7</xdr:col>
          <xdr:colOff>1266825</xdr:colOff>
          <xdr:row>16</xdr:row>
          <xdr:rowOff>9525</xdr:rowOff>
        </xdr:to>
        <xdr:sp macro="" textlink="">
          <xdr:nvSpPr>
            <xdr:cNvPr id="31465" name="Drop Down 745" hidden="1">
              <a:extLst>
                <a:ext uri="{63B3BB69-23CF-44E3-9099-C40C66FF867C}">
                  <a14:compatExt spid="_x0000_s31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14</xdr:row>
          <xdr:rowOff>0</xdr:rowOff>
        </xdr:from>
        <xdr:to>
          <xdr:col>7</xdr:col>
          <xdr:colOff>1266825</xdr:colOff>
          <xdr:row>15</xdr:row>
          <xdr:rowOff>9525</xdr:rowOff>
        </xdr:to>
        <xdr:sp macro="" textlink="">
          <xdr:nvSpPr>
            <xdr:cNvPr id="31466" name="Drop Down 746" hidden="1">
              <a:extLst>
                <a:ext uri="{63B3BB69-23CF-44E3-9099-C40C66FF867C}">
                  <a14:compatExt spid="_x0000_s31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13</xdr:col>
      <xdr:colOff>38108</xdr:colOff>
      <xdr:row>22</xdr:row>
      <xdr:rowOff>119486</xdr:rowOff>
    </xdr:from>
    <xdr:to>
      <xdr:col>15</xdr:col>
      <xdr:colOff>40490</xdr:colOff>
      <xdr:row>24</xdr:row>
      <xdr:rowOff>188271</xdr:rowOff>
    </xdr:to>
    <xdr:pic>
      <xdr:nvPicPr>
        <xdr:cNvPr id="52" name="Imagem 51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8886833" y="4300961"/>
          <a:ext cx="1745457" cy="449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896484</xdr:colOff>
      <xdr:row>16</xdr:row>
      <xdr:rowOff>166</xdr:rowOff>
    </xdr:from>
    <xdr:to>
      <xdr:col>14</xdr:col>
      <xdr:colOff>1390651</xdr:colOff>
      <xdr:row>21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rcRect l="53287" t="45189" r="17573" b="24209"/>
        <a:stretch/>
      </xdr:blipFill>
      <xdr:spPr>
        <a:xfrm>
          <a:off x="8430759" y="3038641"/>
          <a:ext cx="1741942" cy="1028534"/>
        </a:xfrm>
        <a:prstGeom prst="rect">
          <a:avLst/>
        </a:prstGeom>
      </xdr:spPr>
    </xdr:pic>
    <xdr:clientData/>
  </xdr:twoCellAnchor>
  <xdr:twoCellAnchor editAs="oneCell">
    <xdr:from>
      <xdr:col>11</xdr:col>
      <xdr:colOff>695325</xdr:colOff>
      <xdr:row>22</xdr:row>
      <xdr:rowOff>15018</xdr:rowOff>
    </xdr:from>
    <xdr:to>
      <xdr:col>12</xdr:col>
      <xdr:colOff>710565</xdr:colOff>
      <xdr:row>25</xdr:row>
      <xdr:rowOff>23082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6934200" y="4196493"/>
          <a:ext cx="1720215" cy="5795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104775</xdr:rowOff>
    </xdr:from>
    <xdr:to>
      <xdr:col>1</xdr:col>
      <xdr:colOff>1238250</xdr:colOff>
      <xdr:row>2</xdr:row>
      <xdr:rowOff>104775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 bwMode="auto">
        <a:xfrm flipH="1">
          <a:off x="257175" y="29527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9525</xdr:rowOff>
        </xdr:from>
        <xdr:to>
          <xdr:col>2</xdr:col>
          <xdr:colOff>1476375</xdr:colOff>
          <xdr:row>5</xdr:row>
          <xdr:rowOff>219075</xdr:rowOff>
        </xdr:to>
        <xdr:sp macro="" textlink="">
          <xdr:nvSpPr>
            <xdr:cNvPr id="121857" name="Drop Down 1" hidden="1">
              <a:extLst>
                <a:ext uri="{63B3BB69-23CF-44E3-9099-C40C66FF867C}">
                  <a14:compatExt spid="_x0000_s1218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9525</xdr:rowOff>
        </xdr:from>
        <xdr:to>
          <xdr:col>3</xdr:col>
          <xdr:colOff>1476375</xdr:colOff>
          <xdr:row>5</xdr:row>
          <xdr:rowOff>219075</xdr:rowOff>
        </xdr:to>
        <xdr:sp macro="" textlink="">
          <xdr:nvSpPr>
            <xdr:cNvPr id="121858" name="Drop Down 2" hidden="1">
              <a:extLst>
                <a:ext uri="{63B3BB69-23CF-44E3-9099-C40C66FF867C}">
                  <a14:compatExt spid="_x0000_s1218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9525</xdr:rowOff>
        </xdr:from>
        <xdr:to>
          <xdr:col>4</xdr:col>
          <xdr:colOff>1476375</xdr:colOff>
          <xdr:row>5</xdr:row>
          <xdr:rowOff>219075</xdr:rowOff>
        </xdr:to>
        <xdr:sp macro="" textlink="">
          <xdr:nvSpPr>
            <xdr:cNvPr id="121859" name="Drop Down 3" hidden="1">
              <a:extLst>
                <a:ext uri="{63B3BB69-23CF-44E3-9099-C40C66FF867C}">
                  <a14:compatExt spid="_x0000_s1218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9525</xdr:rowOff>
        </xdr:from>
        <xdr:to>
          <xdr:col>5</xdr:col>
          <xdr:colOff>1476375</xdr:colOff>
          <xdr:row>5</xdr:row>
          <xdr:rowOff>219075</xdr:rowOff>
        </xdr:to>
        <xdr:sp macro="" textlink="">
          <xdr:nvSpPr>
            <xdr:cNvPr id="121860" name="Drop Down 4" hidden="1">
              <a:extLst>
                <a:ext uri="{63B3BB69-23CF-44E3-9099-C40C66FF867C}">
                  <a14:compatExt spid="_x0000_s1218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5</xdr:row>
          <xdr:rowOff>9525</xdr:rowOff>
        </xdr:from>
        <xdr:to>
          <xdr:col>6</xdr:col>
          <xdr:colOff>1476375</xdr:colOff>
          <xdr:row>5</xdr:row>
          <xdr:rowOff>219075</xdr:rowOff>
        </xdr:to>
        <xdr:sp macro="" textlink="">
          <xdr:nvSpPr>
            <xdr:cNvPr id="121861" name="Drop Down 5" hidden="1">
              <a:extLst>
                <a:ext uri="{63B3BB69-23CF-44E3-9099-C40C66FF867C}">
                  <a14:compatExt spid="_x0000_s1218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9525</xdr:rowOff>
        </xdr:from>
        <xdr:to>
          <xdr:col>7</xdr:col>
          <xdr:colOff>1476375</xdr:colOff>
          <xdr:row>5</xdr:row>
          <xdr:rowOff>219075</xdr:rowOff>
        </xdr:to>
        <xdr:sp macro="" textlink="">
          <xdr:nvSpPr>
            <xdr:cNvPr id="121862" name="Drop Down 6" hidden="1">
              <a:extLst>
                <a:ext uri="{63B3BB69-23CF-44E3-9099-C40C66FF867C}">
                  <a14:compatExt spid="_x0000_s1218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</xdr:row>
          <xdr:rowOff>9525</xdr:rowOff>
        </xdr:from>
        <xdr:to>
          <xdr:col>8</xdr:col>
          <xdr:colOff>1476375</xdr:colOff>
          <xdr:row>5</xdr:row>
          <xdr:rowOff>219075</xdr:rowOff>
        </xdr:to>
        <xdr:sp macro="" textlink="">
          <xdr:nvSpPr>
            <xdr:cNvPr id="121863" name="Drop Down 7" hidden="1">
              <a:extLst>
                <a:ext uri="{63B3BB69-23CF-44E3-9099-C40C66FF867C}">
                  <a14:compatExt spid="_x0000_s1218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9525</xdr:rowOff>
        </xdr:from>
        <xdr:to>
          <xdr:col>9</xdr:col>
          <xdr:colOff>1476375</xdr:colOff>
          <xdr:row>5</xdr:row>
          <xdr:rowOff>219075</xdr:rowOff>
        </xdr:to>
        <xdr:sp macro="" textlink="">
          <xdr:nvSpPr>
            <xdr:cNvPr id="121864" name="Drop Down 8" hidden="1">
              <a:extLst>
                <a:ext uri="{63B3BB69-23CF-44E3-9099-C40C66FF867C}">
                  <a14:compatExt spid="_x0000_s1218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9525</xdr:rowOff>
        </xdr:from>
        <xdr:to>
          <xdr:col>10</xdr:col>
          <xdr:colOff>1476375</xdr:colOff>
          <xdr:row>5</xdr:row>
          <xdr:rowOff>219075</xdr:rowOff>
        </xdr:to>
        <xdr:sp macro="" textlink="">
          <xdr:nvSpPr>
            <xdr:cNvPr id="121865" name="Drop Down 9" hidden="1">
              <a:extLst>
                <a:ext uri="{63B3BB69-23CF-44E3-9099-C40C66FF867C}">
                  <a14:compatExt spid="_x0000_s121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9525</xdr:rowOff>
        </xdr:from>
        <xdr:to>
          <xdr:col>11</xdr:col>
          <xdr:colOff>1476375</xdr:colOff>
          <xdr:row>5</xdr:row>
          <xdr:rowOff>219075</xdr:rowOff>
        </xdr:to>
        <xdr:sp macro="" textlink="">
          <xdr:nvSpPr>
            <xdr:cNvPr id="121866" name="Drop Down 10" hidden="1">
              <a:extLst>
                <a:ext uri="{63B3BB69-23CF-44E3-9099-C40C66FF867C}">
                  <a14:compatExt spid="_x0000_s121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</xdr:row>
          <xdr:rowOff>9525</xdr:rowOff>
        </xdr:from>
        <xdr:to>
          <xdr:col>12</xdr:col>
          <xdr:colOff>1476375</xdr:colOff>
          <xdr:row>5</xdr:row>
          <xdr:rowOff>219075</xdr:rowOff>
        </xdr:to>
        <xdr:sp macro="" textlink="">
          <xdr:nvSpPr>
            <xdr:cNvPr id="121867" name="Drop Down 11" hidden="1">
              <a:extLst>
                <a:ext uri="{63B3BB69-23CF-44E3-9099-C40C66FF867C}">
                  <a14:compatExt spid="_x0000_s1218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9525</xdr:rowOff>
        </xdr:from>
        <xdr:to>
          <xdr:col>13</xdr:col>
          <xdr:colOff>1476375</xdr:colOff>
          <xdr:row>5</xdr:row>
          <xdr:rowOff>219075</xdr:rowOff>
        </xdr:to>
        <xdr:sp macro="" textlink="">
          <xdr:nvSpPr>
            <xdr:cNvPr id="121868" name="Drop Down 12" hidden="1">
              <a:extLst>
                <a:ext uri="{63B3BB69-23CF-44E3-9099-C40C66FF867C}">
                  <a14:compatExt spid="_x0000_s1218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361950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8</xdr:col>
      <xdr:colOff>457200</xdr:colOff>
      <xdr:row>1</xdr:row>
      <xdr:rowOff>47625</xdr:rowOff>
    </xdr:from>
    <xdr:to>
      <xdr:col>9</xdr:col>
      <xdr:colOff>1301475</xdr:colOff>
      <xdr:row>1</xdr:row>
      <xdr:rowOff>238125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4610100" y="238125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361950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381000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10</xdr:col>
      <xdr:colOff>28575</xdr:colOff>
      <xdr:row>1</xdr:row>
      <xdr:rowOff>38100</xdr:rowOff>
    </xdr:from>
    <xdr:to>
      <xdr:col>11</xdr:col>
      <xdr:colOff>872850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 bwMode="auto">
        <a:xfrm>
          <a:off x="563880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381000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 bwMode="auto">
        <a:xfrm flipH="1">
          <a:off x="26670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8</xdr:col>
      <xdr:colOff>476249</xdr:colOff>
      <xdr:row>1</xdr:row>
      <xdr:rowOff>38100</xdr:rowOff>
    </xdr:from>
    <xdr:to>
      <xdr:col>9</xdr:col>
      <xdr:colOff>1320524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 bwMode="auto">
        <a:xfrm>
          <a:off x="4610099" y="200025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 bwMode="auto">
        <a:xfrm flipH="1">
          <a:off x="26670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2</xdr:col>
      <xdr:colOff>981075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 bwMode="auto">
        <a:xfrm flipH="1">
          <a:off x="304800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4" name="Pentágon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47626</xdr:rowOff>
    </xdr:from>
    <xdr:to>
      <xdr:col>1</xdr:col>
      <xdr:colOff>1247775</xdr:colOff>
      <xdr:row>1</xdr:row>
      <xdr:rowOff>238126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 bwMode="auto">
        <a:xfrm flipH="1">
          <a:off x="266700" y="209551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3" name="Pentágon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3</xdr:col>
      <xdr:colOff>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 flipH="1">
          <a:off x="247650" y="209550"/>
          <a:ext cx="936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47625</xdr:rowOff>
    </xdr:from>
    <xdr:to>
      <xdr:col>2</xdr:col>
      <xdr:colOff>981075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 bwMode="auto">
        <a:xfrm flipH="1">
          <a:off x="304800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12</xdr:row>
          <xdr:rowOff>180975</xdr:rowOff>
        </xdr:from>
        <xdr:to>
          <xdr:col>14</xdr:col>
          <xdr:colOff>9525</xdr:colOff>
          <xdr:row>14</xdr:row>
          <xdr:rowOff>0</xdr:rowOff>
        </xdr:to>
        <xdr:sp macro="" textlink="">
          <xdr:nvSpPr>
            <xdr:cNvPr id="59401" name="Drop Down 9" hidden="1">
              <a:extLst>
                <a:ext uri="{63B3BB69-23CF-44E3-9099-C40C66FF867C}">
                  <a14:compatExt spid="_x0000_s59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57150</xdr:rowOff>
    </xdr:from>
    <xdr:to>
      <xdr:col>3</xdr:col>
      <xdr:colOff>257175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 bwMode="auto">
        <a:xfrm flipH="1">
          <a:off x="29527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8</xdr:col>
      <xdr:colOff>390525</xdr:colOff>
      <xdr:row>1</xdr:row>
      <xdr:rowOff>38100</xdr:rowOff>
    </xdr:from>
    <xdr:to>
      <xdr:col>9</xdr:col>
      <xdr:colOff>1301475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/>
      </xdr:nvSpPr>
      <xdr:spPr bwMode="auto">
        <a:xfrm>
          <a:off x="5238750" y="228600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57150</xdr:rowOff>
    </xdr:from>
    <xdr:to>
      <xdr:col>1</xdr:col>
      <xdr:colOff>1323975</xdr:colOff>
      <xdr:row>1</xdr:row>
      <xdr:rowOff>247650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 flipH="1">
          <a:off x="381000" y="21907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3</xdr:col>
      <xdr:colOff>257175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  <xdr:twoCellAnchor>
    <xdr:from>
      <xdr:col>1</xdr:col>
      <xdr:colOff>66675</xdr:colOff>
      <xdr:row>1</xdr:row>
      <xdr:rowOff>57150</xdr:rowOff>
    </xdr:from>
    <xdr:to>
      <xdr:col>3</xdr:col>
      <xdr:colOff>276225</xdr:colOff>
      <xdr:row>1</xdr:row>
      <xdr:rowOff>247650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/>
      </xdr:nvSpPr>
      <xdr:spPr bwMode="auto">
        <a:xfrm flipH="1">
          <a:off x="314325" y="2476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</xdr:row>
      <xdr:rowOff>47625</xdr:rowOff>
    </xdr:from>
    <xdr:to>
      <xdr:col>2</xdr:col>
      <xdr:colOff>971550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 bwMode="auto">
        <a:xfrm flipH="1">
          <a:off x="295275" y="238125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95250</xdr:rowOff>
    </xdr:from>
    <xdr:to>
      <xdr:col>2</xdr:col>
      <xdr:colOff>981075</xdr:colOff>
      <xdr:row>2</xdr:row>
      <xdr:rowOff>95250</xdr:rowOff>
    </xdr:to>
    <xdr:sp macro="" textlink="">
      <xdr:nvSpPr>
        <xdr:cNvPr id="3" name="Pentágon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SpPr/>
      </xdr:nvSpPr>
      <xdr:spPr bwMode="auto">
        <a:xfrm flipH="1">
          <a:off x="304800" y="2857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36</xdr:row>
      <xdr:rowOff>23812</xdr:rowOff>
    </xdr:from>
    <xdr:to>
      <xdr:col>7</xdr:col>
      <xdr:colOff>808725</xdr:colOff>
      <xdr:row>58</xdr:row>
      <xdr:rowOff>152812</xdr:rowOff>
    </xdr:to>
    <xdr:graphicFrame macro="">
      <xdr:nvGraphicFramePr>
        <xdr:cNvPr id="2" name="Acompanhamento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1</xdr:row>
      <xdr:rowOff>95250</xdr:rowOff>
    </xdr:from>
    <xdr:to>
      <xdr:col>2</xdr:col>
      <xdr:colOff>981075</xdr:colOff>
      <xdr:row>2</xdr:row>
      <xdr:rowOff>95250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SpPr/>
      </xdr:nvSpPr>
      <xdr:spPr bwMode="auto">
        <a:xfrm flipH="1">
          <a:off x="304800" y="2857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104775</xdr:rowOff>
    </xdr:from>
    <xdr:to>
      <xdr:col>2</xdr:col>
      <xdr:colOff>755025</xdr:colOff>
      <xdr:row>2</xdr:row>
      <xdr:rowOff>104775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/>
      </xdr:nvSpPr>
      <xdr:spPr bwMode="auto">
        <a:xfrm flipH="1">
          <a:off x="266700" y="266700"/>
          <a:ext cx="936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114300</xdr:rowOff>
    </xdr:from>
    <xdr:to>
      <xdr:col>2</xdr:col>
      <xdr:colOff>774075</xdr:colOff>
      <xdr:row>2</xdr:row>
      <xdr:rowOff>114300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 bwMode="auto">
        <a:xfrm flipH="1">
          <a:off x="285750" y="276225"/>
          <a:ext cx="936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76200</xdr:rowOff>
    </xdr:from>
    <xdr:to>
      <xdr:col>1</xdr:col>
      <xdr:colOff>1247775</xdr:colOff>
      <xdr:row>1</xdr:row>
      <xdr:rowOff>266700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 flipH="1">
          <a:off x="266700" y="26670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VOLTAR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 bwMode="auto">
        <a:xfrm flipH="1">
          <a:off x="26670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9</xdr:col>
      <xdr:colOff>219074</xdr:colOff>
      <xdr:row>1</xdr:row>
      <xdr:rowOff>38100</xdr:rowOff>
    </xdr:from>
    <xdr:to>
      <xdr:col>10</xdr:col>
      <xdr:colOff>1135349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5200649" y="200025"/>
          <a:ext cx="1764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 flipH="1">
          <a:off x="26670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2" name="Pentágon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 bwMode="auto">
        <a:xfrm flipH="1">
          <a:off x="26670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INÍCIO</a:t>
          </a:r>
        </a:p>
      </xdr:txBody>
    </xdr:sp>
    <xdr:clientData/>
  </xdr:twoCellAnchor>
  <xdr:twoCellAnchor>
    <xdr:from>
      <xdr:col>8</xdr:col>
      <xdr:colOff>476249</xdr:colOff>
      <xdr:row>1</xdr:row>
      <xdr:rowOff>38100</xdr:rowOff>
    </xdr:from>
    <xdr:to>
      <xdr:col>9</xdr:col>
      <xdr:colOff>1320524</xdr:colOff>
      <xdr:row>1</xdr:row>
      <xdr:rowOff>228600</xdr:rowOff>
    </xdr:to>
    <xdr:sp macro="" textlink="">
      <xdr:nvSpPr>
        <xdr:cNvPr id="3" name="Pentágon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 bwMode="auto">
        <a:xfrm>
          <a:off x="4610099" y="200025"/>
          <a:ext cx="1692000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ORIGEM</a:t>
          </a:r>
          <a:r>
            <a:rPr lang="pt-BR" sz="1100" b="1" baseline="0"/>
            <a:t> DOS RECURSOS</a:t>
          </a:r>
          <a:endParaRPr lang="pt-BR" sz="11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47625</xdr:rowOff>
    </xdr:from>
    <xdr:to>
      <xdr:col>3</xdr:col>
      <xdr:colOff>352425</xdr:colOff>
      <xdr:row>1</xdr:row>
      <xdr:rowOff>238125</xdr:rowOff>
    </xdr:to>
    <xdr:sp macro="" textlink="">
      <xdr:nvSpPr>
        <xdr:cNvPr id="4" name="Pentágon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 bwMode="auto">
        <a:xfrm flipH="1">
          <a:off x="285750" y="209550"/>
          <a:ext cx="1171575" cy="190500"/>
        </a:xfrm>
        <a:prstGeom prst="homePlate">
          <a:avLst/>
        </a:prstGeom>
        <a:ln>
          <a:headEnd type="none" w="med" len="med"/>
          <a:tailEnd type="none" w="med" len="med"/>
        </a:ln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pt-BR" sz="1100" b="1"/>
            <a:t>ORÇAMENTOS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Nadc/DADOS/DPEP_DVEE/Planilha%20RCB/Planilha%20C&#225;lculo%20RCB%20Modific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rthurrl/AppData/Roaming/Microsoft/Excel/Planilha%20de%20c&#225;lculo%20RCB%20-%20REN%20556_2013%20(version%201)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arthurrl/AppData/Local/Temp/Temp1_Planilha_de_c&#225;lculo_RCB_-_Chamada_P&#250;blica_2015%20(3).zip/Nova%20Planilha%20de%20Avalia&#231;&#227;o%20-%20Celesc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PEP_DVEE/_Efici&#234;ncia%20Energ&#233;tica/# Projetos 2014/CHAMADA P&#218;BLICA 2014/Planilha de Classifica&#231;&#227;o/Nova Planilha de Avalia&#231;&#227;o - Celes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ha%20de%20apoio%20para%20o%20c&#225;lculo%20da%20RCB%20-%20CPP%20001_2022%20-%20Vers&#227;o%20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Custo Contábil"/>
      <sheetName val="RCB GERAL"/>
      <sheetName val="Materiais"/>
      <sheetName val="Mão de obra própria"/>
      <sheetName val="Mão de obra terceiros"/>
      <sheetName val="Transporte"/>
      <sheetName val="Descarte"/>
      <sheetName val="M&amp;V"/>
      <sheetName val="RCB Iluminação"/>
      <sheetName val="RCB Ar Cond"/>
      <sheetName val="RCB Motor"/>
      <sheetName val="RCB Refrig"/>
      <sheetName val="RCB Aquec"/>
      <sheetName val="RCB Autoclaves"/>
      <sheetName val="parametros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7">
          <cell r="R7">
            <v>12</v>
          </cell>
        </row>
        <row r="8">
          <cell r="R8">
            <v>22</v>
          </cell>
        </row>
        <row r="9">
          <cell r="R9">
            <v>3</v>
          </cell>
        </row>
      </sheetData>
      <sheetData sheetId="10" refreshError="1">
        <row r="7">
          <cell r="T7">
            <v>12</v>
          </cell>
        </row>
        <row r="8">
          <cell r="T8">
            <v>22</v>
          </cell>
        </row>
        <row r="9">
          <cell r="T9">
            <v>3</v>
          </cell>
        </row>
      </sheetData>
      <sheetData sheetId="11" refreshError="1">
        <row r="7">
          <cell r="T7">
            <v>12</v>
          </cell>
        </row>
        <row r="8">
          <cell r="T8">
            <v>22</v>
          </cell>
        </row>
        <row r="9">
          <cell r="T9">
            <v>3</v>
          </cell>
        </row>
      </sheetData>
      <sheetData sheetId="12"/>
      <sheetData sheetId="13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to"/>
      <sheetName val="Ajuda"/>
      <sheetName val="RCB"/>
      <sheetName val="CustoContabil"/>
      <sheetName val="M&amp;V"/>
      <sheetName val="Descarte"/>
      <sheetName val="ContrDesemp"/>
      <sheetName val="IlumCusto"/>
      <sheetName val="IlumBenef"/>
      <sheetName val="CondAmbCusto"/>
      <sheetName val="CondAmbBenef"/>
      <sheetName val="MotorCusto"/>
      <sheetName val="MotorBenef"/>
      <sheetName val="RefrigCusto"/>
      <sheetName val="RefrigBenef"/>
      <sheetName val="SolarCusto"/>
      <sheetName val="SolarBenef"/>
      <sheetName val="HospCusto"/>
      <sheetName val="HospBenef"/>
      <sheetName val="OutrosCusto"/>
      <sheetName val="OutrosBenef"/>
      <sheetName val="Cronograma"/>
      <sheetName val="COPEL"/>
      <sheetName val="CEE_C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4">
          <cell r="C4" t="str">
            <v>SELECIONE A CIDADE</v>
          </cell>
          <cell r="K4" t="str">
            <v>SELECIONE A TIPOLOGIA</v>
          </cell>
          <cell r="Y4" t="str">
            <v>SELECIONE O TIPO DE ATIVIDADE</v>
          </cell>
          <cell r="AE4" t="str">
            <v>SELECIONE O TIPO DE EMPRESA</v>
          </cell>
          <cell r="AH4" t="str">
            <v>SELECIONE A TARIFA</v>
          </cell>
          <cell r="BK4" t="str">
            <v>ARACAJU</v>
          </cell>
        </row>
        <row r="5">
          <cell r="C5" t="str">
            <v>DIVERSAS CIDADES</v>
          </cell>
          <cell r="K5" t="str">
            <v>INDUSTRIAL</v>
          </cell>
          <cell r="Y5" t="str">
            <v>COM FINS LUCRATIVOS</v>
          </cell>
          <cell r="AE5" t="str">
            <v>MICRO, PEQUENA OU MÉDIA EMPRESA</v>
          </cell>
          <cell r="AH5" t="str">
            <v>CONVENCIONAL</v>
          </cell>
          <cell r="BK5" t="str">
            <v>BELÉM</v>
          </cell>
        </row>
        <row r="6">
          <cell r="C6" t="str">
            <v>ABATIA - SDT</v>
          </cell>
          <cell r="K6" t="str">
            <v>COMÉRCIO E SERVIÇOS</v>
          </cell>
          <cell r="Y6" t="str">
            <v>SEM FINS LUCRATIVOS</v>
          </cell>
          <cell r="AE6" t="str">
            <v>DEMAIS EMPRESAS</v>
          </cell>
          <cell r="AH6" t="str">
            <v>TARIFA VERDE</v>
          </cell>
          <cell r="BK6" t="str">
            <v>BELO HORIZONTE</v>
          </cell>
        </row>
        <row r="7">
          <cell r="C7" t="str">
            <v>ADRIANOPOLIS - SDL</v>
          </cell>
          <cell r="K7" t="str">
            <v>PODER PÚBLICO</v>
          </cell>
          <cell r="AH7" t="str">
            <v>TARIFA AZUL</v>
          </cell>
          <cell r="BK7" t="str">
            <v>BRASÍLIA</v>
          </cell>
        </row>
        <row r="8">
          <cell r="C8" t="str">
            <v>AGUDOS DO SUL - SDL</v>
          </cell>
          <cell r="K8" t="str">
            <v>SERVIÇOS PÚBLICOS</v>
          </cell>
          <cell r="AH8" t="str">
            <v>CONSUMIDOR LIVRE</v>
          </cell>
          <cell r="BK8" t="str">
            <v>CAMPO GRANDE</v>
          </cell>
        </row>
        <row r="9">
          <cell r="C9" t="str">
            <v>ALMIRANTE TAMANDARE - SDL</v>
          </cell>
          <cell r="K9" t="str">
            <v>RURAL</v>
          </cell>
          <cell r="BK9" t="str">
            <v>CUIABÁ</v>
          </cell>
        </row>
        <row r="10">
          <cell r="C10" t="str">
            <v>ALTAMIRA DO PARANA - SDN</v>
          </cell>
          <cell r="K10" t="str">
            <v>RESIDENCIAL</v>
          </cell>
          <cell r="BK10" t="str">
            <v>CURITIBA</v>
          </cell>
        </row>
        <row r="11">
          <cell r="C11" t="str">
            <v>ALTO PARAISO (V. ALTA) - SDN</v>
          </cell>
          <cell r="K11" t="str">
            <v>RESIDENCIAL BAIXA RENDA</v>
          </cell>
          <cell r="BK11" t="str">
            <v>FLORIANÓPOLIS</v>
          </cell>
        </row>
        <row r="12">
          <cell r="C12" t="str">
            <v>ALTO PARANA - SDN</v>
          </cell>
          <cell r="BK12" t="str">
            <v>FORTALEZA</v>
          </cell>
        </row>
        <row r="13">
          <cell r="C13" t="str">
            <v>ALTO PIQUIRI - SDN</v>
          </cell>
          <cell r="BK13" t="str">
            <v>GOIÂNIA</v>
          </cell>
        </row>
        <row r="14">
          <cell r="C14" t="str">
            <v>ALTONIA - SDN</v>
          </cell>
          <cell r="BK14" t="str">
            <v>JOÃO PESSOA</v>
          </cell>
        </row>
        <row r="15">
          <cell r="C15" t="str">
            <v>ALVORADA DO SUL - SDT</v>
          </cell>
          <cell r="BK15" t="str">
            <v>MACAPÁ</v>
          </cell>
        </row>
        <row r="16">
          <cell r="C16" t="str">
            <v>AMAPORA - SDN</v>
          </cell>
          <cell r="BK16" t="str">
            <v>MACEIÓ</v>
          </cell>
        </row>
        <row r="17">
          <cell r="C17" t="str">
            <v>AMPERE - SDO</v>
          </cell>
          <cell r="BK17" t="str">
            <v>MANAUS</v>
          </cell>
        </row>
        <row r="18">
          <cell r="C18" t="str">
            <v>ANAHY - SDO</v>
          </cell>
          <cell r="BK18" t="str">
            <v>NATAL</v>
          </cell>
        </row>
        <row r="19">
          <cell r="C19" t="str">
            <v>ANDIRA - SDT</v>
          </cell>
          <cell r="BK19" t="str">
            <v>PORTO ALEGRE</v>
          </cell>
        </row>
        <row r="20">
          <cell r="C20" t="str">
            <v>ANGULO - SDT</v>
          </cell>
          <cell r="BK20" t="str">
            <v>PORTO NACIONAL</v>
          </cell>
        </row>
        <row r="21">
          <cell r="C21" t="str">
            <v>ANTONINA - SDL</v>
          </cell>
          <cell r="BK21" t="str">
            <v>PORTO VELHO</v>
          </cell>
        </row>
        <row r="22">
          <cell r="C22" t="str">
            <v>ANTONIO OLINTO - SDC</v>
          </cell>
          <cell r="BK22" t="str">
            <v>RECIFE</v>
          </cell>
        </row>
        <row r="23">
          <cell r="C23" t="str">
            <v>APUCARANA - SDT</v>
          </cell>
          <cell r="BK23" t="str">
            <v>RIBEIRÃO PRETO</v>
          </cell>
        </row>
        <row r="24">
          <cell r="C24" t="str">
            <v>ARAPONGAS - SDT</v>
          </cell>
          <cell r="BK24" t="str">
            <v>RIO DE JANEIRO</v>
          </cell>
        </row>
        <row r="25">
          <cell r="C25" t="str">
            <v>ARAPOTI - SDC</v>
          </cell>
          <cell r="BK25" t="str">
            <v>SALVADOR</v>
          </cell>
        </row>
        <row r="26">
          <cell r="C26" t="str">
            <v>ARAPUA - SDT</v>
          </cell>
          <cell r="BK26" t="str">
            <v>SÃO LUÍS</v>
          </cell>
        </row>
        <row r="27">
          <cell r="C27" t="str">
            <v>ARARUNA - SDN</v>
          </cell>
          <cell r="BK27" t="str">
            <v>SÃO PAULO</v>
          </cell>
        </row>
        <row r="28">
          <cell r="C28" t="str">
            <v>ARAUCARIA - SDL</v>
          </cell>
          <cell r="BK28" t="str">
            <v>TERESINA</v>
          </cell>
        </row>
        <row r="29">
          <cell r="C29" t="str">
            <v>ARIRANHA DO IVAI - SDT</v>
          </cell>
          <cell r="BK29" t="str">
            <v>VITÓRIA</v>
          </cell>
        </row>
        <row r="30">
          <cell r="C30" t="str">
            <v>ASSAI - SDT</v>
          </cell>
        </row>
        <row r="31">
          <cell r="C31" t="str">
            <v>ASSIS CHATEAUBRIAND - SDO</v>
          </cell>
        </row>
        <row r="32">
          <cell r="C32" t="str">
            <v>ASTORGA - SDT</v>
          </cell>
        </row>
        <row r="33">
          <cell r="C33" t="str">
            <v>ATALAIA - SDN</v>
          </cell>
        </row>
        <row r="34">
          <cell r="C34" t="str">
            <v>BALSA NOVA - SDL</v>
          </cell>
        </row>
        <row r="35">
          <cell r="C35" t="str">
            <v>BANDEIRANTES - SDT</v>
          </cell>
        </row>
        <row r="36">
          <cell r="C36" t="str">
            <v>BARBOSA FERRAZ - SDN</v>
          </cell>
        </row>
        <row r="37">
          <cell r="C37" t="str">
            <v>BARRACAO - SDO</v>
          </cell>
        </row>
        <row r="38">
          <cell r="C38" t="str">
            <v>BELA VISTA DA CAROBA - SDO</v>
          </cell>
        </row>
        <row r="39">
          <cell r="C39" t="str">
            <v>BELA VISTA DO PARAISO - SDT</v>
          </cell>
        </row>
        <row r="40">
          <cell r="C40" t="str">
            <v>BITURUNA - SDC</v>
          </cell>
        </row>
        <row r="41">
          <cell r="C41" t="str">
            <v>BOA ESPERANCA - SDN</v>
          </cell>
        </row>
        <row r="42">
          <cell r="C42" t="str">
            <v>BOA ESPERANCA DO IGUACU - SDO</v>
          </cell>
        </row>
        <row r="43">
          <cell r="C43" t="str">
            <v>BOA VENTURA DE SAO ROQUE - SDC</v>
          </cell>
        </row>
        <row r="44">
          <cell r="C44" t="str">
            <v>BOA VISTA DA APARECIDA - SDO</v>
          </cell>
        </row>
        <row r="45">
          <cell r="C45" t="str">
            <v>BOCAIUVA DO SUL - SDL</v>
          </cell>
        </row>
        <row r="46">
          <cell r="C46" t="str">
            <v>BOM JESUS DO SUL - SDO</v>
          </cell>
        </row>
        <row r="47">
          <cell r="C47" t="str">
            <v>BOM SUCESSO - SDT</v>
          </cell>
        </row>
        <row r="48">
          <cell r="C48" t="str">
            <v>BOM SUCESSO DO SUL - SDO</v>
          </cell>
        </row>
        <row r="49">
          <cell r="C49" t="str">
            <v>BORRAZOPOLIS - SDT</v>
          </cell>
        </row>
        <row r="50">
          <cell r="C50" t="str">
            <v>BRAGANEY - SDO</v>
          </cell>
        </row>
        <row r="51">
          <cell r="C51" t="str">
            <v>BRASILANDIA DO SUL - SDN</v>
          </cell>
        </row>
        <row r="52">
          <cell r="C52" t="str">
            <v>CAFEARA - SDT</v>
          </cell>
        </row>
        <row r="53">
          <cell r="C53" t="str">
            <v>CAFELANDIA - SDO</v>
          </cell>
        </row>
        <row r="54">
          <cell r="C54" t="str">
            <v>CAFEZAL DO SUL - SDN</v>
          </cell>
        </row>
        <row r="55">
          <cell r="C55" t="str">
            <v>CALIFORNIA - SDT</v>
          </cell>
        </row>
        <row r="56">
          <cell r="C56" t="str">
            <v>CAMBARA - SDT</v>
          </cell>
        </row>
        <row r="57">
          <cell r="C57" t="str">
            <v>CAMBE - SDT</v>
          </cell>
        </row>
        <row r="58">
          <cell r="C58" t="str">
            <v>CAMBIRA - SDT</v>
          </cell>
        </row>
        <row r="59">
          <cell r="C59" t="str">
            <v>CAMPINA DA LAGOA - SDN</v>
          </cell>
        </row>
        <row r="60">
          <cell r="C60" t="str">
            <v>CAMPINA DO SIMAO - SDC</v>
          </cell>
        </row>
        <row r="61">
          <cell r="C61" t="str">
            <v>CAMPINA GRANDE DO SUL - SDL</v>
          </cell>
        </row>
        <row r="62">
          <cell r="C62" t="str">
            <v>CAMPO BONITO - SDO</v>
          </cell>
        </row>
        <row r="63">
          <cell r="C63" t="str">
            <v>CAMPO DO TENENTE - SDL</v>
          </cell>
        </row>
        <row r="64">
          <cell r="C64" t="str">
            <v>CAMPO MAGRO - SDL</v>
          </cell>
        </row>
        <row r="65">
          <cell r="C65" t="str">
            <v>CAMPO MOURAO - SDN</v>
          </cell>
        </row>
        <row r="66">
          <cell r="C66" t="str">
            <v>CANDIDO DE ABREU - SDT</v>
          </cell>
        </row>
        <row r="67">
          <cell r="C67" t="str">
            <v>CANDOI - SDO</v>
          </cell>
        </row>
        <row r="68">
          <cell r="C68" t="str">
            <v>CANTAGALO - SDO</v>
          </cell>
        </row>
        <row r="69">
          <cell r="C69" t="str">
            <v>CAPANEMA - SDO</v>
          </cell>
        </row>
        <row r="70">
          <cell r="C70" t="str">
            <v>CAPITAO LEONIDAS MARQUES - SDO</v>
          </cell>
        </row>
        <row r="71">
          <cell r="C71" t="str">
            <v>CARAMBEI - SDC</v>
          </cell>
        </row>
        <row r="72">
          <cell r="C72" t="str">
            <v>CARLOPOLIS - SDT</v>
          </cell>
        </row>
        <row r="73">
          <cell r="C73" t="str">
            <v>CASCAVEL - SDO</v>
          </cell>
        </row>
        <row r="74">
          <cell r="C74" t="str">
            <v>CASTRO - SDC</v>
          </cell>
        </row>
        <row r="75">
          <cell r="C75" t="str">
            <v>CATANDUVAS - SDO</v>
          </cell>
        </row>
        <row r="76">
          <cell r="C76" t="str">
            <v>CENTENARIO DO SUL - SDT</v>
          </cell>
        </row>
        <row r="77">
          <cell r="C77" t="str">
            <v>CERRO AZUL - SDL</v>
          </cell>
        </row>
        <row r="78">
          <cell r="C78" t="str">
            <v>CEU AZUL - SDO</v>
          </cell>
        </row>
        <row r="79">
          <cell r="C79" t="str">
            <v>CHOPINZINHO - SDO</v>
          </cell>
        </row>
        <row r="80">
          <cell r="C80" t="str">
            <v>CIANORTE - SDN</v>
          </cell>
        </row>
        <row r="81">
          <cell r="C81" t="str">
            <v>CIDADE GAUCHA - SDN</v>
          </cell>
        </row>
        <row r="82">
          <cell r="C82" t="str">
            <v>CLEVELANDIA - SDO</v>
          </cell>
        </row>
        <row r="83">
          <cell r="C83" t="str">
            <v>COLOMBO - SDL</v>
          </cell>
        </row>
        <row r="84">
          <cell r="C84" t="str">
            <v>COLORADO - SDN</v>
          </cell>
        </row>
        <row r="85">
          <cell r="C85" t="str">
            <v>CONGONHINHAS - SDT</v>
          </cell>
        </row>
        <row r="86">
          <cell r="C86" t="str">
            <v>CONSELHEIRO MAIRINCK - SDT</v>
          </cell>
        </row>
        <row r="87">
          <cell r="C87" t="str">
            <v>CONTENDA - SDL</v>
          </cell>
        </row>
        <row r="88">
          <cell r="C88" t="str">
            <v>CORBELIA - SDO</v>
          </cell>
        </row>
        <row r="89">
          <cell r="C89" t="str">
            <v>CORNELIO PROCOPIO - SDT</v>
          </cell>
        </row>
        <row r="90">
          <cell r="C90" t="str">
            <v>CORONEL DOMINGOS SOARES - SDO</v>
          </cell>
        </row>
        <row r="91">
          <cell r="C91" t="str">
            <v>CORONEL VIVIDA - SDO</v>
          </cell>
        </row>
        <row r="92">
          <cell r="C92" t="str">
            <v>CORUMBATAI  DO SUL - SDN</v>
          </cell>
        </row>
        <row r="93">
          <cell r="C93" t="str">
            <v>CRUZ MACHADO - SDC</v>
          </cell>
        </row>
        <row r="94">
          <cell r="C94" t="str">
            <v>CRUZEIRO DO IGUACU - SDO</v>
          </cell>
        </row>
        <row r="95">
          <cell r="C95" t="str">
            <v>CRUZEIRO DO OESTE - SDN</v>
          </cell>
        </row>
        <row r="96">
          <cell r="C96" t="str">
            <v>CRUZEIRO DO SUL - SDN</v>
          </cell>
        </row>
        <row r="97">
          <cell r="C97" t="str">
            <v>CRUZMALTINA - SDT</v>
          </cell>
        </row>
        <row r="98">
          <cell r="C98" t="str">
            <v>CURITIBA - SDL</v>
          </cell>
        </row>
        <row r="99">
          <cell r="C99" t="str">
            <v>CURIUVA - SDC</v>
          </cell>
        </row>
        <row r="100">
          <cell r="C100" t="str">
            <v>DIAMANTE DO NORTE - SDN</v>
          </cell>
        </row>
        <row r="101">
          <cell r="C101" t="str">
            <v>DIAMANTE DO OESTE - SDO</v>
          </cell>
        </row>
        <row r="102">
          <cell r="C102" t="str">
            <v>DIAMANTE DO SUL - SDO</v>
          </cell>
        </row>
        <row r="103">
          <cell r="C103" t="str">
            <v>DOIS VIZINHOS - SDO</v>
          </cell>
        </row>
        <row r="104">
          <cell r="C104" t="str">
            <v>DOURADINA - SDN</v>
          </cell>
        </row>
        <row r="105">
          <cell r="C105" t="str">
            <v>DOUTOR CAMARGO - SDN</v>
          </cell>
        </row>
        <row r="106">
          <cell r="C106" t="str">
            <v>DOUTOR ULYSSES - SDL</v>
          </cell>
        </row>
        <row r="107">
          <cell r="C107" t="str">
            <v>ENEAS MARQUES - SDO</v>
          </cell>
        </row>
        <row r="108">
          <cell r="C108" t="str">
            <v>ENGENHEIRO BELTRAO - SDN</v>
          </cell>
        </row>
        <row r="109">
          <cell r="C109" t="str">
            <v>ENTRE RIOS DO OESTE - SDO</v>
          </cell>
        </row>
        <row r="110">
          <cell r="C110" t="str">
            <v>ESPERANCA NOVA - SDN</v>
          </cell>
        </row>
        <row r="111">
          <cell r="C111" t="str">
            <v>ESPIGAO ALTO DO IGUACU - SDO</v>
          </cell>
        </row>
        <row r="112">
          <cell r="C112" t="str">
            <v>FAROL - SDN</v>
          </cell>
        </row>
        <row r="113">
          <cell r="C113" t="str">
            <v>FAXINAL - SDT</v>
          </cell>
        </row>
        <row r="114">
          <cell r="C114" t="str">
            <v>FAZENDA RIO GRANDE - SDL</v>
          </cell>
        </row>
        <row r="115">
          <cell r="C115" t="str">
            <v>FENIX - SDN</v>
          </cell>
        </row>
        <row r="116">
          <cell r="C116" t="str">
            <v>FERNANDES PINHEIRO - SDC</v>
          </cell>
        </row>
        <row r="117">
          <cell r="C117" t="str">
            <v>FIGUEIRA - SDC</v>
          </cell>
        </row>
        <row r="118">
          <cell r="C118" t="str">
            <v>FLOR DA SERRA DO SUL - SDO</v>
          </cell>
        </row>
        <row r="119">
          <cell r="C119" t="str">
            <v>FLORAI - SDN</v>
          </cell>
        </row>
        <row r="120">
          <cell r="C120" t="str">
            <v>FLORESTA - SDN</v>
          </cell>
        </row>
        <row r="121">
          <cell r="C121" t="str">
            <v>FLORESTOPOLIS - SDT</v>
          </cell>
        </row>
        <row r="122">
          <cell r="C122" t="str">
            <v>FLORIDA - SDT</v>
          </cell>
        </row>
        <row r="123">
          <cell r="C123" t="str">
            <v>FORMOSA DO OESTE - SDO</v>
          </cell>
        </row>
        <row r="124">
          <cell r="C124" t="str">
            <v>FOZ DO IGUACU - SDO</v>
          </cell>
        </row>
        <row r="125">
          <cell r="C125" t="str">
            <v>FOZ DO JORDAO - SDO</v>
          </cell>
        </row>
        <row r="126">
          <cell r="C126" t="str">
            <v>FRANCISCO ALVES - SDN</v>
          </cell>
        </row>
        <row r="127">
          <cell r="C127" t="str">
            <v>FRANCISCO BELTRAO - SDO</v>
          </cell>
        </row>
        <row r="128">
          <cell r="C128" t="str">
            <v>GENERAL CARNEIRO - SDC</v>
          </cell>
        </row>
        <row r="129">
          <cell r="C129" t="str">
            <v>GODOY MOREIRA - SDT</v>
          </cell>
        </row>
        <row r="130">
          <cell r="C130" t="str">
            <v>GOIOERE - SDN</v>
          </cell>
        </row>
        <row r="131">
          <cell r="C131" t="str">
            <v>GOIOXIM - SDO</v>
          </cell>
        </row>
        <row r="132">
          <cell r="C132" t="str">
            <v>GRANDES RIOS - SDT</v>
          </cell>
        </row>
        <row r="133">
          <cell r="C133" t="str">
            <v>GUAIRA - SDO</v>
          </cell>
        </row>
        <row r="134">
          <cell r="C134" t="str">
            <v>GUAIRACA - SDN</v>
          </cell>
        </row>
        <row r="135">
          <cell r="C135" t="str">
            <v>GUAMIRANGA - SDC</v>
          </cell>
        </row>
        <row r="136">
          <cell r="C136" t="str">
            <v>GUAPIRAMA - SDT</v>
          </cell>
        </row>
        <row r="137">
          <cell r="C137" t="str">
            <v>GUAPOREMA - SDN</v>
          </cell>
        </row>
        <row r="138">
          <cell r="C138" t="str">
            <v>GUARACI - SDT</v>
          </cell>
        </row>
        <row r="139">
          <cell r="C139" t="str">
            <v>GUARANIACU - SDO</v>
          </cell>
        </row>
        <row r="140">
          <cell r="C140" t="str">
            <v>GUARAPUAVA - SDC</v>
          </cell>
        </row>
        <row r="141">
          <cell r="C141" t="str">
            <v>GUARAQUECABA - SDL</v>
          </cell>
        </row>
        <row r="142">
          <cell r="C142" t="str">
            <v>GUARATUBA - SDL</v>
          </cell>
        </row>
        <row r="143">
          <cell r="C143" t="str">
            <v>HONORIO SERPA - SDO</v>
          </cell>
        </row>
        <row r="144">
          <cell r="C144" t="str">
            <v>IBAITI - SDT</v>
          </cell>
        </row>
        <row r="145">
          <cell r="C145" t="str">
            <v>IBEMA - SDO</v>
          </cell>
        </row>
        <row r="146">
          <cell r="C146" t="str">
            <v>IBIPORA - SDT</v>
          </cell>
        </row>
        <row r="147">
          <cell r="C147" t="str">
            <v>ICARAIMA - SDN</v>
          </cell>
        </row>
        <row r="148">
          <cell r="C148" t="str">
            <v>IGUARACU - SDT</v>
          </cell>
        </row>
        <row r="149">
          <cell r="C149" t="str">
            <v>IGUATU - SDO</v>
          </cell>
        </row>
        <row r="150">
          <cell r="C150" t="str">
            <v>IMBAU - SDC</v>
          </cell>
        </row>
        <row r="151">
          <cell r="C151" t="str">
            <v>IMBITUVA - SDC</v>
          </cell>
        </row>
        <row r="152">
          <cell r="C152" t="str">
            <v>INACIO MARTINS - SDC</v>
          </cell>
        </row>
        <row r="153">
          <cell r="C153" t="str">
            <v>INAJA - SDN</v>
          </cell>
        </row>
        <row r="154">
          <cell r="C154" t="str">
            <v>INDIANOPOLIS - SDN</v>
          </cell>
        </row>
        <row r="155">
          <cell r="C155" t="str">
            <v>IPIRANGA - SDC</v>
          </cell>
        </row>
        <row r="156">
          <cell r="C156" t="str">
            <v>IPORA - SDN</v>
          </cell>
        </row>
        <row r="157">
          <cell r="C157" t="str">
            <v>IRACEMA DO OESTE - SDO</v>
          </cell>
        </row>
        <row r="158">
          <cell r="C158" t="str">
            <v>IRATI - SDC</v>
          </cell>
        </row>
        <row r="159">
          <cell r="C159" t="str">
            <v>IRETAMA - SDN</v>
          </cell>
        </row>
        <row r="160">
          <cell r="C160" t="str">
            <v>ITAGUAJE - SDN</v>
          </cell>
        </row>
        <row r="161">
          <cell r="C161" t="str">
            <v>ITAIPULANDIA - SDO</v>
          </cell>
        </row>
        <row r="162">
          <cell r="C162" t="str">
            <v>ITAMBARACA - SDT</v>
          </cell>
        </row>
        <row r="163">
          <cell r="C163" t="str">
            <v>ITAMBE - SDN</v>
          </cell>
        </row>
        <row r="164">
          <cell r="C164" t="str">
            <v>ITAPEJARA DOESTE - SDO</v>
          </cell>
        </row>
        <row r="165">
          <cell r="C165" t="str">
            <v>ITAPERUCU - SDL</v>
          </cell>
        </row>
        <row r="166">
          <cell r="C166" t="str">
            <v>ITAUNA DO SUL - SDN</v>
          </cell>
        </row>
        <row r="167">
          <cell r="C167" t="str">
            <v>IVAI - SDC</v>
          </cell>
        </row>
        <row r="168">
          <cell r="C168" t="str">
            <v>IVAIPORA - SDT</v>
          </cell>
        </row>
        <row r="169">
          <cell r="C169" t="str">
            <v>IVATE - SDN</v>
          </cell>
        </row>
        <row r="170">
          <cell r="C170" t="str">
            <v>IVATUBA - SDN</v>
          </cell>
        </row>
        <row r="171">
          <cell r="C171" t="str">
            <v>JABOTI - SDT</v>
          </cell>
        </row>
        <row r="172">
          <cell r="C172" t="str">
            <v>JAGUAPITA - SDT</v>
          </cell>
        </row>
        <row r="173">
          <cell r="C173" t="str">
            <v>JAGUARIAIVA - SDC</v>
          </cell>
        </row>
        <row r="174">
          <cell r="C174" t="str">
            <v>JANDAIA DO SUL - SDT</v>
          </cell>
        </row>
        <row r="175">
          <cell r="C175" t="str">
            <v>JANIOPOLIS - SDN</v>
          </cell>
        </row>
        <row r="176">
          <cell r="C176" t="str">
            <v>JAPIRA - SDT</v>
          </cell>
        </row>
        <row r="177">
          <cell r="C177" t="str">
            <v>JAPURA - SDN</v>
          </cell>
        </row>
        <row r="178">
          <cell r="C178" t="str">
            <v>JARDIM ALEGRE - SDT</v>
          </cell>
        </row>
        <row r="179">
          <cell r="C179" t="str">
            <v>JARDIM OLINDA - SDN</v>
          </cell>
        </row>
        <row r="180">
          <cell r="C180" t="str">
            <v>JATAIZINHO - SDT</v>
          </cell>
        </row>
        <row r="181">
          <cell r="C181" t="str">
            <v>JESUITAS - SDO</v>
          </cell>
        </row>
        <row r="182">
          <cell r="C182" t="str">
            <v>JOAQUIM TAVORA - SDT</v>
          </cell>
        </row>
        <row r="183">
          <cell r="C183" t="str">
            <v>JUNDIAI DO SUL - SDT</v>
          </cell>
        </row>
        <row r="184">
          <cell r="C184" t="str">
            <v>JURANDA - SDN</v>
          </cell>
        </row>
        <row r="185">
          <cell r="C185" t="str">
            <v>JUSSARA - SDN</v>
          </cell>
        </row>
        <row r="186">
          <cell r="C186" t="str">
            <v>KALORE - SDT</v>
          </cell>
        </row>
        <row r="187">
          <cell r="C187" t="str">
            <v>LAPA - SDL</v>
          </cell>
        </row>
        <row r="188">
          <cell r="C188" t="str">
            <v>LARANJAL - SDC</v>
          </cell>
        </row>
        <row r="189">
          <cell r="C189" t="str">
            <v>LARANJEIRAS DO SUL - SDO</v>
          </cell>
        </row>
        <row r="190">
          <cell r="C190" t="str">
            <v>LEOPOLIS - SDT</v>
          </cell>
        </row>
        <row r="191">
          <cell r="C191" t="str">
            <v>LIDIANOPOLIS - SDT</v>
          </cell>
        </row>
        <row r="192">
          <cell r="C192" t="str">
            <v>LINDOESTE - SDO</v>
          </cell>
        </row>
        <row r="193">
          <cell r="C193" t="str">
            <v>LOANDA - SDN</v>
          </cell>
        </row>
        <row r="194">
          <cell r="C194" t="str">
            <v>LOBATO - SDT</v>
          </cell>
        </row>
        <row r="195">
          <cell r="C195" t="str">
            <v>LONDRINA - SDT</v>
          </cell>
        </row>
        <row r="196">
          <cell r="C196" t="str">
            <v>LUIZIANA - SDN</v>
          </cell>
        </row>
        <row r="197">
          <cell r="C197" t="str">
            <v>LUNARDELLI - SDT</v>
          </cell>
        </row>
        <row r="198">
          <cell r="C198" t="str">
            <v>LUPIONOPOLIS - SDT</v>
          </cell>
        </row>
        <row r="199">
          <cell r="C199" t="str">
            <v>MALLET - SDC</v>
          </cell>
        </row>
        <row r="200">
          <cell r="C200" t="str">
            <v>MAMBORE - SDN</v>
          </cell>
        </row>
        <row r="201">
          <cell r="C201" t="str">
            <v>MANDAGUACU - SDN</v>
          </cell>
        </row>
        <row r="202">
          <cell r="C202" t="str">
            <v>MANDAGUARI - SDN</v>
          </cell>
        </row>
        <row r="203">
          <cell r="C203" t="str">
            <v>MANDIRITUBA - SDL</v>
          </cell>
        </row>
        <row r="204">
          <cell r="C204" t="str">
            <v>MANFRINOPOLIS - SDO</v>
          </cell>
        </row>
        <row r="205">
          <cell r="C205" t="str">
            <v>MANGUEIRINHA - SDO</v>
          </cell>
        </row>
        <row r="206">
          <cell r="C206" t="str">
            <v>MANOEL RIBAS - SDT</v>
          </cell>
        </row>
        <row r="207">
          <cell r="C207" t="str">
            <v>MARECHAL CANDIDO RONDON - SDO</v>
          </cell>
        </row>
        <row r="208">
          <cell r="C208" t="str">
            <v>MARIA HELENA - SDN</v>
          </cell>
        </row>
        <row r="209">
          <cell r="C209" t="str">
            <v>MARIALVA - SDN</v>
          </cell>
        </row>
        <row r="210">
          <cell r="C210" t="str">
            <v>MARILANDIA DO SUL - SDT</v>
          </cell>
        </row>
        <row r="211">
          <cell r="C211" t="str">
            <v>MARILENA - SDN</v>
          </cell>
        </row>
        <row r="212">
          <cell r="C212" t="str">
            <v>MARILUZ - SDN</v>
          </cell>
        </row>
        <row r="213">
          <cell r="C213" t="str">
            <v>MARINGA - SDN</v>
          </cell>
        </row>
        <row r="214">
          <cell r="C214" t="str">
            <v>MARIOPOLIS - SDO</v>
          </cell>
        </row>
        <row r="215">
          <cell r="C215" t="str">
            <v>MARIPA - SDO</v>
          </cell>
        </row>
        <row r="216">
          <cell r="C216" t="str">
            <v>MARMELEIRO - SDO</v>
          </cell>
        </row>
        <row r="217">
          <cell r="C217" t="str">
            <v>MARQUINHO - SDO</v>
          </cell>
        </row>
        <row r="218">
          <cell r="C218" t="str">
            <v>MARUMBI - SDT</v>
          </cell>
        </row>
        <row r="219">
          <cell r="C219" t="str">
            <v>MATELANDIA - SDO</v>
          </cell>
        </row>
        <row r="220">
          <cell r="C220" t="str">
            <v>MATINHOS - SDL</v>
          </cell>
        </row>
        <row r="221">
          <cell r="C221" t="str">
            <v>MATO RICO - SDN</v>
          </cell>
        </row>
        <row r="222">
          <cell r="C222" t="str">
            <v>MAUA DA SERRA - SDT</v>
          </cell>
        </row>
        <row r="223">
          <cell r="C223" t="str">
            <v>MEDIANEIRA - SDO</v>
          </cell>
        </row>
        <row r="224">
          <cell r="C224" t="str">
            <v>MERCEDES - SDO</v>
          </cell>
        </row>
        <row r="225">
          <cell r="C225" t="str">
            <v>MIRADOR - SDN</v>
          </cell>
        </row>
        <row r="226">
          <cell r="C226" t="str">
            <v>MIRASELVA - SDT</v>
          </cell>
        </row>
        <row r="227">
          <cell r="C227" t="str">
            <v>MISSAL - SDO</v>
          </cell>
        </row>
        <row r="228">
          <cell r="C228" t="str">
            <v>MOREIRA SALES - SDN</v>
          </cell>
        </row>
        <row r="229">
          <cell r="C229" t="str">
            <v>MORRETES - SDL</v>
          </cell>
        </row>
        <row r="230">
          <cell r="C230" t="str">
            <v>MUNHOZ DE MELO - SDT</v>
          </cell>
        </row>
        <row r="231">
          <cell r="C231" t="str">
            <v>NOSSA SENHORA DAS GRACAS - SDT</v>
          </cell>
        </row>
        <row r="232">
          <cell r="C232" t="str">
            <v>NOVA ALIANCA DO IVAI - SDN</v>
          </cell>
        </row>
        <row r="233">
          <cell r="C233" t="str">
            <v>NOVA AMERICA DA COLINA - SDT</v>
          </cell>
        </row>
        <row r="234">
          <cell r="C234" t="str">
            <v>NOVA AURORA - SDO</v>
          </cell>
        </row>
        <row r="235">
          <cell r="C235" t="str">
            <v>NOVA CANTU - SDN</v>
          </cell>
        </row>
        <row r="236">
          <cell r="C236" t="str">
            <v>NOVA ESPERANCA - SDN</v>
          </cell>
        </row>
        <row r="237">
          <cell r="C237" t="str">
            <v>NOVA ESPERANCA DO SUDOESTE - SDO</v>
          </cell>
        </row>
        <row r="238">
          <cell r="C238" t="str">
            <v>NOVA FATIMA - SDT</v>
          </cell>
        </row>
        <row r="239">
          <cell r="C239" t="str">
            <v>NOVA LARANJEIRAS - SDO</v>
          </cell>
        </row>
        <row r="240">
          <cell r="C240" t="str">
            <v>NOVA LONDRINA - SDN</v>
          </cell>
        </row>
        <row r="241">
          <cell r="C241" t="str">
            <v>NOVA OLIMPIA - SDN</v>
          </cell>
        </row>
        <row r="242">
          <cell r="C242" t="str">
            <v>NOVA PRATA DO IGUACU - SDO</v>
          </cell>
        </row>
        <row r="243">
          <cell r="C243" t="str">
            <v>NOVA SANTA BARBARA - SDT</v>
          </cell>
        </row>
        <row r="244">
          <cell r="C244" t="str">
            <v>NOVA SANTA ROSA - SDO</v>
          </cell>
        </row>
        <row r="245">
          <cell r="C245" t="str">
            <v>NOVA TEBAS - SDN</v>
          </cell>
        </row>
        <row r="246">
          <cell r="C246" t="str">
            <v>NOVO ITACOLOMI - SDT</v>
          </cell>
        </row>
        <row r="247">
          <cell r="C247" t="str">
            <v>ORTIGUEIRA - SDC</v>
          </cell>
        </row>
        <row r="248">
          <cell r="C248" t="str">
            <v>OURIZONA - SDN</v>
          </cell>
        </row>
        <row r="249">
          <cell r="C249" t="str">
            <v>OURO VERDE DO OESTE - SDO</v>
          </cell>
        </row>
        <row r="250">
          <cell r="C250" t="str">
            <v>PAICANDU - SDN</v>
          </cell>
        </row>
        <row r="251">
          <cell r="C251" t="str">
            <v>PALMAS - SDO</v>
          </cell>
        </row>
        <row r="252">
          <cell r="C252" t="str">
            <v>PALMEIRA - SDC</v>
          </cell>
        </row>
        <row r="253">
          <cell r="C253" t="str">
            <v>PALMITAL - SDC</v>
          </cell>
        </row>
        <row r="254">
          <cell r="C254" t="str">
            <v>PALOTINA - SDO</v>
          </cell>
        </row>
        <row r="255">
          <cell r="C255" t="str">
            <v>PARAISO DO NORTE - SDN</v>
          </cell>
        </row>
        <row r="256">
          <cell r="C256" t="str">
            <v>PARANACITY - SDN</v>
          </cell>
        </row>
        <row r="257">
          <cell r="C257" t="str">
            <v>PARANAGUA - SDL</v>
          </cell>
        </row>
        <row r="258">
          <cell r="C258" t="str">
            <v>PARANAPOEMA - SDN</v>
          </cell>
        </row>
        <row r="259">
          <cell r="C259" t="str">
            <v>PARANAVAI - SDN</v>
          </cell>
        </row>
        <row r="260">
          <cell r="C260" t="str">
            <v>PATO BRAGADO - SDO</v>
          </cell>
        </row>
        <row r="261">
          <cell r="C261" t="str">
            <v>PATO BRANCO - SDO</v>
          </cell>
        </row>
        <row r="262">
          <cell r="C262" t="str">
            <v>PAULA FREITAS - SDC</v>
          </cell>
        </row>
        <row r="263">
          <cell r="C263" t="str">
            <v>PAULO FRONTIN - SDC</v>
          </cell>
        </row>
        <row r="264">
          <cell r="C264" t="str">
            <v>PEABIRU - SDN</v>
          </cell>
        </row>
        <row r="265">
          <cell r="C265" t="str">
            <v>PEROBAL - SDN</v>
          </cell>
        </row>
        <row r="266">
          <cell r="C266" t="str">
            <v>PEROLA - SDN</v>
          </cell>
        </row>
        <row r="267">
          <cell r="C267" t="str">
            <v>PEROLA DOESTE - SDO</v>
          </cell>
        </row>
        <row r="268">
          <cell r="C268" t="str">
            <v>PIEN - SDL</v>
          </cell>
        </row>
        <row r="269">
          <cell r="C269" t="str">
            <v>PINHAIS - SDL</v>
          </cell>
        </row>
        <row r="270">
          <cell r="C270" t="str">
            <v>PINHAL DE SAO BENTO - SDO</v>
          </cell>
        </row>
        <row r="271">
          <cell r="C271" t="str">
            <v>PINHALAO - SDT</v>
          </cell>
        </row>
        <row r="272">
          <cell r="C272" t="str">
            <v>PINHAO - SDC</v>
          </cell>
        </row>
        <row r="273">
          <cell r="C273" t="str">
            <v>PIRAI DO SUL - SDC</v>
          </cell>
        </row>
        <row r="274">
          <cell r="C274" t="str">
            <v>PIRAQUARA - SDL</v>
          </cell>
        </row>
        <row r="275">
          <cell r="C275" t="str">
            <v>PITANGA - SDC</v>
          </cell>
        </row>
        <row r="276">
          <cell r="C276" t="str">
            <v>PITANGUEIRAS - SDT</v>
          </cell>
        </row>
        <row r="277">
          <cell r="C277" t="str">
            <v>PLANALTINA DO PARANA - SDN</v>
          </cell>
        </row>
        <row r="278">
          <cell r="C278" t="str">
            <v>PLANALTO - SDO</v>
          </cell>
        </row>
        <row r="279">
          <cell r="C279" t="str">
            <v>PONTA GROSSA - SDC</v>
          </cell>
        </row>
        <row r="280">
          <cell r="C280" t="str">
            <v>PONTAL DO PARANA - SDL</v>
          </cell>
        </row>
        <row r="281">
          <cell r="C281" t="str">
            <v>PORECATU - SDT</v>
          </cell>
        </row>
        <row r="282">
          <cell r="C282" t="str">
            <v>PORTO AMAZONAS - SDC</v>
          </cell>
        </row>
        <row r="283">
          <cell r="C283" t="str">
            <v>PORTO BARREIRO - SDO</v>
          </cell>
        </row>
        <row r="284">
          <cell r="C284" t="str">
            <v>PORTO RICO - SDN</v>
          </cell>
        </row>
        <row r="285">
          <cell r="C285" t="str">
            <v>PORTO UNIAO - SC - SDC</v>
          </cell>
        </row>
        <row r="286">
          <cell r="C286" t="str">
            <v>PORTO VITORIA - SDC</v>
          </cell>
        </row>
        <row r="287">
          <cell r="C287" t="str">
            <v>PRADO FERREIRA - SDT</v>
          </cell>
        </row>
        <row r="288">
          <cell r="C288" t="str">
            <v>PRANCHITA - SDO</v>
          </cell>
        </row>
        <row r="289">
          <cell r="C289" t="str">
            <v>PRESIDENTE CASTELO BRANCO - SDN</v>
          </cell>
        </row>
        <row r="290">
          <cell r="C290" t="str">
            <v>PRIMEIRO DE MAIO - SDT</v>
          </cell>
        </row>
        <row r="291">
          <cell r="C291" t="str">
            <v>PRUDENTOPOLIS - SDC</v>
          </cell>
        </row>
        <row r="292">
          <cell r="C292" t="str">
            <v>QUARTO CENTENARIO - SDN</v>
          </cell>
        </row>
        <row r="293">
          <cell r="C293" t="str">
            <v>QUATIGUA - SDT</v>
          </cell>
        </row>
        <row r="294">
          <cell r="C294" t="str">
            <v>QUATRO BARRAS - SDL</v>
          </cell>
        </row>
        <row r="295">
          <cell r="C295" t="str">
            <v>QUATRO PONTES - SDO</v>
          </cell>
        </row>
        <row r="296">
          <cell r="C296" t="str">
            <v>QUEDAS DO IGUACU - SDO</v>
          </cell>
        </row>
        <row r="297">
          <cell r="C297" t="str">
            <v>QUERENCIA DO NORTE - SDN</v>
          </cell>
        </row>
        <row r="298">
          <cell r="C298" t="str">
            <v>QUINTA DO SOL - SDN</v>
          </cell>
        </row>
        <row r="299">
          <cell r="C299" t="str">
            <v>QUITANDINHA - SDL</v>
          </cell>
        </row>
        <row r="300">
          <cell r="C300" t="str">
            <v>RAMILANDIA - SDO</v>
          </cell>
        </row>
        <row r="301">
          <cell r="C301" t="str">
            <v>RANCHO ALEGRE - SDT</v>
          </cell>
        </row>
        <row r="302">
          <cell r="C302" t="str">
            <v>RANCHO ALEGRE D'OESTE - SDN</v>
          </cell>
        </row>
        <row r="303">
          <cell r="C303" t="str">
            <v>REALEZA - SDO</v>
          </cell>
        </row>
        <row r="304">
          <cell r="C304" t="str">
            <v>REBOUCAS - SDC</v>
          </cell>
        </row>
        <row r="305">
          <cell r="C305" t="str">
            <v>RENASCENCA - SDO</v>
          </cell>
        </row>
        <row r="306">
          <cell r="C306" t="str">
            <v>RESERVA - SDC</v>
          </cell>
        </row>
        <row r="307">
          <cell r="C307" t="str">
            <v>RESERVA DO IGUACU - SDO</v>
          </cell>
        </row>
        <row r="308">
          <cell r="C308" t="str">
            <v>RIBEIRAO DO PINHAL - SDT</v>
          </cell>
        </row>
        <row r="309">
          <cell r="C309" t="str">
            <v>RIO AZUL - SDC</v>
          </cell>
        </row>
        <row r="310">
          <cell r="C310" t="str">
            <v>RIO BOM - SDT</v>
          </cell>
        </row>
        <row r="311">
          <cell r="C311" t="str">
            <v>RIO BONITO DO IGUACU - SDO</v>
          </cell>
        </row>
        <row r="312">
          <cell r="C312" t="str">
            <v>RIO BRANCO DO IVAI - SDT</v>
          </cell>
        </row>
        <row r="313">
          <cell r="C313" t="str">
            <v>RIO BRANCO DO SUL - SDL</v>
          </cell>
        </row>
        <row r="314">
          <cell r="C314" t="str">
            <v>RIO NEGRO - SDL</v>
          </cell>
        </row>
        <row r="315">
          <cell r="C315" t="str">
            <v>ROLANDIA - SDT</v>
          </cell>
        </row>
        <row r="316">
          <cell r="C316" t="str">
            <v>RONCADOR - SDN</v>
          </cell>
        </row>
        <row r="317">
          <cell r="C317" t="str">
            <v>RONDON - SDN</v>
          </cell>
        </row>
        <row r="318">
          <cell r="C318" t="str">
            <v>ROSARIO DO IVAI - SDT</v>
          </cell>
        </row>
        <row r="319">
          <cell r="C319" t="str">
            <v>SABAUDIA - SDT</v>
          </cell>
        </row>
        <row r="320">
          <cell r="C320" t="str">
            <v>SALGADO FILHO - SDO</v>
          </cell>
        </row>
        <row r="321">
          <cell r="C321" t="str">
            <v>SALTO DO ITARARE - SDT</v>
          </cell>
        </row>
        <row r="322">
          <cell r="C322" t="str">
            <v>SALTO DO LONTRA - SDO</v>
          </cell>
        </row>
        <row r="323">
          <cell r="C323" t="str">
            <v>SANTA AMELIA - SDT</v>
          </cell>
        </row>
        <row r="324">
          <cell r="C324" t="str">
            <v>SANTA CECILIA DO PAVAO - SDT</v>
          </cell>
        </row>
        <row r="325">
          <cell r="C325" t="str">
            <v>SANTA CRUZ DE MONTE CASTELO - SDN</v>
          </cell>
        </row>
        <row r="326">
          <cell r="C326" t="str">
            <v>SANTA FE - SDT</v>
          </cell>
        </row>
        <row r="327">
          <cell r="C327" t="str">
            <v>SANTA HELENA - SDO</v>
          </cell>
        </row>
        <row r="328">
          <cell r="C328" t="str">
            <v>SANTA INES - SDN</v>
          </cell>
        </row>
        <row r="329">
          <cell r="C329" t="str">
            <v>SANTA ISABEL DO IVAI - SDN</v>
          </cell>
        </row>
        <row r="330">
          <cell r="C330" t="str">
            <v>SANTA IZABEL DO OESTE - SDO</v>
          </cell>
        </row>
        <row r="331">
          <cell r="C331" t="str">
            <v>SANTA LUCIA - SDO</v>
          </cell>
        </row>
        <row r="332">
          <cell r="C332" t="str">
            <v>SANTA MARIA DO OESTE - SDC</v>
          </cell>
        </row>
        <row r="333">
          <cell r="C333" t="str">
            <v>SANTA MARIANA - SDT</v>
          </cell>
        </row>
        <row r="334">
          <cell r="C334" t="str">
            <v>SANTA MONICA - SDN</v>
          </cell>
        </row>
        <row r="335">
          <cell r="C335" t="str">
            <v>SANTA TEREZA DO OESTE - SDO</v>
          </cell>
        </row>
        <row r="336">
          <cell r="C336" t="str">
            <v>SANTA TEREZINHA DE ITAIPU - SDO</v>
          </cell>
        </row>
        <row r="337">
          <cell r="C337" t="str">
            <v>SANTANA DO ITARARE - SDT</v>
          </cell>
        </row>
        <row r="338">
          <cell r="C338" t="str">
            <v>SANTO ANTONIO DA PLATINA - SDT</v>
          </cell>
        </row>
        <row r="339">
          <cell r="C339" t="str">
            <v>SANTO ANTONIO DO CAIUA - SDN</v>
          </cell>
        </row>
        <row r="340">
          <cell r="C340" t="str">
            <v>SANTO ANTONIO DO PARAISO - SDT</v>
          </cell>
        </row>
        <row r="341">
          <cell r="C341" t="str">
            <v>SANTO ANTONIO DO SUDOESTE - SDO</v>
          </cell>
        </row>
        <row r="342">
          <cell r="C342" t="str">
            <v>SANTO INACIO - SDT</v>
          </cell>
        </row>
        <row r="343">
          <cell r="C343" t="str">
            <v>SAO CARLOS DO IVAI - SDN</v>
          </cell>
        </row>
        <row r="344">
          <cell r="C344" t="str">
            <v>SAO JERONIMO DA SERRA - SDT</v>
          </cell>
        </row>
        <row r="345">
          <cell r="C345" t="str">
            <v>SAO JOAO - SDO</v>
          </cell>
        </row>
        <row r="346">
          <cell r="C346" t="str">
            <v>SAO JOAO DO CAIUA - SDN</v>
          </cell>
        </row>
        <row r="347">
          <cell r="C347" t="str">
            <v>SAO JOAO DO IVAI - SDT</v>
          </cell>
        </row>
        <row r="348">
          <cell r="C348" t="str">
            <v>SAO JOAO DO TRIUNFO - SDC</v>
          </cell>
        </row>
        <row r="349">
          <cell r="C349" t="str">
            <v>SAO JORGE DO IVAI - SDN</v>
          </cell>
        </row>
        <row r="350">
          <cell r="C350" t="str">
            <v>SAO JORGE DO PATROCINIO - SDN</v>
          </cell>
        </row>
        <row r="351">
          <cell r="C351" t="str">
            <v>SAO JORGE DOESTE - SDO</v>
          </cell>
        </row>
        <row r="352">
          <cell r="C352" t="str">
            <v>SAO JOSE DA BOA VISTA - SDT</v>
          </cell>
        </row>
        <row r="353">
          <cell r="C353" t="str">
            <v>SAO JOSE DAS PALMEIRAS - SDO</v>
          </cell>
        </row>
        <row r="354">
          <cell r="C354" t="str">
            <v>SAO JOSE DOS PINHAIS - SDL</v>
          </cell>
        </row>
        <row r="355">
          <cell r="C355" t="str">
            <v>SAO MANOEL DO PARANA - SDN</v>
          </cell>
        </row>
        <row r="356">
          <cell r="C356" t="str">
            <v>SAO MATEUS DO SUL - SDC</v>
          </cell>
        </row>
        <row r="357">
          <cell r="C357" t="str">
            <v>SAO MIGUEL DO IGUACU - SDO</v>
          </cell>
        </row>
        <row r="358">
          <cell r="C358" t="str">
            <v>SAO PEDRO DO IGUACU - SDO</v>
          </cell>
        </row>
        <row r="359">
          <cell r="C359" t="str">
            <v>SAO PEDRO DO IVAI - SDT</v>
          </cell>
        </row>
        <row r="360">
          <cell r="C360" t="str">
            <v>SAO PEDRO DO PARANA - SDN</v>
          </cell>
        </row>
        <row r="361">
          <cell r="C361" t="str">
            <v>SAO SEBASTIAO DA AMOREIRA - SDT</v>
          </cell>
        </row>
        <row r="362">
          <cell r="C362" t="str">
            <v>SAO TOME - SDN</v>
          </cell>
        </row>
        <row r="363">
          <cell r="C363" t="str">
            <v>SAPOPEMA - SDC</v>
          </cell>
        </row>
        <row r="364">
          <cell r="C364" t="str">
            <v>SARANDI - SDN</v>
          </cell>
        </row>
        <row r="365">
          <cell r="C365" t="str">
            <v>SAUDADE DO IGUACU - SDO</v>
          </cell>
        </row>
        <row r="366">
          <cell r="C366" t="str">
            <v>SENGES - SDC</v>
          </cell>
        </row>
        <row r="367">
          <cell r="C367" t="str">
            <v>SERRANOPOLIS DO IGUACU - SDO</v>
          </cell>
        </row>
        <row r="368">
          <cell r="C368" t="str">
            <v>SERTANEJA - SDT</v>
          </cell>
        </row>
        <row r="369">
          <cell r="C369" t="str">
            <v>SERTANOPOLIS - SDT</v>
          </cell>
        </row>
        <row r="370">
          <cell r="C370" t="str">
            <v>SIQUEIRA CAMPOS - SDT</v>
          </cell>
        </row>
        <row r="371">
          <cell r="C371" t="str">
            <v>SULINA - SDO</v>
          </cell>
        </row>
        <row r="372">
          <cell r="C372" t="str">
            <v>TAMARANA - SDT</v>
          </cell>
        </row>
        <row r="373">
          <cell r="C373" t="str">
            <v>TAMBOARA - SDN</v>
          </cell>
        </row>
        <row r="374">
          <cell r="C374" t="str">
            <v>TAPEJARA - SDN</v>
          </cell>
        </row>
        <row r="375">
          <cell r="C375" t="str">
            <v>TAPIRA - SDN</v>
          </cell>
        </row>
        <row r="376">
          <cell r="C376" t="str">
            <v>TEIXEIRA SOARES - SDC</v>
          </cell>
        </row>
        <row r="377">
          <cell r="C377" t="str">
            <v>TELEMACO BORBA - SDC</v>
          </cell>
        </row>
        <row r="378">
          <cell r="C378" t="str">
            <v>TERRA BOA - SDN</v>
          </cell>
        </row>
        <row r="379">
          <cell r="C379" t="str">
            <v>TERRA RICA - SDN</v>
          </cell>
        </row>
        <row r="380">
          <cell r="C380" t="str">
            <v>TERRA ROXA - SDO</v>
          </cell>
        </row>
        <row r="381">
          <cell r="C381" t="str">
            <v>TIBAGI - SDC</v>
          </cell>
        </row>
        <row r="382">
          <cell r="C382" t="str">
            <v>TIJUCAS DO SUL - SDL</v>
          </cell>
        </row>
        <row r="383">
          <cell r="C383" t="str">
            <v>TOLEDO - SDO</v>
          </cell>
        </row>
        <row r="384">
          <cell r="C384" t="str">
            <v>TOMAZINA - SDT</v>
          </cell>
        </row>
        <row r="385">
          <cell r="C385" t="str">
            <v>TRES BARRAS DO PARANA - SDO</v>
          </cell>
        </row>
        <row r="386">
          <cell r="C386" t="str">
            <v>TUNAS DO PARANA - SDL</v>
          </cell>
        </row>
        <row r="387">
          <cell r="C387" t="str">
            <v>TUNEIRAS DO OESTE - SDN</v>
          </cell>
        </row>
        <row r="388">
          <cell r="C388" t="str">
            <v>TUPASSI - SDO</v>
          </cell>
        </row>
        <row r="389">
          <cell r="C389" t="str">
            <v>TURVO - SDC</v>
          </cell>
        </row>
        <row r="390">
          <cell r="C390" t="str">
            <v>UBIRATA - SDN</v>
          </cell>
        </row>
        <row r="391">
          <cell r="C391" t="str">
            <v>UMUARAMA - SDN</v>
          </cell>
        </row>
        <row r="392">
          <cell r="C392" t="str">
            <v>UNIAO DA VITORIA - SDC</v>
          </cell>
        </row>
        <row r="393">
          <cell r="C393" t="str">
            <v>UNIFLOR - SDN</v>
          </cell>
        </row>
        <row r="394">
          <cell r="C394" t="str">
            <v>URAI - SDT</v>
          </cell>
        </row>
        <row r="395">
          <cell r="C395" t="str">
            <v>VENTANIA - SDC</v>
          </cell>
        </row>
        <row r="396">
          <cell r="C396" t="str">
            <v>VERA CRUZ DO OESTE - SDO</v>
          </cell>
        </row>
        <row r="397">
          <cell r="C397" t="str">
            <v>VERE - SDO</v>
          </cell>
        </row>
        <row r="398">
          <cell r="C398" t="str">
            <v>VIRMOND - SDO</v>
          </cell>
        </row>
        <row r="399">
          <cell r="C399" t="str">
            <v>VITORINO - SDO</v>
          </cell>
        </row>
        <row r="400">
          <cell r="C400" t="str">
            <v>WENCESLAU BRAZ - SDT</v>
          </cell>
        </row>
        <row r="401">
          <cell r="C401" t="str">
            <v>XAMBRE - SDN</v>
          </cell>
        </row>
      </sheetData>
      <sheetData sheetId="23" refreshError="1">
        <row r="4">
          <cell r="C4" t="str">
            <v>SELECIONE O SUBGRUPO TARIFÁRIO</v>
          </cell>
        </row>
        <row r="5">
          <cell r="C5" t="str">
            <v>A1 - ACIMA DE 230 kV</v>
          </cell>
        </row>
        <row r="6">
          <cell r="C6" t="str">
            <v>A2 - DE 88 kV A 230 kV</v>
          </cell>
        </row>
        <row r="7">
          <cell r="C7" t="str">
            <v>A3 - 69 kV</v>
          </cell>
        </row>
        <row r="8">
          <cell r="C8" t="str">
            <v>A3a - DE 30 kV A 44 kV</v>
          </cell>
        </row>
        <row r="9">
          <cell r="C9" t="str">
            <v>A4 - DE 2,3 kV A 25 kV</v>
          </cell>
        </row>
        <row r="10">
          <cell r="C10" t="str">
            <v>AS - SUBTERRÂNEO</v>
          </cell>
        </row>
        <row r="11">
          <cell r="C11" t="str">
            <v>B1 - BAIXA TENSÃO (RESIDENCIAL)</v>
          </cell>
        </row>
        <row r="12">
          <cell r="C12" t="str">
            <v>B2 - BAIXA TENSÃO (RURAL)</v>
          </cell>
        </row>
        <row r="13">
          <cell r="C13" t="str">
            <v>B3 - BAIXA TENSÃO (DEMAIS CLASSES)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Iniciais"/>
      <sheetName val="Docs Solicitados"/>
      <sheetName val="Qualificação"/>
      <sheetName val="Critérios de Classificação"/>
      <sheetName val="Peso Usos Finais"/>
      <sheetName val="Parâmetros Quantitativos"/>
      <sheetName val="Parâmetros Qualitativos"/>
      <sheetName val="Pontuação"/>
      <sheetName val="Classificação"/>
      <sheetName val="Projetos Selecionados"/>
      <sheetName val="Apo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D2" t="str">
            <v>Selecione o Tipo de Projeto</v>
          </cell>
          <cell r="N2" t="str">
            <v>Aquecimento Solar</v>
          </cell>
        </row>
        <row r="3">
          <cell r="D3" t="str">
            <v>Industrial</v>
          </cell>
          <cell r="N3" t="str">
            <v>Ar Comprimido</v>
          </cell>
        </row>
        <row r="4">
          <cell r="D4" t="str">
            <v>Comércio e Serviços</v>
          </cell>
          <cell r="N4" t="str">
            <v>Bombas de vácuo</v>
          </cell>
        </row>
        <row r="5">
          <cell r="D5" t="str">
            <v>Poder Público</v>
          </cell>
          <cell r="N5" t="str">
            <v>Bombas Hidráulicas</v>
          </cell>
        </row>
        <row r="6">
          <cell r="D6" t="str">
            <v>Serviços Públicos</v>
          </cell>
          <cell r="N6" t="str">
            <v>Cond. Ambiental</v>
          </cell>
        </row>
        <row r="7">
          <cell r="D7" t="str">
            <v>Rural</v>
          </cell>
          <cell r="N7" t="str">
            <v>Equip. hospitalar</v>
          </cell>
        </row>
        <row r="8">
          <cell r="D8" t="str">
            <v>Residencial</v>
          </cell>
          <cell r="N8" t="str">
            <v>Fontes Incentivadas</v>
          </cell>
        </row>
        <row r="9">
          <cell r="D9" t="str">
            <v>Residencial Tarifa Social</v>
          </cell>
          <cell r="N9" t="str">
            <v>Iluminação</v>
          </cell>
        </row>
        <row r="10">
          <cell r="D10" t="str">
            <v>Iluminação Pública</v>
          </cell>
          <cell r="N10" t="str">
            <v>Motores</v>
          </cell>
        </row>
        <row r="11">
          <cell r="N11" t="str">
            <v>Outros</v>
          </cell>
        </row>
        <row r="12">
          <cell r="N12" t="str">
            <v>Refrigeração</v>
          </cell>
        </row>
        <row r="13">
          <cell r="N13" t="str">
            <v>Sistemas motrizes</v>
          </cell>
        </row>
        <row r="14">
          <cell r="N14" t="str">
            <v>Sopradores de Ar</v>
          </cell>
        </row>
        <row r="15">
          <cell r="N15" t="str">
            <v>Trocador de calor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dos Iniciais"/>
      <sheetName val="Docs Solicitados"/>
      <sheetName val="Qualificação"/>
      <sheetName val="Critérios de Classificação"/>
      <sheetName val="Peso Usos Finais"/>
      <sheetName val="Parâmetros Quantitativos"/>
      <sheetName val="Parâmetros Qualitativos"/>
      <sheetName val="Pontuação"/>
      <sheetName val="Classificação"/>
      <sheetName val="Projetos Selecionados"/>
      <sheetName val="Apo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N2" t="str">
            <v>Aquecimento Solar</v>
          </cell>
        </row>
        <row r="3">
          <cell r="N3" t="str">
            <v>Ar Comprimido</v>
          </cell>
        </row>
        <row r="4">
          <cell r="N4" t="str">
            <v>Bombas de vácuo</v>
          </cell>
        </row>
        <row r="5">
          <cell r="N5" t="str">
            <v>Bombas Hidráulicas</v>
          </cell>
        </row>
        <row r="6">
          <cell r="N6" t="str">
            <v>Cond. Ambiental</v>
          </cell>
        </row>
        <row r="7">
          <cell r="N7" t="str">
            <v>Equip. hospitalar</v>
          </cell>
        </row>
        <row r="8">
          <cell r="N8" t="str">
            <v>Fontes Incentivadas</v>
          </cell>
        </row>
        <row r="9">
          <cell r="N9" t="str">
            <v>Iluminação</v>
          </cell>
        </row>
        <row r="10">
          <cell r="N10" t="str">
            <v>Motores</v>
          </cell>
        </row>
        <row r="11">
          <cell r="N11" t="str">
            <v>Outros</v>
          </cell>
        </row>
        <row r="12">
          <cell r="N12" t="str">
            <v>Refrigeração</v>
          </cell>
        </row>
        <row r="13">
          <cell r="N13" t="str">
            <v>Sistemas motrizes</v>
          </cell>
        </row>
        <row r="14">
          <cell r="N14" t="str">
            <v>Sopradores de Ar</v>
          </cell>
        </row>
        <row r="15">
          <cell r="N15" t="str">
            <v>Trocador de calor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esentação"/>
      <sheetName val="Apoio"/>
      <sheetName val="Custo Contábil"/>
      <sheetName val="IndFinanceiro"/>
      <sheetName val="RCB"/>
      <sheetName val="MOP"/>
      <sheetName val="Diagnóstico (ORÇ)"/>
      <sheetName val="Diagnóstico"/>
      <sheetName val="Marketing (ORÇ)"/>
      <sheetName val="Marketing"/>
      <sheetName val="Transporte"/>
      <sheetName val="Descarte (ORÇ)"/>
      <sheetName val="Descarte"/>
      <sheetName val="M&amp;V (ORÇ)"/>
      <sheetName val="M&amp;V"/>
      <sheetName val="Treinamento (ORÇ)"/>
      <sheetName val="Treinamento"/>
      <sheetName val="ContrDesemp"/>
      <sheetName val="IlumCusto (ORÇ)"/>
      <sheetName val="IlumCusto"/>
      <sheetName val="IlumBenef"/>
      <sheetName val="CondAmbCusto (ORÇ)"/>
      <sheetName val="CondAmbCusto"/>
      <sheetName val="CondAmbBenef"/>
      <sheetName val="MotorCusto (ORÇ)"/>
      <sheetName val="MotorCusto"/>
      <sheetName val="MotorBenef"/>
      <sheetName val="RefrigCusto (ORÇ)"/>
      <sheetName val="RefrigCusto"/>
      <sheetName val="RefrigBenef"/>
      <sheetName val="SolarCusto (ORÇ)"/>
      <sheetName val="SolarCusto"/>
      <sheetName val="SolarBenef"/>
      <sheetName val="HospCusto (ORÇ)"/>
      <sheetName val="HospCusto"/>
      <sheetName val="HospBenef"/>
      <sheetName val="OutrosCusto (ORÇ)"/>
      <sheetName val="OutrosCusto"/>
      <sheetName val="OutrosBenef"/>
      <sheetName val="FICusto (ORÇ)"/>
      <sheetName val="FICusto"/>
      <sheetName val="FIBenef"/>
      <sheetName val="C. Físico"/>
      <sheetName val="C. Financeiro"/>
      <sheetName val="Físico"/>
      <sheetName val="Financei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26">
          <cell r="H26">
            <v>160</v>
          </cell>
          <cell r="I26">
            <v>28</v>
          </cell>
          <cell r="J26">
            <v>8</v>
          </cell>
          <cell r="K26">
            <v>64</v>
          </cell>
          <cell r="L26">
            <v>30</v>
          </cell>
          <cell r="M26">
            <v>8</v>
          </cell>
          <cell r="N26">
            <v>8</v>
          </cell>
          <cell r="O26">
            <v>102</v>
          </cell>
          <cell r="P26">
            <v>12</v>
          </cell>
          <cell r="Q26">
            <v>46</v>
          </cell>
          <cell r="R26">
            <v>9</v>
          </cell>
          <cell r="S26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1.bin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hyperlink" Target="http://www.celesc.com.br/peecelesc/" TargetMode="External"/><Relationship Id="rId1" Type="http://schemas.openxmlformats.org/officeDocument/2006/relationships/externalLinkPath" Target="https://d.docs.live.net/Nadc/DADOS/DPEP_DVEE/Planilha%20RCB/Planilha%20C&#225;lculo%20RCB%20Modificada.xls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0" Type="http://schemas.openxmlformats.org/officeDocument/2006/relationships/ctrlProp" Target="../ctrlProps/ctrlProp5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13" Type="http://schemas.openxmlformats.org/officeDocument/2006/relationships/ctrlProp" Target="../ctrlProps/ctrlProp1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11.xml"/><Relationship Id="rId12" Type="http://schemas.openxmlformats.org/officeDocument/2006/relationships/ctrlProp" Target="../ctrlProps/ctrlProp1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10.xml"/><Relationship Id="rId11" Type="http://schemas.openxmlformats.org/officeDocument/2006/relationships/ctrlProp" Target="../ctrlProps/ctrlProp15.xml"/><Relationship Id="rId5" Type="http://schemas.openxmlformats.org/officeDocument/2006/relationships/ctrlProp" Target="../ctrlProps/ctrlProp9.xml"/><Relationship Id="rId15" Type="http://schemas.openxmlformats.org/officeDocument/2006/relationships/ctrlProp" Target="../ctrlProps/ctrlProp1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Relationship Id="rId14" Type="http://schemas.openxmlformats.org/officeDocument/2006/relationships/ctrlProp" Target="../ctrlProps/ctrlProp1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6.bin"/><Relationship Id="rId5" Type="http://schemas.openxmlformats.org/officeDocument/2006/relationships/comments" Target="../comments23.xml"/><Relationship Id="rId4" Type="http://schemas.openxmlformats.org/officeDocument/2006/relationships/ctrlProp" Target="../ctrlProps/ctrlProp20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35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3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3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40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3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1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theme="0"/>
  </sheetPr>
  <dimension ref="A1:AB137"/>
  <sheetViews>
    <sheetView showGridLines="0" zoomScale="90" zoomScaleNormal="90" workbookViewId="0">
      <selection activeCell="X43" sqref="X43"/>
    </sheetView>
  </sheetViews>
  <sheetFormatPr defaultColWidth="9.140625" defaultRowHeight="12.75" x14ac:dyDescent="0.2"/>
  <cols>
    <col min="1" max="1" width="3.42578125" style="361" customWidth="1"/>
    <col min="2" max="2" width="2.85546875" style="361" customWidth="1"/>
    <col min="3" max="3" width="4.42578125" style="361" customWidth="1"/>
    <col min="4" max="4" width="19.42578125" style="361" customWidth="1"/>
    <col min="5" max="5" width="3.42578125" style="361" customWidth="1"/>
    <col min="6" max="6" width="17.85546875" style="361" customWidth="1"/>
    <col min="7" max="7" width="4.42578125" style="361" customWidth="1"/>
    <col min="8" max="8" width="20.140625" style="361" customWidth="1"/>
    <col min="9" max="9" width="0.85546875" style="383" customWidth="1"/>
    <col min="10" max="10" width="11.42578125" style="383" bestFit="1" customWidth="1"/>
    <col min="11" max="11" width="4.42578125" style="384" customWidth="1"/>
    <col min="12" max="12" width="25.42578125" style="383" customWidth="1"/>
    <col min="13" max="13" width="13.42578125" style="383" customWidth="1"/>
    <col min="14" max="14" width="5.140625" style="383" customWidth="1"/>
    <col min="15" max="15" width="21" style="383" customWidth="1"/>
    <col min="16" max="16" width="2.85546875" style="361" customWidth="1"/>
    <col min="17" max="17" width="1.42578125" style="361" customWidth="1"/>
    <col min="18" max="18" width="15.42578125" style="393" customWidth="1"/>
    <col min="19" max="19" width="22" style="383" customWidth="1"/>
    <col min="20" max="20" width="7.42578125" style="383" customWidth="1"/>
    <col min="21" max="21" width="9.42578125" style="394" bestFit="1" customWidth="1"/>
    <col min="22" max="22" width="9.42578125" style="383" bestFit="1" customWidth="1"/>
    <col min="23" max="23" width="3.42578125" style="383" customWidth="1"/>
    <col min="24" max="24" width="13.42578125" style="383" bestFit="1" customWidth="1"/>
    <col min="25" max="26" width="8.42578125" style="383" customWidth="1"/>
    <col min="27" max="30" width="8.42578125" style="361" customWidth="1"/>
    <col min="31" max="31" width="3.42578125" style="361" customWidth="1"/>
    <col min="32" max="33" width="8.42578125" style="361" bestFit="1" customWidth="1"/>
    <col min="34" max="34" width="5.42578125" style="361" bestFit="1" customWidth="1"/>
    <col min="35" max="35" width="8.85546875" style="361" bestFit="1" customWidth="1"/>
    <col min="36" max="43" width="11.42578125" style="361" customWidth="1"/>
    <col min="44" max="45" width="10.85546875" style="361" bestFit="1" customWidth="1"/>
    <col min="46" max="46" width="45.85546875" style="361" bestFit="1" customWidth="1"/>
    <col min="47" max="47" width="3.42578125" style="361" customWidth="1"/>
    <col min="48" max="48" width="8.42578125" style="361" customWidth="1"/>
    <col min="49" max="49" width="3.42578125" style="361" customWidth="1"/>
    <col min="50" max="50" width="4.42578125" style="361" bestFit="1" customWidth="1"/>
    <col min="51" max="51" width="13.42578125" style="361" bestFit="1" customWidth="1"/>
    <col min="52" max="52" width="5.42578125" style="361" customWidth="1"/>
    <col min="53" max="53" width="3.42578125" style="361" customWidth="1"/>
    <col min="54" max="54" width="9.140625" style="361"/>
    <col min="55" max="55" width="10.140625" style="361" bestFit="1" customWidth="1"/>
    <col min="56" max="57" width="10.140625" style="361" customWidth="1"/>
    <col min="58" max="58" width="12.42578125" style="361" bestFit="1" customWidth="1"/>
    <col min="59" max="59" width="19.140625" style="361" bestFit="1" customWidth="1"/>
    <col min="60" max="61" width="11.42578125" style="361" bestFit="1" customWidth="1"/>
    <col min="62" max="62" width="12.42578125" style="361" bestFit="1" customWidth="1"/>
    <col min="63" max="63" width="9.42578125" style="361" customWidth="1"/>
    <col min="64" max="64" width="11.42578125" style="361" bestFit="1" customWidth="1"/>
    <col min="65" max="66" width="9.42578125" style="361" bestFit="1" customWidth="1"/>
    <col min="67" max="16384" width="9.140625" style="361"/>
  </cols>
  <sheetData>
    <row r="1" spans="1:27" ht="16.5" customHeight="1" x14ac:dyDescent="0.2">
      <c r="A1" s="368"/>
      <c r="C1" s="714" t="s">
        <v>1365</v>
      </c>
      <c r="D1" s="715"/>
      <c r="E1" s="715"/>
      <c r="R1" s="391"/>
      <c r="S1" s="391"/>
      <c r="T1" s="391"/>
      <c r="U1" s="391"/>
    </row>
    <row r="2" spans="1:27" s="368" customFormat="1" x14ac:dyDescent="0.2">
      <c r="B2" s="620"/>
      <c r="C2" s="621"/>
      <c r="D2" s="621"/>
      <c r="E2" s="621"/>
      <c r="F2" s="621"/>
      <c r="G2" s="621"/>
      <c r="H2" s="622"/>
      <c r="I2" s="622"/>
      <c r="J2" s="623"/>
      <c r="K2" s="622"/>
      <c r="L2" s="622"/>
      <c r="M2" s="622"/>
      <c r="N2" s="622"/>
      <c r="O2" s="622"/>
      <c r="P2" s="624"/>
      <c r="Q2" s="362"/>
      <c r="R2" s="836" t="s">
        <v>858</v>
      </c>
      <c r="S2" s="836"/>
      <c r="T2" s="836"/>
      <c r="U2" s="836"/>
      <c r="V2" s="385"/>
      <c r="W2" s="385"/>
      <c r="X2" s="385"/>
      <c r="Y2" s="385"/>
    </row>
    <row r="3" spans="1:27" s="382" customFormat="1" ht="15" customHeight="1" x14ac:dyDescent="0.2">
      <c r="B3" s="614"/>
      <c r="C3" s="615" t="s">
        <v>44</v>
      </c>
      <c r="D3" s="616"/>
      <c r="E3" s="616"/>
      <c r="F3" s="616"/>
      <c r="G3" s="616"/>
      <c r="H3" s="616"/>
      <c r="I3" s="625"/>
      <c r="J3" s="616"/>
      <c r="K3" s="616"/>
      <c r="L3" s="616"/>
      <c r="M3" s="616"/>
      <c r="N3" s="616"/>
      <c r="O3" s="616"/>
      <c r="P3" s="617"/>
      <c r="Q3" s="363"/>
      <c r="R3" s="836"/>
      <c r="S3" s="836"/>
      <c r="T3" s="836"/>
      <c r="U3" s="836"/>
      <c r="V3" s="386"/>
      <c r="W3" s="386"/>
      <c r="X3" s="386"/>
      <c r="Y3" s="386"/>
    </row>
    <row r="4" spans="1:27" s="382" customFormat="1" ht="15" customHeight="1" x14ac:dyDescent="0.2">
      <c r="B4" s="614"/>
      <c r="C4" s="814" t="s">
        <v>45</v>
      </c>
      <c r="D4" s="814"/>
      <c r="E4" s="616" t="s">
        <v>1332</v>
      </c>
      <c r="F4" s="616"/>
      <c r="G4" s="616"/>
      <c r="H4" s="616"/>
      <c r="I4" s="616"/>
      <c r="J4" s="616"/>
      <c r="K4" s="616"/>
      <c r="L4" s="616" t="s">
        <v>147</v>
      </c>
      <c r="M4" s="630">
        <v>4</v>
      </c>
      <c r="N4" s="616"/>
      <c r="O4" s="616"/>
      <c r="P4" s="617"/>
      <c r="Q4" s="363"/>
      <c r="R4" s="18"/>
      <c r="S4" s="11"/>
      <c r="T4" s="11"/>
      <c r="U4" s="12"/>
      <c r="V4" s="386"/>
      <c r="W4" s="386"/>
      <c r="X4" s="386"/>
      <c r="Y4" s="386"/>
    </row>
    <row r="5" spans="1:27" s="382" customFormat="1" ht="15" customHeight="1" x14ac:dyDescent="0.2">
      <c r="B5" s="614"/>
      <c r="C5" s="814" t="s">
        <v>46</v>
      </c>
      <c r="D5" s="814"/>
      <c r="E5" s="816" t="s">
        <v>1398</v>
      </c>
      <c r="F5" s="816"/>
      <c r="G5" s="816"/>
      <c r="H5" s="816"/>
      <c r="I5" s="816"/>
      <c r="J5" s="816"/>
      <c r="K5" s="816"/>
      <c r="L5" s="816"/>
      <c r="M5" s="816"/>
      <c r="N5" s="816"/>
      <c r="O5" s="816"/>
      <c r="P5" s="617"/>
      <c r="Q5" s="363"/>
      <c r="R5" s="18"/>
      <c r="S5" s="11"/>
      <c r="T5" s="11"/>
      <c r="U5" s="12"/>
      <c r="V5" s="386"/>
      <c r="W5" s="386"/>
      <c r="X5" s="386"/>
      <c r="Y5" s="386"/>
    </row>
    <row r="6" spans="1:27" s="382" customFormat="1" ht="15" customHeight="1" x14ac:dyDescent="0.2">
      <c r="B6" s="614"/>
      <c r="C6" s="814" t="s">
        <v>146</v>
      </c>
      <c r="D6" s="814"/>
      <c r="E6" s="631">
        <v>216</v>
      </c>
      <c r="F6" s="630" t="str">
        <f>VLOOKUP(E6,Apoio!AF7:AG294,2)</f>
        <v>Teresina</v>
      </c>
      <c r="G6" s="630">
        <f>VLOOKUP(E6,Apoio!AF7:AH294,3)</f>
        <v>0</v>
      </c>
      <c r="H6" s="616"/>
      <c r="I6" s="616"/>
      <c r="J6" s="627"/>
      <c r="K6" s="616"/>
      <c r="L6" s="839" t="s">
        <v>50</v>
      </c>
      <c r="M6" s="839"/>
      <c r="N6" s="840">
        <v>0.08</v>
      </c>
      <c r="O6" s="840"/>
      <c r="P6" s="632"/>
      <c r="Q6" s="363"/>
      <c r="R6" s="837"/>
      <c r="S6" s="838"/>
      <c r="T6" s="11"/>
      <c r="U6" s="12"/>
      <c r="V6" s="386"/>
      <c r="W6" s="386"/>
      <c r="X6" s="386"/>
      <c r="Y6" s="386"/>
    </row>
    <row r="7" spans="1:27" s="382" customFormat="1" ht="15" customHeight="1" x14ac:dyDescent="0.2">
      <c r="B7" s="614"/>
      <c r="C7" s="814" t="s">
        <v>131</v>
      </c>
      <c r="D7" s="814"/>
      <c r="E7" s="710">
        <v>9</v>
      </c>
      <c r="F7" s="630"/>
      <c r="G7" s="628"/>
      <c r="H7" s="616"/>
      <c r="I7" s="616"/>
      <c r="J7" s="627"/>
      <c r="K7" s="627"/>
      <c r="L7" s="839" t="s">
        <v>96</v>
      </c>
      <c r="M7" s="839"/>
      <c r="N7" s="830">
        <v>0.75</v>
      </c>
      <c r="O7" s="830"/>
      <c r="P7" s="632"/>
      <c r="Q7" s="364"/>
      <c r="R7" s="837"/>
      <c r="S7" s="838"/>
      <c r="T7" s="11"/>
      <c r="U7" s="12"/>
      <c r="V7" s="386"/>
    </row>
    <row r="8" spans="1:27" s="382" customFormat="1" ht="15" customHeight="1" x14ac:dyDescent="0.25">
      <c r="B8" s="614"/>
      <c r="C8" s="626"/>
      <c r="D8" s="616"/>
      <c r="E8" s="616"/>
      <c r="F8" s="616"/>
      <c r="G8" s="616"/>
      <c r="H8" s="616"/>
      <c r="I8" s="616"/>
      <c r="J8" s="616"/>
      <c r="K8" s="627"/>
      <c r="L8" s="616"/>
      <c r="M8" s="616"/>
      <c r="N8" s="616"/>
      <c r="O8" s="616"/>
      <c r="P8" s="617"/>
      <c r="Q8" s="365"/>
      <c r="R8" s="837"/>
      <c r="S8" s="838"/>
      <c r="T8" s="11"/>
      <c r="U8" s="13"/>
      <c r="V8" s="386"/>
      <c r="W8" s="387"/>
    </row>
    <row r="9" spans="1:27" s="382" customFormat="1" ht="15" customHeight="1" x14ac:dyDescent="0.25">
      <c r="B9" s="614"/>
      <c r="C9" s="615" t="s">
        <v>51</v>
      </c>
      <c r="D9" s="616"/>
      <c r="E9" s="616"/>
      <c r="F9" s="616"/>
      <c r="G9" s="616"/>
      <c r="H9" s="616"/>
      <c r="I9" s="616"/>
      <c r="J9" s="616"/>
      <c r="K9" s="616"/>
      <c r="L9" s="616"/>
      <c r="M9" s="616"/>
      <c r="N9" s="616"/>
      <c r="O9" s="616"/>
      <c r="P9" s="617"/>
      <c r="Q9" s="365"/>
      <c r="R9" s="837"/>
      <c r="S9" s="838"/>
      <c r="T9" s="11"/>
      <c r="U9" s="13"/>
      <c r="V9" s="386"/>
      <c r="W9" s="387"/>
      <c r="AA9" s="363"/>
    </row>
    <row r="10" spans="1:27" s="382" customFormat="1" ht="15" customHeight="1" x14ac:dyDescent="0.25">
      <c r="B10" s="614"/>
      <c r="C10" s="815" t="s">
        <v>52</v>
      </c>
      <c r="D10" s="815"/>
      <c r="E10" s="855" t="s">
        <v>1415</v>
      </c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617"/>
      <c r="Q10" s="363"/>
      <c r="R10" s="13"/>
      <c r="S10" s="13"/>
      <c r="T10" s="13"/>
      <c r="U10" s="13"/>
      <c r="V10" s="386"/>
      <c r="W10" s="387"/>
      <c r="X10" s="387"/>
      <c r="Y10" s="387"/>
      <c r="Z10" s="388"/>
      <c r="AA10" s="363"/>
    </row>
    <row r="11" spans="1:27" s="382" customFormat="1" ht="15" customHeight="1" x14ac:dyDescent="0.25">
      <c r="B11" s="614"/>
      <c r="C11" s="815" t="s">
        <v>53</v>
      </c>
      <c r="D11" s="815"/>
      <c r="E11" s="855" t="s">
        <v>1072</v>
      </c>
      <c r="F11" s="855"/>
      <c r="G11" s="855"/>
      <c r="H11" s="855"/>
      <c r="I11" s="855"/>
      <c r="J11" s="855"/>
      <c r="K11" s="855"/>
      <c r="L11" s="855"/>
      <c r="M11" s="855"/>
      <c r="N11" s="855"/>
      <c r="O11" s="855"/>
      <c r="P11" s="617"/>
      <c r="Q11" s="363"/>
      <c r="R11" s="831"/>
      <c r="S11" s="832"/>
      <c r="T11" s="372"/>
      <c r="U11" s="372"/>
      <c r="V11" s="386"/>
      <c r="W11" s="387"/>
      <c r="AA11" s="363"/>
    </row>
    <row r="12" spans="1:27" s="382" customFormat="1" ht="15" customHeight="1" x14ac:dyDescent="0.25">
      <c r="B12" s="614"/>
      <c r="C12" s="815" t="s">
        <v>54</v>
      </c>
      <c r="D12" s="815"/>
      <c r="E12" s="854">
        <v>6517387000134</v>
      </c>
      <c r="F12" s="854"/>
      <c r="G12" s="854"/>
      <c r="H12" s="854"/>
      <c r="I12" s="854"/>
      <c r="J12" s="619"/>
      <c r="K12" s="618"/>
      <c r="L12" s="858" t="s">
        <v>104</v>
      </c>
      <c r="M12" s="859"/>
      <c r="N12" s="853">
        <v>1071823</v>
      </c>
      <c r="O12" s="853"/>
      <c r="P12" s="617"/>
      <c r="Q12" s="363"/>
      <c r="R12" s="831"/>
      <c r="S12" s="831"/>
      <c r="T12" s="831"/>
      <c r="U12" s="831"/>
      <c r="V12" s="386"/>
      <c r="W12" s="389"/>
      <c r="X12" s="389"/>
      <c r="Y12" s="389"/>
      <c r="Z12" s="388"/>
      <c r="AA12" s="363"/>
    </row>
    <row r="13" spans="1:27" s="382" customFormat="1" ht="15" customHeight="1" x14ac:dyDescent="0.25">
      <c r="B13" s="614"/>
      <c r="C13" s="815" t="s">
        <v>47</v>
      </c>
      <c r="D13" s="815"/>
      <c r="E13" s="855" t="s">
        <v>1073</v>
      </c>
      <c r="F13" s="855"/>
      <c r="G13" s="855"/>
      <c r="H13" s="855"/>
      <c r="I13" s="855"/>
      <c r="J13" s="855"/>
      <c r="K13" s="855"/>
      <c r="L13" s="855"/>
      <c r="M13" s="855"/>
      <c r="N13" s="855"/>
      <c r="O13" s="855"/>
      <c r="P13" s="617"/>
      <c r="Q13" s="363"/>
      <c r="R13" s="831"/>
      <c r="S13" s="831"/>
      <c r="T13" s="831"/>
      <c r="U13" s="831"/>
      <c r="V13" s="386"/>
      <c r="W13" s="387"/>
      <c r="AA13" s="363"/>
    </row>
    <row r="14" spans="1:27" s="382" customFormat="1" ht="15" customHeight="1" x14ac:dyDescent="0.25">
      <c r="B14" s="614"/>
      <c r="C14" s="815" t="s">
        <v>48</v>
      </c>
      <c r="D14" s="815"/>
      <c r="E14" s="857">
        <v>0</v>
      </c>
      <c r="F14" s="857"/>
      <c r="G14" s="857"/>
      <c r="H14" s="619" t="s">
        <v>49</v>
      </c>
      <c r="I14" s="619"/>
      <c r="J14" s="856" t="s">
        <v>1074</v>
      </c>
      <c r="K14" s="856"/>
      <c r="L14" s="856"/>
      <c r="M14" s="856"/>
      <c r="N14" s="856"/>
      <c r="O14" s="856"/>
      <c r="P14" s="633"/>
      <c r="Q14" s="363"/>
      <c r="R14" s="19" t="s">
        <v>1033</v>
      </c>
      <c r="S14" s="604"/>
      <c r="T14" s="604"/>
      <c r="U14" s="605"/>
      <c r="V14" s="386"/>
      <c r="W14" s="387"/>
      <c r="X14" s="387"/>
      <c r="Y14" s="387"/>
      <c r="Z14" s="388"/>
      <c r="AA14" s="363"/>
    </row>
    <row r="15" spans="1:27" s="382" customFormat="1" ht="15" customHeight="1" x14ac:dyDescent="0.25">
      <c r="B15" s="614"/>
      <c r="C15" s="815" t="s">
        <v>1333</v>
      </c>
      <c r="D15" s="815"/>
      <c r="E15" s="709">
        <v>3</v>
      </c>
      <c r="F15" s="619"/>
      <c r="G15" s="619"/>
      <c r="H15" s="619"/>
      <c r="I15" s="619"/>
      <c r="J15" s="619"/>
      <c r="K15" s="618"/>
      <c r="L15" s="619"/>
      <c r="M15" s="618"/>
      <c r="N15" s="618"/>
      <c r="O15" s="618"/>
      <c r="P15" s="617"/>
      <c r="Q15" s="363"/>
      <c r="R15" s="603"/>
      <c r="S15" s="604"/>
      <c r="T15" s="604"/>
      <c r="U15" s="605"/>
      <c r="V15" s="386"/>
      <c r="W15" s="387"/>
      <c r="X15" s="387"/>
      <c r="Y15" s="387"/>
      <c r="Z15" s="388"/>
      <c r="AA15" s="363"/>
    </row>
    <row r="16" spans="1:27" s="382" customFormat="1" ht="15" customHeight="1" x14ac:dyDescent="0.25">
      <c r="B16" s="614"/>
      <c r="C16" s="815" t="s">
        <v>172</v>
      </c>
      <c r="D16" s="815"/>
      <c r="E16" s="709">
        <v>3</v>
      </c>
      <c r="F16" s="619"/>
      <c r="G16" s="619"/>
      <c r="H16" s="619"/>
      <c r="I16" s="619"/>
      <c r="J16" s="619"/>
      <c r="K16" s="618"/>
      <c r="L16" s="619"/>
      <c r="M16" s="618"/>
      <c r="N16" s="618"/>
      <c r="O16" s="618"/>
      <c r="P16" s="617"/>
      <c r="Q16" s="363"/>
      <c r="R16" s="603"/>
      <c r="S16" s="604"/>
      <c r="T16" s="604"/>
      <c r="U16" s="605"/>
      <c r="V16" s="386"/>
      <c r="W16" s="387"/>
      <c r="X16" s="387"/>
      <c r="Y16" s="387"/>
      <c r="Z16" s="388"/>
      <c r="AA16" s="363"/>
    </row>
    <row r="17" spans="2:28" s="382" customFormat="1" ht="15" customHeight="1" x14ac:dyDescent="0.25">
      <c r="B17" s="614"/>
      <c r="C17" s="815" t="s">
        <v>154</v>
      </c>
      <c r="D17" s="815"/>
      <c r="E17" s="631">
        <v>4</v>
      </c>
      <c r="F17" s="637"/>
      <c r="G17" s="637"/>
      <c r="H17" s="619"/>
      <c r="I17" s="619"/>
      <c r="J17" s="619"/>
      <c r="K17" s="618"/>
      <c r="L17" s="619"/>
      <c r="M17" s="618"/>
      <c r="N17" s="14"/>
      <c r="O17" s="14"/>
      <c r="P17" s="617"/>
      <c r="Q17" s="363"/>
      <c r="R17" s="496"/>
      <c r="S17" s="496"/>
      <c r="T17" s="496"/>
      <c r="U17" s="496"/>
      <c r="V17" s="386"/>
      <c r="W17" s="387"/>
      <c r="X17" s="387"/>
      <c r="Y17" s="387"/>
      <c r="Z17" s="388"/>
      <c r="AA17" s="363"/>
    </row>
    <row r="18" spans="2:28" s="382" customFormat="1" ht="15" customHeight="1" x14ac:dyDescent="0.25">
      <c r="B18" s="614"/>
      <c r="C18" s="815" t="s">
        <v>55</v>
      </c>
      <c r="D18" s="815"/>
      <c r="E18" s="629">
        <v>6</v>
      </c>
      <c r="F18" s="631"/>
      <c r="G18" s="631"/>
      <c r="H18" s="631"/>
      <c r="I18" s="630"/>
      <c r="J18" s="630"/>
      <c r="K18" s="630"/>
      <c r="L18" s="630"/>
      <c r="M18" s="630"/>
      <c r="N18" s="15"/>
      <c r="O18" s="15">
        <v>203.85</v>
      </c>
      <c r="P18" s="617"/>
      <c r="Q18" s="363"/>
      <c r="R18" s="496"/>
      <c r="S18" s="496"/>
      <c r="T18" s="496"/>
      <c r="U18" s="496"/>
      <c r="V18" s="386"/>
      <c r="W18" s="387"/>
      <c r="X18" s="387"/>
      <c r="Y18" s="387"/>
      <c r="Z18" s="388"/>
      <c r="AA18" s="363"/>
    </row>
    <row r="19" spans="2:28" s="382" customFormat="1" ht="15" customHeight="1" x14ac:dyDescent="0.25">
      <c r="B19" s="614"/>
      <c r="C19" s="638"/>
      <c r="D19" s="638"/>
      <c r="E19" s="639"/>
      <c r="F19" s="639"/>
      <c r="G19" s="639"/>
      <c r="H19" s="639"/>
      <c r="I19" s="639"/>
      <c r="J19" s="639"/>
      <c r="K19" s="639"/>
      <c r="L19" s="639"/>
      <c r="M19" s="639"/>
      <c r="N19" s="16"/>
      <c r="O19" s="16"/>
      <c r="P19" s="617"/>
      <c r="Q19" s="363"/>
      <c r="R19" s="606" t="s">
        <v>679</v>
      </c>
      <c r="S19" s="606"/>
      <c r="T19" s="606"/>
      <c r="U19" s="606"/>
      <c r="V19" s="386"/>
      <c r="W19" s="387"/>
      <c r="X19" s="387"/>
      <c r="Y19" s="387"/>
      <c r="Z19" s="388"/>
      <c r="AA19" s="363"/>
    </row>
    <row r="20" spans="2:28" s="382" customFormat="1" ht="15" customHeight="1" x14ac:dyDescent="0.25">
      <c r="B20" s="614"/>
      <c r="C20" s="851" t="s">
        <v>82</v>
      </c>
      <c r="D20" s="851"/>
      <c r="E20" s="851"/>
      <c r="F20" s="616"/>
      <c r="G20" s="643" t="s">
        <v>56</v>
      </c>
      <c r="H20" s="680">
        <f>Apoio!I35</f>
        <v>308.04024884085311</v>
      </c>
      <c r="I20" s="626" t="s">
        <v>32</v>
      </c>
      <c r="J20" s="616"/>
      <c r="K20" s="643" t="s">
        <v>57</v>
      </c>
      <c r="L20" s="681">
        <f>Apoio!I36</f>
        <v>972.17356799999993</v>
      </c>
      <c r="M20" s="626" t="s">
        <v>33</v>
      </c>
      <c r="N20" s="17"/>
      <c r="O20" s="10"/>
      <c r="P20" s="642" t="s">
        <v>58</v>
      </c>
      <c r="Q20" s="363"/>
      <c r="R20" s="555"/>
      <c r="S20" s="555"/>
      <c r="T20" s="555"/>
      <c r="U20" s="555"/>
      <c r="V20" s="386"/>
      <c r="W20" s="389"/>
      <c r="X20" s="387"/>
      <c r="Y20" s="389"/>
      <c r="Z20" s="388"/>
      <c r="AA20" s="388"/>
      <c r="AB20" s="363"/>
    </row>
    <row r="21" spans="2:28" s="382" customFormat="1" ht="15" customHeight="1" x14ac:dyDescent="0.25">
      <c r="B21" s="614"/>
      <c r="C21" s="852" t="str">
        <f>IFERROR(CONCATENATE("Valores definidos pela ",VLOOKUP(E7,Apoio!R13:AB112,11),", para FC = ",TEXT(N7,"0%")),"SELECIONE O ANO ")</f>
        <v>Valores definidos pela Resolução ANEEL Nº 2.980de 30 de Novembro de 2021, para FC = 75%</v>
      </c>
      <c r="D21" s="852"/>
      <c r="E21" s="852"/>
      <c r="F21" s="852"/>
      <c r="G21" s="852"/>
      <c r="H21" s="852"/>
      <c r="I21" s="852"/>
      <c r="J21" s="852"/>
      <c r="K21" s="852"/>
      <c r="L21" s="852"/>
      <c r="M21" s="852"/>
      <c r="N21" s="10"/>
      <c r="O21" s="10"/>
      <c r="P21" s="635"/>
      <c r="Q21" s="363"/>
      <c r="R21" s="555"/>
      <c r="S21" s="555"/>
      <c r="T21" s="555"/>
      <c r="U21" s="555"/>
      <c r="V21" s="386"/>
      <c r="W21" s="387"/>
      <c r="X21" s="387"/>
      <c r="AB21" s="363"/>
    </row>
    <row r="22" spans="2:28" s="382" customFormat="1" ht="15" customHeight="1" x14ac:dyDescent="0.25">
      <c r="B22" s="614"/>
      <c r="C22" s="645" t="s">
        <v>132</v>
      </c>
      <c r="D22" s="645"/>
      <c r="E22" s="640"/>
      <c r="F22" s="640"/>
      <c r="G22" s="640"/>
      <c r="H22" s="640"/>
      <c r="I22" s="640"/>
      <c r="J22" s="646"/>
      <c r="K22" s="640"/>
      <c r="L22" s="640"/>
      <c r="M22" s="640"/>
      <c r="N22" s="616"/>
      <c r="O22" s="616"/>
      <c r="P22" s="617"/>
      <c r="Q22" s="367"/>
      <c r="R22" s="554" t="s">
        <v>681</v>
      </c>
      <c r="S22" s="554"/>
      <c r="T22" s="554"/>
      <c r="U22" s="554"/>
      <c r="V22" s="386"/>
      <c r="W22" s="387"/>
      <c r="X22" s="387"/>
      <c r="Y22" s="387"/>
      <c r="Z22" s="390"/>
      <c r="AA22" s="391"/>
    </row>
    <row r="23" spans="2:28" s="382" customFormat="1" ht="15" customHeight="1" x14ac:dyDescent="0.25">
      <c r="B23" s="614"/>
      <c r="C23" s="645" t="s">
        <v>133</v>
      </c>
      <c r="D23" s="645"/>
      <c r="E23" s="640"/>
      <c r="F23" s="640"/>
      <c r="G23" s="640"/>
      <c r="H23" s="640"/>
      <c r="I23" s="640"/>
      <c r="J23" s="646"/>
      <c r="K23" s="646"/>
      <c r="L23" s="640"/>
      <c r="M23" s="640"/>
      <c r="N23" s="616"/>
      <c r="O23" s="616"/>
      <c r="P23" s="617"/>
      <c r="Q23" s="363"/>
      <c r="R23" s="555"/>
      <c r="S23" s="555"/>
      <c r="T23" s="555"/>
      <c r="U23" s="555"/>
      <c r="V23" s="386"/>
      <c r="W23" s="387"/>
      <c r="X23" s="387"/>
      <c r="Y23" s="387"/>
      <c r="Z23" s="390"/>
      <c r="AA23" s="391"/>
    </row>
    <row r="24" spans="2:28" s="382" customFormat="1" ht="15" customHeight="1" x14ac:dyDescent="0.25">
      <c r="B24" s="614"/>
      <c r="C24" s="616" t="s">
        <v>1338</v>
      </c>
      <c r="D24" s="616"/>
      <c r="E24" s="616"/>
      <c r="F24" s="616"/>
      <c r="G24" s="616"/>
      <c r="H24" s="616"/>
      <c r="I24" s="616"/>
      <c r="J24" s="644"/>
      <c r="K24" s="616"/>
      <c r="L24" s="616"/>
      <c r="M24" s="616"/>
      <c r="N24" s="616"/>
      <c r="O24" s="616"/>
      <c r="P24" s="617"/>
      <c r="Q24" s="363"/>
      <c r="R24" s="555"/>
      <c r="S24" s="555"/>
      <c r="T24" s="555"/>
      <c r="U24" s="555"/>
      <c r="V24" s="386"/>
      <c r="W24" s="386"/>
      <c r="X24" s="387"/>
      <c r="Y24" s="386"/>
      <c r="Z24" s="386"/>
    </row>
    <row r="25" spans="2:28" s="382" customFormat="1" ht="15" customHeight="1" x14ac:dyDescent="0.25">
      <c r="B25" s="614"/>
      <c r="C25" s="616" t="s">
        <v>173</v>
      </c>
      <c r="D25" s="616"/>
      <c r="E25" s="616"/>
      <c r="F25" s="616"/>
      <c r="G25" s="616"/>
      <c r="H25" s="616"/>
      <c r="I25" s="616"/>
      <c r="J25" s="644"/>
      <c r="K25" s="616"/>
      <c r="L25" s="646"/>
      <c r="M25" s="616"/>
      <c r="N25" s="616"/>
      <c r="O25" s="616"/>
      <c r="P25" s="617"/>
      <c r="Q25" s="363"/>
      <c r="R25" s="554" t="s">
        <v>682</v>
      </c>
      <c r="S25" s="704"/>
      <c r="T25" s="704"/>
      <c r="U25" s="704"/>
      <c r="V25" s="386"/>
      <c r="W25" s="386"/>
      <c r="X25" s="387"/>
      <c r="Y25" s="386"/>
      <c r="Z25" s="386"/>
    </row>
    <row r="26" spans="2:28" s="382" customFormat="1" ht="15" customHeight="1" x14ac:dyDescent="0.25">
      <c r="B26" s="614"/>
      <c r="C26" s="616" t="s">
        <v>174</v>
      </c>
      <c r="D26" s="616"/>
      <c r="E26" s="616"/>
      <c r="F26" s="616"/>
      <c r="G26" s="616"/>
      <c r="H26" s="616"/>
      <c r="I26" s="616"/>
      <c r="J26" s="644"/>
      <c r="K26" s="616"/>
      <c r="L26" s="616"/>
      <c r="M26" s="616"/>
      <c r="N26" s="616"/>
      <c r="O26" s="616"/>
      <c r="P26" s="617"/>
      <c r="Q26" s="363"/>
      <c r="R26" s="13"/>
      <c r="S26" s="13"/>
      <c r="T26" s="13"/>
      <c r="U26" s="13"/>
      <c r="V26" s="386"/>
      <c r="W26" s="386"/>
      <c r="X26" s="387"/>
      <c r="Y26" s="386"/>
    </row>
    <row r="27" spans="2:28" s="368" customFormat="1" ht="3" customHeight="1" x14ac:dyDescent="0.25">
      <c r="B27" s="649"/>
      <c r="C27" s="647"/>
      <c r="D27" s="641"/>
      <c r="E27" s="641"/>
      <c r="F27" s="641"/>
      <c r="G27" s="641"/>
      <c r="H27" s="641"/>
      <c r="I27" s="641"/>
      <c r="J27" s="641"/>
      <c r="K27" s="648"/>
      <c r="L27" s="641"/>
      <c r="M27" s="641"/>
      <c r="N27" s="641"/>
      <c r="O27" s="641"/>
      <c r="P27" s="636"/>
      <c r="Q27" s="362"/>
      <c r="R27" s="613"/>
      <c r="S27" s="613"/>
      <c r="T27" s="613"/>
      <c r="U27" s="613"/>
      <c r="V27" s="385"/>
      <c r="W27" s="385"/>
      <c r="X27" s="387"/>
      <c r="Y27" s="385"/>
    </row>
    <row r="28" spans="2:28" s="382" customFormat="1" ht="3" customHeight="1" x14ac:dyDescent="0.25">
      <c r="Q28" s="363"/>
      <c r="R28" s="13"/>
      <c r="S28" s="13"/>
      <c r="T28" s="13"/>
      <c r="U28" s="13"/>
      <c r="V28" s="386"/>
      <c r="W28" s="386"/>
      <c r="X28" s="387"/>
      <c r="Y28" s="386"/>
    </row>
    <row r="29" spans="2:28" s="382" customFormat="1" ht="15" x14ac:dyDescent="0.25">
      <c r="B29" s="650"/>
      <c r="C29" s="651" t="s">
        <v>59</v>
      </c>
      <c r="D29" s="652"/>
      <c r="E29" s="651"/>
      <c r="F29" s="653"/>
      <c r="G29" s="653"/>
      <c r="H29" s="653"/>
      <c r="I29" s="653"/>
      <c r="J29" s="653"/>
      <c r="K29" s="656"/>
      <c r="L29" s="657" t="s">
        <v>138</v>
      </c>
      <c r="M29" s="657" t="s">
        <v>137</v>
      </c>
      <c r="N29" s="652"/>
      <c r="O29" s="653"/>
      <c r="P29" s="654"/>
      <c r="Q29" s="363"/>
      <c r="R29" s="13"/>
      <c r="S29" s="13"/>
      <c r="T29" s="13"/>
      <c r="U29" s="13"/>
      <c r="V29" s="386"/>
      <c r="W29" s="386"/>
      <c r="X29" s="386"/>
      <c r="Y29" s="386"/>
      <c r="Z29" s="386"/>
    </row>
    <row r="30" spans="2:28" s="382" customFormat="1" ht="15.75" customHeight="1" x14ac:dyDescent="0.25">
      <c r="B30" s="614"/>
      <c r="C30" s="655" t="s">
        <v>60</v>
      </c>
      <c r="D30" s="616"/>
      <c r="E30" s="615"/>
      <c r="F30" s="640"/>
      <c r="G30" s="640"/>
      <c r="H30" s="640"/>
      <c r="I30" s="640"/>
      <c r="J30" s="640"/>
      <c r="K30" s="646"/>
      <c r="L30" s="640"/>
      <c r="M30" s="640"/>
      <c r="N30" s="640"/>
      <c r="O30" s="640"/>
      <c r="P30" s="634"/>
      <c r="Q30" s="366"/>
      <c r="R30" s="835" t="s">
        <v>683</v>
      </c>
      <c r="S30" s="835"/>
      <c r="T30" s="835"/>
      <c r="U30" s="835"/>
      <c r="V30" s="386"/>
      <c r="W30" s="386"/>
      <c r="X30" s="386"/>
      <c r="Y30" s="386"/>
      <c r="Z30" s="386"/>
    </row>
    <row r="31" spans="2:28" ht="25.5" x14ac:dyDescent="0.25">
      <c r="B31" s="658"/>
      <c r="C31" s="675" t="str">
        <f>IF(RCB!G5&gt;0,Apresentação!$L$29,Apresentação!$M$29)</f>
        <v>þ</v>
      </c>
      <c r="D31" s="676" t="s">
        <v>61</v>
      </c>
      <c r="E31" s="675"/>
      <c r="F31" s="677"/>
      <c r="G31" s="675" t="str">
        <f>IF(RCB!G7&gt;0,Apresentação!$L$29,Apresentação!$M$29)</f>
        <v>o</v>
      </c>
      <c r="H31" s="676" t="s">
        <v>41</v>
      </c>
      <c r="I31" s="678"/>
      <c r="J31" s="677"/>
      <c r="K31" s="675" t="str">
        <f>IF(RCB!G9&gt;0,Apresentação!$L$29,Apresentação!$M$29)</f>
        <v>o</v>
      </c>
      <c r="L31" s="676" t="s">
        <v>205</v>
      </c>
      <c r="M31" s="677"/>
      <c r="N31" s="675" t="str">
        <f>IF(RCB!G11&gt;0,Apresentação!$L$29,Apresentação!$M$29)</f>
        <v>o</v>
      </c>
      <c r="O31" s="676" t="s">
        <v>134</v>
      </c>
      <c r="P31" s="660"/>
      <c r="Q31" s="369"/>
      <c r="R31" s="494"/>
      <c r="S31" s="494"/>
      <c r="T31" s="494"/>
      <c r="U31" s="494"/>
    </row>
    <row r="32" spans="2:28" ht="25.5" x14ac:dyDescent="0.2">
      <c r="B32" s="658"/>
      <c r="C32" s="675" t="str">
        <f>IF(RCB!G6&gt;0,Apresentação!$L$29,Apresentação!$M$29)</f>
        <v>o</v>
      </c>
      <c r="D32" s="676" t="s">
        <v>721</v>
      </c>
      <c r="E32" s="675"/>
      <c r="F32" s="677"/>
      <c r="G32" s="675" t="str">
        <f>IF(RCB!G8&gt;0,Apresentação!$L$29,Apresentação!$M$29)</f>
        <v>o</v>
      </c>
      <c r="H32" s="676" t="s">
        <v>204</v>
      </c>
      <c r="I32" s="678"/>
      <c r="J32" s="677"/>
      <c r="K32" s="675" t="str">
        <f>IF(RCB!G10&gt;0,Apresentação!$L$29,Apresentação!$M$29)</f>
        <v>o</v>
      </c>
      <c r="L32" s="676" t="s">
        <v>136</v>
      </c>
      <c r="M32" s="679"/>
      <c r="N32" s="675" t="str">
        <f>IF(RCB!G12&gt;0,Apresentação!$L$29,Apresentação!$M$29)</f>
        <v>þ</v>
      </c>
      <c r="O32" s="676" t="s">
        <v>994</v>
      </c>
      <c r="P32" s="660"/>
      <c r="Q32" s="369"/>
      <c r="R32" s="834" t="s">
        <v>684</v>
      </c>
      <c r="S32" s="834"/>
      <c r="T32" s="834"/>
      <c r="U32" s="834"/>
    </row>
    <row r="33" spans="2:21" ht="4.5" customHeight="1" x14ac:dyDescent="0.25">
      <c r="B33" s="658"/>
      <c r="C33" s="662"/>
      <c r="D33" s="663"/>
      <c r="E33" s="664"/>
      <c r="F33" s="664"/>
      <c r="G33" s="662"/>
      <c r="H33" s="663"/>
      <c r="I33" s="665"/>
      <c r="J33" s="664"/>
      <c r="K33" s="662"/>
      <c r="L33" s="663"/>
      <c r="M33" s="666"/>
      <c r="N33" s="662"/>
      <c r="O33" s="667"/>
      <c r="P33" s="660"/>
      <c r="Q33" s="369"/>
      <c r="R33" s="495"/>
      <c r="S33" s="495"/>
      <c r="T33" s="495"/>
      <c r="U33" s="495"/>
    </row>
    <row r="34" spans="2:21" ht="15" customHeight="1" x14ac:dyDescent="0.25">
      <c r="B34" s="658"/>
      <c r="C34" s="841" t="s">
        <v>145</v>
      </c>
      <c r="D34" s="842"/>
      <c r="E34" s="842"/>
      <c r="F34" s="843"/>
      <c r="G34" s="847">
        <f>'Custo Contábil'!D20</f>
        <v>199998</v>
      </c>
      <c r="H34" s="848"/>
      <c r="I34" s="672"/>
      <c r="J34" s="841" t="s">
        <v>1083</v>
      </c>
      <c r="K34" s="842"/>
      <c r="L34" s="842"/>
      <c r="M34" s="843"/>
      <c r="N34" s="847">
        <f>'Custo Contábil'!F20</f>
        <v>199998.00000000003</v>
      </c>
      <c r="O34" s="848"/>
      <c r="P34" s="660"/>
      <c r="Q34" s="369"/>
      <c r="R34" s="495"/>
      <c r="S34" s="495"/>
      <c r="T34" s="495"/>
      <c r="U34" s="495"/>
    </row>
    <row r="35" spans="2:21" ht="15" customHeight="1" x14ac:dyDescent="0.2">
      <c r="B35" s="658"/>
      <c r="C35" s="844"/>
      <c r="D35" s="845"/>
      <c r="E35" s="845"/>
      <c r="F35" s="846"/>
      <c r="G35" s="849"/>
      <c r="H35" s="850"/>
      <c r="I35" s="672"/>
      <c r="J35" s="844"/>
      <c r="K35" s="845"/>
      <c r="L35" s="845"/>
      <c r="M35" s="846"/>
      <c r="N35" s="849"/>
      <c r="O35" s="850"/>
      <c r="P35" s="660"/>
      <c r="Q35" s="369"/>
      <c r="R35" s="834" t="s">
        <v>688</v>
      </c>
      <c r="S35" s="834"/>
      <c r="T35" s="834"/>
      <c r="U35" s="834"/>
    </row>
    <row r="36" spans="2:21" ht="3" customHeight="1" x14ac:dyDescent="0.2">
      <c r="B36" s="658"/>
      <c r="C36" s="668"/>
      <c r="D36" s="669"/>
      <c r="E36" s="670"/>
      <c r="F36" s="670"/>
      <c r="G36" s="668"/>
      <c r="H36" s="669"/>
      <c r="I36" s="673"/>
      <c r="J36" s="670"/>
      <c r="K36" s="668"/>
      <c r="L36" s="669"/>
      <c r="M36" s="671"/>
      <c r="N36" s="668"/>
      <c r="O36" s="669"/>
      <c r="P36" s="660"/>
      <c r="Q36" s="369"/>
      <c r="R36" s="834"/>
      <c r="S36" s="834"/>
      <c r="T36" s="834"/>
      <c r="U36" s="834"/>
    </row>
    <row r="37" spans="2:21" ht="18" customHeight="1" x14ac:dyDescent="0.2">
      <c r="B37" s="658"/>
      <c r="C37" s="861" t="s">
        <v>209</v>
      </c>
      <c r="D37" s="862"/>
      <c r="E37" s="862"/>
      <c r="F37" s="863"/>
      <c r="G37" s="864">
        <f>'Custo Contábil'!H20</f>
        <v>0</v>
      </c>
      <c r="H37" s="865"/>
      <c r="I37" s="673"/>
      <c r="J37" s="861" t="s">
        <v>210</v>
      </c>
      <c r="K37" s="862"/>
      <c r="L37" s="862"/>
      <c r="M37" s="863"/>
      <c r="N37" s="864">
        <f>'Custo Contábil'!G20</f>
        <v>0</v>
      </c>
      <c r="O37" s="865"/>
      <c r="P37" s="660"/>
      <c r="Q37" s="369"/>
      <c r="R37" s="834"/>
      <c r="S37" s="834"/>
      <c r="T37" s="834"/>
      <c r="U37" s="834"/>
    </row>
    <row r="38" spans="2:21" ht="3" customHeight="1" x14ac:dyDescent="0.2">
      <c r="B38" s="658"/>
      <c r="C38" s="668"/>
      <c r="D38" s="669"/>
      <c r="E38" s="670"/>
      <c r="F38" s="670"/>
      <c r="G38" s="668"/>
      <c r="H38" s="669"/>
      <c r="I38" s="673"/>
      <c r="J38" s="670"/>
      <c r="K38" s="668"/>
      <c r="L38" s="669"/>
      <c r="M38" s="671"/>
      <c r="N38" s="668"/>
      <c r="O38" s="669"/>
      <c r="P38" s="660"/>
      <c r="Q38" s="369"/>
      <c r="R38" s="603"/>
      <c r="S38" s="604"/>
      <c r="T38" s="604"/>
      <c r="U38" s="605"/>
    </row>
    <row r="39" spans="2:21" ht="18" customHeight="1" x14ac:dyDescent="0.2">
      <c r="B39" s="658"/>
      <c r="C39" s="869" t="s">
        <v>67</v>
      </c>
      <c r="D39" s="870"/>
      <c r="E39" s="870"/>
      <c r="F39" s="871"/>
      <c r="G39" s="875">
        <f>RCB!C13</f>
        <v>63.967917</v>
      </c>
      <c r="H39" s="876"/>
      <c r="I39" s="673"/>
      <c r="J39" s="869" t="s">
        <v>897</v>
      </c>
      <c r="K39" s="870"/>
      <c r="L39" s="870"/>
      <c r="M39" s="871"/>
      <c r="N39" s="872">
        <f>ContrDesemp!H16</f>
        <v>17.268516061901831</v>
      </c>
      <c r="O39" s="873"/>
      <c r="P39" s="660"/>
      <c r="Q39" s="369"/>
      <c r="R39" s="603"/>
      <c r="S39" s="604"/>
      <c r="T39" s="604"/>
      <c r="U39" s="605"/>
    </row>
    <row r="40" spans="2:21" ht="18" customHeight="1" x14ac:dyDescent="0.2">
      <c r="B40" s="658"/>
      <c r="C40" s="866" t="s">
        <v>83</v>
      </c>
      <c r="D40" s="867"/>
      <c r="E40" s="867"/>
      <c r="F40" s="868"/>
      <c r="G40" s="877">
        <f>RCB!D13</f>
        <v>0.54399999999999993</v>
      </c>
      <c r="H40" s="878"/>
      <c r="I40" s="673"/>
      <c r="J40" s="866" t="s">
        <v>160</v>
      </c>
      <c r="K40" s="867"/>
      <c r="L40" s="867"/>
      <c r="M40" s="868"/>
      <c r="N40" s="874">
        <f>ContrDesemp!H19</f>
        <v>0</v>
      </c>
      <c r="O40" s="850"/>
      <c r="P40" s="660"/>
      <c r="Q40" s="369"/>
      <c r="R40" s="603" t="s">
        <v>859</v>
      </c>
      <c r="S40" s="604"/>
      <c r="T40" s="604"/>
      <c r="U40" s="605"/>
    </row>
    <row r="41" spans="2:21" ht="3" customHeight="1" x14ac:dyDescent="0.2">
      <c r="B41" s="658"/>
      <c r="C41" s="668"/>
      <c r="D41" s="669"/>
      <c r="E41" s="670"/>
      <c r="F41" s="670"/>
      <c r="G41" s="668"/>
      <c r="H41" s="669"/>
      <c r="I41" s="673"/>
      <c r="J41" s="670"/>
      <c r="K41" s="668"/>
      <c r="L41" s="669"/>
      <c r="M41" s="671"/>
      <c r="N41" s="668"/>
      <c r="O41" s="669"/>
      <c r="P41" s="660"/>
      <c r="Q41" s="369"/>
      <c r="R41" s="497"/>
      <c r="S41" s="497"/>
      <c r="T41" s="497"/>
      <c r="U41" s="497"/>
    </row>
    <row r="42" spans="2:21" ht="14.25" customHeight="1" x14ac:dyDescent="0.2">
      <c r="B42" s="658"/>
      <c r="C42" s="822" t="s">
        <v>220</v>
      </c>
      <c r="D42" s="823"/>
      <c r="E42" s="824"/>
      <c r="F42" s="821" t="s">
        <v>896</v>
      </c>
      <c r="G42" s="821"/>
      <c r="H42" s="481" t="s">
        <v>895</v>
      </c>
      <c r="I42" s="673"/>
      <c r="J42" s="822" t="s">
        <v>221</v>
      </c>
      <c r="K42" s="823"/>
      <c r="L42" s="824"/>
      <c r="M42" s="821" t="s">
        <v>896</v>
      </c>
      <c r="N42" s="821"/>
      <c r="O42" s="481" t="s">
        <v>895</v>
      </c>
      <c r="P42" s="660"/>
      <c r="Q42" s="369"/>
      <c r="R42" s="603"/>
      <c r="S42" s="604"/>
      <c r="T42" s="604"/>
      <c r="U42" s="605"/>
    </row>
    <row r="43" spans="2:21" ht="24.75" customHeight="1" x14ac:dyDescent="0.25">
      <c r="B43" s="658"/>
      <c r="C43" s="825"/>
      <c r="D43" s="826"/>
      <c r="E43" s="827"/>
      <c r="F43" s="829">
        <f>RCB!H5</f>
        <v>0.55580680164308005</v>
      </c>
      <c r="G43" s="828"/>
      <c r="H43" s="682">
        <f>RCB!H25</f>
        <v>0</v>
      </c>
      <c r="I43" s="673"/>
      <c r="J43" s="825"/>
      <c r="K43" s="826"/>
      <c r="L43" s="827"/>
      <c r="M43" s="829">
        <f>RCB!K5</f>
        <v>0.55580680164308005</v>
      </c>
      <c r="N43" s="828"/>
      <c r="O43" s="682">
        <f>RCB!K25</f>
        <v>0</v>
      </c>
      <c r="P43" s="660"/>
      <c r="Q43" s="369"/>
      <c r="R43" s="703" t="s">
        <v>1032</v>
      </c>
      <c r="S43" s="496"/>
      <c r="T43" s="496"/>
      <c r="U43" s="496"/>
    </row>
    <row r="44" spans="2:21" ht="3" customHeight="1" x14ac:dyDescent="0.2">
      <c r="B44" s="658"/>
      <c r="C44" s="668"/>
      <c r="D44" s="669"/>
      <c r="E44" s="670"/>
      <c r="F44" s="670"/>
      <c r="G44" s="668"/>
      <c r="H44" s="669"/>
      <c r="I44" s="673"/>
      <c r="J44" s="670"/>
      <c r="K44" s="668"/>
      <c r="L44" s="669"/>
      <c r="M44" s="671"/>
      <c r="N44" s="668"/>
      <c r="O44" s="668"/>
      <c r="P44" s="660"/>
      <c r="Q44" s="369"/>
      <c r="R44" s="603"/>
      <c r="S44" s="604"/>
      <c r="T44" s="604"/>
      <c r="U44" s="605"/>
    </row>
    <row r="45" spans="2:21" ht="14.25" customHeight="1" x14ac:dyDescent="0.2">
      <c r="B45" s="658"/>
      <c r="C45" s="822" t="s">
        <v>32</v>
      </c>
      <c r="D45" s="823"/>
      <c r="E45" s="824"/>
      <c r="F45" s="821" t="s">
        <v>706</v>
      </c>
      <c r="G45" s="821"/>
      <c r="H45" s="481" t="s">
        <v>786</v>
      </c>
      <c r="I45" s="673"/>
      <c r="J45" s="822" t="s">
        <v>219</v>
      </c>
      <c r="K45" s="823"/>
      <c r="L45" s="824"/>
      <c r="M45" s="821" t="s">
        <v>706</v>
      </c>
      <c r="N45" s="821"/>
      <c r="O45" s="481" t="s">
        <v>786</v>
      </c>
      <c r="P45" s="660"/>
      <c r="Q45" s="369"/>
      <c r="R45" s="603"/>
      <c r="S45" s="604"/>
      <c r="T45" s="604"/>
      <c r="U45" s="605"/>
    </row>
    <row r="46" spans="2:21" ht="24.75" customHeight="1" x14ac:dyDescent="0.2">
      <c r="B46" s="658"/>
      <c r="C46" s="825"/>
      <c r="D46" s="826"/>
      <c r="E46" s="827"/>
      <c r="F46" s="828">
        <f>RCB!D19</f>
        <v>345.22</v>
      </c>
      <c r="G46" s="828"/>
      <c r="H46" s="682">
        <f>RCB!F19</f>
        <v>345.22</v>
      </c>
      <c r="I46" s="673"/>
      <c r="J46" s="825"/>
      <c r="K46" s="826"/>
      <c r="L46" s="827"/>
      <c r="M46" s="828">
        <f>RCB!D20</f>
        <v>40594.03</v>
      </c>
      <c r="N46" s="828"/>
      <c r="O46" s="682">
        <f>RCB!F20</f>
        <v>40594.03</v>
      </c>
      <c r="P46" s="660"/>
      <c r="Q46" s="370"/>
      <c r="R46" s="603"/>
      <c r="S46" s="604"/>
      <c r="T46" s="604"/>
      <c r="U46" s="605"/>
    </row>
    <row r="47" spans="2:21" ht="3" customHeight="1" x14ac:dyDescent="0.25">
      <c r="B47" s="659"/>
      <c r="C47" s="700"/>
      <c r="D47" s="701"/>
      <c r="E47" s="701"/>
      <c r="F47" s="701"/>
      <c r="G47" s="701"/>
      <c r="H47" s="701"/>
      <c r="I47" s="701"/>
      <c r="J47" s="702"/>
      <c r="K47" s="700"/>
      <c r="L47" s="700"/>
      <c r="M47" s="702"/>
      <c r="N47" s="702"/>
      <c r="O47" s="674"/>
      <c r="P47" s="661"/>
      <c r="Q47" s="370"/>
      <c r="R47" s="833"/>
      <c r="S47" s="833"/>
      <c r="T47" s="833"/>
      <c r="U47" s="833"/>
    </row>
    <row r="48" spans="2:21" ht="20.25" customHeight="1" x14ac:dyDescent="0.2">
      <c r="B48" s="860" t="s">
        <v>1081</v>
      </c>
      <c r="C48" s="860"/>
      <c r="D48" s="860"/>
      <c r="E48" s="860"/>
      <c r="F48" s="860"/>
      <c r="G48" s="860"/>
      <c r="H48" s="860"/>
      <c r="I48" s="860"/>
      <c r="J48" s="860"/>
      <c r="K48" s="860"/>
      <c r="L48" s="860"/>
      <c r="M48" s="860"/>
      <c r="N48" s="860"/>
      <c r="O48" s="860"/>
      <c r="P48" s="860"/>
      <c r="Q48" s="371"/>
    </row>
    <row r="49" spans="1:17" ht="21" customHeight="1" x14ac:dyDescent="0.3">
      <c r="B49" s="460"/>
      <c r="C49" s="25" t="s">
        <v>211</v>
      </c>
      <c r="D49" s="20"/>
      <c r="E49" s="20"/>
      <c r="F49" s="21"/>
      <c r="G49" s="21"/>
      <c r="H49" s="21"/>
      <c r="I49" s="21"/>
      <c r="J49" s="21"/>
      <c r="K49" s="22"/>
      <c r="L49" s="20"/>
      <c r="M49" s="20"/>
      <c r="N49" s="20"/>
      <c r="O49" s="21"/>
      <c r="P49" s="461"/>
      <c r="Q49" s="370"/>
    </row>
    <row r="50" spans="1:17" ht="39.75" customHeight="1" x14ac:dyDescent="0.2">
      <c r="B50" s="1"/>
      <c r="C50" s="817" t="s">
        <v>163</v>
      </c>
      <c r="D50" s="818"/>
      <c r="E50" s="818"/>
      <c r="F50" s="818"/>
      <c r="G50" s="818"/>
      <c r="H50" s="489">
        <f>ContrDesemp!H17</f>
        <v>0</v>
      </c>
      <c r="I50" s="23"/>
      <c r="J50" s="819" t="s">
        <v>892</v>
      </c>
      <c r="K50" s="820"/>
      <c r="L50" s="820"/>
      <c r="M50" s="820"/>
      <c r="N50" s="820"/>
      <c r="O50" s="24">
        <f>ContrDesemp!D19</f>
        <v>0</v>
      </c>
      <c r="P50" s="4"/>
      <c r="Q50" s="370"/>
    </row>
    <row r="51" spans="1:17" ht="15.75" x14ac:dyDescent="0.2">
      <c r="B51" s="2"/>
      <c r="C51" s="5"/>
      <c r="D51" s="6"/>
      <c r="E51" s="6"/>
      <c r="F51" s="6"/>
      <c r="G51" s="6"/>
      <c r="H51" s="6"/>
      <c r="I51" s="6"/>
      <c r="J51" s="7"/>
      <c r="K51" s="8"/>
      <c r="L51" s="8"/>
      <c r="M51" s="7"/>
      <c r="N51" s="7"/>
      <c r="O51" s="9"/>
      <c r="P51" s="3"/>
    </row>
    <row r="52" spans="1:17" x14ac:dyDescent="0.2">
      <c r="A52" s="392"/>
    </row>
    <row r="53" spans="1:17" x14ac:dyDescent="0.2">
      <c r="B53" s="392"/>
      <c r="C53" s="395" t="s">
        <v>212</v>
      </c>
      <c r="D53" s="395">
        <f>IF(Apresentação!M4&gt;3,0.8,0.9)</f>
        <v>0.8</v>
      </c>
    </row>
    <row r="73" spans="9:15" x14ac:dyDescent="0.2">
      <c r="I73" s="361"/>
      <c r="J73" s="361"/>
      <c r="K73" s="361"/>
      <c r="L73" s="361"/>
      <c r="M73" s="361"/>
      <c r="N73" s="361"/>
      <c r="O73" s="361"/>
    </row>
    <row r="74" spans="9:15" ht="12.75" customHeight="1" x14ac:dyDescent="0.2">
      <c r="I74" s="361"/>
      <c r="J74" s="361"/>
      <c r="K74" s="361"/>
      <c r="L74" s="361"/>
      <c r="M74" s="361"/>
      <c r="N74" s="361"/>
      <c r="O74" s="361"/>
    </row>
    <row r="75" spans="9:15" ht="12.75" customHeight="1" x14ac:dyDescent="0.2">
      <c r="I75" s="361"/>
      <c r="J75" s="361"/>
      <c r="K75" s="361"/>
      <c r="L75" s="361"/>
      <c r="M75" s="361"/>
      <c r="N75" s="361"/>
      <c r="O75" s="361"/>
    </row>
    <row r="76" spans="9:15" ht="12.75" customHeight="1" x14ac:dyDescent="0.2">
      <c r="I76" s="361"/>
      <c r="J76" s="361"/>
      <c r="K76" s="361"/>
      <c r="L76" s="361"/>
      <c r="M76" s="361"/>
      <c r="N76" s="361"/>
      <c r="O76" s="361"/>
    </row>
    <row r="77" spans="9:15" x14ac:dyDescent="0.2">
      <c r="I77" s="361"/>
      <c r="J77" s="361"/>
      <c r="K77" s="361"/>
      <c r="L77" s="361"/>
      <c r="M77" s="361"/>
      <c r="N77" s="361"/>
      <c r="O77" s="361"/>
    </row>
    <row r="78" spans="9:15" x14ac:dyDescent="0.2">
      <c r="I78" s="361"/>
      <c r="J78" s="361"/>
      <c r="K78" s="361"/>
      <c r="L78" s="361"/>
      <c r="M78" s="361"/>
      <c r="N78" s="361"/>
      <c r="O78" s="361"/>
    </row>
    <row r="79" spans="9:15" x14ac:dyDescent="0.2">
      <c r="I79" s="361"/>
      <c r="J79" s="361"/>
      <c r="K79" s="361"/>
      <c r="L79" s="361"/>
      <c r="M79" s="361"/>
      <c r="N79" s="361"/>
      <c r="O79" s="361"/>
    </row>
    <row r="80" spans="9:15" x14ac:dyDescent="0.2">
      <c r="I80" s="361"/>
      <c r="J80" s="361"/>
      <c r="K80" s="361"/>
      <c r="L80" s="361"/>
      <c r="M80" s="361"/>
      <c r="N80" s="361"/>
      <c r="O80" s="361"/>
    </row>
    <row r="81" spans="9:15" x14ac:dyDescent="0.2">
      <c r="I81" s="361"/>
      <c r="J81" s="361"/>
      <c r="K81" s="361"/>
      <c r="L81" s="361"/>
      <c r="M81" s="361"/>
      <c r="N81" s="361"/>
      <c r="O81" s="361"/>
    </row>
    <row r="82" spans="9:15" x14ac:dyDescent="0.2">
      <c r="I82" s="361"/>
      <c r="J82" s="361"/>
      <c r="K82" s="361"/>
      <c r="L82" s="361"/>
      <c r="M82" s="361"/>
      <c r="N82" s="361"/>
      <c r="O82" s="361"/>
    </row>
    <row r="83" spans="9:15" x14ac:dyDescent="0.2">
      <c r="I83" s="361"/>
      <c r="J83" s="361"/>
      <c r="K83" s="361"/>
      <c r="L83" s="361"/>
      <c r="M83" s="361"/>
      <c r="N83" s="361"/>
      <c r="O83" s="361"/>
    </row>
    <row r="84" spans="9:15" x14ac:dyDescent="0.2">
      <c r="I84" s="361"/>
      <c r="J84" s="361"/>
      <c r="K84" s="361"/>
      <c r="L84" s="361"/>
      <c r="M84" s="361"/>
      <c r="N84" s="361"/>
      <c r="O84" s="361"/>
    </row>
    <row r="85" spans="9:15" x14ac:dyDescent="0.2">
      <c r="I85" s="361"/>
      <c r="J85" s="361"/>
      <c r="K85" s="361"/>
      <c r="L85" s="361"/>
      <c r="M85" s="361"/>
      <c r="N85" s="361"/>
      <c r="O85" s="361"/>
    </row>
    <row r="86" spans="9:15" x14ac:dyDescent="0.2">
      <c r="I86" s="361"/>
      <c r="J86" s="361"/>
      <c r="K86" s="361"/>
      <c r="L86" s="361"/>
      <c r="M86" s="361"/>
      <c r="N86" s="361"/>
      <c r="O86" s="361"/>
    </row>
    <row r="87" spans="9:15" x14ac:dyDescent="0.2">
      <c r="I87" s="361"/>
      <c r="J87" s="361"/>
      <c r="K87" s="361"/>
      <c r="L87" s="361"/>
      <c r="M87" s="361"/>
      <c r="N87" s="361"/>
      <c r="O87" s="361"/>
    </row>
    <row r="88" spans="9:15" x14ac:dyDescent="0.2">
      <c r="I88" s="361"/>
      <c r="J88" s="361"/>
      <c r="K88" s="361"/>
      <c r="L88" s="361"/>
      <c r="M88" s="361"/>
      <c r="N88" s="361"/>
      <c r="O88" s="361"/>
    </row>
    <row r="89" spans="9:15" x14ac:dyDescent="0.2">
      <c r="I89" s="361"/>
      <c r="J89" s="361"/>
      <c r="K89" s="361"/>
      <c r="L89" s="361"/>
      <c r="M89" s="361"/>
      <c r="N89" s="361"/>
      <c r="O89" s="361"/>
    </row>
    <row r="90" spans="9:15" x14ac:dyDescent="0.2">
      <c r="I90" s="361"/>
      <c r="J90" s="361"/>
      <c r="K90" s="361"/>
      <c r="L90" s="361"/>
      <c r="M90" s="361"/>
      <c r="N90" s="361"/>
      <c r="O90" s="361"/>
    </row>
    <row r="91" spans="9:15" x14ac:dyDescent="0.2">
      <c r="I91" s="361"/>
      <c r="J91" s="361"/>
      <c r="K91" s="361"/>
      <c r="L91" s="361"/>
      <c r="M91" s="361"/>
      <c r="N91" s="361"/>
      <c r="O91" s="361"/>
    </row>
    <row r="92" spans="9:15" x14ac:dyDescent="0.2">
      <c r="I92" s="361"/>
      <c r="J92" s="361"/>
      <c r="K92" s="361"/>
      <c r="L92" s="361"/>
      <c r="M92" s="361"/>
      <c r="N92" s="361"/>
      <c r="O92" s="361"/>
    </row>
    <row r="93" spans="9:15" x14ac:dyDescent="0.2">
      <c r="I93" s="361"/>
      <c r="J93" s="361"/>
      <c r="K93" s="361"/>
      <c r="L93" s="361"/>
      <c r="M93" s="361"/>
      <c r="N93" s="361"/>
      <c r="O93" s="361"/>
    </row>
    <row r="94" spans="9:15" x14ac:dyDescent="0.2">
      <c r="I94" s="361"/>
      <c r="J94" s="361"/>
      <c r="K94" s="361"/>
      <c r="L94" s="361"/>
      <c r="M94" s="361"/>
      <c r="N94" s="361"/>
      <c r="O94" s="361"/>
    </row>
    <row r="95" spans="9:15" x14ac:dyDescent="0.2">
      <c r="I95" s="361"/>
      <c r="J95" s="361"/>
      <c r="K95" s="361"/>
      <c r="L95" s="361"/>
      <c r="M95" s="361"/>
      <c r="N95" s="361"/>
      <c r="O95" s="361"/>
    </row>
    <row r="96" spans="9:15" x14ac:dyDescent="0.2">
      <c r="I96" s="361"/>
      <c r="J96" s="361"/>
      <c r="K96" s="361"/>
      <c r="L96" s="361"/>
      <c r="M96" s="361"/>
      <c r="N96" s="361"/>
      <c r="O96" s="361"/>
    </row>
    <row r="97" spans="9:15" x14ac:dyDescent="0.2">
      <c r="I97" s="361"/>
      <c r="J97" s="361"/>
      <c r="K97" s="361"/>
      <c r="L97" s="361"/>
      <c r="M97" s="361"/>
      <c r="N97" s="361"/>
      <c r="O97" s="361"/>
    </row>
    <row r="98" spans="9:15" x14ac:dyDescent="0.2">
      <c r="I98" s="361"/>
      <c r="J98" s="361"/>
      <c r="K98" s="361"/>
      <c r="L98" s="361"/>
      <c r="M98" s="361"/>
      <c r="N98" s="361"/>
      <c r="O98" s="361"/>
    </row>
    <row r="99" spans="9:15" x14ac:dyDescent="0.2">
      <c r="I99" s="361"/>
      <c r="J99" s="361"/>
      <c r="K99" s="361"/>
      <c r="L99" s="361"/>
      <c r="M99" s="361"/>
      <c r="N99" s="361"/>
      <c r="O99" s="361"/>
    </row>
    <row r="100" spans="9:15" x14ac:dyDescent="0.2">
      <c r="I100" s="361"/>
      <c r="J100" s="361"/>
      <c r="K100" s="361"/>
      <c r="L100" s="361"/>
      <c r="M100" s="361"/>
      <c r="N100" s="361"/>
      <c r="O100" s="361"/>
    </row>
    <row r="101" spans="9:15" x14ac:dyDescent="0.2">
      <c r="I101" s="361"/>
      <c r="J101" s="361"/>
      <c r="K101" s="361"/>
      <c r="L101" s="361"/>
      <c r="M101" s="361"/>
      <c r="N101" s="361"/>
      <c r="O101" s="361"/>
    </row>
    <row r="102" spans="9:15" x14ac:dyDescent="0.2">
      <c r="I102" s="361"/>
      <c r="J102" s="361"/>
      <c r="K102" s="361"/>
      <c r="L102" s="361"/>
      <c r="M102" s="361"/>
      <c r="N102" s="361"/>
      <c r="O102" s="361"/>
    </row>
    <row r="103" spans="9:15" x14ac:dyDescent="0.2">
      <c r="I103" s="361"/>
      <c r="J103" s="361"/>
      <c r="K103" s="361"/>
      <c r="L103" s="361"/>
      <c r="M103" s="361"/>
      <c r="N103" s="361"/>
      <c r="O103" s="361"/>
    </row>
    <row r="104" spans="9:15" x14ac:dyDescent="0.2">
      <c r="I104" s="361"/>
      <c r="J104" s="361"/>
      <c r="K104" s="361"/>
      <c r="L104" s="361"/>
      <c r="M104" s="361"/>
      <c r="N104" s="361"/>
      <c r="O104" s="361"/>
    </row>
    <row r="105" spans="9:15" x14ac:dyDescent="0.2">
      <c r="I105" s="361"/>
      <c r="J105" s="361"/>
      <c r="K105" s="361"/>
      <c r="L105" s="361"/>
      <c r="M105" s="361"/>
      <c r="N105" s="361"/>
      <c r="O105" s="361"/>
    </row>
    <row r="106" spans="9:15" x14ac:dyDescent="0.2">
      <c r="I106" s="361"/>
      <c r="J106" s="361"/>
      <c r="K106" s="361"/>
      <c r="L106" s="361"/>
      <c r="M106" s="361"/>
      <c r="N106" s="361"/>
      <c r="O106" s="361"/>
    </row>
    <row r="107" spans="9:15" x14ac:dyDescent="0.2">
      <c r="I107" s="361"/>
      <c r="J107" s="361"/>
      <c r="K107" s="361"/>
      <c r="L107" s="361"/>
      <c r="M107" s="361"/>
      <c r="N107" s="361"/>
      <c r="O107" s="361"/>
    </row>
    <row r="108" spans="9:15" x14ac:dyDescent="0.2">
      <c r="I108" s="361"/>
      <c r="J108" s="361"/>
      <c r="K108" s="361"/>
      <c r="L108" s="361"/>
      <c r="M108" s="361"/>
      <c r="N108" s="361"/>
      <c r="O108" s="361"/>
    </row>
    <row r="109" spans="9:15" x14ac:dyDescent="0.2">
      <c r="I109" s="361"/>
      <c r="J109" s="361"/>
      <c r="K109" s="361"/>
      <c r="L109" s="361"/>
      <c r="M109" s="361"/>
      <c r="N109" s="361"/>
      <c r="O109" s="361"/>
    </row>
    <row r="110" spans="9:15" x14ac:dyDescent="0.2">
      <c r="I110" s="361"/>
      <c r="J110" s="361"/>
      <c r="K110" s="361"/>
      <c r="L110" s="361"/>
      <c r="M110" s="361"/>
      <c r="N110" s="361"/>
      <c r="O110" s="361"/>
    </row>
    <row r="111" spans="9:15" x14ac:dyDescent="0.2">
      <c r="I111" s="361"/>
      <c r="J111" s="361"/>
      <c r="K111" s="361"/>
      <c r="L111" s="361"/>
      <c r="M111" s="361"/>
      <c r="N111" s="361"/>
      <c r="O111" s="361"/>
    </row>
    <row r="112" spans="9:15" x14ac:dyDescent="0.2">
      <c r="I112" s="361"/>
      <c r="J112" s="361"/>
      <c r="K112" s="361"/>
      <c r="L112" s="361"/>
      <c r="M112" s="361"/>
      <c r="N112" s="361"/>
      <c r="O112" s="361"/>
    </row>
    <row r="113" spans="9:15" x14ac:dyDescent="0.2">
      <c r="I113" s="361"/>
      <c r="J113" s="361"/>
      <c r="K113" s="361"/>
      <c r="L113" s="361"/>
      <c r="M113" s="361"/>
      <c r="N113" s="361"/>
      <c r="O113" s="361"/>
    </row>
    <row r="114" spans="9:15" x14ac:dyDescent="0.2">
      <c r="I114" s="361"/>
      <c r="J114" s="361"/>
      <c r="K114" s="361"/>
      <c r="L114" s="361"/>
      <c r="M114" s="361"/>
      <c r="N114" s="361"/>
      <c r="O114" s="361"/>
    </row>
    <row r="115" spans="9:15" x14ac:dyDescent="0.2">
      <c r="I115" s="361"/>
      <c r="J115" s="361"/>
      <c r="K115" s="361"/>
      <c r="L115" s="361"/>
      <c r="M115" s="361"/>
      <c r="N115" s="361"/>
      <c r="O115" s="361"/>
    </row>
    <row r="116" spans="9:15" x14ac:dyDescent="0.2">
      <c r="I116" s="361"/>
      <c r="J116" s="361"/>
      <c r="K116" s="361"/>
      <c r="L116" s="361"/>
      <c r="M116" s="361"/>
      <c r="N116" s="361"/>
      <c r="O116" s="361"/>
    </row>
    <row r="117" spans="9:15" x14ac:dyDescent="0.2">
      <c r="I117" s="361"/>
      <c r="J117" s="361"/>
      <c r="K117" s="361"/>
      <c r="L117" s="361"/>
      <c r="M117" s="361"/>
      <c r="N117" s="361"/>
      <c r="O117" s="361"/>
    </row>
    <row r="118" spans="9:15" x14ac:dyDescent="0.2">
      <c r="I118" s="361"/>
      <c r="J118" s="361"/>
      <c r="K118" s="361"/>
      <c r="L118" s="361"/>
      <c r="M118" s="361"/>
      <c r="N118" s="361"/>
      <c r="O118" s="361"/>
    </row>
    <row r="119" spans="9:15" x14ac:dyDescent="0.2">
      <c r="I119" s="361"/>
      <c r="J119" s="361"/>
      <c r="K119" s="361"/>
      <c r="L119" s="361"/>
      <c r="M119" s="361"/>
      <c r="N119" s="361"/>
      <c r="O119" s="361"/>
    </row>
    <row r="120" spans="9:15" x14ac:dyDescent="0.2">
      <c r="I120" s="361"/>
      <c r="J120" s="361"/>
      <c r="K120" s="361"/>
      <c r="L120" s="361"/>
      <c r="M120" s="361"/>
      <c r="N120" s="361"/>
      <c r="O120" s="361"/>
    </row>
    <row r="121" spans="9:15" x14ac:dyDescent="0.2">
      <c r="I121" s="361"/>
      <c r="J121" s="361"/>
      <c r="K121" s="361"/>
      <c r="L121" s="361"/>
      <c r="M121" s="361"/>
      <c r="N121" s="361"/>
      <c r="O121" s="361"/>
    </row>
    <row r="122" spans="9:15" x14ac:dyDescent="0.2">
      <c r="I122" s="361"/>
      <c r="J122" s="361"/>
      <c r="K122" s="361"/>
      <c r="L122" s="361"/>
      <c r="M122" s="361"/>
      <c r="N122" s="361"/>
      <c r="O122" s="361"/>
    </row>
    <row r="123" spans="9:15" x14ac:dyDescent="0.2">
      <c r="I123" s="361"/>
      <c r="J123" s="361"/>
      <c r="K123" s="361"/>
      <c r="L123" s="361"/>
      <c r="M123" s="361"/>
      <c r="N123" s="361"/>
      <c r="O123" s="361"/>
    </row>
    <row r="124" spans="9:15" x14ac:dyDescent="0.2">
      <c r="I124" s="361"/>
      <c r="J124" s="361"/>
      <c r="K124" s="361"/>
      <c r="L124" s="361"/>
      <c r="M124" s="361"/>
      <c r="N124" s="361"/>
      <c r="O124" s="361"/>
    </row>
    <row r="125" spans="9:15" x14ac:dyDescent="0.2">
      <c r="I125" s="361"/>
      <c r="J125" s="361"/>
      <c r="K125" s="361"/>
      <c r="L125" s="361"/>
      <c r="M125" s="361"/>
      <c r="N125" s="361"/>
      <c r="O125" s="361"/>
    </row>
    <row r="126" spans="9:15" x14ac:dyDescent="0.2">
      <c r="I126" s="361"/>
      <c r="J126" s="361"/>
      <c r="K126" s="361"/>
      <c r="L126" s="361"/>
      <c r="M126" s="361"/>
      <c r="N126" s="361"/>
      <c r="O126" s="361"/>
    </row>
    <row r="127" spans="9:15" x14ac:dyDescent="0.2">
      <c r="I127" s="361"/>
      <c r="J127" s="361"/>
      <c r="K127" s="361"/>
      <c r="L127" s="361"/>
      <c r="M127" s="361"/>
      <c r="N127" s="361"/>
      <c r="O127" s="361"/>
    </row>
    <row r="128" spans="9:15" x14ac:dyDescent="0.2">
      <c r="I128" s="361"/>
      <c r="J128" s="361"/>
      <c r="K128" s="361"/>
      <c r="L128" s="361"/>
      <c r="M128" s="361"/>
      <c r="N128" s="361"/>
      <c r="O128" s="361"/>
    </row>
    <row r="129" spans="9:15" x14ac:dyDescent="0.2">
      <c r="I129" s="361"/>
      <c r="J129" s="361"/>
      <c r="K129" s="361"/>
      <c r="L129" s="361"/>
      <c r="M129" s="361"/>
      <c r="N129" s="361"/>
      <c r="O129" s="361"/>
    </row>
    <row r="130" spans="9:15" x14ac:dyDescent="0.2">
      <c r="I130" s="361"/>
      <c r="J130" s="361"/>
      <c r="K130" s="361"/>
      <c r="L130" s="361"/>
      <c r="M130" s="361"/>
      <c r="N130" s="361"/>
      <c r="O130" s="361"/>
    </row>
    <row r="131" spans="9:15" x14ac:dyDescent="0.2">
      <c r="I131" s="361"/>
      <c r="J131" s="361"/>
      <c r="K131" s="361"/>
      <c r="L131" s="361"/>
      <c r="M131" s="361"/>
      <c r="N131" s="361"/>
      <c r="O131" s="361"/>
    </row>
    <row r="132" spans="9:15" x14ac:dyDescent="0.2">
      <c r="I132" s="361"/>
      <c r="J132" s="361"/>
      <c r="K132" s="361"/>
      <c r="L132" s="361"/>
      <c r="M132" s="361"/>
      <c r="N132" s="361"/>
      <c r="O132" s="361"/>
    </row>
    <row r="133" spans="9:15" x14ac:dyDescent="0.2">
      <c r="I133" s="361"/>
      <c r="J133" s="361"/>
      <c r="K133" s="361"/>
      <c r="L133" s="361"/>
      <c r="M133" s="361"/>
      <c r="N133" s="361"/>
      <c r="O133" s="361"/>
    </row>
    <row r="134" spans="9:15" x14ac:dyDescent="0.2">
      <c r="I134" s="361"/>
      <c r="J134" s="361"/>
      <c r="K134" s="361"/>
      <c r="L134" s="361"/>
      <c r="M134" s="361"/>
      <c r="N134" s="361"/>
      <c r="O134" s="361"/>
    </row>
    <row r="135" spans="9:15" x14ac:dyDescent="0.2">
      <c r="I135" s="361"/>
      <c r="J135" s="361"/>
      <c r="K135" s="361"/>
      <c r="L135" s="361"/>
      <c r="M135" s="361"/>
      <c r="N135" s="361"/>
      <c r="O135" s="361"/>
    </row>
    <row r="136" spans="9:15" x14ac:dyDescent="0.2">
      <c r="I136" s="361"/>
      <c r="J136" s="361"/>
      <c r="K136" s="361"/>
      <c r="L136" s="361"/>
      <c r="M136" s="361"/>
      <c r="N136" s="361"/>
      <c r="O136" s="361"/>
    </row>
    <row r="137" spans="9:15" x14ac:dyDescent="0.2">
      <c r="I137" s="361"/>
      <c r="J137" s="361"/>
      <c r="K137" s="361"/>
      <c r="L137" s="361"/>
      <c r="M137" s="361"/>
      <c r="N137" s="361"/>
      <c r="O137" s="361"/>
    </row>
  </sheetData>
  <sheetProtection algorithmName="SHA-512" hashValue="rxFG9iHcixryYUrrwCfvcuo0UnX+ylUAV5YM9/VmpmSOFp0RuTQ74Tg0uCbiZQEVI2jhoh0dk+nmLoYcNrDDrg==" saltValue="wRppgC1jD92fnYJCh5qxqQ==" spinCount="100000" sheet="1" autoFilter="0"/>
  <dataConsolidate function="countNums">
    <dataRefs count="1">
      <dataRef ref="AO64:AO99" sheet="Apresentação" r:id="rId1"/>
    </dataRefs>
  </dataConsolidate>
  <mergeCells count="71">
    <mergeCell ref="L12:M12"/>
    <mergeCell ref="B48:P48"/>
    <mergeCell ref="C37:F37"/>
    <mergeCell ref="G37:H37"/>
    <mergeCell ref="J37:M37"/>
    <mergeCell ref="N37:O37"/>
    <mergeCell ref="J40:M40"/>
    <mergeCell ref="J39:M39"/>
    <mergeCell ref="N39:O39"/>
    <mergeCell ref="N40:O40"/>
    <mergeCell ref="C39:F39"/>
    <mergeCell ref="G39:H39"/>
    <mergeCell ref="G40:H40"/>
    <mergeCell ref="C40:F40"/>
    <mergeCell ref="L7:M7"/>
    <mergeCell ref="L6:M6"/>
    <mergeCell ref="N6:O6"/>
    <mergeCell ref="C34:F35"/>
    <mergeCell ref="G34:H35"/>
    <mergeCell ref="J34:M35"/>
    <mergeCell ref="N34:O35"/>
    <mergeCell ref="C20:E20"/>
    <mergeCell ref="C21:M21"/>
    <mergeCell ref="N12:O12"/>
    <mergeCell ref="E12:I12"/>
    <mergeCell ref="E11:O11"/>
    <mergeCell ref="E10:O10"/>
    <mergeCell ref="E13:O13"/>
    <mergeCell ref="J14:O14"/>
    <mergeCell ref="E14:G14"/>
    <mergeCell ref="R2:U3"/>
    <mergeCell ref="R6:S6"/>
    <mergeCell ref="R7:S7"/>
    <mergeCell ref="R8:S8"/>
    <mergeCell ref="R9:S9"/>
    <mergeCell ref="R11:S11"/>
    <mergeCell ref="R12:U12"/>
    <mergeCell ref="R13:U13"/>
    <mergeCell ref="R47:U47"/>
    <mergeCell ref="R32:U32"/>
    <mergeCell ref="R30:U30"/>
    <mergeCell ref="R35:U37"/>
    <mergeCell ref="E5:O5"/>
    <mergeCell ref="C50:G50"/>
    <mergeCell ref="J50:N50"/>
    <mergeCell ref="F42:G42"/>
    <mergeCell ref="M42:N42"/>
    <mergeCell ref="C42:E43"/>
    <mergeCell ref="J42:L43"/>
    <mergeCell ref="F45:G45"/>
    <mergeCell ref="F46:G46"/>
    <mergeCell ref="C45:E46"/>
    <mergeCell ref="J45:L46"/>
    <mergeCell ref="M46:N46"/>
    <mergeCell ref="M45:N45"/>
    <mergeCell ref="M43:N43"/>
    <mergeCell ref="F43:G43"/>
    <mergeCell ref="N7:O7"/>
    <mergeCell ref="C4:D4"/>
    <mergeCell ref="C5:D5"/>
    <mergeCell ref="C6:D6"/>
    <mergeCell ref="C18:D18"/>
    <mergeCell ref="C12:D12"/>
    <mergeCell ref="C7:D7"/>
    <mergeCell ref="C10:D10"/>
    <mergeCell ref="C11:D11"/>
    <mergeCell ref="C14:D14"/>
    <mergeCell ref="C15:D15"/>
    <mergeCell ref="C17:D17"/>
    <mergeCell ref="C16:D16"/>
    <mergeCell ref="C13:D13"/>
  </mergeCells>
  <conditionalFormatting sqref="G31:H32">
    <cfRule type="expression" dxfId="179" priority="25" stopIfTrue="1">
      <formula>$G31="þ"</formula>
    </cfRule>
  </conditionalFormatting>
  <conditionalFormatting sqref="C31:D32">
    <cfRule type="expression" dxfId="178" priority="24" stopIfTrue="1">
      <formula>$C31="þ"</formula>
    </cfRule>
  </conditionalFormatting>
  <conditionalFormatting sqref="K31:L32">
    <cfRule type="expression" dxfId="177" priority="23" stopIfTrue="1">
      <formula>$K31="þ"</formula>
    </cfRule>
  </conditionalFormatting>
  <conditionalFormatting sqref="N31:O31">
    <cfRule type="expression" dxfId="176" priority="22" stopIfTrue="1">
      <formula>$N31="þ"</formula>
    </cfRule>
  </conditionalFormatting>
  <conditionalFormatting sqref="F43 M43 O43 H43">
    <cfRule type="cellIs" dxfId="175" priority="13" stopIfTrue="1" operator="between">
      <formula>0.00000000000001</formula>
      <formula>$D$53</formula>
    </cfRule>
    <cfRule type="cellIs" dxfId="174" priority="14" stopIfTrue="1" operator="greaterThan">
      <formula>$D$53</formula>
    </cfRule>
  </conditionalFormatting>
  <conditionalFormatting sqref="Q48:Q50 B49:P51">
    <cfRule type="expression" dxfId="173" priority="26" stopIfTrue="1">
      <formula>AND($E$15&lt;&gt;2)</formula>
    </cfRule>
  </conditionalFormatting>
  <conditionalFormatting sqref="N32:O32">
    <cfRule type="expression" dxfId="172" priority="1" stopIfTrue="1">
      <formula>$N32="þ"</formula>
    </cfRule>
  </conditionalFormatting>
  <dataValidations xWindow="1134" yWindow="282" count="14">
    <dataValidation allowBlank="1" showInputMessage="1" showErrorMessage="1" error="Escolha uma das opções determinadas na célula" sqref="L9"/>
    <dataValidation allowBlank="1" showInputMessage="1" showErrorMessage="1" prompt="Digite o nome do Gestor do Contrato ou do Idealizador do Projeto" sqref="E13"/>
    <dataValidation allowBlank="1" showInputMessage="1" showErrorMessage="1" prompt="Digite o e-mail do Responsável pelo Projeto" sqref="J14"/>
    <dataValidation allowBlank="1" showInputMessage="1" showErrorMessage="1" prompt="Digite o telefone do Responsável pelo Projeto" sqref="E14"/>
    <dataValidation allowBlank="1" showInputMessage="1" showErrorMessage="1" prompt="Digite o nome do consumidor proponente do projeto" sqref="E10:O10"/>
    <dataValidation allowBlank="1" showInputMessage="1" showErrorMessage="1" prompt="Informe o número do CNPJ do proponente" sqref="E12:I12"/>
    <dataValidation allowBlank="1" showInputMessage="1" showErrorMessage="1" prompt="Informe o número da unidade consumidora beneficiada. Em caso de mais de uma UC beneficiada, digitar &quot;várias&quot;." sqref="N12:O12"/>
    <dataValidation allowBlank="1" showErrorMessage="1" prompt="Informe o número do CNPJ do proponente" sqref="E15:I15"/>
    <dataValidation type="list" allowBlank="1" showInputMessage="1" showErrorMessage="1" prompt="Escolha um fator de carga (entre 0,3 e 0,7 em casos normais)" sqref="N7:O7">
      <formula1>FC</formula1>
    </dataValidation>
    <dataValidation allowBlank="1" showInputMessage="1" showErrorMessage="1" prompt="Taxa de Desconto definida pela concessionária" sqref="N6:O6"/>
    <dataValidation allowBlank="1" showInputMessage="1" showErrorMessage="1" prompt="Digite o nome do Projeto" sqref="E5"/>
    <dataValidation type="list" allowBlank="1" showInputMessage="1" showErrorMessage="1" sqref="S8">
      <formula1>$U$8:$U$24</formula1>
    </dataValidation>
    <dataValidation allowBlank="1" showErrorMessage="1" prompt="Informe o número da unidade consumidora beneficiada. Em caso de mais de uma UC beneficiada, digitar &quot;várias&quot;." sqref="N15:O15"/>
    <dataValidation allowBlank="1" showInputMessage="1" showErrorMessage="1" prompt="Informe o Endereço completo do consumidor proponente" sqref="E11:O11"/>
  </dataValidations>
  <hyperlinks>
    <hyperlink ref="B48:P48" r:id="rId2" display="PLANILHA DE CALCULO DESENVOLVIDA PELA CELESC E CEDIDA AO NEPEN PARA USO EXCLUSIVO EM PROCESSOS DE CHAMADA PUBLICA "/>
  </hyperlinks>
  <pageMargins left="0.78740157480314965" right="0.78740157480314965" top="0.98425196850393704" bottom="0.98425196850393704" header="0.51181102362204722" footer="0.51181102362204722"/>
  <pageSetup paperSize="9" orientation="landscape" r:id="rId3"/>
  <headerFooter alignWithMargins="0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6" name="Drop Down 1">
              <controlPr locked="0" defaultSize="0" autoLine="0" autoPict="0">
                <anchor moveWithCells="1">
                  <from>
                    <xdr:col>4</xdr:col>
                    <xdr:colOff>9525</xdr:colOff>
                    <xdr:row>17</xdr:row>
                    <xdr:rowOff>0</xdr:rowOff>
                  </from>
                  <to>
                    <xdr:col>7</xdr:col>
                    <xdr:colOff>1266825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7" name="Drop Down 2">
              <controlPr locked="0" defaultSize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7</xdr:col>
                    <xdr:colOff>952500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8" name="Drop Down 3">
              <controlPr defaultSize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6</xdr:col>
                    <xdr:colOff>9525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0" r:id="rId9" name="Drop Down 630">
              <controlPr locked="0" defaultSize="0" autoLine="0" autoPict="0">
                <anchor moveWithCells="1">
                  <from>
                    <xdr:col>11</xdr:col>
                    <xdr:colOff>1209675</xdr:colOff>
                    <xdr:row>2</xdr:row>
                    <xdr:rowOff>180975</xdr:rowOff>
                  </from>
                  <to>
                    <xdr:col>14</xdr:col>
                    <xdr:colOff>942975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2" r:id="rId10" name="Drop Down 642">
              <controlPr locked="0" defaultSize="0" autoLine="0" autoPict="0">
                <anchor moveWithCells="1">
                  <from>
                    <xdr:col>4</xdr:col>
                    <xdr:colOff>9525</xdr:colOff>
                    <xdr:row>15</xdr:row>
                    <xdr:rowOff>180975</xdr:rowOff>
                  </from>
                  <to>
                    <xdr:col>7</xdr:col>
                    <xdr:colOff>1266825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5" r:id="rId11" name="Drop Down 745">
              <controlPr locked="0" defaultSize="0" autoLine="0" autoPict="0">
                <anchor moveWithCells="1">
                  <from>
                    <xdr:col>4</xdr:col>
                    <xdr:colOff>9525</xdr:colOff>
                    <xdr:row>15</xdr:row>
                    <xdr:rowOff>0</xdr:rowOff>
                  </from>
                  <to>
                    <xdr:col>7</xdr:col>
                    <xdr:colOff>1266825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6" r:id="rId12" name="Drop Down 746">
              <controlPr locked="0" defaultSize="0" autoLine="0" autoPict="0">
                <anchor moveWithCells="1">
                  <from>
                    <xdr:col>4</xdr:col>
                    <xdr:colOff>9525</xdr:colOff>
                    <xdr:row>14</xdr:row>
                    <xdr:rowOff>0</xdr:rowOff>
                  </from>
                  <to>
                    <xdr:col>7</xdr:col>
                    <xdr:colOff>1266825</xdr:colOff>
                    <xdr:row>15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N32"/>
  <sheetViews>
    <sheetView zoomScale="90" zoomScaleNormal="90" workbookViewId="0">
      <selection activeCell="M5" sqref="M5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9" width="12.42578125" style="509" customWidth="1"/>
    <col min="10" max="10" width="13.42578125" style="509" bestFit="1" customWidth="1"/>
    <col min="11" max="12" width="15.42578125" style="509" customWidth="1"/>
    <col min="13" max="14" width="14.42578125" style="509" customWidth="1"/>
    <col min="15" max="16384" width="9.140625" style="509"/>
  </cols>
  <sheetData>
    <row r="2" spans="2:14" ht="22.5" customHeight="1" x14ac:dyDescent="0.2">
      <c r="B2" s="1023" t="s">
        <v>931</v>
      </c>
      <c r="C2" s="1006"/>
      <c r="D2" s="1006"/>
      <c r="E2" s="1006"/>
      <c r="F2" s="1006"/>
      <c r="G2" s="1006"/>
      <c r="H2" s="1006"/>
      <c r="I2" s="1006"/>
      <c r="J2" s="1006"/>
      <c r="K2" s="1006"/>
      <c r="L2" s="1006"/>
      <c r="M2" s="1006"/>
      <c r="N2" s="1006"/>
    </row>
    <row r="3" spans="2:14" s="510" customFormat="1" ht="15" customHeight="1" x14ac:dyDescent="0.2">
      <c r="B3" s="1001"/>
      <c r="C3" s="1002"/>
      <c r="D3" s="1002"/>
      <c r="E3" s="1002"/>
      <c r="F3" s="1002"/>
      <c r="G3" s="1002"/>
      <c r="H3" s="1002"/>
      <c r="I3" s="1002"/>
      <c r="J3" s="1002"/>
      <c r="K3" s="1016"/>
      <c r="L3" s="1001" t="s">
        <v>214</v>
      </c>
      <c r="M3" s="1002"/>
      <c r="N3" s="1016"/>
    </row>
    <row r="4" spans="2:14" ht="15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239</v>
      </c>
      <c r="K4" s="502" t="s">
        <v>0</v>
      </c>
      <c r="L4" s="500" t="s">
        <v>796</v>
      </c>
      <c r="M4" s="501" t="s">
        <v>240</v>
      </c>
      <c r="N4" s="501" t="s">
        <v>241</v>
      </c>
    </row>
    <row r="5" spans="2:14" x14ac:dyDescent="0.2">
      <c r="B5" s="503">
        <v>1</v>
      </c>
      <c r="C5" s="1017" t="str">
        <f>IF(ISBLANK('Marketing (ORÇ)'!C5:H5)," ",'Marketing (ORÇ)'!C5:H5)</f>
        <v>Marketing</v>
      </c>
      <c r="D5" s="1018"/>
      <c r="E5" s="1018"/>
      <c r="F5" s="1018"/>
      <c r="G5" s="1018"/>
      <c r="H5" s="1019"/>
      <c r="I5" s="522">
        <f>'Marketing (ORÇ)'!I5</f>
        <v>1</v>
      </c>
      <c r="J5" s="520">
        <f>'Marketing (ORÇ)'!J5</f>
        <v>5000</v>
      </c>
      <c r="K5" s="505">
        <f t="shared" ref="K5:K14" si="0">I5*J5</f>
        <v>5000</v>
      </c>
      <c r="L5" s="504">
        <f t="shared" ref="L5:L14" si="1">K5-M5-N5</f>
        <v>5000</v>
      </c>
      <c r="M5" s="515"/>
      <c r="N5" s="515"/>
    </row>
    <row r="6" spans="2:14" x14ac:dyDescent="0.2">
      <c r="B6" s="503">
        <v>2</v>
      </c>
      <c r="C6" s="1017" t="str">
        <f>IF(ISBLANK('Marketing (ORÇ)'!C6:H6)," ",'Marketing (ORÇ)'!C6:H6)</f>
        <v xml:space="preserve"> </v>
      </c>
      <c r="D6" s="1018"/>
      <c r="E6" s="1018"/>
      <c r="F6" s="1018"/>
      <c r="G6" s="1018"/>
      <c r="H6" s="1019"/>
      <c r="I6" s="522">
        <f>'Marketing (ORÇ)'!I6</f>
        <v>0</v>
      </c>
      <c r="J6" s="520">
        <f>'Marketing (ORÇ)'!J6</f>
        <v>0</v>
      </c>
      <c r="K6" s="505">
        <f t="shared" si="0"/>
        <v>0</v>
      </c>
      <c r="L6" s="504">
        <f t="shared" si="1"/>
        <v>0</v>
      </c>
      <c r="M6" s="515"/>
      <c r="N6" s="515"/>
    </row>
    <row r="7" spans="2:14" x14ac:dyDescent="0.2">
      <c r="B7" s="503">
        <v>3</v>
      </c>
      <c r="C7" s="1017" t="str">
        <f>IF(ISBLANK('Marketing (ORÇ)'!C7:H7)," ",'Marketing (ORÇ)'!C7:H7)</f>
        <v xml:space="preserve"> </v>
      </c>
      <c r="D7" s="1018"/>
      <c r="E7" s="1018"/>
      <c r="F7" s="1018"/>
      <c r="G7" s="1018"/>
      <c r="H7" s="1019"/>
      <c r="I7" s="522">
        <f>'Marketing (ORÇ)'!I7</f>
        <v>0</v>
      </c>
      <c r="J7" s="520">
        <f>'Marketing (ORÇ)'!J7</f>
        <v>0</v>
      </c>
      <c r="K7" s="505">
        <f t="shared" si="0"/>
        <v>0</v>
      </c>
      <c r="L7" s="504">
        <f t="shared" si="1"/>
        <v>0</v>
      </c>
      <c r="M7" s="515"/>
      <c r="N7" s="515"/>
    </row>
    <row r="8" spans="2:14" x14ac:dyDescent="0.2">
      <c r="B8" s="503">
        <v>4</v>
      </c>
      <c r="C8" s="1017" t="str">
        <f>IF(ISBLANK('Marketing (ORÇ)'!C8:H8)," ",'Marketing (ORÇ)'!C8:H8)</f>
        <v xml:space="preserve"> </v>
      </c>
      <c r="D8" s="1018"/>
      <c r="E8" s="1018"/>
      <c r="F8" s="1018"/>
      <c r="G8" s="1018"/>
      <c r="H8" s="1019"/>
      <c r="I8" s="522">
        <f>'Marketing (ORÇ)'!I8</f>
        <v>0</v>
      </c>
      <c r="J8" s="520">
        <f>'Marketing (ORÇ)'!J8</f>
        <v>0</v>
      </c>
      <c r="K8" s="505">
        <f t="shared" si="0"/>
        <v>0</v>
      </c>
      <c r="L8" s="504">
        <f t="shared" si="1"/>
        <v>0</v>
      </c>
      <c r="M8" s="768"/>
      <c r="N8" s="768"/>
    </row>
    <row r="9" spans="2:14" x14ac:dyDescent="0.2">
      <c r="B9" s="503">
        <v>5</v>
      </c>
      <c r="C9" s="1017" t="str">
        <f>IF(ISBLANK('Marketing (ORÇ)'!C9:H9)," ",'Marketing (ORÇ)'!C9:H9)</f>
        <v xml:space="preserve"> </v>
      </c>
      <c r="D9" s="1018"/>
      <c r="E9" s="1018"/>
      <c r="F9" s="1018"/>
      <c r="G9" s="1018"/>
      <c r="H9" s="1019"/>
      <c r="I9" s="522">
        <f>'Marketing (ORÇ)'!I9</f>
        <v>0</v>
      </c>
      <c r="J9" s="520">
        <f>'Marketing (ORÇ)'!J9</f>
        <v>0</v>
      </c>
      <c r="K9" s="505">
        <f t="shared" si="0"/>
        <v>0</v>
      </c>
      <c r="L9" s="504">
        <f t="shared" si="1"/>
        <v>0</v>
      </c>
      <c r="M9" s="515"/>
      <c r="N9" s="515"/>
    </row>
    <row r="10" spans="2:14" x14ac:dyDescent="0.2">
      <c r="B10" s="503">
        <v>6</v>
      </c>
      <c r="C10" s="1017" t="str">
        <f>IF(ISBLANK('Marketing (ORÇ)'!C10:H10)," ",'Marketing (ORÇ)'!C10:H10)</f>
        <v xml:space="preserve"> </v>
      </c>
      <c r="D10" s="1018"/>
      <c r="E10" s="1018"/>
      <c r="F10" s="1018"/>
      <c r="G10" s="1018"/>
      <c r="H10" s="1019"/>
      <c r="I10" s="522">
        <f>'Marketing (ORÇ)'!I10</f>
        <v>0</v>
      </c>
      <c r="J10" s="520">
        <f>'Marketing (ORÇ)'!J10</f>
        <v>0</v>
      </c>
      <c r="K10" s="505">
        <f t="shared" si="0"/>
        <v>0</v>
      </c>
      <c r="L10" s="504">
        <f t="shared" si="1"/>
        <v>0</v>
      </c>
      <c r="M10" s="515"/>
      <c r="N10" s="515"/>
    </row>
    <row r="11" spans="2:14" x14ac:dyDescent="0.2">
      <c r="B11" s="503">
        <v>7</v>
      </c>
      <c r="C11" s="1017" t="str">
        <f>IF(ISBLANK('Marketing (ORÇ)'!C11:H11)," ",'Marketing (ORÇ)'!C11:H11)</f>
        <v xml:space="preserve"> </v>
      </c>
      <c r="D11" s="1018"/>
      <c r="E11" s="1018"/>
      <c r="F11" s="1018"/>
      <c r="G11" s="1018"/>
      <c r="H11" s="1019"/>
      <c r="I11" s="522">
        <f>'Marketing (ORÇ)'!I11</f>
        <v>0</v>
      </c>
      <c r="J11" s="520">
        <f>'Marketing (ORÇ)'!J11</f>
        <v>0</v>
      </c>
      <c r="K11" s="505">
        <f t="shared" si="0"/>
        <v>0</v>
      </c>
      <c r="L11" s="504">
        <f t="shared" si="1"/>
        <v>0</v>
      </c>
      <c r="M11" s="515"/>
      <c r="N11" s="515"/>
    </row>
    <row r="12" spans="2:14" x14ac:dyDescent="0.2">
      <c r="B12" s="503">
        <v>8</v>
      </c>
      <c r="C12" s="1017" t="str">
        <f>IF(ISBLANK('Marketing (ORÇ)'!C12:H12)," ",'Marketing (ORÇ)'!C12:H12)</f>
        <v xml:space="preserve"> </v>
      </c>
      <c r="D12" s="1018"/>
      <c r="E12" s="1018"/>
      <c r="F12" s="1018"/>
      <c r="G12" s="1018"/>
      <c r="H12" s="1019"/>
      <c r="I12" s="522">
        <f>'Marketing (ORÇ)'!I12</f>
        <v>0</v>
      </c>
      <c r="J12" s="520">
        <f>'Marketing (ORÇ)'!J12</f>
        <v>0</v>
      </c>
      <c r="K12" s="505">
        <f t="shared" si="0"/>
        <v>0</v>
      </c>
      <c r="L12" s="504">
        <f t="shared" si="1"/>
        <v>0</v>
      </c>
      <c r="M12" s="515"/>
      <c r="N12" s="515"/>
    </row>
    <row r="13" spans="2:14" x14ac:dyDescent="0.2">
      <c r="B13" s="503">
        <v>9</v>
      </c>
      <c r="C13" s="1017" t="str">
        <f>IF(ISBLANK('Marketing (ORÇ)'!C13:H13)," ",'Marketing (ORÇ)'!C13:H13)</f>
        <v xml:space="preserve"> </v>
      </c>
      <c r="D13" s="1018"/>
      <c r="E13" s="1018"/>
      <c r="F13" s="1018"/>
      <c r="G13" s="1018"/>
      <c r="H13" s="1019"/>
      <c r="I13" s="522">
        <f>'Marketing (ORÇ)'!I13</f>
        <v>0</v>
      </c>
      <c r="J13" s="520">
        <f>'Marketing (ORÇ)'!J13</f>
        <v>0</v>
      </c>
      <c r="K13" s="505">
        <f t="shared" si="0"/>
        <v>0</v>
      </c>
      <c r="L13" s="504">
        <f t="shared" si="1"/>
        <v>0</v>
      </c>
      <c r="M13" s="515"/>
      <c r="N13" s="515"/>
    </row>
    <row r="14" spans="2:14" x14ac:dyDescent="0.2">
      <c r="B14" s="503">
        <v>10</v>
      </c>
      <c r="C14" s="1017" t="str">
        <f>IF(ISBLANK('Marketing (ORÇ)'!C14:H14)," ",'Marketing (ORÇ)'!C14:H14)</f>
        <v xml:space="preserve"> </v>
      </c>
      <c r="D14" s="1018"/>
      <c r="E14" s="1018"/>
      <c r="F14" s="1018"/>
      <c r="G14" s="1018"/>
      <c r="H14" s="1019"/>
      <c r="I14" s="522">
        <f>'Marketing (ORÇ)'!I14</f>
        <v>0</v>
      </c>
      <c r="J14" s="520">
        <f>'Marketing (ORÇ)'!J14</f>
        <v>0</v>
      </c>
      <c r="K14" s="505">
        <f t="shared" si="0"/>
        <v>0</v>
      </c>
      <c r="L14" s="504">
        <f t="shared" si="1"/>
        <v>0</v>
      </c>
      <c r="M14" s="515"/>
      <c r="N14" s="515"/>
    </row>
    <row r="15" spans="2:14" s="510" customFormat="1" ht="15" customHeight="1" x14ac:dyDescent="0.2">
      <c r="B15" s="1024" t="s">
        <v>909</v>
      </c>
      <c r="C15" s="1025"/>
      <c r="D15" s="1025"/>
      <c r="E15" s="1025"/>
      <c r="F15" s="1025"/>
      <c r="G15" s="1025"/>
      <c r="H15" s="1025"/>
      <c r="I15" s="1025"/>
      <c r="J15" s="1026"/>
      <c r="K15" s="505">
        <f>SUM(K5:K14)</f>
        <v>5000</v>
      </c>
      <c r="L15" s="505">
        <f>SUM(L5:L14)</f>
        <v>5000</v>
      </c>
      <c r="M15" s="505">
        <f>SUM(M5:M14)</f>
        <v>0</v>
      </c>
      <c r="N15" s="505">
        <f>SUM(N5:N14)</f>
        <v>0</v>
      </c>
    </row>
    <row r="16" spans="2:14" s="510" customFormat="1" ht="15" customHeight="1" x14ac:dyDescent="0.2">
      <c r="B16" s="1001" t="s">
        <v>910</v>
      </c>
      <c r="C16" s="1002"/>
      <c r="D16" s="1002"/>
      <c r="E16" s="1002"/>
      <c r="F16" s="1002"/>
      <c r="G16" s="1002"/>
      <c r="H16" s="1002"/>
      <c r="I16" s="1002"/>
      <c r="J16" s="1002"/>
      <c r="K16" s="1016"/>
      <c r="L16" s="1001" t="s">
        <v>214</v>
      </c>
      <c r="M16" s="1002"/>
      <c r="N16" s="1016"/>
    </row>
    <row r="17" spans="2:14" s="510" customFormat="1" ht="15" customHeight="1" x14ac:dyDescent="0.25">
      <c r="B17" s="1027" t="s">
        <v>912</v>
      </c>
      <c r="C17" s="1028"/>
      <c r="D17" s="1028"/>
      <c r="E17" s="1028"/>
      <c r="F17" s="1028"/>
      <c r="G17" s="1028"/>
      <c r="H17" s="1028"/>
      <c r="I17" s="1028"/>
      <c r="J17" s="1029"/>
      <c r="K17" s="511" t="s">
        <v>0</v>
      </c>
      <c r="L17" s="512" t="s">
        <v>796</v>
      </c>
      <c r="M17" s="513" t="s">
        <v>240</v>
      </c>
      <c r="N17" s="513" t="s">
        <v>241</v>
      </c>
    </row>
    <row r="18" spans="2:14" ht="15" x14ac:dyDescent="0.25">
      <c r="B18" s="506"/>
      <c r="C18" s="1014" t="s">
        <v>61</v>
      </c>
      <c r="D18" s="1014"/>
      <c r="E18" s="1014"/>
      <c r="F18" s="1014"/>
      <c r="G18" s="1014"/>
      <c r="H18" s="1014"/>
      <c r="I18" s="1014"/>
      <c r="J18" s="1015"/>
      <c r="K18" s="507">
        <f>SUM(L18:N18)</f>
        <v>511.70657383850534</v>
      </c>
      <c r="L18" s="507">
        <f>'Custo Contábil'!$D$37*L$15</f>
        <v>511.70657383850534</v>
      </c>
      <c r="M18" s="507">
        <f>'Custo Contábil'!$D$37*M$15</f>
        <v>0</v>
      </c>
      <c r="N18" s="507">
        <f>'Custo Contábil'!$D$37*N$15</f>
        <v>0</v>
      </c>
    </row>
    <row r="19" spans="2:14" ht="15" x14ac:dyDescent="0.25">
      <c r="B19" s="506"/>
      <c r="C19" s="1014" t="s">
        <v>203</v>
      </c>
      <c r="D19" s="1014"/>
      <c r="E19" s="1014"/>
      <c r="F19" s="1014"/>
      <c r="G19" s="1014"/>
      <c r="H19" s="1014"/>
      <c r="I19" s="1014"/>
      <c r="J19" s="1015"/>
      <c r="K19" s="507">
        <f t="shared" ref="K19:K24" si="2">SUM(L19:N19)</f>
        <v>0</v>
      </c>
      <c r="L19" s="507">
        <f>'Custo Contábil'!$E$37*L$15</f>
        <v>0</v>
      </c>
      <c r="M19" s="507">
        <f>'Custo Contábil'!$E$37*M$15</f>
        <v>0</v>
      </c>
      <c r="N19" s="507">
        <f>'Custo Contábil'!$E$37*N$15</f>
        <v>0</v>
      </c>
    </row>
    <row r="20" spans="2:14" ht="15" x14ac:dyDescent="0.25">
      <c r="B20" s="506"/>
      <c r="C20" s="1014" t="s">
        <v>41</v>
      </c>
      <c r="D20" s="1014"/>
      <c r="E20" s="1014"/>
      <c r="F20" s="1014"/>
      <c r="G20" s="1014"/>
      <c r="H20" s="1014"/>
      <c r="I20" s="1014"/>
      <c r="J20" s="1015"/>
      <c r="K20" s="507">
        <f t="shared" si="2"/>
        <v>0</v>
      </c>
      <c r="L20" s="507">
        <f>'Custo Contábil'!$F$37*L$15</f>
        <v>0</v>
      </c>
      <c r="M20" s="507">
        <f>'Custo Contábil'!$F$37*M$15</f>
        <v>0</v>
      </c>
      <c r="N20" s="507">
        <f>'Custo Contábil'!$F$37*N$15</f>
        <v>0</v>
      </c>
    </row>
    <row r="21" spans="2:14" ht="15" x14ac:dyDescent="0.25">
      <c r="B21" s="506"/>
      <c r="C21" s="1014" t="s">
        <v>222</v>
      </c>
      <c r="D21" s="1014"/>
      <c r="E21" s="1014"/>
      <c r="F21" s="1014"/>
      <c r="G21" s="1014"/>
      <c r="H21" s="1014"/>
      <c r="I21" s="1014"/>
      <c r="J21" s="1015"/>
      <c r="K21" s="507">
        <f t="shared" si="2"/>
        <v>0</v>
      </c>
      <c r="L21" s="507">
        <f>'Custo Contábil'!$G$37*L$15</f>
        <v>0</v>
      </c>
      <c r="M21" s="507">
        <f>'Custo Contábil'!$G$37*M$15</f>
        <v>0</v>
      </c>
      <c r="N21" s="507">
        <f>'Custo Contábil'!$G$37*N$15</f>
        <v>0</v>
      </c>
    </row>
    <row r="22" spans="2:14" ht="15" x14ac:dyDescent="0.25">
      <c r="B22" s="506"/>
      <c r="C22" s="1014" t="s">
        <v>205</v>
      </c>
      <c r="D22" s="1014"/>
      <c r="E22" s="1014"/>
      <c r="F22" s="1014"/>
      <c r="G22" s="1014"/>
      <c r="H22" s="1014"/>
      <c r="I22" s="1014"/>
      <c r="J22" s="1015"/>
      <c r="K22" s="507">
        <f t="shared" si="2"/>
        <v>0</v>
      </c>
      <c r="L22" s="507">
        <f>'Custo Contábil'!$H$37*L$15</f>
        <v>0</v>
      </c>
      <c r="M22" s="507">
        <f>'Custo Contábil'!$H$37*M$15</f>
        <v>0</v>
      </c>
      <c r="N22" s="507">
        <f>'Custo Contábil'!$H$37*N$15</f>
        <v>0</v>
      </c>
    </row>
    <row r="23" spans="2:14" ht="15" x14ac:dyDescent="0.25">
      <c r="B23" s="506"/>
      <c r="C23" s="1014" t="s">
        <v>135</v>
      </c>
      <c r="D23" s="1014"/>
      <c r="E23" s="1014"/>
      <c r="F23" s="1014"/>
      <c r="G23" s="1014"/>
      <c r="H23" s="1014"/>
      <c r="I23" s="1014"/>
      <c r="J23" s="1015"/>
      <c r="K23" s="507">
        <f t="shared" si="2"/>
        <v>0</v>
      </c>
      <c r="L23" s="507">
        <f>'Custo Contábil'!$I$37*L$15</f>
        <v>0</v>
      </c>
      <c r="M23" s="507">
        <f>'Custo Contábil'!$I$37*M$15</f>
        <v>0</v>
      </c>
      <c r="N23" s="507">
        <f>'Custo Contábil'!$I$37*N$15</f>
        <v>0</v>
      </c>
    </row>
    <row r="24" spans="2:14" ht="15" x14ac:dyDescent="0.25">
      <c r="B24" s="506"/>
      <c r="C24" s="1014" t="s">
        <v>134</v>
      </c>
      <c r="D24" s="1014"/>
      <c r="E24" s="1014"/>
      <c r="F24" s="1014"/>
      <c r="G24" s="1014"/>
      <c r="H24" s="1014"/>
      <c r="I24" s="1014"/>
      <c r="J24" s="1015"/>
      <c r="K24" s="507">
        <f t="shared" si="2"/>
        <v>0</v>
      </c>
      <c r="L24" s="507">
        <f>'Custo Contábil'!$J$37*L$15</f>
        <v>0</v>
      </c>
      <c r="M24" s="507">
        <f>'Custo Contábil'!$J$37*M$15</f>
        <v>0</v>
      </c>
      <c r="N24" s="507">
        <f>'Custo Contábil'!$J$37*N$15</f>
        <v>0</v>
      </c>
    </row>
    <row r="25" spans="2:14" ht="15" x14ac:dyDescent="0.25">
      <c r="B25" s="506"/>
      <c r="C25" s="599" t="s">
        <v>994</v>
      </c>
      <c r="D25" s="599"/>
      <c r="E25" s="599"/>
      <c r="F25" s="599"/>
      <c r="G25" s="599"/>
      <c r="H25" s="599"/>
      <c r="I25" s="599"/>
      <c r="J25" s="599"/>
      <c r="K25" s="507">
        <f>SUM(L25:N25)</f>
        <v>4488.2934261614946</v>
      </c>
      <c r="L25" s="507">
        <f>'Custo Contábil'!$K$37*L$15</f>
        <v>4488.2934261614946</v>
      </c>
      <c r="M25" s="507">
        <f>'Custo Contábil'!$K$37*M$15</f>
        <v>0</v>
      </c>
      <c r="N25" s="507">
        <f>'Custo Contábil'!$K$37*N$15</f>
        <v>0</v>
      </c>
    </row>
    <row r="26" spans="2:14" ht="15" x14ac:dyDescent="0.25">
      <c r="B26" s="1020" t="s">
        <v>911</v>
      </c>
      <c r="C26" s="1021"/>
      <c r="D26" s="1021"/>
      <c r="E26" s="1021"/>
      <c r="F26" s="1021"/>
      <c r="G26" s="1021"/>
      <c r="H26" s="1021"/>
      <c r="I26" s="1021"/>
      <c r="J26" s="1022"/>
      <c r="K26" s="508">
        <f>K15</f>
        <v>5000</v>
      </c>
      <c r="L26" s="508">
        <f>L15</f>
        <v>5000</v>
      </c>
      <c r="M26" s="508">
        <f>M15</f>
        <v>0</v>
      </c>
      <c r="N26" s="508">
        <f>N15</f>
        <v>0</v>
      </c>
    </row>
    <row r="31" spans="2:14" x14ac:dyDescent="0.2">
      <c r="B31" s="912" t="s">
        <v>885</v>
      </c>
      <c r="C31" s="912"/>
      <c r="D31" s="912"/>
      <c r="E31" s="912"/>
      <c r="F31" s="912"/>
      <c r="G31" s="912"/>
      <c r="H31" s="88" t="s">
        <v>143</v>
      </c>
      <c r="I31" s="88" t="s">
        <v>144</v>
      </c>
    </row>
    <row r="32" spans="2:14" x14ac:dyDescent="0.2">
      <c r="B32" s="944" t="s">
        <v>1075</v>
      </c>
      <c r="C32" s="944"/>
      <c r="D32" s="944"/>
      <c r="E32" s="944"/>
      <c r="F32" s="944"/>
      <c r="G32" s="944"/>
      <c r="H32" s="81">
        <f>'Custo Contábil'!E28</f>
        <v>0.05</v>
      </c>
      <c r="I32" s="82">
        <f>'Custo Contábil'!F28</f>
        <v>2.5000250002500023E-2</v>
      </c>
    </row>
  </sheetData>
  <sheetProtection algorithmName="SHA-512" hashValue="/7y3Xejj2FqTdibYHErXO7RP9zPCZ63JqbOFjM1zBpwXgD3/mIezkt2PR4QkuOn4ZT8QzXdTAd+EG6NkGSAOyg==" saltValue="MB42RU1sygQjdkl35YldkQ==" spinCount="100000" sheet="1" objects="1" scenarios="1"/>
  <mergeCells count="28">
    <mergeCell ref="B31:G31"/>
    <mergeCell ref="B32:G32"/>
    <mergeCell ref="C24:J24"/>
    <mergeCell ref="B17:J17"/>
    <mergeCell ref="L16:N16"/>
    <mergeCell ref="B16:K16"/>
    <mergeCell ref="B26:J26"/>
    <mergeCell ref="C22:J22"/>
    <mergeCell ref="C23:J23"/>
    <mergeCell ref="B15:J15"/>
    <mergeCell ref="C18:J18"/>
    <mergeCell ref="C19:J19"/>
    <mergeCell ref="C20:J20"/>
    <mergeCell ref="C21:J21"/>
    <mergeCell ref="C14:H14"/>
    <mergeCell ref="L3:N3"/>
    <mergeCell ref="B3:K3"/>
    <mergeCell ref="C7:H7"/>
    <mergeCell ref="C8:H8"/>
    <mergeCell ref="C9:H9"/>
    <mergeCell ref="C10:H10"/>
    <mergeCell ref="C11:H11"/>
    <mergeCell ref="C12:H12"/>
    <mergeCell ref="B2:N2"/>
    <mergeCell ref="B4:H4"/>
    <mergeCell ref="C5:H5"/>
    <mergeCell ref="C6:H6"/>
    <mergeCell ref="C13:H13"/>
  </mergeCells>
  <conditionalFormatting sqref="K5:N15 K18:N26">
    <cfRule type="cellIs" dxfId="145" priority="5" operator="lessThan">
      <formula>0</formula>
    </cfRule>
  </conditionalFormatting>
  <conditionalFormatting sqref="K25:N25">
    <cfRule type="cellIs" dxfId="144" priority="3" operator="lessThan">
      <formula>0</formula>
    </cfRule>
  </conditionalFormatting>
  <conditionalFormatting sqref="I32">
    <cfRule type="cellIs" dxfId="143" priority="44" stopIfTrue="1" operator="greaterThan">
      <formula>$H32</formula>
    </cfRule>
    <cfRule type="cellIs" dxfId="142" priority="45" stopIfTrue="1" operator="lessThanOrEqual">
      <formula>$H32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1">
    <tabColor theme="9" tint="-0.499984740745262"/>
  </sheetPr>
  <dimension ref="B1:P16"/>
  <sheetViews>
    <sheetView showGridLines="0" workbookViewId="0">
      <pane xSplit="2" topLeftCell="C1" activePane="topRight" state="frozen"/>
      <selection activeCell="E4" sqref="E4"/>
      <selection pane="topRight" activeCell="D5" sqref="D5"/>
    </sheetView>
  </sheetViews>
  <sheetFormatPr defaultColWidth="9.140625" defaultRowHeight="15" x14ac:dyDescent="0.2"/>
  <cols>
    <col min="1" max="1" width="2.85546875" style="401" customWidth="1"/>
    <col min="2" max="2" width="39" style="400" bestFit="1" customWidth="1"/>
    <col min="3" max="14" width="22.42578125" style="401" customWidth="1"/>
    <col min="15" max="15" width="11.42578125" style="401" bestFit="1" customWidth="1"/>
    <col min="16" max="16384" width="9.140625" style="401"/>
  </cols>
  <sheetData>
    <row r="1" spans="2:16" x14ac:dyDescent="0.2">
      <c r="O1" s="402"/>
    </row>
    <row r="2" spans="2:16" x14ac:dyDescent="0.2">
      <c r="B2" s="1039" t="s">
        <v>861</v>
      </c>
      <c r="C2" s="1036" t="s">
        <v>860</v>
      </c>
      <c r="D2" s="1037"/>
      <c r="E2" s="1037"/>
      <c r="F2" s="1037"/>
      <c r="G2" s="1037"/>
      <c r="H2" s="1037"/>
      <c r="I2" s="1037"/>
      <c r="J2" s="1037"/>
      <c r="K2" s="1037"/>
      <c r="L2" s="1037"/>
      <c r="M2" s="1037"/>
      <c r="N2" s="1038"/>
      <c r="O2" s="403"/>
      <c r="P2" s="402"/>
    </row>
    <row r="3" spans="2:16" x14ac:dyDescent="0.2">
      <c r="B3" s="1040"/>
      <c r="C3" s="373" t="s">
        <v>109</v>
      </c>
      <c r="D3" s="373" t="s">
        <v>110</v>
      </c>
      <c r="E3" s="373" t="s">
        <v>111</v>
      </c>
      <c r="F3" s="373" t="s">
        <v>112</v>
      </c>
      <c r="G3" s="373" t="s">
        <v>113</v>
      </c>
      <c r="H3" s="373" t="s">
        <v>114</v>
      </c>
      <c r="I3" s="373" t="s">
        <v>115</v>
      </c>
      <c r="J3" s="373" t="s">
        <v>116</v>
      </c>
      <c r="K3" s="373" t="s">
        <v>117</v>
      </c>
      <c r="L3" s="373" t="s">
        <v>118</v>
      </c>
      <c r="M3" s="373" t="s">
        <v>119</v>
      </c>
      <c r="N3" s="373" t="s">
        <v>120</v>
      </c>
      <c r="O3" s="374" t="s">
        <v>31</v>
      </c>
    </row>
    <row r="4" spans="2:16" ht="60" x14ac:dyDescent="0.2">
      <c r="B4" s="445" t="s">
        <v>108</v>
      </c>
      <c r="C4" s="446" t="s">
        <v>107</v>
      </c>
      <c r="D4" s="446" t="s">
        <v>107</v>
      </c>
      <c r="E4" s="446" t="s">
        <v>107</v>
      </c>
      <c r="F4" s="446" t="s">
        <v>107</v>
      </c>
      <c r="G4" s="446" t="s">
        <v>107</v>
      </c>
      <c r="H4" s="446" t="s">
        <v>107</v>
      </c>
      <c r="I4" s="446" t="s">
        <v>107</v>
      </c>
      <c r="J4" s="446" t="s">
        <v>107</v>
      </c>
      <c r="K4" s="446" t="s">
        <v>107</v>
      </c>
      <c r="L4" s="446" t="s">
        <v>107</v>
      </c>
      <c r="M4" s="446" t="s">
        <v>107</v>
      </c>
      <c r="N4" s="446" t="s">
        <v>107</v>
      </c>
      <c r="O4" s="1033">
        <f>SUM(C16:N16)</f>
        <v>0</v>
      </c>
    </row>
    <row r="5" spans="2:16" x14ac:dyDescent="0.2">
      <c r="B5" s="1041" t="s">
        <v>21</v>
      </c>
      <c r="C5" s="444" t="s">
        <v>1082</v>
      </c>
      <c r="D5" s="444" t="str">
        <f>C5</f>
        <v>SÃO LUIZ</v>
      </c>
      <c r="E5" s="444" t="s">
        <v>1079</v>
      </c>
      <c r="F5" s="444" t="s">
        <v>1079</v>
      </c>
      <c r="G5" s="444" t="s">
        <v>1079</v>
      </c>
      <c r="H5" s="444" t="s">
        <v>1079</v>
      </c>
      <c r="I5" s="444" t="s">
        <v>1079</v>
      </c>
      <c r="J5" s="444" t="s">
        <v>1079</v>
      </c>
      <c r="K5" s="444" t="s">
        <v>1079</v>
      </c>
      <c r="L5" s="444" t="s">
        <v>1079</v>
      </c>
      <c r="M5" s="444" t="s">
        <v>1079</v>
      </c>
      <c r="N5" s="444" t="s">
        <v>1079</v>
      </c>
      <c r="O5" s="1034"/>
    </row>
    <row r="6" spans="2:16" ht="17.25" customHeight="1" x14ac:dyDescent="0.2">
      <c r="B6" s="1042"/>
      <c r="C6" s="482">
        <v>1</v>
      </c>
      <c r="D6" s="482">
        <v>1</v>
      </c>
      <c r="E6" s="482">
        <v>1</v>
      </c>
      <c r="F6" s="482">
        <v>1</v>
      </c>
      <c r="G6" s="482">
        <v>1</v>
      </c>
      <c r="H6" s="482">
        <v>1</v>
      </c>
      <c r="I6" s="482">
        <v>1</v>
      </c>
      <c r="J6" s="482">
        <v>1</v>
      </c>
      <c r="K6" s="482">
        <v>1</v>
      </c>
      <c r="L6" s="482">
        <v>1</v>
      </c>
      <c r="M6" s="482">
        <v>1</v>
      </c>
      <c r="N6" s="482">
        <v>1</v>
      </c>
      <c r="O6" s="1034"/>
    </row>
    <row r="7" spans="2:16" ht="15" customHeight="1" x14ac:dyDescent="0.2">
      <c r="B7" s="445" t="s">
        <v>22</v>
      </c>
      <c r="C7" s="447">
        <f>2*VLOOKUP(C6,Apoio!$AF$7:$AH$294,3)</f>
        <v>0</v>
      </c>
      <c r="D7" s="447">
        <f>2*VLOOKUP(D6,Apoio!$AF$7:$AH$294,3)</f>
        <v>0</v>
      </c>
      <c r="E7" s="447">
        <f>2*VLOOKUP(E6,Apoio!$AF$7:$AH$294,3)</f>
        <v>0</v>
      </c>
      <c r="F7" s="447">
        <f>2*VLOOKUP(F6,Apoio!$AF$7:$AH$294,3)</f>
        <v>0</v>
      </c>
      <c r="G7" s="447">
        <f>2*VLOOKUP(G6,Apoio!$AF$7:$AH$294,3)</f>
        <v>0</v>
      </c>
      <c r="H7" s="447">
        <f>2*VLOOKUP(H6,Apoio!$AF$7:$AH$294,3)</f>
        <v>0</v>
      </c>
      <c r="I7" s="447">
        <f>2*VLOOKUP(I6,Apoio!$AF$7:$AH$294,3)</f>
        <v>0</v>
      </c>
      <c r="J7" s="447">
        <f>2*VLOOKUP(J6,Apoio!$AF$7:$AH$294,3)</f>
        <v>0</v>
      </c>
      <c r="K7" s="447">
        <f>2*VLOOKUP(K6,Apoio!$AF$7:$AH$294,3)</f>
        <v>0</v>
      </c>
      <c r="L7" s="447">
        <f>2*VLOOKUP(L6,Apoio!$AF$7:$AH$294,3)</f>
        <v>0</v>
      </c>
      <c r="M7" s="447">
        <f>2*VLOOKUP(M6,Apoio!$AF$7:$AH$294,3)</f>
        <v>0</v>
      </c>
      <c r="N7" s="447">
        <f>2*VLOOKUP(N6,Apoio!$AF$7:$AH$294,3)</f>
        <v>0</v>
      </c>
      <c r="O7" s="1034"/>
    </row>
    <row r="8" spans="2:16" ht="15" hidden="1" customHeight="1" x14ac:dyDescent="0.2">
      <c r="B8" s="443" t="s">
        <v>23</v>
      </c>
      <c r="C8" s="485">
        <v>1</v>
      </c>
      <c r="D8" s="485">
        <v>1</v>
      </c>
      <c r="E8" s="485">
        <v>1</v>
      </c>
      <c r="F8" s="485">
        <v>1</v>
      </c>
      <c r="G8" s="485">
        <v>1</v>
      </c>
      <c r="H8" s="485">
        <v>1</v>
      </c>
      <c r="I8" s="485">
        <v>1</v>
      </c>
      <c r="J8" s="485">
        <v>1</v>
      </c>
      <c r="K8" s="485">
        <v>1</v>
      </c>
      <c r="L8" s="485">
        <v>1</v>
      </c>
      <c r="M8" s="485">
        <v>1</v>
      </c>
      <c r="N8" s="485">
        <v>1</v>
      </c>
      <c r="O8" s="1034"/>
    </row>
    <row r="9" spans="2:16" ht="15" hidden="1" customHeight="1" x14ac:dyDescent="0.2">
      <c r="B9" s="445" t="s">
        <v>24</v>
      </c>
      <c r="C9" s="446" t="s">
        <v>38</v>
      </c>
      <c r="D9" s="446" t="s">
        <v>38</v>
      </c>
      <c r="E9" s="446" t="s">
        <v>38</v>
      </c>
      <c r="F9" s="446" t="s">
        <v>38</v>
      </c>
      <c r="G9" s="446" t="s">
        <v>38</v>
      </c>
      <c r="H9" s="446" t="s">
        <v>38</v>
      </c>
      <c r="I9" s="446" t="s">
        <v>38</v>
      </c>
      <c r="J9" s="446" t="s">
        <v>38</v>
      </c>
      <c r="K9" s="446" t="s">
        <v>38</v>
      </c>
      <c r="L9" s="446" t="s">
        <v>38</v>
      </c>
      <c r="M9" s="446" t="s">
        <v>38</v>
      </c>
      <c r="N9" s="446" t="s">
        <v>38</v>
      </c>
      <c r="O9" s="1034"/>
    </row>
    <row r="10" spans="2:16" s="404" customFormat="1" ht="15" hidden="1" customHeight="1" x14ac:dyDescent="0.2">
      <c r="B10" s="449" t="s">
        <v>40</v>
      </c>
      <c r="C10" s="484">
        <v>0.7</v>
      </c>
      <c r="D10" s="484">
        <v>0.7</v>
      </c>
      <c r="E10" s="484">
        <v>0.7</v>
      </c>
      <c r="F10" s="484">
        <v>0.7</v>
      </c>
      <c r="G10" s="484">
        <v>0.7</v>
      </c>
      <c r="H10" s="484">
        <v>0.7</v>
      </c>
      <c r="I10" s="484">
        <v>0.7</v>
      </c>
      <c r="J10" s="484">
        <v>0.7</v>
      </c>
      <c r="K10" s="484">
        <v>0.7</v>
      </c>
      <c r="L10" s="484">
        <v>0.7</v>
      </c>
      <c r="M10" s="484">
        <v>0.7</v>
      </c>
      <c r="N10" s="484">
        <v>0.7</v>
      </c>
      <c r="O10" s="1034"/>
    </row>
    <row r="11" spans="2:16" s="404" customFormat="1" ht="15" customHeight="1" x14ac:dyDescent="0.2">
      <c r="B11" s="448" t="s">
        <v>25</v>
      </c>
      <c r="C11" s="483">
        <f>C10*C7</f>
        <v>0</v>
      </c>
      <c r="D11" s="483">
        <f t="shared" ref="D11:N11" si="0">D10*D7</f>
        <v>0</v>
      </c>
      <c r="E11" s="483">
        <f t="shared" si="0"/>
        <v>0</v>
      </c>
      <c r="F11" s="483">
        <f t="shared" si="0"/>
        <v>0</v>
      </c>
      <c r="G11" s="483">
        <f t="shared" si="0"/>
        <v>0</v>
      </c>
      <c r="H11" s="483">
        <f t="shared" si="0"/>
        <v>0</v>
      </c>
      <c r="I11" s="483">
        <f t="shared" si="0"/>
        <v>0</v>
      </c>
      <c r="J11" s="483">
        <f t="shared" si="0"/>
        <v>0</v>
      </c>
      <c r="K11" s="483">
        <f t="shared" si="0"/>
        <v>0</v>
      </c>
      <c r="L11" s="483">
        <f t="shared" si="0"/>
        <v>0</v>
      </c>
      <c r="M11" s="483">
        <f t="shared" si="0"/>
        <v>0</v>
      </c>
      <c r="N11" s="483">
        <f t="shared" si="0"/>
        <v>0</v>
      </c>
      <c r="O11" s="1034"/>
    </row>
    <row r="12" spans="2:16" s="404" customFormat="1" ht="15" hidden="1" customHeight="1" x14ac:dyDescent="0.2">
      <c r="B12" s="449" t="s">
        <v>26</v>
      </c>
      <c r="C12" s="484">
        <v>120</v>
      </c>
      <c r="D12" s="484">
        <v>120</v>
      </c>
      <c r="E12" s="484">
        <v>120</v>
      </c>
      <c r="F12" s="484">
        <v>120</v>
      </c>
      <c r="G12" s="484">
        <v>120</v>
      </c>
      <c r="H12" s="484">
        <v>120</v>
      </c>
      <c r="I12" s="484">
        <v>120</v>
      </c>
      <c r="J12" s="484">
        <v>120</v>
      </c>
      <c r="K12" s="484">
        <v>120</v>
      </c>
      <c r="L12" s="484">
        <v>120</v>
      </c>
      <c r="M12" s="484">
        <v>120</v>
      </c>
      <c r="N12" s="484">
        <v>120</v>
      </c>
      <c r="O12" s="1034"/>
    </row>
    <row r="13" spans="2:16" s="404" customFormat="1" ht="15" hidden="1" customHeight="1" x14ac:dyDescent="0.2">
      <c r="B13" s="448" t="s">
        <v>27</v>
      </c>
      <c r="C13" s="483">
        <v>80</v>
      </c>
      <c r="D13" s="483">
        <v>80</v>
      </c>
      <c r="E13" s="483">
        <v>80</v>
      </c>
      <c r="F13" s="483">
        <v>80</v>
      </c>
      <c r="G13" s="483">
        <v>80</v>
      </c>
      <c r="H13" s="483">
        <v>80</v>
      </c>
      <c r="I13" s="483">
        <v>80</v>
      </c>
      <c r="J13" s="483">
        <v>80</v>
      </c>
      <c r="K13" s="483">
        <v>80</v>
      </c>
      <c r="L13" s="483">
        <v>80</v>
      </c>
      <c r="M13" s="483">
        <v>80</v>
      </c>
      <c r="N13" s="483">
        <v>80</v>
      </c>
      <c r="O13" s="1034"/>
    </row>
    <row r="14" spans="2:16" s="405" customFormat="1" ht="15" hidden="1" customHeight="1" x14ac:dyDescent="0.2">
      <c r="B14" s="443" t="s">
        <v>28</v>
      </c>
      <c r="C14" s="485">
        <v>2</v>
      </c>
      <c r="D14" s="485">
        <v>2</v>
      </c>
      <c r="E14" s="485">
        <v>2</v>
      </c>
      <c r="F14" s="485">
        <v>2</v>
      </c>
      <c r="G14" s="485">
        <v>2</v>
      </c>
      <c r="H14" s="485">
        <v>2</v>
      </c>
      <c r="I14" s="485">
        <v>2</v>
      </c>
      <c r="J14" s="485">
        <v>2</v>
      </c>
      <c r="K14" s="485">
        <v>2</v>
      </c>
      <c r="L14" s="485">
        <v>2</v>
      </c>
      <c r="M14" s="485">
        <v>2</v>
      </c>
      <c r="N14" s="485">
        <v>2</v>
      </c>
      <c r="O14" s="1034"/>
    </row>
    <row r="15" spans="2:16" s="404" customFormat="1" ht="15" customHeight="1" x14ac:dyDescent="0.2">
      <c r="B15" s="448" t="s">
        <v>29</v>
      </c>
      <c r="C15" s="483">
        <f>IF(C11=0,0,(C14*C8*(C13+C12)))</f>
        <v>0</v>
      </c>
      <c r="D15" s="483">
        <f t="shared" ref="D15:N15" si="1">IF(D11=0,0,(D14*D8*(D13+D12)))</f>
        <v>0</v>
      </c>
      <c r="E15" s="483">
        <f t="shared" si="1"/>
        <v>0</v>
      </c>
      <c r="F15" s="483">
        <f t="shared" si="1"/>
        <v>0</v>
      </c>
      <c r="G15" s="483">
        <f t="shared" si="1"/>
        <v>0</v>
      </c>
      <c r="H15" s="483">
        <f t="shared" si="1"/>
        <v>0</v>
      </c>
      <c r="I15" s="483">
        <f t="shared" si="1"/>
        <v>0</v>
      </c>
      <c r="J15" s="483">
        <f t="shared" si="1"/>
        <v>0</v>
      </c>
      <c r="K15" s="483">
        <f t="shared" si="1"/>
        <v>0</v>
      </c>
      <c r="L15" s="483">
        <f t="shared" si="1"/>
        <v>0</v>
      </c>
      <c r="M15" s="483">
        <f t="shared" si="1"/>
        <v>0</v>
      </c>
      <c r="N15" s="483">
        <f t="shared" si="1"/>
        <v>0</v>
      </c>
      <c r="O15" s="1034"/>
    </row>
    <row r="16" spans="2:16" s="404" customFormat="1" ht="15" customHeight="1" x14ac:dyDescent="0.2">
      <c r="B16" s="449" t="s">
        <v>30</v>
      </c>
      <c r="C16" s="484">
        <f t="shared" ref="C16:N16" si="2">C15+C11</f>
        <v>0</v>
      </c>
      <c r="D16" s="484">
        <f t="shared" si="2"/>
        <v>0</v>
      </c>
      <c r="E16" s="484">
        <f t="shared" si="2"/>
        <v>0</v>
      </c>
      <c r="F16" s="484">
        <f t="shared" si="2"/>
        <v>0</v>
      </c>
      <c r="G16" s="484">
        <f t="shared" si="2"/>
        <v>0</v>
      </c>
      <c r="H16" s="484">
        <f t="shared" si="2"/>
        <v>0</v>
      </c>
      <c r="I16" s="484">
        <f t="shared" si="2"/>
        <v>0</v>
      </c>
      <c r="J16" s="484">
        <f t="shared" si="2"/>
        <v>0</v>
      </c>
      <c r="K16" s="484">
        <f t="shared" si="2"/>
        <v>0</v>
      </c>
      <c r="L16" s="484">
        <f t="shared" si="2"/>
        <v>0</v>
      </c>
      <c r="M16" s="484">
        <f t="shared" si="2"/>
        <v>0</v>
      </c>
      <c r="N16" s="484">
        <f t="shared" si="2"/>
        <v>0</v>
      </c>
      <c r="O16" s="1035"/>
    </row>
  </sheetData>
  <sheetProtection algorithmName="SHA-512" hashValue="RiGxxO9GVbdVcpR6OljYYSMWgKrjpzRHsjNt8S6BZ/Dwg++exdfN7ieQAIjs8HKP9JRCUVOe1KBbpzhOhrWp1g==" saltValue="X68NH74CZ9Id7olxU6Xc8w==" spinCount="100000" sheet="1" autoFilter="0"/>
  <mergeCells count="4">
    <mergeCell ref="O4:O16"/>
    <mergeCell ref="C2:N2"/>
    <mergeCell ref="B2:B3"/>
    <mergeCell ref="B5:B6"/>
  </mergeCells>
  <phoneticPr fontId="3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1857" r:id="rId4" name="Drop Down 1">
              <controlPr locked="0" defaultSize="0" autoLine="0" autoPict="0">
                <anchor moveWithCells="1">
                  <from>
                    <xdr:col>2</xdr:col>
                    <xdr:colOff>0</xdr:colOff>
                    <xdr:row>5</xdr:row>
                    <xdr:rowOff>9525</xdr:rowOff>
                  </from>
                  <to>
                    <xdr:col>2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8" r:id="rId5" name="Drop Down 2">
              <controlPr locked="0" defaultSize="0" autoLine="0" autoPict="0">
                <anchor moveWithCells="1">
                  <from>
                    <xdr:col>3</xdr:col>
                    <xdr:colOff>0</xdr:colOff>
                    <xdr:row>5</xdr:row>
                    <xdr:rowOff>9525</xdr:rowOff>
                  </from>
                  <to>
                    <xdr:col>3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59" r:id="rId6" name="Drop Down 3">
              <controlPr locked="0" defaultSize="0" autoLine="0" autoPict="0">
                <anchor moveWithCells="1">
                  <from>
                    <xdr:col>4</xdr:col>
                    <xdr:colOff>0</xdr:colOff>
                    <xdr:row>5</xdr:row>
                    <xdr:rowOff>9525</xdr:rowOff>
                  </from>
                  <to>
                    <xdr:col>4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0" r:id="rId7" name="Drop Down 4">
              <controlPr locked="0" defaultSize="0" autoLine="0" autoPict="0">
                <anchor moveWithCells="1">
                  <from>
                    <xdr:col>5</xdr:col>
                    <xdr:colOff>0</xdr:colOff>
                    <xdr:row>5</xdr:row>
                    <xdr:rowOff>9525</xdr:rowOff>
                  </from>
                  <to>
                    <xdr:col>5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1" r:id="rId8" name="Drop Down 5">
              <controlPr locked="0" defaultSize="0" autoLine="0" autoPict="0">
                <anchor moveWithCells="1">
                  <from>
                    <xdr:col>6</xdr:col>
                    <xdr:colOff>0</xdr:colOff>
                    <xdr:row>5</xdr:row>
                    <xdr:rowOff>9525</xdr:rowOff>
                  </from>
                  <to>
                    <xdr:col>6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2" r:id="rId9" name="Drop Down 6">
              <controlPr locked="0" defaultSize="0" autoLine="0" autoPict="0">
                <anchor moveWithCells="1">
                  <from>
                    <xdr:col>7</xdr:col>
                    <xdr:colOff>0</xdr:colOff>
                    <xdr:row>5</xdr:row>
                    <xdr:rowOff>9525</xdr:rowOff>
                  </from>
                  <to>
                    <xdr:col>7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3" r:id="rId10" name="Drop Down 7">
              <controlPr locked="0" defaultSize="0" autoLine="0" autoPict="0">
                <anchor moveWithCells="1">
                  <from>
                    <xdr:col>8</xdr:col>
                    <xdr:colOff>0</xdr:colOff>
                    <xdr:row>5</xdr:row>
                    <xdr:rowOff>9525</xdr:rowOff>
                  </from>
                  <to>
                    <xdr:col>8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4" r:id="rId11" name="Drop Down 8">
              <controlPr locked="0" defaultSize="0" autoLine="0" autoPict="0">
                <anchor moveWithCells="1">
                  <from>
                    <xdr:col>9</xdr:col>
                    <xdr:colOff>0</xdr:colOff>
                    <xdr:row>5</xdr:row>
                    <xdr:rowOff>9525</xdr:rowOff>
                  </from>
                  <to>
                    <xdr:col>9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5" r:id="rId12" name="Drop Down 9">
              <controlPr locked="0" defaultSize="0" autoLine="0" autoPict="0">
                <anchor moveWithCells="1">
                  <from>
                    <xdr:col>10</xdr:col>
                    <xdr:colOff>0</xdr:colOff>
                    <xdr:row>5</xdr:row>
                    <xdr:rowOff>9525</xdr:rowOff>
                  </from>
                  <to>
                    <xdr:col>10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6" r:id="rId13" name="Drop Down 10">
              <controlPr locked="0" defaultSize="0" autoLine="0" autoPict="0">
                <anchor moveWithCells="1">
                  <from>
                    <xdr:col>11</xdr:col>
                    <xdr:colOff>0</xdr:colOff>
                    <xdr:row>5</xdr:row>
                    <xdr:rowOff>9525</xdr:rowOff>
                  </from>
                  <to>
                    <xdr:col>11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7" r:id="rId14" name="Drop Down 11">
              <controlPr locked="0" defaultSize="0" autoLine="0" autoPict="0">
                <anchor moveWithCells="1">
                  <from>
                    <xdr:col>12</xdr:col>
                    <xdr:colOff>0</xdr:colOff>
                    <xdr:row>5</xdr:row>
                    <xdr:rowOff>9525</xdr:rowOff>
                  </from>
                  <to>
                    <xdr:col>12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68" r:id="rId15" name="Drop Down 12">
              <controlPr locked="0" defaultSize="0" autoLine="0" autoPict="0">
                <anchor moveWithCells="1">
                  <from>
                    <xdr:col>13</xdr:col>
                    <xdr:colOff>0</xdr:colOff>
                    <xdr:row>5</xdr:row>
                    <xdr:rowOff>9525</xdr:rowOff>
                  </from>
                  <to>
                    <xdr:col>13</xdr:col>
                    <xdr:colOff>1476375</xdr:colOff>
                    <xdr:row>5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499984740745262"/>
  </sheetPr>
  <dimension ref="B2:P150"/>
  <sheetViews>
    <sheetView showGridLines="0" zoomScale="90" zoomScaleNormal="90" workbookViewId="0">
      <pane ySplit="3" topLeftCell="A4" activePane="bottomLeft" state="frozen"/>
      <selection activeCell="H20" sqref="H20"/>
      <selection pane="bottomLeft" activeCell="K17" sqref="K17:M23"/>
    </sheetView>
  </sheetViews>
  <sheetFormatPr defaultColWidth="9.140625" defaultRowHeight="15" x14ac:dyDescent="0.25"/>
  <cols>
    <col min="1" max="2" width="3.42578125" style="406" customWidth="1"/>
    <col min="3" max="8" width="9.140625" style="406"/>
    <col min="9" max="9" width="12.42578125" style="406" customWidth="1"/>
    <col min="10" max="10" width="20.140625" style="406" bestFit="1" customWidth="1"/>
    <col min="11" max="16" width="28.42578125" style="406" customWidth="1"/>
    <col min="17" max="16384" width="9.140625" style="406"/>
  </cols>
  <sheetData>
    <row r="2" spans="2:16" ht="22.5" customHeight="1" x14ac:dyDescent="0.25">
      <c r="B2" s="1055" t="s">
        <v>930</v>
      </c>
      <c r="C2" s="1056"/>
      <c r="D2" s="1056"/>
      <c r="E2" s="1056"/>
      <c r="F2" s="1056"/>
      <c r="G2" s="1056"/>
      <c r="H2" s="1056"/>
      <c r="I2" s="1056"/>
      <c r="J2" s="1056"/>
      <c r="K2" s="526"/>
      <c r="L2" s="526"/>
      <c r="M2" s="527"/>
      <c r="N2" s="526"/>
      <c r="O2" s="526"/>
      <c r="P2" s="527"/>
    </row>
    <row r="3" spans="2:16" x14ac:dyDescent="0.25">
      <c r="B3" s="1057" t="s">
        <v>801</v>
      </c>
      <c r="C3" s="1058"/>
      <c r="D3" s="1058"/>
      <c r="E3" s="1058"/>
      <c r="F3" s="1058"/>
      <c r="G3" s="1058"/>
      <c r="H3" s="1058"/>
      <c r="I3" s="1058"/>
      <c r="J3" s="1059"/>
      <c r="K3" s="499" t="s">
        <v>917</v>
      </c>
      <c r="L3" s="499" t="s">
        <v>926</v>
      </c>
      <c r="M3" s="499" t="s">
        <v>927</v>
      </c>
      <c r="N3" s="558" t="s">
        <v>943</v>
      </c>
      <c r="O3" s="558" t="s">
        <v>944</v>
      </c>
      <c r="P3" s="558" t="s">
        <v>945</v>
      </c>
    </row>
    <row r="4" spans="2:16" x14ac:dyDescent="0.25">
      <c r="B4" s="1060" t="s">
        <v>679</v>
      </c>
      <c r="C4" s="1061"/>
      <c r="D4" s="1061"/>
      <c r="E4" s="1061"/>
      <c r="F4" s="1061"/>
      <c r="G4" s="1061"/>
      <c r="H4" s="1061"/>
      <c r="I4" s="1061"/>
      <c r="J4" s="1062"/>
      <c r="K4" s="528" t="s">
        <v>917</v>
      </c>
      <c r="L4" s="528" t="s">
        <v>926</v>
      </c>
      <c r="M4" s="528" t="s">
        <v>927</v>
      </c>
      <c r="N4" s="559" t="s">
        <v>943</v>
      </c>
      <c r="O4" s="559" t="s">
        <v>944</v>
      </c>
      <c r="P4" s="559" t="s">
        <v>945</v>
      </c>
    </row>
    <row r="5" spans="2:16" x14ac:dyDescent="0.25">
      <c r="B5" s="1043" t="s">
        <v>235</v>
      </c>
      <c r="C5" s="1044"/>
      <c r="D5" s="1044"/>
      <c r="E5" s="1044"/>
      <c r="F5" s="1044"/>
      <c r="G5" s="1044"/>
      <c r="H5" s="1045"/>
      <c r="I5" s="126" t="s">
        <v>16</v>
      </c>
      <c r="J5" s="126" t="s">
        <v>916</v>
      </c>
      <c r="K5" s="328" t="s">
        <v>929</v>
      </c>
      <c r="L5" s="328" t="s">
        <v>929</v>
      </c>
      <c r="M5" s="328" t="s">
        <v>929</v>
      </c>
      <c r="N5" s="328" t="s">
        <v>929</v>
      </c>
      <c r="O5" s="328" t="s">
        <v>929</v>
      </c>
      <c r="P5" s="328" t="s">
        <v>929</v>
      </c>
    </row>
    <row r="6" spans="2:16" x14ac:dyDescent="0.25">
      <c r="B6" s="128">
        <v>1</v>
      </c>
      <c r="C6" s="1046" t="s">
        <v>1399</v>
      </c>
      <c r="D6" s="1047"/>
      <c r="E6" s="1047"/>
      <c r="F6" s="1047"/>
      <c r="G6" s="1047"/>
      <c r="H6" s="1048"/>
      <c r="I6" s="533">
        <f>476+204</f>
        <v>680</v>
      </c>
      <c r="J6" s="520">
        <f>IFERROR(SMALL(K6:P6,1),0)</f>
        <v>6.1547058823529408</v>
      </c>
      <c r="K6" s="534">
        <f>4185.2/I6</f>
        <v>6.1547058823529408</v>
      </c>
      <c r="L6" s="534">
        <f>4300.8/I6</f>
        <v>6.3247058823529416</v>
      </c>
      <c r="M6" s="534">
        <f>4307.6/I6</f>
        <v>6.3347058823529414</v>
      </c>
      <c r="N6" s="534"/>
      <c r="O6" s="534"/>
      <c r="P6" s="534"/>
    </row>
    <row r="7" spans="2:16" x14ac:dyDescent="0.25">
      <c r="B7" s="128">
        <v>2</v>
      </c>
      <c r="C7" s="1047"/>
      <c r="D7" s="1047"/>
      <c r="E7" s="1047"/>
      <c r="F7" s="1047"/>
      <c r="G7" s="1047"/>
      <c r="H7" s="1048"/>
      <c r="I7" s="533"/>
      <c r="J7" s="520">
        <f t="shared" ref="J7:J15" si="0">IFERROR(SMALL(K7:P7,1),0)</f>
        <v>0</v>
      </c>
      <c r="K7" s="534"/>
      <c r="L7" s="534"/>
      <c r="M7" s="534"/>
      <c r="N7" s="534"/>
      <c r="O7" s="534"/>
      <c r="P7" s="534"/>
    </row>
    <row r="8" spans="2:16" x14ac:dyDescent="0.25">
      <c r="B8" s="128">
        <v>3</v>
      </c>
      <c r="C8" s="1052"/>
      <c r="D8" s="1047"/>
      <c r="E8" s="1047"/>
      <c r="F8" s="1047"/>
      <c r="G8" s="1047"/>
      <c r="H8" s="1048"/>
      <c r="I8" s="533"/>
      <c r="J8" s="520">
        <f t="shared" si="0"/>
        <v>0</v>
      </c>
      <c r="K8" s="534"/>
      <c r="L8" s="534"/>
      <c r="M8" s="534"/>
      <c r="N8" s="534"/>
      <c r="O8" s="534"/>
      <c r="P8" s="534"/>
    </row>
    <row r="9" spans="2:16" x14ac:dyDescent="0.25">
      <c r="B9" s="128">
        <v>4</v>
      </c>
      <c r="C9" s="1047"/>
      <c r="D9" s="1047"/>
      <c r="E9" s="1047"/>
      <c r="F9" s="1047"/>
      <c r="G9" s="1047"/>
      <c r="H9" s="1048"/>
      <c r="I9" s="770"/>
      <c r="J9" s="520">
        <f t="shared" si="0"/>
        <v>0</v>
      </c>
      <c r="K9" s="534"/>
      <c r="L9" s="534"/>
      <c r="M9" s="534"/>
      <c r="N9" s="534"/>
      <c r="O9" s="534"/>
      <c r="P9" s="534"/>
    </row>
    <row r="10" spans="2:16" x14ac:dyDescent="0.25">
      <c r="B10" s="128">
        <v>5</v>
      </c>
      <c r="C10" s="1047"/>
      <c r="D10" s="1047"/>
      <c r="E10" s="1047"/>
      <c r="F10" s="1047"/>
      <c r="G10" s="1047"/>
      <c r="H10" s="1048"/>
      <c r="I10" s="533"/>
      <c r="J10" s="520">
        <f t="shared" si="0"/>
        <v>0</v>
      </c>
      <c r="K10" s="759"/>
      <c r="L10" s="759"/>
      <c r="M10" s="534"/>
      <c r="N10" s="534"/>
      <c r="O10" s="534"/>
      <c r="P10" s="534"/>
    </row>
    <row r="11" spans="2:16" x14ac:dyDescent="0.25">
      <c r="B11" s="128">
        <v>6</v>
      </c>
      <c r="C11" s="1047"/>
      <c r="D11" s="1047"/>
      <c r="E11" s="1047"/>
      <c r="F11" s="1047"/>
      <c r="G11" s="1047"/>
      <c r="H11" s="1048"/>
      <c r="I11" s="533"/>
      <c r="J11" s="520">
        <f t="shared" si="0"/>
        <v>0</v>
      </c>
      <c r="K11" s="534"/>
      <c r="L11" s="534"/>
      <c r="M11" s="534"/>
      <c r="N11" s="534"/>
      <c r="O11" s="534"/>
      <c r="P11" s="534"/>
    </row>
    <row r="12" spans="2:16" x14ac:dyDescent="0.25">
      <c r="B12" s="128">
        <v>7</v>
      </c>
      <c r="C12" s="1047"/>
      <c r="D12" s="1047"/>
      <c r="E12" s="1047"/>
      <c r="F12" s="1047"/>
      <c r="G12" s="1047"/>
      <c r="H12" s="1048"/>
      <c r="I12" s="533"/>
      <c r="J12" s="520">
        <f t="shared" si="0"/>
        <v>0</v>
      </c>
      <c r="K12" s="534"/>
      <c r="L12" s="534"/>
      <c r="M12" s="534"/>
      <c r="N12" s="534"/>
      <c r="O12" s="534"/>
      <c r="P12" s="534"/>
    </row>
    <row r="13" spans="2:16" x14ac:dyDescent="0.25">
      <c r="B13" s="128">
        <v>8</v>
      </c>
      <c r="C13" s="1047"/>
      <c r="D13" s="1047"/>
      <c r="E13" s="1047"/>
      <c r="F13" s="1047"/>
      <c r="G13" s="1047"/>
      <c r="H13" s="1048"/>
      <c r="I13" s="533"/>
      <c r="J13" s="520">
        <f t="shared" si="0"/>
        <v>0</v>
      </c>
      <c r="K13" s="534"/>
      <c r="L13" s="534"/>
      <c r="M13" s="534"/>
      <c r="N13" s="534"/>
      <c r="O13" s="534"/>
      <c r="P13" s="534"/>
    </row>
    <row r="14" spans="2:16" x14ac:dyDescent="0.25">
      <c r="B14" s="128">
        <v>9</v>
      </c>
      <c r="C14" s="1049" t="s">
        <v>267</v>
      </c>
      <c r="D14" s="1047"/>
      <c r="E14" s="1047"/>
      <c r="F14" s="1047"/>
      <c r="G14" s="1047"/>
      <c r="H14" s="1048"/>
      <c r="I14" s="533"/>
      <c r="J14" s="520">
        <f t="shared" si="0"/>
        <v>0</v>
      </c>
      <c r="K14" s="534"/>
      <c r="L14" s="534"/>
      <c r="M14" s="534"/>
      <c r="N14" s="534"/>
      <c r="O14" s="534"/>
      <c r="P14" s="534"/>
    </row>
    <row r="15" spans="2:16" x14ac:dyDescent="0.25">
      <c r="B15" s="128">
        <v>10</v>
      </c>
      <c r="C15" s="1047"/>
      <c r="D15" s="1047"/>
      <c r="E15" s="1047"/>
      <c r="F15" s="1047"/>
      <c r="G15" s="1047"/>
      <c r="H15" s="1048"/>
      <c r="I15" s="533"/>
      <c r="J15" s="520">
        <f t="shared" si="0"/>
        <v>0</v>
      </c>
      <c r="K15" s="534"/>
      <c r="L15" s="534"/>
      <c r="M15" s="534"/>
      <c r="N15" s="534"/>
      <c r="O15" s="534"/>
      <c r="P15" s="534"/>
    </row>
    <row r="16" spans="2:16" x14ac:dyDescent="0.25">
      <c r="B16" s="530"/>
      <c r="C16" s="1050" t="s">
        <v>928</v>
      </c>
      <c r="D16" s="1050"/>
      <c r="E16" s="1050"/>
      <c r="F16" s="1050"/>
      <c r="G16" s="1050"/>
      <c r="H16" s="1050"/>
      <c r="I16" s="1050"/>
      <c r="J16" s="1051"/>
      <c r="K16" s="549" t="s">
        <v>917</v>
      </c>
      <c r="L16" s="549" t="s">
        <v>926</v>
      </c>
      <c r="M16" s="549" t="s">
        <v>927</v>
      </c>
      <c r="N16" s="549" t="s">
        <v>943</v>
      </c>
      <c r="O16" s="549" t="s">
        <v>944</v>
      </c>
      <c r="P16" s="549" t="s">
        <v>945</v>
      </c>
    </row>
    <row r="17" spans="2:16" x14ac:dyDescent="0.25">
      <c r="B17" s="993" t="s">
        <v>918</v>
      </c>
      <c r="C17" s="994"/>
      <c r="D17" s="994"/>
      <c r="E17" s="994"/>
      <c r="F17" s="994"/>
      <c r="G17" s="994"/>
      <c r="H17" s="994"/>
      <c r="I17" s="994"/>
      <c r="J17" s="995"/>
      <c r="K17" s="535" t="s">
        <v>1400</v>
      </c>
      <c r="L17" s="535" t="s">
        <v>1401</v>
      </c>
      <c r="M17" s="535" t="s">
        <v>1402</v>
      </c>
      <c r="N17" s="535"/>
      <c r="O17" s="535"/>
      <c r="P17" s="535"/>
    </row>
    <row r="18" spans="2:16" x14ac:dyDescent="0.25">
      <c r="B18" s="993" t="s">
        <v>919</v>
      </c>
      <c r="C18" s="994"/>
      <c r="D18" s="994"/>
      <c r="E18" s="994"/>
      <c r="F18" s="994"/>
      <c r="G18" s="994"/>
      <c r="H18" s="994"/>
      <c r="I18" s="994"/>
      <c r="J18" s="995"/>
      <c r="K18" s="810" t="s">
        <v>1403</v>
      </c>
      <c r="L18" s="810" t="s">
        <v>1404</v>
      </c>
      <c r="M18" s="810" t="s">
        <v>1405</v>
      </c>
      <c r="N18" s="536"/>
      <c r="O18" s="536"/>
      <c r="P18" s="536"/>
    </row>
    <row r="19" spans="2:16" x14ac:dyDescent="0.25">
      <c r="B19" s="993" t="s">
        <v>920</v>
      </c>
      <c r="C19" s="994"/>
      <c r="D19" s="994"/>
      <c r="E19" s="994"/>
      <c r="F19" s="994"/>
      <c r="G19" s="994"/>
      <c r="H19" s="994"/>
      <c r="I19" s="994"/>
      <c r="J19" s="995"/>
      <c r="K19" s="537">
        <v>44728</v>
      </c>
      <c r="L19" s="537">
        <v>44728</v>
      </c>
      <c r="M19" s="537">
        <v>44728</v>
      </c>
      <c r="N19" s="537"/>
      <c r="O19" s="537"/>
      <c r="P19" s="537"/>
    </row>
    <row r="20" spans="2:16" x14ac:dyDescent="0.25">
      <c r="B20" s="993" t="s">
        <v>921</v>
      </c>
      <c r="C20" s="994"/>
      <c r="D20" s="994"/>
      <c r="E20" s="994"/>
      <c r="F20" s="994"/>
      <c r="G20" s="994"/>
      <c r="H20" s="994"/>
      <c r="I20" s="994"/>
      <c r="J20" s="995"/>
      <c r="K20" s="537">
        <v>44748</v>
      </c>
      <c r="L20" s="537">
        <v>44748</v>
      </c>
      <c r="M20" s="537">
        <v>44748</v>
      </c>
      <c r="N20" s="537"/>
      <c r="O20" s="537"/>
      <c r="P20" s="537"/>
    </row>
    <row r="21" spans="2:16" x14ac:dyDescent="0.25">
      <c r="B21" s="993" t="s">
        <v>922</v>
      </c>
      <c r="C21" s="994"/>
      <c r="D21" s="994"/>
      <c r="E21" s="994"/>
      <c r="F21" s="994"/>
      <c r="G21" s="994"/>
      <c r="H21" s="994"/>
      <c r="I21" s="994"/>
      <c r="J21" s="995"/>
      <c r="K21" s="535" t="s">
        <v>1406</v>
      </c>
      <c r="L21" s="535" t="s">
        <v>1407</v>
      </c>
      <c r="M21" s="535" t="s">
        <v>1408</v>
      </c>
      <c r="N21" s="535"/>
      <c r="O21" s="535"/>
      <c r="P21" s="535"/>
    </row>
    <row r="22" spans="2:16" x14ac:dyDescent="0.25">
      <c r="B22" s="993" t="s">
        <v>923</v>
      </c>
      <c r="C22" s="994"/>
      <c r="D22" s="994"/>
      <c r="E22" s="994"/>
      <c r="F22" s="994"/>
      <c r="G22" s="994"/>
      <c r="H22" s="994"/>
      <c r="I22" s="994"/>
      <c r="J22" s="995"/>
      <c r="K22" s="811" t="s">
        <v>1409</v>
      </c>
      <c r="L22" s="811" t="s">
        <v>1410</v>
      </c>
      <c r="M22" s="811" t="s">
        <v>1411</v>
      </c>
      <c r="N22" s="538"/>
      <c r="O22" s="538"/>
      <c r="P22" s="538"/>
    </row>
    <row r="23" spans="2:16" x14ac:dyDescent="0.25">
      <c r="B23" s="993" t="s">
        <v>924</v>
      </c>
      <c r="C23" s="994"/>
      <c r="D23" s="994"/>
      <c r="E23" s="994"/>
      <c r="F23" s="994"/>
      <c r="G23" s="994"/>
      <c r="H23" s="994"/>
      <c r="I23" s="994"/>
      <c r="J23" s="995"/>
      <c r="K23" s="539" t="s">
        <v>1412</v>
      </c>
      <c r="L23" s="539" t="s">
        <v>1413</v>
      </c>
      <c r="M23" s="539" t="s">
        <v>1414</v>
      </c>
      <c r="N23" s="539"/>
      <c r="O23" s="539"/>
      <c r="P23" s="539"/>
    </row>
    <row r="24" spans="2:16" x14ac:dyDescent="0.25">
      <c r="B24" s="1008" t="s">
        <v>925</v>
      </c>
      <c r="C24" s="1009"/>
      <c r="D24" s="1009"/>
      <c r="E24" s="1009"/>
      <c r="F24" s="1009"/>
      <c r="G24" s="1009"/>
      <c r="H24" s="1009"/>
      <c r="I24" s="1009"/>
      <c r="J24" s="1010"/>
      <c r="K24" s="531" t="s">
        <v>915</v>
      </c>
      <c r="L24" s="532"/>
      <c r="M24" s="532"/>
      <c r="N24" s="531" t="s">
        <v>915</v>
      </c>
      <c r="O24" s="532"/>
      <c r="P24" s="532"/>
    </row>
    <row r="25" spans="2:16" x14ac:dyDescent="0.25">
      <c r="B25" s="1060" t="s">
        <v>681</v>
      </c>
      <c r="C25" s="1061"/>
      <c r="D25" s="1061"/>
      <c r="E25" s="1061"/>
      <c r="F25" s="1061"/>
      <c r="G25" s="1061"/>
      <c r="H25" s="1061"/>
      <c r="I25" s="1061"/>
      <c r="J25" s="1062"/>
      <c r="K25" s="528" t="s">
        <v>917</v>
      </c>
      <c r="L25" s="528" t="s">
        <v>926</v>
      </c>
      <c r="M25" s="528" t="s">
        <v>927</v>
      </c>
      <c r="N25" s="559" t="s">
        <v>943</v>
      </c>
      <c r="O25" s="559" t="s">
        <v>944</v>
      </c>
      <c r="P25" s="559" t="s">
        <v>945</v>
      </c>
    </row>
    <row r="26" spans="2:16" x14ac:dyDescent="0.25">
      <c r="B26" s="1043" t="s">
        <v>235</v>
      </c>
      <c r="C26" s="1044"/>
      <c r="D26" s="1044"/>
      <c r="E26" s="1044"/>
      <c r="F26" s="1044"/>
      <c r="G26" s="1044"/>
      <c r="H26" s="1045"/>
      <c r="I26" s="126" t="s">
        <v>16</v>
      </c>
      <c r="J26" s="126" t="s">
        <v>916</v>
      </c>
      <c r="K26" s="328" t="s">
        <v>929</v>
      </c>
      <c r="L26" s="328" t="s">
        <v>929</v>
      </c>
      <c r="M26" s="328" t="s">
        <v>929</v>
      </c>
      <c r="N26" s="328" t="s">
        <v>929</v>
      </c>
      <c r="O26" s="328" t="s">
        <v>929</v>
      </c>
      <c r="P26" s="328" t="s">
        <v>929</v>
      </c>
    </row>
    <row r="27" spans="2:16" x14ac:dyDescent="0.25">
      <c r="B27" s="128">
        <v>1</v>
      </c>
      <c r="C27" s="1053"/>
      <c r="D27" s="1047"/>
      <c r="E27" s="1047"/>
      <c r="F27" s="1047"/>
      <c r="G27" s="1047"/>
      <c r="H27" s="1048"/>
      <c r="I27" s="533"/>
      <c r="J27" s="520">
        <f>IFERROR(SMALL(K27:P27,1),0)</f>
        <v>0</v>
      </c>
      <c r="K27" s="534"/>
      <c r="L27" s="534"/>
      <c r="M27" s="534"/>
      <c r="N27" s="534"/>
      <c r="O27" s="534"/>
      <c r="P27" s="534"/>
    </row>
    <row r="28" spans="2:16" x14ac:dyDescent="0.25">
      <c r="B28" s="128">
        <v>2</v>
      </c>
      <c r="C28" s="1047"/>
      <c r="D28" s="1047"/>
      <c r="E28" s="1047"/>
      <c r="F28" s="1047"/>
      <c r="G28" s="1047"/>
      <c r="H28" s="1048"/>
      <c r="I28" s="533"/>
      <c r="J28" s="520">
        <f t="shared" ref="J28:J36" si="1">IFERROR(SMALL(K28:P28,1),0)</f>
        <v>0</v>
      </c>
      <c r="K28" s="534"/>
      <c r="L28" s="534"/>
      <c r="M28" s="534"/>
      <c r="N28" s="534"/>
      <c r="O28" s="534"/>
      <c r="P28" s="534"/>
    </row>
    <row r="29" spans="2:16" x14ac:dyDescent="0.25">
      <c r="B29" s="128">
        <v>3</v>
      </c>
      <c r="C29" s="1047"/>
      <c r="D29" s="1047"/>
      <c r="E29" s="1047"/>
      <c r="F29" s="1047"/>
      <c r="G29" s="1047"/>
      <c r="H29" s="1048"/>
      <c r="I29" s="533"/>
      <c r="J29" s="520">
        <f t="shared" si="1"/>
        <v>0</v>
      </c>
      <c r="K29" s="534"/>
      <c r="L29" s="534"/>
      <c r="M29" s="534"/>
      <c r="N29" s="534"/>
      <c r="O29" s="534"/>
      <c r="P29" s="534"/>
    </row>
    <row r="30" spans="2:16" x14ac:dyDescent="0.25">
      <c r="B30" s="128">
        <v>4</v>
      </c>
      <c r="C30" s="1052"/>
      <c r="D30" s="1047"/>
      <c r="E30" s="1047"/>
      <c r="F30" s="1047"/>
      <c r="G30" s="1047"/>
      <c r="H30" s="1048"/>
      <c r="I30" s="533"/>
      <c r="J30" s="520">
        <f t="shared" si="1"/>
        <v>0</v>
      </c>
      <c r="K30" s="534"/>
      <c r="L30" s="534"/>
      <c r="M30" s="759" t="s">
        <v>267</v>
      </c>
      <c r="N30" s="534"/>
      <c r="O30" s="534"/>
      <c r="P30" s="534"/>
    </row>
    <row r="31" spans="2:16" x14ac:dyDescent="0.25">
      <c r="B31" s="128">
        <v>5</v>
      </c>
      <c r="C31" s="1054"/>
      <c r="D31" s="1047"/>
      <c r="E31" s="1047"/>
      <c r="F31" s="1047"/>
      <c r="G31" s="1047"/>
      <c r="H31" s="1048"/>
      <c r="I31" s="533"/>
      <c r="J31" s="520">
        <f t="shared" si="1"/>
        <v>0</v>
      </c>
      <c r="K31" s="759"/>
      <c r="L31" s="534"/>
      <c r="M31" s="534"/>
      <c r="N31" s="534"/>
      <c r="O31" s="534"/>
      <c r="P31" s="534"/>
    </row>
    <row r="32" spans="2:16" x14ac:dyDescent="0.25">
      <c r="B32" s="128">
        <v>6</v>
      </c>
      <c r="C32" s="1047"/>
      <c r="D32" s="1047"/>
      <c r="E32" s="1047"/>
      <c r="F32" s="1047"/>
      <c r="G32" s="1047"/>
      <c r="H32" s="1048"/>
      <c r="I32" s="533"/>
      <c r="J32" s="520">
        <f t="shared" si="1"/>
        <v>0</v>
      </c>
      <c r="K32" s="759"/>
      <c r="L32" s="759"/>
      <c r="M32" s="534"/>
      <c r="N32" s="534"/>
      <c r="O32" s="534"/>
      <c r="P32" s="534"/>
    </row>
    <row r="33" spans="2:16" x14ac:dyDescent="0.25">
      <c r="B33" s="128">
        <v>7</v>
      </c>
      <c r="C33" s="1047"/>
      <c r="D33" s="1047"/>
      <c r="E33" s="1047"/>
      <c r="F33" s="1047"/>
      <c r="G33" s="1047"/>
      <c r="H33" s="1048"/>
      <c r="I33" s="533"/>
      <c r="J33" s="520">
        <f t="shared" si="1"/>
        <v>0</v>
      </c>
      <c r="K33" s="534"/>
      <c r="L33" s="534"/>
      <c r="M33" s="534"/>
      <c r="N33" s="534"/>
      <c r="O33" s="534"/>
      <c r="P33" s="534"/>
    </row>
    <row r="34" spans="2:16" x14ac:dyDescent="0.25">
      <c r="B34" s="128">
        <v>8</v>
      </c>
      <c r="C34" s="1047"/>
      <c r="D34" s="1047"/>
      <c r="E34" s="1047"/>
      <c r="F34" s="1047"/>
      <c r="G34" s="1047"/>
      <c r="H34" s="1048"/>
      <c r="I34" s="533"/>
      <c r="J34" s="520">
        <f t="shared" si="1"/>
        <v>0</v>
      </c>
      <c r="K34" s="534"/>
      <c r="L34" s="534"/>
      <c r="M34" s="534"/>
      <c r="N34" s="534"/>
      <c r="O34" s="534"/>
      <c r="P34" s="534"/>
    </row>
    <row r="35" spans="2:16" x14ac:dyDescent="0.25">
      <c r="B35" s="128">
        <v>9</v>
      </c>
      <c r="C35" s="1047"/>
      <c r="D35" s="1047"/>
      <c r="E35" s="1047"/>
      <c r="F35" s="1047"/>
      <c r="G35" s="1047"/>
      <c r="H35" s="1048"/>
      <c r="I35" s="533"/>
      <c r="J35" s="520">
        <f t="shared" si="1"/>
        <v>0</v>
      </c>
      <c r="K35" s="534"/>
      <c r="L35" s="534"/>
      <c r="M35" s="534"/>
      <c r="N35" s="534"/>
      <c r="O35" s="534"/>
      <c r="P35" s="534"/>
    </row>
    <row r="36" spans="2:16" x14ac:dyDescent="0.25">
      <c r="B36" s="128">
        <v>10</v>
      </c>
      <c r="C36" s="1047"/>
      <c r="D36" s="1047"/>
      <c r="E36" s="1047"/>
      <c r="F36" s="1047"/>
      <c r="G36" s="1047"/>
      <c r="H36" s="1048"/>
      <c r="I36" s="533"/>
      <c r="J36" s="520">
        <f t="shared" si="1"/>
        <v>0</v>
      </c>
      <c r="K36" s="534"/>
      <c r="L36" s="534"/>
      <c r="M36" s="534"/>
      <c r="N36" s="534"/>
      <c r="O36" s="534"/>
      <c r="P36" s="534"/>
    </row>
    <row r="37" spans="2:16" x14ac:dyDescent="0.25">
      <c r="B37" s="530"/>
      <c r="C37" s="1050" t="s">
        <v>928</v>
      </c>
      <c r="D37" s="1050"/>
      <c r="E37" s="1050"/>
      <c r="F37" s="1050"/>
      <c r="G37" s="1050"/>
      <c r="H37" s="1050"/>
      <c r="I37" s="1050"/>
      <c r="J37" s="1051"/>
      <c r="K37" s="549" t="s">
        <v>917</v>
      </c>
      <c r="L37" s="549" t="s">
        <v>926</v>
      </c>
      <c r="M37" s="549" t="s">
        <v>927</v>
      </c>
      <c r="N37" s="549" t="s">
        <v>943</v>
      </c>
      <c r="O37" s="549" t="s">
        <v>944</v>
      </c>
      <c r="P37" s="549" t="s">
        <v>945</v>
      </c>
    </row>
    <row r="38" spans="2:16" x14ac:dyDescent="0.25">
      <c r="B38" s="993" t="s">
        <v>918</v>
      </c>
      <c r="C38" s="994"/>
      <c r="D38" s="994"/>
      <c r="E38" s="994"/>
      <c r="F38" s="994"/>
      <c r="G38" s="994"/>
      <c r="H38" s="994"/>
      <c r="I38" s="994"/>
      <c r="J38" s="995"/>
      <c r="K38" s="535"/>
      <c r="L38" s="535"/>
      <c r="M38" s="535"/>
      <c r="N38" s="535"/>
      <c r="O38" s="535"/>
      <c r="P38" s="535"/>
    </row>
    <row r="39" spans="2:16" x14ac:dyDescent="0.25">
      <c r="B39" s="993" t="s">
        <v>919</v>
      </c>
      <c r="C39" s="994"/>
      <c r="D39" s="994"/>
      <c r="E39" s="994"/>
      <c r="F39" s="994"/>
      <c r="G39" s="994"/>
      <c r="H39" s="994"/>
      <c r="I39" s="994"/>
      <c r="J39" s="995"/>
      <c r="K39" s="536"/>
      <c r="L39" s="536"/>
      <c r="M39" s="536"/>
      <c r="N39" s="536"/>
      <c r="O39" s="536"/>
      <c r="P39" s="536"/>
    </row>
    <row r="40" spans="2:16" x14ac:dyDescent="0.25">
      <c r="B40" s="993" t="s">
        <v>920</v>
      </c>
      <c r="C40" s="994"/>
      <c r="D40" s="994"/>
      <c r="E40" s="994"/>
      <c r="F40" s="994"/>
      <c r="G40" s="994"/>
      <c r="H40" s="994"/>
      <c r="I40" s="994"/>
      <c r="J40" s="995"/>
      <c r="K40" s="537"/>
      <c r="L40" s="537"/>
      <c r="M40" s="537"/>
      <c r="N40" s="537"/>
      <c r="O40" s="537"/>
      <c r="P40" s="537"/>
    </row>
    <row r="41" spans="2:16" x14ac:dyDescent="0.25">
      <c r="B41" s="993" t="s">
        <v>921</v>
      </c>
      <c r="C41" s="994"/>
      <c r="D41" s="994"/>
      <c r="E41" s="994"/>
      <c r="F41" s="994"/>
      <c r="G41" s="994"/>
      <c r="H41" s="994"/>
      <c r="I41" s="994"/>
      <c r="J41" s="995"/>
      <c r="K41" s="537"/>
      <c r="L41" s="537"/>
      <c r="M41" s="537"/>
      <c r="N41" s="537"/>
      <c r="O41" s="537"/>
      <c r="P41" s="537"/>
    </row>
    <row r="42" spans="2:16" x14ac:dyDescent="0.25">
      <c r="B42" s="993" t="s">
        <v>922</v>
      </c>
      <c r="C42" s="994"/>
      <c r="D42" s="994"/>
      <c r="E42" s="994"/>
      <c r="F42" s="994"/>
      <c r="G42" s="994"/>
      <c r="H42" s="994"/>
      <c r="I42" s="994"/>
      <c r="J42" s="995"/>
      <c r="K42" s="769"/>
      <c r="L42" s="769"/>
      <c r="M42" s="535"/>
      <c r="N42" s="535"/>
      <c r="O42" s="535"/>
      <c r="P42" s="535"/>
    </row>
    <row r="43" spans="2:16" x14ac:dyDescent="0.25">
      <c r="B43" s="993" t="s">
        <v>923</v>
      </c>
      <c r="C43" s="994"/>
      <c r="D43" s="994"/>
      <c r="E43" s="994"/>
      <c r="F43" s="994"/>
      <c r="G43" s="994"/>
      <c r="H43" s="994"/>
      <c r="I43" s="994"/>
      <c r="J43" s="995"/>
      <c r="K43" s="538"/>
      <c r="L43" s="538"/>
      <c r="M43" s="538"/>
      <c r="N43" s="538"/>
      <c r="O43" s="538"/>
      <c r="P43" s="538"/>
    </row>
    <row r="44" spans="2:16" x14ac:dyDescent="0.25">
      <c r="B44" s="993" t="s">
        <v>924</v>
      </c>
      <c r="C44" s="994"/>
      <c r="D44" s="994"/>
      <c r="E44" s="994"/>
      <c r="F44" s="994"/>
      <c r="G44" s="994"/>
      <c r="H44" s="994"/>
      <c r="I44" s="994"/>
      <c r="J44" s="995"/>
      <c r="K44" s="539"/>
      <c r="L44" s="539"/>
      <c r="M44" s="539"/>
      <c r="N44" s="539"/>
      <c r="O44" s="539"/>
      <c r="P44" s="539"/>
    </row>
    <row r="45" spans="2:16" x14ac:dyDescent="0.25">
      <c r="B45" s="1008" t="s">
        <v>925</v>
      </c>
      <c r="C45" s="1009"/>
      <c r="D45" s="1009"/>
      <c r="E45" s="1009"/>
      <c r="F45" s="1009"/>
      <c r="G45" s="1009"/>
      <c r="H45" s="1009"/>
      <c r="I45" s="1009"/>
      <c r="J45" s="1010"/>
      <c r="K45" s="531" t="s">
        <v>915</v>
      </c>
      <c r="L45" s="532"/>
      <c r="M45" s="532"/>
      <c r="N45" s="531" t="s">
        <v>915</v>
      </c>
      <c r="O45" s="532"/>
      <c r="P45" s="532"/>
    </row>
    <row r="46" spans="2:16" x14ac:dyDescent="0.25">
      <c r="B46" s="1060" t="s">
        <v>682</v>
      </c>
      <c r="C46" s="1061"/>
      <c r="D46" s="1061"/>
      <c r="E46" s="1061"/>
      <c r="F46" s="1061"/>
      <c r="G46" s="1061"/>
      <c r="H46" s="1061"/>
      <c r="I46" s="1061"/>
      <c r="J46" s="1062"/>
      <c r="K46" s="528" t="s">
        <v>917</v>
      </c>
      <c r="L46" s="528" t="s">
        <v>926</v>
      </c>
      <c r="M46" s="528" t="s">
        <v>927</v>
      </c>
      <c r="N46" s="559" t="s">
        <v>943</v>
      </c>
      <c r="O46" s="559" t="s">
        <v>944</v>
      </c>
      <c r="P46" s="559" t="s">
        <v>945</v>
      </c>
    </row>
    <row r="47" spans="2:16" x14ac:dyDescent="0.25">
      <c r="B47" s="1043" t="s">
        <v>235</v>
      </c>
      <c r="C47" s="1044"/>
      <c r="D47" s="1044"/>
      <c r="E47" s="1044"/>
      <c r="F47" s="1044"/>
      <c r="G47" s="1044"/>
      <c r="H47" s="1045"/>
      <c r="I47" s="126" t="s">
        <v>16</v>
      </c>
      <c r="J47" s="126" t="s">
        <v>916</v>
      </c>
      <c r="K47" s="328" t="s">
        <v>929</v>
      </c>
      <c r="L47" s="328" t="s">
        <v>929</v>
      </c>
      <c r="M47" s="328" t="s">
        <v>929</v>
      </c>
      <c r="N47" s="328" t="s">
        <v>929</v>
      </c>
      <c r="O47" s="328" t="s">
        <v>929</v>
      </c>
      <c r="P47" s="328" t="s">
        <v>929</v>
      </c>
    </row>
    <row r="48" spans="2:16" x14ac:dyDescent="0.25">
      <c r="B48" s="128">
        <v>1</v>
      </c>
      <c r="C48" s="1052"/>
      <c r="D48" s="1063"/>
      <c r="E48" s="1063"/>
      <c r="F48" s="1063"/>
      <c r="G48" s="1063"/>
      <c r="H48" s="1064"/>
      <c r="I48" s="770"/>
      <c r="J48" s="520">
        <f>IFERROR(SMALL(K48:P48,1),0)</f>
        <v>0</v>
      </c>
      <c r="K48" s="534"/>
      <c r="L48" s="534"/>
      <c r="M48" s="534"/>
      <c r="N48" s="534"/>
      <c r="O48" s="534"/>
      <c r="P48" s="534"/>
    </row>
    <row r="49" spans="2:16" x14ac:dyDescent="0.25">
      <c r="B49" s="128">
        <v>2</v>
      </c>
      <c r="C49" s="1047"/>
      <c r="D49" s="1047"/>
      <c r="E49" s="1047"/>
      <c r="F49" s="1047"/>
      <c r="G49" s="1047"/>
      <c r="H49" s="1048"/>
      <c r="I49" s="533"/>
      <c r="J49" s="520">
        <f>IFERROR(SMALL(K49:P49,1),0)</f>
        <v>0</v>
      </c>
      <c r="K49" s="759"/>
      <c r="L49" s="534"/>
      <c r="M49" s="534"/>
      <c r="N49" s="534"/>
      <c r="O49" s="534"/>
      <c r="P49" s="534"/>
    </row>
    <row r="50" spans="2:16" x14ac:dyDescent="0.25">
      <c r="B50" s="128">
        <v>3</v>
      </c>
      <c r="C50" s="1047"/>
      <c r="D50" s="1047"/>
      <c r="E50" s="1047"/>
      <c r="F50" s="1047"/>
      <c r="G50" s="1047"/>
      <c r="H50" s="1048"/>
      <c r="I50" s="533"/>
      <c r="J50" s="520">
        <f t="shared" ref="J50:J57" si="2">IFERROR(SMALL(K50:P50,1),0)</f>
        <v>0</v>
      </c>
      <c r="K50" s="534"/>
      <c r="L50" s="771"/>
      <c r="M50" s="534"/>
      <c r="N50" s="534"/>
      <c r="O50" s="534"/>
      <c r="P50" s="534"/>
    </row>
    <row r="51" spans="2:16" x14ac:dyDescent="0.25">
      <c r="B51" s="128">
        <v>4</v>
      </c>
      <c r="C51" s="1047"/>
      <c r="D51" s="1047"/>
      <c r="E51" s="1047"/>
      <c r="F51" s="1047"/>
      <c r="G51" s="1047"/>
      <c r="H51" s="1048"/>
      <c r="I51" s="533"/>
      <c r="J51" s="520">
        <f t="shared" si="2"/>
        <v>0</v>
      </c>
      <c r="K51" s="534"/>
      <c r="L51" s="534"/>
      <c r="M51" s="534"/>
      <c r="N51" s="534"/>
      <c r="O51" s="534"/>
      <c r="P51" s="534"/>
    </row>
    <row r="52" spans="2:16" x14ac:dyDescent="0.25">
      <c r="B52" s="128">
        <v>5</v>
      </c>
      <c r="C52" s="1047"/>
      <c r="D52" s="1047"/>
      <c r="E52" s="1047"/>
      <c r="F52" s="1047"/>
      <c r="G52" s="1047"/>
      <c r="H52" s="1048"/>
      <c r="I52" s="533"/>
      <c r="J52" s="520">
        <f t="shared" si="2"/>
        <v>0</v>
      </c>
      <c r="K52" s="534"/>
      <c r="L52" s="534"/>
      <c r="M52" s="534"/>
      <c r="N52" s="534"/>
      <c r="O52" s="534"/>
      <c r="P52" s="534"/>
    </row>
    <row r="53" spans="2:16" x14ac:dyDescent="0.25">
      <c r="B53" s="128">
        <v>6</v>
      </c>
      <c r="C53" s="1047"/>
      <c r="D53" s="1047"/>
      <c r="E53" s="1047"/>
      <c r="F53" s="1047"/>
      <c r="G53" s="1047"/>
      <c r="H53" s="1048"/>
      <c r="I53" s="533"/>
      <c r="J53" s="520">
        <f t="shared" si="2"/>
        <v>0</v>
      </c>
      <c r="K53" s="534"/>
      <c r="L53" s="534"/>
      <c r="M53" s="534"/>
      <c r="N53" s="534"/>
      <c r="O53" s="534"/>
      <c r="P53" s="534"/>
    </row>
    <row r="54" spans="2:16" x14ac:dyDescent="0.25">
      <c r="B54" s="128">
        <v>7</v>
      </c>
      <c r="C54" s="1047"/>
      <c r="D54" s="1047"/>
      <c r="E54" s="1047"/>
      <c r="F54" s="1047"/>
      <c r="G54" s="1047"/>
      <c r="H54" s="1048"/>
      <c r="I54" s="533"/>
      <c r="J54" s="520">
        <f t="shared" si="2"/>
        <v>0</v>
      </c>
      <c r="K54" s="534"/>
      <c r="L54" s="534"/>
      <c r="M54" s="534"/>
      <c r="N54" s="534"/>
      <c r="O54" s="534"/>
      <c r="P54" s="534"/>
    </row>
    <row r="55" spans="2:16" x14ac:dyDescent="0.25">
      <c r="B55" s="128">
        <v>8</v>
      </c>
      <c r="C55" s="1047"/>
      <c r="D55" s="1047"/>
      <c r="E55" s="1047"/>
      <c r="F55" s="1047"/>
      <c r="G55" s="1047"/>
      <c r="H55" s="1048"/>
      <c r="I55" s="533"/>
      <c r="J55" s="520">
        <f t="shared" si="2"/>
        <v>0</v>
      </c>
      <c r="K55" s="534"/>
      <c r="L55" s="534"/>
      <c r="M55" s="534"/>
      <c r="N55" s="534"/>
      <c r="O55" s="534"/>
      <c r="P55" s="534"/>
    </row>
    <row r="56" spans="2:16" x14ac:dyDescent="0.25">
      <c r="B56" s="128">
        <v>9</v>
      </c>
      <c r="C56" s="1047"/>
      <c r="D56" s="1047"/>
      <c r="E56" s="1047"/>
      <c r="F56" s="1047"/>
      <c r="G56" s="1047"/>
      <c r="H56" s="1048"/>
      <c r="I56" s="533"/>
      <c r="J56" s="520">
        <f t="shared" si="2"/>
        <v>0</v>
      </c>
      <c r="K56" s="534"/>
      <c r="L56" s="534"/>
      <c r="M56" s="534"/>
      <c r="N56" s="534"/>
      <c r="O56" s="534"/>
      <c r="P56" s="534"/>
    </row>
    <row r="57" spans="2:16" x14ac:dyDescent="0.25">
      <c r="B57" s="128">
        <v>10</v>
      </c>
      <c r="C57" s="1047"/>
      <c r="D57" s="1047"/>
      <c r="E57" s="1047"/>
      <c r="F57" s="1047"/>
      <c r="G57" s="1047"/>
      <c r="H57" s="1048"/>
      <c r="I57" s="533"/>
      <c r="J57" s="520">
        <f t="shared" si="2"/>
        <v>0</v>
      </c>
      <c r="K57" s="534"/>
      <c r="L57" s="534"/>
      <c r="M57" s="534"/>
      <c r="N57" s="534"/>
      <c r="O57" s="534"/>
      <c r="P57" s="534"/>
    </row>
    <row r="58" spans="2:16" x14ac:dyDescent="0.25">
      <c r="B58" s="530"/>
      <c r="C58" s="1050" t="s">
        <v>928</v>
      </c>
      <c r="D58" s="1050"/>
      <c r="E58" s="1050"/>
      <c r="F58" s="1050"/>
      <c r="G58" s="1050"/>
      <c r="H58" s="1050"/>
      <c r="I58" s="1050"/>
      <c r="J58" s="1051"/>
      <c r="K58" s="549" t="s">
        <v>917</v>
      </c>
      <c r="L58" s="549" t="s">
        <v>926</v>
      </c>
      <c r="M58" s="549" t="s">
        <v>927</v>
      </c>
      <c r="N58" s="549" t="s">
        <v>943</v>
      </c>
      <c r="O58" s="549" t="s">
        <v>944</v>
      </c>
      <c r="P58" s="549" t="s">
        <v>945</v>
      </c>
    </row>
    <row r="59" spans="2:16" x14ac:dyDescent="0.25">
      <c r="B59" s="993" t="s">
        <v>918</v>
      </c>
      <c r="C59" s="994"/>
      <c r="D59" s="994"/>
      <c r="E59" s="994"/>
      <c r="F59" s="994"/>
      <c r="G59" s="994"/>
      <c r="H59" s="994"/>
      <c r="I59" s="994"/>
      <c r="J59" s="995"/>
      <c r="K59" s="535"/>
      <c r="L59" s="535"/>
      <c r="M59" s="535"/>
      <c r="N59" s="535"/>
      <c r="O59" s="535"/>
      <c r="P59" s="535"/>
    </row>
    <row r="60" spans="2:16" x14ac:dyDescent="0.25">
      <c r="B60" s="993" t="s">
        <v>919</v>
      </c>
      <c r="C60" s="994"/>
      <c r="D60" s="994"/>
      <c r="E60" s="994"/>
      <c r="F60" s="994"/>
      <c r="G60" s="994"/>
      <c r="H60" s="994"/>
      <c r="I60" s="994"/>
      <c r="J60" s="995"/>
      <c r="K60" s="536"/>
      <c r="L60" s="536"/>
      <c r="M60" s="536"/>
      <c r="N60" s="536"/>
      <c r="O60" s="536"/>
      <c r="P60" s="536"/>
    </row>
    <row r="61" spans="2:16" x14ac:dyDescent="0.25">
      <c r="B61" s="993" t="s">
        <v>920</v>
      </c>
      <c r="C61" s="994"/>
      <c r="D61" s="994"/>
      <c r="E61" s="994"/>
      <c r="F61" s="994"/>
      <c r="G61" s="994"/>
      <c r="H61" s="994"/>
      <c r="I61" s="994"/>
      <c r="J61" s="995"/>
      <c r="K61" s="537"/>
      <c r="L61" s="537"/>
      <c r="M61" s="537"/>
      <c r="N61" s="537"/>
      <c r="O61" s="537"/>
      <c r="P61" s="537"/>
    </row>
    <row r="62" spans="2:16" x14ac:dyDescent="0.25">
      <c r="B62" s="993" t="s">
        <v>921</v>
      </c>
      <c r="C62" s="994"/>
      <c r="D62" s="994"/>
      <c r="E62" s="994"/>
      <c r="F62" s="994"/>
      <c r="G62" s="994"/>
      <c r="H62" s="994"/>
      <c r="I62" s="994"/>
      <c r="J62" s="995"/>
      <c r="K62" s="537"/>
      <c r="L62" s="537"/>
      <c r="M62" s="537"/>
      <c r="N62" s="537"/>
      <c r="O62" s="537"/>
      <c r="P62" s="537"/>
    </row>
    <row r="63" spans="2:16" x14ac:dyDescent="0.25">
      <c r="B63" s="993" t="s">
        <v>922</v>
      </c>
      <c r="C63" s="994"/>
      <c r="D63" s="994"/>
      <c r="E63" s="994"/>
      <c r="F63" s="994"/>
      <c r="G63" s="994"/>
      <c r="H63" s="994"/>
      <c r="I63" s="994"/>
      <c r="J63" s="995"/>
      <c r="K63" s="535"/>
      <c r="L63" s="535"/>
      <c r="M63" s="535"/>
      <c r="N63" s="535"/>
      <c r="O63" s="535"/>
      <c r="P63" s="535"/>
    </row>
    <row r="64" spans="2:16" x14ac:dyDescent="0.25">
      <c r="B64" s="993" t="s">
        <v>923</v>
      </c>
      <c r="C64" s="994"/>
      <c r="D64" s="994"/>
      <c r="E64" s="994"/>
      <c r="F64" s="994"/>
      <c r="G64" s="994"/>
      <c r="H64" s="994"/>
      <c r="I64" s="994"/>
      <c r="J64" s="995"/>
      <c r="K64" s="538"/>
      <c r="L64" s="538"/>
      <c r="M64" s="538"/>
      <c r="N64" s="538"/>
      <c r="O64" s="538"/>
      <c r="P64" s="538"/>
    </row>
    <row r="65" spans="2:16" x14ac:dyDescent="0.25">
      <c r="B65" s="993" t="s">
        <v>924</v>
      </c>
      <c r="C65" s="994"/>
      <c r="D65" s="994"/>
      <c r="E65" s="994"/>
      <c r="F65" s="994"/>
      <c r="G65" s="994"/>
      <c r="H65" s="994"/>
      <c r="I65" s="994"/>
      <c r="J65" s="995"/>
      <c r="K65" s="539"/>
      <c r="L65" s="539"/>
      <c r="M65" s="539"/>
      <c r="N65" s="539"/>
      <c r="O65" s="539"/>
      <c r="P65" s="539"/>
    </row>
    <row r="66" spans="2:16" x14ac:dyDescent="0.25">
      <c r="B66" s="1008" t="s">
        <v>925</v>
      </c>
      <c r="C66" s="1009"/>
      <c r="D66" s="1009"/>
      <c r="E66" s="1009"/>
      <c r="F66" s="1009"/>
      <c r="G66" s="1009"/>
      <c r="H66" s="1009"/>
      <c r="I66" s="1009"/>
      <c r="J66" s="1010"/>
      <c r="K66" s="531" t="s">
        <v>915</v>
      </c>
      <c r="L66" s="532"/>
      <c r="M66" s="532"/>
      <c r="N66" s="531" t="s">
        <v>915</v>
      </c>
      <c r="O66" s="532"/>
      <c r="P66" s="532"/>
    </row>
    <row r="67" spans="2:16" x14ac:dyDescent="0.25">
      <c r="B67" s="1060" t="s">
        <v>683</v>
      </c>
      <c r="C67" s="1061"/>
      <c r="D67" s="1061"/>
      <c r="E67" s="1061"/>
      <c r="F67" s="1061"/>
      <c r="G67" s="1061"/>
      <c r="H67" s="1061"/>
      <c r="I67" s="1061"/>
      <c r="J67" s="1062"/>
      <c r="K67" s="528" t="s">
        <v>917</v>
      </c>
      <c r="L67" s="528" t="s">
        <v>926</v>
      </c>
      <c r="M67" s="528" t="s">
        <v>927</v>
      </c>
      <c r="N67" s="559" t="s">
        <v>943</v>
      </c>
      <c r="O67" s="559" t="s">
        <v>944</v>
      </c>
      <c r="P67" s="559" t="s">
        <v>945</v>
      </c>
    </row>
    <row r="68" spans="2:16" x14ac:dyDescent="0.25">
      <c r="B68" s="1043" t="s">
        <v>235</v>
      </c>
      <c r="C68" s="1044"/>
      <c r="D68" s="1044"/>
      <c r="E68" s="1044"/>
      <c r="F68" s="1044"/>
      <c r="G68" s="1044"/>
      <c r="H68" s="1045"/>
      <c r="I68" s="126" t="s">
        <v>16</v>
      </c>
      <c r="J68" s="126" t="s">
        <v>916</v>
      </c>
      <c r="K68" s="328" t="s">
        <v>929</v>
      </c>
      <c r="L68" s="328" t="s">
        <v>929</v>
      </c>
      <c r="M68" s="328" t="s">
        <v>929</v>
      </c>
      <c r="N68" s="328" t="s">
        <v>929</v>
      </c>
      <c r="O68" s="328" t="s">
        <v>929</v>
      </c>
      <c r="P68" s="328" t="s">
        <v>929</v>
      </c>
    </row>
    <row r="69" spans="2:16" x14ac:dyDescent="0.25">
      <c r="B69" s="128">
        <v>1</v>
      </c>
      <c r="C69" s="1053"/>
      <c r="D69" s="1047"/>
      <c r="E69" s="1047"/>
      <c r="F69" s="1047"/>
      <c r="G69" s="1047"/>
      <c r="H69" s="1048"/>
      <c r="I69" s="533"/>
      <c r="J69" s="520">
        <f>IFERROR(SMALL(K69:P69,1),0)</f>
        <v>0</v>
      </c>
      <c r="K69" s="534"/>
      <c r="L69" s="534"/>
      <c r="M69" s="534"/>
      <c r="N69" s="534"/>
      <c r="O69" s="534"/>
      <c r="P69" s="534"/>
    </row>
    <row r="70" spans="2:16" x14ac:dyDescent="0.25">
      <c r="B70" s="128">
        <v>2</v>
      </c>
      <c r="C70" s="1047"/>
      <c r="D70" s="1047"/>
      <c r="E70" s="1047"/>
      <c r="F70" s="1047"/>
      <c r="G70" s="1047"/>
      <c r="H70" s="1048"/>
      <c r="I70" s="533"/>
      <c r="J70" s="520">
        <f t="shared" ref="J70:J78" si="3">IFERROR(SMALL(K70:P70,1),0)</f>
        <v>0</v>
      </c>
      <c r="K70" s="534"/>
      <c r="L70" s="534"/>
      <c r="M70" s="534"/>
      <c r="N70" s="534"/>
      <c r="O70" s="534"/>
      <c r="P70" s="534"/>
    </row>
    <row r="71" spans="2:16" x14ac:dyDescent="0.25">
      <c r="B71" s="128">
        <v>3</v>
      </c>
      <c r="C71" s="1047"/>
      <c r="D71" s="1047"/>
      <c r="E71" s="1047"/>
      <c r="F71" s="1047"/>
      <c r="G71" s="1047"/>
      <c r="H71" s="1048"/>
      <c r="I71" s="533"/>
      <c r="J71" s="520">
        <f t="shared" si="3"/>
        <v>0</v>
      </c>
      <c r="K71" s="534"/>
      <c r="L71" s="534"/>
      <c r="M71" s="534"/>
      <c r="N71" s="534"/>
      <c r="O71" s="534"/>
      <c r="P71" s="534"/>
    </row>
    <row r="72" spans="2:16" x14ac:dyDescent="0.25">
      <c r="B72" s="128">
        <v>4</v>
      </c>
      <c r="C72" s="1047"/>
      <c r="D72" s="1047"/>
      <c r="E72" s="1047"/>
      <c r="F72" s="1047"/>
      <c r="G72" s="1047"/>
      <c r="H72" s="1048"/>
      <c r="I72" s="533"/>
      <c r="J72" s="520">
        <f t="shared" si="3"/>
        <v>0</v>
      </c>
      <c r="K72" s="534"/>
      <c r="L72" s="534"/>
      <c r="M72" s="534"/>
      <c r="N72" s="534"/>
      <c r="O72" s="534"/>
      <c r="P72" s="534"/>
    </row>
    <row r="73" spans="2:16" x14ac:dyDescent="0.25">
      <c r="B73" s="128">
        <v>5</v>
      </c>
      <c r="C73" s="1047"/>
      <c r="D73" s="1047"/>
      <c r="E73" s="1047"/>
      <c r="F73" s="1047"/>
      <c r="G73" s="1047"/>
      <c r="H73" s="1048"/>
      <c r="I73" s="533"/>
      <c r="J73" s="520">
        <f t="shared" si="3"/>
        <v>0</v>
      </c>
      <c r="K73" s="534"/>
      <c r="L73" s="534"/>
      <c r="M73" s="534"/>
      <c r="N73" s="534"/>
      <c r="O73" s="534"/>
      <c r="P73" s="534"/>
    </row>
    <row r="74" spans="2:16" x14ac:dyDescent="0.25">
      <c r="B74" s="128">
        <v>6</v>
      </c>
      <c r="C74" s="1047"/>
      <c r="D74" s="1047"/>
      <c r="E74" s="1047"/>
      <c r="F74" s="1047"/>
      <c r="G74" s="1047"/>
      <c r="H74" s="1048"/>
      <c r="I74" s="533"/>
      <c r="J74" s="520">
        <f t="shared" si="3"/>
        <v>0</v>
      </c>
      <c r="K74" s="534"/>
      <c r="L74" s="534"/>
      <c r="M74" s="534"/>
      <c r="N74" s="534"/>
      <c r="O74" s="534"/>
      <c r="P74" s="534"/>
    </row>
    <row r="75" spans="2:16" x14ac:dyDescent="0.25">
      <c r="B75" s="128">
        <v>7</v>
      </c>
      <c r="C75" s="1047"/>
      <c r="D75" s="1047"/>
      <c r="E75" s="1047"/>
      <c r="F75" s="1047"/>
      <c r="G75" s="1047"/>
      <c r="H75" s="1048"/>
      <c r="I75" s="533"/>
      <c r="J75" s="520">
        <f t="shared" si="3"/>
        <v>0</v>
      </c>
      <c r="K75" s="534"/>
      <c r="L75" s="534"/>
      <c r="M75" s="534"/>
      <c r="N75" s="534"/>
      <c r="O75" s="534"/>
      <c r="P75" s="534"/>
    </row>
    <row r="76" spans="2:16" x14ac:dyDescent="0.25">
      <c r="B76" s="128">
        <v>8</v>
      </c>
      <c r="C76" s="1047"/>
      <c r="D76" s="1047"/>
      <c r="E76" s="1047"/>
      <c r="F76" s="1047"/>
      <c r="G76" s="1047"/>
      <c r="H76" s="1048"/>
      <c r="I76" s="533"/>
      <c r="J76" s="520">
        <f t="shared" si="3"/>
        <v>0</v>
      </c>
      <c r="K76" s="534"/>
      <c r="L76" s="534"/>
      <c r="M76" s="534"/>
      <c r="N76" s="534"/>
      <c r="O76" s="534"/>
      <c r="P76" s="534"/>
    </row>
    <row r="77" spans="2:16" x14ac:dyDescent="0.25">
      <c r="B77" s="128">
        <v>9</v>
      </c>
      <c r="C77" s="1047"/>
      <c r="D77" s="1047"/>
      <c r="E77" s="1047"/>
      <c r="F77" s="1047"/>
      <c r="G77" s="1047"/>
      <c r="H77" s="1048"/>
      <c r="I77" s="533"/>
      <c r="J77" s="520">
        <f t="shared" si="3"/>
        <v>0</v>
      </c>
      <c r="K77" s="534"/>
      <c r="L77" s="534"/>
      <c r="M77" s="534"/>
      <c r="N77" s="534"/>
      <c r="O77" s="534"/>
      <c r="P77" s="534"/>
    </row>
    <row r="78" spans="2:16" x14ac:dyDescent="0.25">
      <c r="B78" s="128">
        <v>10</v>
      </c>
      <c r="C78" s="1047"/>
      <c r="D78" s="1047"/>
      <c r="E78" s="1047"/>
      <c r="F78" s="1047"/>
      <c r="G78" s="1047"/>
      <c r="H78" s="1048"/>
      <c r="I78" s="533"/>
      <c r="J78" s="520">
        <f t="shared" si="3"/>
        <v>0</v>
      </c>
      <c r="K78" s="534"/>
      <c r="L78" s="534"/>
      <c r="M78" s="534"/>
      <c r="N78" s="534"/>
      <c r="O78" s="534"/>
      <c r="P78" s="534"/>
    </row>
    <row r="79" spans="2:16" x14ac:dyDescent="0.25">
      <c r="B79" s="530"/>
      <c r="C79" s="1050" t="s">
        <v>928</v>
      </c>
      <c r="D79" s="1050"/>
      <c r="E79" s="1050"/>
      <c r="F79" s="1050"/>
      <c r="G79" s="1050"/>
      <c r="H79" s="1050"/>
      <c r="I79" s="1050"/>
      <c r="J79" s="1051"/>
      <c r="K79" s="549" t="s">
        <v>917</v>
      </c>
      <c r="L79" s="549" t="s">
        <v>926</v>
      </c>
      <c r="M79" s="549" t="s">
        <v>927</v>
      </c>
      <c r="N79" s="549" t="s">
        <v>943</v>
      </c>
      <c r="O79" s="549" t="s">
        <v>944</v>
      </c>
      <c r="P79" s="549" t="s">
        <v>945</v>
      </c>
    </row>
    <row r="80" spans="2:16" x14ac:dyDescent="0.25">
      <c r="B80" s="993" t="s">
        <v>918</v>
      </c>
      <c r="C80" s="994"/>
      <c r="D80" s="994"/>
      <c r="E80" s="994"/>
      <c r="F80" s="994"/>
      <c r="G80" s="994"/>
      <c r="H80" s="994"/>
      <c r="I80" s="994"/>
      <c r="J80" s="995"/>
      <c r="K80" s="535"/>
      <c r="L80" s="535"/>
      <c r="M80" s="535"/>
      <c r="N80" s="535"/>
      <c r="O80" s="535"/>
      <c r="P80" s="535"/>
    </row>
    <row r="81" spans="2:16" x14ac:dyDescent="0.25">
      <c r="B81" s="993" t="s">
        <v>919</v>
      </c>
      <c r="C81" s="994"/>
      <c r="D81" s="994"/>
      <c r="E81" s="994"/>
      <c r="F81" s="994"/>
      <c r="G81" s="994"/>
      <c r="H81" s="994"/>
      <c r="I81" s="994"/>
      <c r="J81" s="995"/>
      <c r="K81" s="536"/>
      <c r="L81" s="536"/>
      <c r="M81" s="536"/>
      <c r="N81" s="536"/>
      <c r="O81" s="536"/>
      <c r="P81" s="536"/>
    </row>
    <row r="82" spans="2:16" x14ac:dyDescent="0.25">
      <c r="B82" s="993" t="s">
        <v>920</v>
      </c>
      <c r="C82" s="994"/>
      <c r="D82" s="994"/>
      <c r="E82" s="994"/>
      <c r="F82" s="994"/>
      <c r="G82" s="994"/>
      <c r="H82" s="994"/>
      <c r="I82" s="994"/>
      <c r="J82" s="995"/>
      <c r="K82" s="537"/>
      <c r="L82" s="537"/>
      <c r="M82" s="537"/>
      <c r="N82" s="537"/>
      <c r="O82" s="537"/>
      <c r="P82" s="537"/>
    </row>
    <row r="83" spans="2:16" x14ac:dyDescent="0.25">
      <c r="B83" s="993" t="s">
        <v>921</v>
      </c>
      <c r="C83" s="994"/>
      <c r="D83" s="994"/>
      <c r="E83" s="994"/>
      <c r="F83" s="994"/>
      <c r="G83" s="994"/>
      <c r="H83" s="994"/>
      <c r="I83" s="994"/>
      <c r="J83" s="995"/>
      <c r="K83" s="537"/>
      <c r="L83" s="537"/>
      <c r="M83" s="537"/>
      <c r="N83" s="537"/>
      <c r="O83" s="537"/>
      <c r="P83" s="537"/>
    </row>
    <row r="84" spans="2:16" x14ac:dyDescent="0.25">
      <c r="B84" s="993" t="s">
        <v>922</v>
      </c>
      <c r="C84" s="994"/>
      <c r="D84" s="994"/>
      <c r="E84" s="994"/>
      <c r="F84" s="994"/>
      <c r="G84" s="994"/>
      <c r="H84" s="994"/>
      <c r="I84" s="994"/>
      <c r="J84" s="995"/>
      <c r="K84" s="535"/>
      <c r="L84" s="535"/>
      <c r="M84" s="535"/>
      <c r="N84" s="535"/>
      <c r="O84" s="535"/>
      <c r="P84" s="535"/>
    </row>
    <row r="85" spans="2:16" x14ac:dyDescent="0.25">
      <c r="B85" s="993" t="s">
        <v>923</v>
      </c>
      <c r="C85" s="994"/>
      <c r="D85" s="994"/>
      <c r="E85" s="994"/>
      <c r="F85" s="994"/>
      <c r="G85" s="994"/>
      <c r="H85" s="994"/>
      <c r="I85" s="994"/>
      <c r="J85" s="995"/>
      <c r="K85" s="538"/>
      <c r="L85" s="538"/>
      <c r="M85" s="538"/>
      <c r="N85" s="538"/>
      <c r="O85" s="538"/>
      <c r="P85" s="538"/>
    </row>
    <row r="86" spans="2:16" x14ac:dyDescent="0.25">
      <c r="B86" s="993" t="s">
        <v>924</v>
      </c>
      <c r="C86" s="994"/>
      <c r="D86" s="994"/>
      <c r="E86" s="994"/>
      <c r="F86" s="994"/>
      <c r="G86" s="994"/>
      <c r="H86" s="994"/>
      <c r="I86" s="994"/>
      <c r="J86" s="995"/>
      <c r="K86" s="539"/>
      <c r="L86" s="539"/>
      <c r="M86" s="539"/>
      <c r="N86" s="539"/>
      <c r="O86" s="539"/>
      <c r="P86" s="539"/>
    </row>
    <row r="87" spans="2:16" x14ac:dyDescent="0.25">
      <c r="B87" s="1008" t="s">
        <v>925</v>
      </c>
      <c r="C87" s="1009"/>
      <c r="D87" s="1009"/>
      <c r="E87" s="1009"/>
      <c r="F87" s="1009"/>
      <c r="G87" s="1009"/>
      <c r="H87" s="1009"/>
      <c r="I87" s="1009"/>
      <c r="J87" s="1010"/>
      <c r="K87" s="531" t="s">
        <v>915</v>
      </c>
      <c r="L87" s="532"/>
      <c r="M87" s="532"/>
      <c r="N87" s="531" t="s">
        <v>915</v>
      </c>
      <c r="O87" s="532"/>
      <c r="P87" s="532"/>
    </row>
    <row r="88" spans="2:16" x14ac:dyDescent="0.25">
      <c r="B88" s="1060" t="s">
        <v>684</v>
      </c>
      <c r="C88" s="1061"/>
      <c r="D88" s="1061"/>
      <c r="E88" s="1061"/>
      <c r="F88" s="1061"/>
      <c r="G88" s="1061"/>
      <c r="H88" s="1061"/>
      <c r="I88" s="1061"/>
      <c r="J88" s="1061"/>
      <c r="K88" s="528" t="s">
        <v>917</v>
      </c>
      <c r="L88" s="528" t="s">
        <v>926</v>
      </c>
      <c r="M88" s="528" t="s">
        <v>927</v>
      </c>
      <c r="N88" s="559" t="s">
        <v>943</v>
      </c>
      <c r="O88" s="559" t="s">
        <v>944</v>
      </c>
      <c r="P88" s="559" t="s">
        <v>945</v>
      </c>
    </row>
    <row r="89" spans="2:16" x14ac:dyDescent="0.25">
      <c r="B89" s="1043" t="s">
        <v>235</v>
      </c>
      <c r="C89" s="1044"/>
      <c r="D89" s="1044"/>
      <c r="E89" s="1044"/>
      <c r="F89" s="1044"/>
      <c r="G89" s="1044"/>
      <c r="H89" s="1045"/>
      <c r="I89" s="126" t="s">
        <v>16</v>
      </c>
      <c r="J89" s="126" t="s">
        <v>916</v>
      </c>
      <c r="K89" s="328" t="s">
        <v>929</v>
      </c>
      <c r="L89" s="328" t="s">
        <v>929</v>
      </c>
      <c r="M89" s="328" t="s">
        <v>929</v>
      </c>
      <c r="N89" s="328" t="s">
        <v>929</v>
      </c>
      <c r="O89" s="328" t="s">
        <v>929</v>
      </c>
      <c r="P89" s="328" t="s">
        <v>929</v>
      </c>
    </row>
    <row r="90" spans="2:16" x14ac:dyDescent="0.25">
      <c r="B90" s="128">
        <v>1</v>
      </c>
      <c r="C90" s="1047"/>
      <c r="D90" s="1047"/>
      <c r="E90" s="1047"/>
      <c r="F90" s="1047"/>
      <c r="G90" s="1047"/>
      <c r="H90" s="1048"/>
      <c r="I90" s="533"/>
      <c r="J90" s="520">
        <f>IFERROR(SMALL(K90:P90,1),0)</f>
        <v>0</v>
      </c>
      <c r="K90" s="534"/>
      <c r="L90" s="534"/>
      <c r="M90" s="534"/>
      <c r="N90" s="534"/>
      <c r="O90" s="534"/>
      <c r="P90" s="534"/>
    </row>
    <row r="91" spans="2:16" x14ac:dyDescent="0.25">
      <c r="B91" s="128">
        <v>2</v>
      </c>
      <c r="C91" s="1047"/>
      <c r="D91" s="1047"/>
      <c r="E91" s="1047"/>
      <c r="F91" s="1047"/>
      <c r="G91" s="1047"/>
      <c r="H91" s="1048"/>
      <c r="I91" s="533"/>
      <c r="J91" s="520">
        <f t="shared" ref="J91:J99" si="4">IFERROR(SMALL(K91:P91,1),0)</f>
        <v>0</v>
      </c>
      <c r="K91" s="534"/>
      <c r="L91" s="534"/>
      <c r="M91" s="534"/>
      <c r="N91" s="534"/>
      <c r="O91" s="534"/>
      <c r="P91" s="534"/>
    </row>
    <row r="92" spans="2:16" x14ac:dyDescent="0.25">
      <c r="B92" s="128">
        <v>3</v>
      </c>
      <c r="C92" s="1047"/>
      <c r="D92" s="1047"/>
      <c r="E92" s="1047"/>
      <c r="F92" s="1047"/>
      <c r="G92" s="1047"/>
      <c r="H92" s="1048"/>
      <c r="I92" s="533"/>
      <c r="J92" s="520">
        <f t="shared" si="4"/>
        <v>0</v>
      </c>
      <c r="K92" s="534"/>
      <c r="L92" s="534"/>
      <c r="M92" s="534"/>
      <c r="N92" s="534"/>
      <c r="O92" s="534"/>
      <c r="P92" s="534"/>
    </row>
    <row r="93" spans="2:16" x14ac:dyDescent="0.25">
      <c r="B93" s="128">
        <v>4</v>
      </c>
      <c r="C93" s="1047"/>
      <c r="D93" s="1047"/>
      <c r="E93" s="1047"/>
      <c r="F93" s="1047"/>
      <c r="G93" s="1047"/>
      <c r="H93" s="1048"/>
      <c r="I93" s="533"/>
      <c r="J93" s="520">
        <f t="shared" si="4"/>
        <v>0</v>
      </c>
      <c r="K93" s="534"/>
      <c r="L93" s="534"/>
      <c r="M93" s="534"/>
      <c r="N93" s="534"/>
      <c r="O93" s="534"/>
      <c r="P93" s="534"/>
    </row>
    <row r="94" spans="2:16" x14ac:dyDescent="0.25">
      <c r="B94" s="128">
        <v>5</v>
      </c>
      <c r="C94" s="1047"/>
      <c r="D94" s="1047"/>
      <c r="E94" s="1047"/>
      <c r="F94" s="1047"/>
      <c r="G94" s="1047"/>
      <c r="H94" s="1048"/>
      <c r="I94" s="533"/>
      <c r="J94" s="520">
        <f t="shared" si="4"/>
        <v>0</v>
      </c>
      <c r="K94" s="534"/>
      <c r="L94" s="534"/>
      <c r="M94" s="534"/>
      <c r="N94" s="534"/>
      <c r="O94" s="534"/>
      <c r="P94" s="534"/>
    </row>
    <row r="95" spans="2:16" x14ac:dyDescent="0.25">
      <c r="B95" s="128">
        <v>6</v>
      </c>
      <c r="C95" s="1047"/>
      <c r="D95" s="1047"/>
      <c r="E95" s="1047"/>
      <c r="F95" s="1047"/>
      <c r="G95" s="1047"/>
      <c r="H95" s="1048"/>
      <c r="I95" s="533"/>
      <c r="J95" s="520">
        <f t="shared" si="4"/>
        <v>0</v>
      </c>
      <c r="K95" s="534"/>
      <c r="L95" s="534"/>
      <c r="M95" s="534"/>
      <c r="N95" s="534"/>
      <c r="O95" s="534"/>
      <c r="P95" s="534"/>
    </row>
    <row r="96" spans="2:16" x14ac:dyDescent="0.25">
      <c r="B96" s="128">
        <v>7</v>
      </c>
      <c r="C96" s="1047"/>
      <c r="D96" s="1047"/>
      <c r="E96" s="1047"/>
      <c r="F96" s="1047"/>
      <c r="G96" s="1047"/>
      <c r="H96" s="1048"/>
      <c r="I96" s="533"/>
      <c r="J96" s="520">
        <f t="shared" si="4"/>
        <v>0</v>
      </c>
      <c r="K96" s="534"/>
      <c r="L96" s="534"/>
      <c r="M96" s="534"/>
      <c r="N96" s="534"/>
      <c r="O96" s="534"/>
      <c r="P96" s="534"/>
    </row>
    <row r="97" spans="2:16" x14ac:dyDescent="0.25">
      <c r="B97" s="128">
        <v>8</v>
      </c>
      <c r="C97" s="1047"/>
      <c r="D97" s="1047"/>
      <c r="E97" s="1047"/>
      <c r="F97" s="1047"/>
      <c r="G97" s="1047"/>
      <c r="H97" s="1048"/>
      <c r="I97" s="533"/>
      <c r="J97" s="520">
        <f t="shared" si="4"/>
        <v>0</v>
      </c>
      <c r="K97" s="534"/>
      <c r="L97" s="534"/>
      <c r="M97" s="534"/>
      <c r="N97" s="534"/>
      <c r="O97" s="534"/>
      <c r="P97" s="534"/>
    </row>
    <row r="98" spans="2:16" x14ac:dyDescent="0.25">
      <c r="B98" s="128">
        <v>9</v>
      </c>
      <c r="C98" s="1047"/>
      <c r="D98" s="1047"/>
      <c r="E98" s="1047"/>
      <c r="F98" s="1047"/>
      <c r="G98" s="1047"/>
      <c r="H98" s="1048"/>
      <c r="I98" s="533"/>
      <c r="J98" s="520">
        <f t="shared" si="4"/>
        <v>0</v>
      </c>
      <c r="K98" s="534"/>
      <c r="L98" s="534"/>
      <c r="M98" s="534"/>
      <c r="N98" s="534"/>
      <c r="O98" s="534"/>
      <c r="P98" s="534"/>
    </row>
    <row r="99" spans="2:16" x14ac:dyDescent="0.25">
      <c r="B99" s="128">
        <v>10</v>
      </c>
      <c r="C99" s="1047"/>
      <c r="D99" s="1047"/>
      <c r="E99" s="1047"/>
      <c r="F99" s="1047"/>
      <c r="G99" s="1047"/>
      <c r="H99" s="1048"/>
      <c r="I99" s="533"/>
      <c r="J99" s="520">
        <f t="shared" si="4"/>
        <v>0</v>
      </c>
      <c r="K99" s="534"/>
      <c r="L99" s="534"/>
      <c r="M99" s="534"/>
      <c r="N99" s="534"/>
      <c r="O99" s="534"/>
      <c r="P99" s="534"/>
    </row>
    <row r="100" spans="2:16" x14ac:dyDescent="0.25">
      <c r="B100" s="530"/>
      <c r="C100" s="1050" t="s">
        <v>928</v>
      </c>
      <c r="D100" s="1050"/>
      <c r="E100" s="1050"/>
      <c r="F100" s="1050"/>
      <c r="G100" s="1050"/>
      <c r="H100" s="1050"/>
      <c r="I100" s="1050"/>
      <c r="J100" s="1051"/>
      <c r="K100" s="549" t="s">
        <v>917</v>
      </c>
      <c r="L100" s="549" t="s">
        <v>926</v>
      </c>
      <c r="M100" s="549" t="s">
        <v>927</v>
      </c>
      <c r="N100" s="549" t="s">
        <v>943</v>
      </c>
      <c r="O100" s="549" t="s">
        <v>944</v>
      </c>
      <c r="P100" s="549" t="s">
        <v>945</v>
      </c>
    </row>
    <row r="101" spans="2:16" x14ac:dyDescent="0.25">
      <c r="B101" s="993" t="s">
        <v>918</v>
      </c>
      <c r="C101" s="994"/>
      <c r="D101" s="994"/>
      <c r="E101" s="994"/>
      <c r="F101" s="994"/>
      <c r="G101" s="994"/>
      <c r="H101" s="994"/>
      <c r="I101" s="994"/>
      <c r="J101" s="995"/>
      <c r="K101" s="535"/>
      <c r="L101" s="535"/>
      <c r="M101" s="535"/>
      <c r="N101" s="535"/>
      <c r="O101" s="535"/>
      <c r="P101" s="535"/>
    </row>
    <row r="102" spans="2:16" x14ac:dyDescent="0.25">
      <c r="B102" s="993" t="s">
        <v>919</v>
      </c>
      <c r="C102" s="994"/>
      <c r="D102" s="994"/>
      <c r="E102" s="994"/>
      <c r="F102" s="994"/>
      <c r="G102" s="994"/>
      <c r="H102" s="994"/>
      <c r="I102" s="994"/>
      <c r="J102" s="995"/>
      <c r="K102" s="536"/>
      <c r="L102" s="536"/>
      <c r="M102" s="536"/>
      <c r="N102" s="536"/>
      <c r="O102" s="536"/>
      <c r="P102" s="536"/>
    </row>
    <row r="103" spans="2:16" x14ac:dyDescent="0.25">
      <c r="B103" s="993" t="s">
        <v>920</v>
      </c>
      <c r="C103" s="994"/>
      <c r="D103" s="994"/>
      <c r="E103" s="994"/>
      <c r="F103" s="994"/>
      <c r="G103" s="994"/>
      <c r="H103" s="994"/>
      <c r="I103" s="994"/>
      <c r="J103" s="995"/>
      <c r="K103" s="537"/>
      <c r="L103" s="537"/>
      <c r="M103" s="537"/>
      <c r="N103" s="537"/>
      <c r="O103" s="537"/>
      <c r="P103" s="537"/>
    </row>
    <row r="104" spans="2:16" x14ac:dyDescent="0.25">
      <c r="B104" s="993" t="s">
        <v>921</v>
      </c>
      <c r="C104" s="994"/>
      <c r="D104" s="994"/>
      <c r="E104" s="994"/>
      <c r="F104" s="994"/>
      <c r="G104" s="994"/>
      <c r="H104" s="994"/>
      <c r="I104" s="994"/>
      <c r="J104" s="995"/>
      <c r="K104" s="537"/>
      <c r="L104" s="537"/>
      <c r="M104" s="537"/>
      <c r="N104" s="537"/>
      <c r="O104" s="537"/>
      <c r="P104" s="537"/>
    </row>
    <row r="105" spans="2:16" x14ac:dyDescent="0.25">
      <c r="B105" s="993" t="s">
        <v>922</v>
      </c>
      <c r="C105" s="994"/>
      <c r="D105" s="994"/>
      <c r="E105" s="994"/>
      <c r="F105" s="994"/>
      <c r="G105" s="994"/>
      <c r="H105" s="994"/>
      <c r="I105" s="994"/>
      <c r="J105" s="995"/>
      <c r="K105" s="535"/>
      <c r="L105" s="535"/>
      <c r="M105" s="535"/>
      <c r="N105" s="535"/>
      <c r="O105" s="535"/>
      <c r="P105" s="535"/>
    </row>
    <row r="106" spans="2:16" x14ac:dyDescent="0.25">
      <c r="B106" s="993" t="s">
        <v>923</v>
      </c>
      <c r="C106" s="994"/>
      <c r="D106" s="994"/>
      <c r="E106" s="994"/>
      <c r="F106" s="994"/>
      <c r="G106" s="994"/>
      <c r="H106" s="994"/>
      <c r="I106" s="994"/>
      <c r="J106" s="995"/>
      <c r="K106" s="538"/>
      <c r="L106" s="538"/>
      <c r="M106" s="538"/>
      <c r="N106" s="538"/>
      <c r="O106" s="538"/>
      <c r="P106" s="538"/>
    </row>
    <row r="107" spans="2:16" x14ac:dyDescent="0.25">
      <c r="B107" s="993" t="s">
        <v>924</v>
      </c>
      <c r="C107" s="994"/>
      <c r="D107" s="994"/>
      <c r="E107" s="994"/>
      <c r="F107" s="994"/>
      <c r="G107" s="994"/>
      <c r="H107" s="994"/>
      <c r="I107" s="994"/>
      <c r="J107" s="995"/>
      <c r="K107" s="539"/>
      <c r="L107" s="539"/>
      <c r="M107" s="539"/>
      <c r="N107" s="539"/>
      <c r="O107" s="539"/>
      <c r="P107" s="539"/>
    </row>
    <row r="108" spans="2:16" x14ac:dyDescent="0.25">
      <c r="B108" s="1008" t="s">
        <v>925</v>
      </c>
      <c r="C108" s="1009"/>
      <c r="D108" s="1009"/>
      <c r="E108" s="1009"/>
      <c r="F108" s="1009"/>
      <c r="G108" s="1009"/>
      <c r="H108" s="1009"/>
      <c r="I108" s="1009"/>
      <c r="J108" s="1010"/>
      <c r="K108" s="531" t="s">
        <v>915</v>
      </c>
      <c r="L108" s="532"/>
      <c r="M108" s="532"/>
      <c r="N108" s="531" t="s">
        <v>915</v>
      </c>
      <c r="O108" s="532"/>
      <c r="P108" s="532"/>
    </row>
    <row r="109" spans="2:16" x14ac:dyDescent="0.25">
      <c r="B109" s="1060" t="s">
        <v>688</v>
      </c>
      <c r="C109" s="1061"/>
      <c r="D109" s="1061"/>
      <c r="E109" s="1061"/>
      <c r="F109" s="1061"/>
      <c r="G109" s="1061"/>
      <c r="H109" s="1061"/>
      <c r="I109" s="1061"/>
      <c r="J109" s="1061"/>
      <c r="K109" s="528" t="s">
        <v>917</v>
      </c>
      <c r="L109" s="528" t="s">
        <v>926</v>
      </c>
      <c r="M109" s="528" t="s">
        <v>927</v>
      </c>
      <c r="N109" s="559" t="s">
        <v>943</v>
      </c>
      <c r="O109" s="559" t="s">
        <v>944</v>
      </c>
      <c r="P109" s="559" t="s">
        <v>945</v>
      </c>
    </row>
    <row r="110" spans="2:16" x14ac:dyDescent="0.25">
      <c r="B110" s="1043" t="s">
        <v>235</v>
      </c>
      <c r="C110" s="1044"/>
      <c r="D110" s="1044"/>
      <c r="E110" s="1044"/>
      <c r="F110" s="1044"/>
      <c r="G110" s="1044"/>
      <c r="H110" s="1045"/>
      <c r="I110" s="126" t="s">
        <v>16</v>
      </c>
      <c r="J110" s="126" t="s">
        <v>916</v>
      </c>
      <c r="K110" s="328" t="s">
        <v>929</v>
      </c>
      <c r="L110" s="328" t="s">
        <v>929</v>
      </c>
      <c r="M110" s="328" t="s">
        <v>929</v>
      </c>
      <c r="N110" s="328" t="s">
        <v>929</v>
      </c>
      <c r="O110" s="328" t="s">
        <v>929</v>
      </c>
      <c r="P110" s="328" t="s">
        <v>929</v>
      </c>
    </row>
    <row r="111" spans="2:16" x14ac:dyDescent="0.25">
      <c r="B111" s="128">
        <v>1</v>
      </c>
      <c r="C111" s="1047"/>
      <c r="D111" s="1047"/>
      <c r="E111" s="1047"/>
      <c r="F111" s="1047"/>
      <c r="G111" s="1047"/>
      <c r="H111" s="1048"/>
      <c r="I111" s="533"/>
      <c r="J111" s="520">
        <f>IFERROR(SMALL(K111:P111,1),0)</f>
        <v>0</v>
      </c>
      <c r="K111" s="534"/>
      <c r="L111" s="534"/>
      <c r="M111" s="534"/>
      <c r="N111" s="534"/>
      <c r="O111" s="534"/>
      <c r="P111" s="534"/>
    </row>
    <row r="112" spans="2:16" x14ac:dyDescent="0.25">
      <c r="B112" s="128">
        <v>2</v>
      </c>
      <c r="C112" s="1047"/>
      <c r="D112" s="1047"/>
      <c r="E112" s="1047"/>
      <c r="F112" s="1047"/>
      <c r="G112" s="1047"/>
      <c r="H112" s="1048"/>
      <c r="I112" s="533"/>
      <c r="J112" s="520">
        <f t="shared" ref="J112:J120" si="5">IFERROR(SMALL(K112:P112,1),0)</f>
        <v>0</v>
      </c>
      <c r="K112" s="534"/>
      <c r="L112" s="534"/>
      <c r="M112" s="534"/>
      <c r="N112" s="534"/>
      <c r="O112" s="534"/>
      <c r="P112" s="534"/>
    </row>
    <row r="113" spans="2:16" x14ac:dyDescent="0.25">
      <c r="B113" s="128">
        <v>3</v>
      </c>
      <c r="C113" s="1047"/>
      <c r="D113" s="1047"/>
      <c r="E113" s="1047"/>
      <c r="F113" s="1047"/>
      <c r="G113" s="1047"/>
      <c r="H113" s="1048"/>
      <c r="I113" s="533"/>
      <c r="J113" s="520">
        <f t="shared" si="5"/>
        <v>0</v>
      </c>
      <c r="K113" s="534"/>
      <c r="L113" s="534"/>
      <c r="M113" s="534"/>
      <c r="N113" s="534"/>
      <c r="O113" s="534"/>
      <c r="P113" s="534"/>
    </row>
    <row r="114" spans="2:16" x14ac:dyDescent="0.25">
      <c r="B114" s="128">
        <v>4</v>
      </c>
      <c r="C114" s="1047"/>
      <c r="D114" s="1047"/>
      <c r="E114" s="1047"/>
      <c r="F114" s="1047"/>
      <c r="G114" s="1047"/>
      <c r="H114" s="1048"/>
      <c r="I114" s="533"/>
      <c r="J114" s="520">
        <f t="shared" si="5"/>
        <v>0</v>
      </c>
      <c r="K114" s="534"/>
      <c r="L114" s="534"/>
      <c r="M114" s="534"/>
      <c r="N114" s="534"/>
      <c r="O114" s="534"/>
      <c r="P114" s="534"/>
    </row>
    <row r="115" spans="2:16" x14ac:dyDescent="0.25">
      <c r="B115" s="128">
        <v>5</v>
      </c>
      <c r="C115" s="1047"/>
      <c r="D115" s="1047"/>
      <c r="E115" s="1047"/>
      <c r="F115" s="1047"/>
      <c r="G115" s="1047"/>
      <c r="H115" s="1048"/>
      <c r="I115" s="533"/>
      <c r="J115" s="520">
        <f t="shared" si="5"/>
        <v>0</v>
      </c>
      <c r="K115" s="534"/>
      <c r="L115" s="534"/>
      <c r="M115" s="534"/>
      <c r="N115" s="534"/>
      <c r="O115" s="534"/>
      <c r="P115" s="534"/>
    </row>
    <row r="116" spans="2:16" x14ac:dyDescent="0.25">
      <c r="B116" s="128">
        <v>6</v>
      </c>
      <c r="C116" s="1047"/>
      <c r="D116" s="1047"/>
      <c r="E116" s="1047"/>
      <c r="F116" s="1047"/>
      <c r="G116" s="1047"/>
      <c r="H116" s="1048"/>
      <c r="I116" s="533"/>
      <c r="J116" s="520">
        <f t="shared" si="5"/>
        <v>0</v>
      </c>
      <c r="K116" s="534"/>
      <c r="L116" s="534"/>
      <c r="M116" s="534"/>
      <c r="N116" s="534"/>
      <c r="O116" s="534"/>
      <c r="P116" s="534"/>
    </row>
    <row r="117" spans="2:16" x14ac:dyDescent="0.25">
      <c r="B117" s="128">
        <v>7</v>
      </c>
      <c r="C117" s="1047"/>
      <c r="D117" s="1047"/>
      <c r="E117" s="1047"/>
      <c r="F117" s="1047"/>
      <c r="G117" s="1047"/>
      <c r="H117" s="1048"/>
      <c r="I117" s="533"/>
      <c r="J117" s="520">
        <f t="shared" si="5"/>
        <v>0</v>
      </c>
      <c r="K117" s="534"/>
      <c r="L117" s="534"/>
      <c r="M117" s="534"/>
      <c r="N117" s="534"/>
      <c r="O117" s="534"/>
      <c r="P117" s="534"/>
    </row>
    <row r="118" spans="2:16" x14ac:dyDescent="0.25">
      <c r="B118" s="128">
        <v>8</v>
      </c>
      <c r="C118" s="1047"/>
      <c r="D118" s="1047"/>
      <c r="E118" s="1047"/>
      <c r="F118" s="1047"/>
      <c r="G118" s="1047"/>
      <c r="H118" s="1048"/>
      <c r="I118" s="533"/>
      <c r="J118" s="520">
        <f t="shared" si="5"/>
        <v>0</v>
      </c>
      <c r="K118" s="534"/>
      <c r="L118" s="534"/>
      <c r="M118" s="534"/>
      <c r="N118" s="534"/>
      <c r="O118" s="534"/>
      <c r="P118" s="534"/>
    </row>
    <row r="119" spans="2:16" x14ac:dyDescent="0.25">
      <c r="B119" s="128">
        <v>9</v>
      </c>
      <c r="C119" s="1047"/>
      <c r="D119" s="1047"/>
      <c r="E119" s="1047"/>
      <c r="F119" s="1047"/>
      <c r="G119" s="1047"/>
      <c r="H119" s="1048"/>
      <c r="I119" s="533"/>
      <c r="J119" s="520">
        <f t="shared" si="5"/>
        <v>0</v>
      </c>
      <c r="K119" s="534"/>
      <c r="L119" s="534"/>
      <c r="M119" s="534"/>
      <c r="N119" s="534"/>
      <c r="O119" s="534"/>
      <c r="P119" s="534"/>
    </row>
    <row r="120" spans="2:16" x14ac:dyDescent="0.25">
      <c r="B120" s="128">
        <v>10</v>
      </c>
      <c r="C120" s="1047"/>
      <c r="D120" s="1047"/>
      <c r="E120" s="1047"/>
      <c r="F120" s="1047"/>
      <c r="G120" s="1047"/>
      <c r="H120" s="1048"/>
      <c r="I120" s="533"/>
      <c r="J120" s="520">
        <f t="shared" si="5"/>
        <v>0</v>
      </c>
      <c r="K120" s="534"/>
      <c r="L120" s="534"/>
      <c r="M120" s="534"/>
      <c r="N120" s="534"/>
      <c r="O120" s="534"/>
      <c r="P120" s="534"/>
    </row>
    <row r="121" spans="2:16" x14ac:dyDescent="0.25">
      <c r="B121" s="530"/>
      <c r="C121" s="1050" t="s">
        <v>928</v>
      </c>
      <c r="D121" s="1050"/>
      <c r="E121" s="1050"/>
      <c r="F121" s="1050"/>
      <c r="G121" s="1050"/>
      <c r="H121" s="1050"/>
      <c r="I121" s="1050"/>
      <c r="J121" s="1051"/>
      <c r="K121" s="549" t="s">
        <v>917</v>
      </c>
      <c r="L121" s="549" t="s">
        <v>926</v>
      </c>
      <c r="M121" s="549" t="s">
        <v>927</v>
      </c>
      <c r="N121" s="549" t="s">
        <v>943</v>
      </c>
      <c r="O121" s="549" t="s">
        <v>944</v>
      </c>
      <c r="P121" s="549" t="s">
        <v>945</v>
      </c>
    </row>
    <row r="122" spans="2:16" x14ac:dyDescent="0.25">
      <c r="B122" s="993" t="s">
        <v>918</v>
      </c>
      <c r="C122" s="994"/>
      <c r="D122" s="994"/>
      <c r="E122" s="994"/>
      <c r="F122" s="994"/>
      <c r="G122" s="994"/>
      <c r="H122" s="994"/>
      <c r="I122" s="994"/>
      <c r="J122" s="995"/>
      <c r="K122" s="535"/>
      <c r="L122" s="535"/>
      <c r="M122" s="535"/>
      <c r="N122" s="535"/>
      <c r="O122" s="535"/>
      <c r="P122" s="535"/>
    </row>
    <row r="123" spans="2:16" x14ac:dyDescent="0.25">
      <c r="B123" s="993" t="s">
        <v>919</v>
      </c>
      <c r="C123" s="994"/>
      <c r="D123" s="994"/>
      <c r="E123" s="994"/>
      <c r="F123" s="994"/>
      <c r="G123" s="994"/>
      <c r="H123" s="994"/>
      <c r="I123" s="994"/>
      <c r="J123" s="995"/>
      <c r="K123" s="536"/>
      <c r="L123" s="536"/>
      <c r="M123" s="536"/>
      <c r="N123" s="536"/>
      <c r="O123" s="536"/>
      <c r="P123" s="536"/>
    </row>
    <row r="124" spans="2:16" x14ac:dyDescent="0.25">
      <c r="B124" s="993" t="s">
        <v>920</v>
      </c>
      <c r="C124" s="994"/>
      <c r="D124" s="994"/>
      <c r="E124" s="994"/>
      <c r="F124" s="994"/>
      <c r="G124" s="994"/>
      <c r="H124" s="994"/>
      <c r="I124" s="994"/>
      <c r="J124" s="995"/>
      <c r="K124" s="537"/>
      <c r="L124" s="537"/>
      <c r="M124" s="537"/>
      <c r="N124" s="537"/>
      <c r="O124" s="537"/>
      <c r="P124" s="537"/>
    </row>
    <row r="125" spans="2:16" x14ac:dyDescent="0.25">
      <c r="B125" s="993" t="s">
        <v>921</v>
      </c>
      <c r="C125" s="994"/>
      <c r="D125" s="994"/>
      <c r="E125" s="994"/>
      <c r="F125" s="994"/>
      <c r="G125" s="994"/>
      <c r="H125" s="994"/>
      <c r="I125" s="994"/>
      <c r="J125" s="995"/>
      <c r="K125" s="537"/>
      <c r="L125" s="537"/>
      <c r="M125" s="537"/>
      <c r="N125" s="537"/>
      <c r="O125" s="537"/>
      <c r="P125" s="537"/>
    </row>
    <row r="126" spans="2:16" x14ac:dyDescent="0.25">
      <c r="B126" s="993" t="s">
        <v>922</v>
      </c>
      <c r="C126" s="994"/>
      <c r="D126" s="994"/>
      <c r="E126" s="994"/>
      <c r="F126" s="994"/>
      <c r="G126" s="994"/>
      <c r="H126" s="994"/>
      <c r="I126" s="994"/>
      <c r="J126" s="995"/>
      <c r="K126" s="535"/>
      <c r="L126" s="535"/>
      <c r="M126" s="535"/>
      <c r="N126" s="535"/>
      <c r="O126" s="535"/>
      <c r="P126" s="535"/>
    </row>
    <row r="127" spans="2:16" x14ac:dyDescent="0.25">
      <c r="B127" s="993" t="s">
        <v>923</v>
      </c>
      <c r="C127" s="994"/>
      <c r="D127" s="994"/>
      <c r="E127" s="994"/>
      <c r="F127" s="994"/>
      <c r="G127" s="994"/>
      <c r="H127" s="994"/>
      <c r="I127" s="994"/>
      <c r="J127" s="995"/>
      <c r="K127" s="538"/>
      <c r="L127" s="538"/>
      <c r="M127" s="538"/>
      <c r="N127" s="538"/>
      <c r="O127" s="538"/>
      <c r="P127" s="538"/>
    </row>
    <row r="128" spans="2:16" x14ac:dyDescent="0.25">
      <c r="B128" s="993" t="s">
        <v>924</v>
      </c>
      <c r="C128" s="994"/>
      <c r="D128" s="994"/>
      <c r="E128" s="994"/>
      <c r="F128" s="994"/>
      <c r="G128" s="994"/>
      <c r="H128" s="994"/>
      <c r="I128" s="994"/>
      <c r="J128" s="995"/>
      <c r="K128" s="539"/>
      <c r="L128" s="539"/>
      <c r="M128" s="539"/>
      <c r="N128" s="539"/>
      <c r="O128" s="539"/>
      <c r="P128" s="539"/>
    </row>
    <row r="129" spans="2:16" x14ac:dyDescent="0.25">
      <c r="B129" s="1008" t="s">
        <v>925</v>
      </c>
      <c r="C129" s="1009"/>
      <c r="D129" s="1009"/>
      <c r="E129" s="1009"/>
      <c r="F129" s="1009"/>
      <c r="G129" s="1009"/>
      <c r="H129" s="1009"/>
      <c r="I129" s="1009"/>
      <c r="J129" s="1010"/>
      <c r="K129" s="531" t="s">
        <v>915</v>
      </c>
      <c r="L129" s="532"/>
      <c r="M129" s="532"/>
      <c r="N129" s="531" t="s">
        <v>915</v>
      </c>
      <c r="O129" s="532"/>
      <c r="P129" s="532"/>
    </row>
    <row r="130" spans="2:16" x14ac:dyDescent="0.25">
      <c r="B130" s="1060" t="s">
        <v>689</v>
      </c>
      <c r="C130" s="1061"/>
      <c r="D130" s="1061"/>
      <c r="E130" s="1061"/>
      <c r="F130" s="1061"/>
      <c r="G130" s="1061"/>
      <c r="H130" s="1061"/>
      <c r="I130" s="1061"/>
      <c r="J130" s="1061"/>
      <c r="K130" s="528" t="s">
        <v>917</v>
      </c>
      <c r="L130" s="528" t="s">
        <v>926</v>
      </c>
      <c r="M130" s="528" t="s">
        <v>927</v>
      </c>
      <c r="N130" s="559" t="s">
        <v>943</v>
      </c>
      <c r="O130" s="559" t="s">
        <v>944</v>
      </c>
      <c r="P130" s="559" t="s">
        <v>945</v>
      </c>
    </row>
    <row r="131" spans="2:16" x14ac:dyDescent="0.25">
      <c r="B131" s="1043" t="s">
        <v>235</v>
      </c>
      <c r="C131" s="1044"/>
      <c r="D131" s="1044"/>
      <c r="E131" s="1044"/>
      <c r="F131" s="1044"/>
      <c r="G131" s="1044"/>
      <c r="H131" s="1045"/>
      <c r="I131" s="126" t="s">
        <v>16</v>
      </c>
      <c r="J131" s="126" t="s">
        <v>916</v>
      </c>
      <c r="K131" s="328" t="s">
        <v>929</v>
      </c>
      <c r="L131" s="328" t="s">
        <v>929</v>
      </c>
      <c r="M131" s="328" t="s">
        <v>929</v>
      </c>
      <c r="N131" s="328" t="s">
        <v>929</v>
      </c>
      <c r="O131" s="328" t="s">
        <v>929</v>
      </c>
      <c r="P131" s="328" t="s">
        <v>929</v>
      </c>
    </row>
    <row r="132" spans="2:16" x14ac:dyDescent="0.25">
      <c r="B132" s="128">
        <v>1</v>
      </c>
      <c r="C132" s="1047"/>
      <c r="D132" s="1047"/>
      <c r="E132" s="1047"/>
      <c r="F132" s="1047"/>
      <c r="G132" s="1047"/>
      <c r="H132" s="1048"/>
      <c r="I132" s="533"/>
      <c r="J132" s="520">
        <f>IFERROR(SMALL(K132:P132,1),0)</f>
        <v>0</v>
      </c>
      <c r="K132" s="534"/>
      <c r="L132" s="534"/>
      <c r="M132" s="534"/>
      <c r="N132" s="534"/>
      <c r="O132" s="534"/>
      <c r="P132" s="534"/>
    </row>
    <row r="133" spans="2:16" x14ac:dyDescent="0.25">
      <c r="B133" s="128">
        <v>2</v>
      </c>
      <c r="C133" s="1047"/>
      <c r="D133" s="1047"/>
      <c r="E133" s="1047"/>
      <c r="F133" s="1047"/>
      <c r="G133" s="1047"/>
      <c r="H133" s="1048"/>
      <c r="I133" s="533"/>
      <c r="J133" s="520">
        <f t="shared" ref="J133:J141" si="6">IFERROR(SMALL(K133:P133,1),0)</f>
        <v>0</v>
      </c>
      <c r="K133" s="534"/>
      <c r="L133" s="534"/>
      <c r="M133" s="534"/>
      <c r="N133" s="534"/>
      <c r="O133" s="534"/>
      <c r="P133" s="534"/>
    </row>
    <row r="134" spans="2:16" x14ac:dyDescent="0.25">
      <c r="B134" s="128">
        <v>3</v>
      </c>
      <c r="C134" s="1047"/>
      <c r="D134" s="1047"/>
      <c r="E134" s="1047"/>
      <c r="F134" s="1047"/>
      <c r="G134" s="1047"/>
      <c r="H134" s="1048"/>
      <c r="I134" s="533"/>
      <c r="J134" s="520">
        <f t="shared" si="6"/>
        <v>0</v>
      </c>
      <c r="K134" s="534"/>
      <c r="L134" s="534"/>
      <c r="M134" s="534"/>
      <c r="N134" s="534"/>
      <c r="O134" s="534"/>
      <c r="P134" s="534"/>
    </row>
    <row r="135" spans="2:16" x14ac:dyDescent="0.25">
      <c r="B135" s="128">
        <v>4</v>
      </c>
      <c r="C135" s="1047"/>
      <c r="D135" s="1047"/>
      <c r="E135" s="1047"/>
      <c r="F135" s="1047"/>
      <c r="G135" s="1047"/>
      <c r="H135" s="1048"/>
      <c r="I135" s="533"/>
      <c r="J135" s="520">
        <f t="shared" si="6"/>
        <v>0</v>
      </c>
      <c r="K135" s="534"/>
      <c r="L135" s="534"/>
      <c r="M135" s="534"/>
      <c r="N135" s="534"/>
      <c r="O135" s="534"/>
      <c r="P135" s="534"/>
    </row>
    <row r="136" spans="2:16" x14ac:dyDescent="0.25">
      <c r="B136" s="128">
        <v>5</v>
      </c>
      <c r="C136" s="1047"/>
      <c r="D136" s="1047"/>
      <c r="E136" s="1047"/>
      <c r="F136" s="1047"/>
      <c r="G136" s="1047"/>
      <c r="H136" s="1048"/>
      <c r="I136" s="533"/>
      <c r="J136" s="520">
        <f t="shared" si="6"/>
        <v>0</v>
      </c>
      <c r="K136" s="534"/>
      <c r="L136" s="534"/>
      <c r="M136" s="534"/>
      <c r="N136" s="534"/>
      <c r="O136" s="534"/>
      <c r="P136" s="534"/>
    </row>
    <row r="137" spans="2:16" x14ac:dyDescent="0.25">
      <c r="B137" s="128">
        <v>6</v>
      </c>
      <c r="C137" s="1047"/>
      <c r="D137" s="1047"/>
      <c r="E137" s="1047"/>
      <c r="F137" s="1047"/>
      <c r="G137" s="1047"/>
      <c r="H137" s="1048"/>
      <c r="I137" s="533"/>
      <c r="J137" s="520">
        <f t="shared" si="6"/>
        <v>0</v>
      </c>
      <c r="K137" s="534"/>
      <c r="L137" s="534"/>
      <c r="M137" s="534"/>
      <c r="N137" s="534"/>
      <c r="O137" s="534"/>
      <c r="P137" s="534"/>
    </row>
    <row r="138" spans="2:16" x14ac:dyDescent="0.25">
      <c r="B138" s="128">
        <v>7</v>
      </c>
      <c r="C138" s="1047"/>
      <c r="D138" s="1047"/>
      <c r="E138" s="1047"/>
      <c r="F138" s="1047"/>
      <c r="G138" s="1047"/>
      <c r="H138" s="1048"/>
      <c r="I138" s="533"/>
      <c r="J138" s="520">
        <f t="shared" si="6"/>
        <v>0</v>
      </c>
      <c r="K138" s="534"/>
      <c r="L138" s="534"/>
      <c r="M138" s="534"/>
      <c r="N138" s="534"/>
      <c r="O138" s="534"/>
      <c r="P138" s="534"/>
    </row>
    <row r="139" spans="2:16" x14ac:dyDescent="0.25">
      <c r="B139" s="128">
        <v>8</v>
      </c>
      <c r="C139" s="1047"/>
      <c r="D139" s="1047"/>
      <c r="E139" s="1047"/>
      <c r="F139" s="1047"/>
      <c r="G139" s="1047"/>
      <c r="H139" s="1048"/>
      <c r="I139" s="533"/>
      <c r="J139" s="520">
        <f t="shared" si="6"/>
        <v>0</v>
      </c>
      <c r="K139" s="534"/>
      <c r="L139" s="534"/>
      <c r="M139" s="534"/>
      <c r="N139" s="534"/>
      <c r="O139" s="534"/>
      <c r="P139" s="534"/>
    </row>
    <row r="140" spans="2:16" x14ac:dyDescent="0.25">
      <c r="B140" s="128">
        <v>9</v>
      </c>
      <c r="C140" s="1047"/>
      <c r="D140" s="1047"/>
      <c r="E140" s="1047"/>
      <c r="F140" s="1047"/>
      <c r="G140" s="1047"/>
      <c r="H140" s="1048"/>
      <c r="I140" s="533"/>
      <c r="J140" s="520">
        <f t="shared" si="6"/>
        <v>0</v>
      </c>
      <c r="K140" s="534"/>
      <c r="L140" s="534"/>
      <c r="M140" s="534"/>
      <c r="N140" s="534"/>
      <c r="O140" s="534"/>
      <c r="P140" s="534"/>
    </row>
    <row r="141" spans="2:16" x14ac:dyDescent="0.25">
      <c r="B141" s="128">
        <v>10</v>
      </c>
      <c r="C141" s="1047"/>
      <c r="D141" s="1047"/>
      <c r="E141" s="1047"/>
      <c r="F141" s="1047"/>
      <c r="G141" s="1047"/>
      <c r="H141" s="1048"/>
      <c r="I141" s="533"/>
      <c r="J141" s="520">
        <f t="shared" si="6"/>
        <v>0</v>
      </c>
      <c r="K141" s="534"/>
      <c r="L141" s="534"/>
      <c r="M141" s="534"/>
      <c r="N141" s="534"/>
      <c r="O141" s="534"/>
      <c r="P141" s="534"/>
    </row>
    <row r="142" spans="2:16" x14ac:dyDescent="0.25">
      <c r="B142" s="530"/>
      <c r="C142" s="1050" t="s">
        <v>928</v>
      </c>
      <c r="D142" s="1050"/>
      <c r="E142" s="1050"/>
      <c r="F142" s="1050"/>
      <c r="G142" s="1050"/>
      <c r="H142" s="1050"/>
      <c r="I142" s="1050"/>
      <c r="J142" s="1051"/>
      <c r="K142" s="549" t="s">
        <v>917</v>
      </c>
      <c r="L142" s="549" t="s">
        <v>926</v>
      </c>
      <c r="M142" s="549" t="s">
        <v>927</v>
      </c>
      <c r="N142" s="549" t="s">
        <v>943</v>
      </c>
      <c r="O142" s="549" t="s">
        <v>944</v>
      </c>
      <c r="P142" s="549" t="s">
        <v>945</v>
      </c>
    </row>
    <row r="143" spans="2:16" x14ac:dyDescent="0.25">
      <c r="B143" s="993" t="s">
        <v>918</v>
      </c>
      <c r="C143" s="994"/>
      <c r="D143" s="994"/>
      <c r="E143" s="994"/>
      <c r="F143" s="994"/>
      <c r="G143" s="994"/>
      <c r="H143" s="994"/>
      <c r="I143" s="994"/>
      <c r="J143" s="995"/>
      <c r="K143" s="535"/>
      <c r="L143" s="535"/>
      <c r="M143" s="535"/>
      <c r="N143" s="535"/>
      <c r="O143" s="535"/>
      <c r="P143" s="535"/>
    </row>
    <row r="144" spans="2:16" x14ac:dyDescent="0.25">
      <c r="B144" s="993" t="s">
        <v>919</v>
      </c>
      <c r="C144" s="994"/>
      <c r="D144" s="994"/>
      <c r="E144" s="994"/>
      <c r="F144" s="994"/>
      <c r="G144" s="994"/>
      <c r="H144" s="994"/>
      <c r="I144" s="994"/>
      <c r="J144" s="995"/>
      <c r="K144" s="536"/>
      <c r="L144" s="536"/>
      <c r="M144" s="536"/>
      <c r="N144" s="536"/>
      <c r="O144" s="536"/>
      <c r="P144" s="536"/>
    </row>
    <row r="145" spans="2:16" x14ac:dyDescent="0.25">
      <c r="B145" s="993" t="s">
        <v>920</v>
      </c>
      <c r="C145" s="994"/>
      <c r="D145" s="994"/>
      <c r="E145" s="994"/>
      <c r="F145" s="994"/>
      <c r="G145" s="994"/>
      <c r="H145" s="994"/>
      <c r="I145" s="994"/>
      <c r="J145" s="995"/>
      <c r="K145" s="537"/>
      <c r="L145" s="537"/>
      <c r="M145" s="537"/>
      <c r="N145" s="537"/>
      <c r="O145" s="537"/>
      <c r="P145" s="537"/>
    </row>
    <row r="146" spans="2:16" x14ac:dyDescent="0.25">
      <c r="B146" s="993" t="s">
        <v>921</v>
      </c>
      <c r="C146" s="994"/>
      <c r="D146" s="994"/>
      <c r="E146" s="994"/>
      <c r="F146" s="994"/>
      <c r="G146" s="994"/>
      <c r="H146" s="994"/>
      <c r="I146" s="994"/>
      <c r="J146" s="995"/>
      <c r="K146" s="537"/>
      <c r="L146" s="537"/>
      <c r="M146" s="537"/>
      <c r="N146" s="537"/>
      <c r="O146" s="537"/>
      <c r="P146" s="537"/>
    </row>
    <row r="147" spans="2:16" x14ac:dyDescent="0.25">
      <c r="B147" s="993" t="s">
        <v>922</v>
      </c>
      <c r="C147" s="994"/>
      <c r="D147" s="994"/>
      <c r="E147" s="994"/>
      <c r="F147" s="994"/>
      <c r="G147" s="994"/>
      <c r="H147" s="994"/>
      <c r="I147" s="994"/>
      <c r="J147" s="995"/>
      <c r="K147" s="535"/>
      <c r="L147" s="535"/>
      <c r="M147" s="535"/>
      <c r="N147" s="535"/>
      <c r="O147" s="535"/>
      <c r="P147" s="535"/>
    </row>
    <row r="148" spans="2:16" x14ac:dyDescent="0.25">
      <c r="B148" s="993" t="s">
        <v>923</v>
      </c>
      <c r="C148" s="994"/>
      <c r="D148" s="994"/>
      <c r="E148" s="994"/>
      <c r="F148" s="994"/>
      <c r="G148" s="994"/>
      <c r="H148" s="994"/>
      <c r="I148" s="994"/>
      <c r="J148" s="995"/>
      <c r="K148" s="538"/>
      <c r="L148" s="538"/>
      <c r="M148" s="538"/>
      <c r="N148" s="538"/>
      <c r="O148" s="538"/>
      <c r="P148" s="538"/>
    </row>
    <row r="149" spans="2:16" x14ac:dyDescent="0.25">
      <c r="B149" s="993" t="s">
        <v>924</v>
      </c>
      <c r="C149" s="994"/>
      <c r="D149" s="994"/>
      <c r="E149" s="994"/>
      <c r="F149" s="994"/>
      <c r="G149" s="994"/>
      <c r="H149" s="994"/>
      <c r="I149" s="994"/>
      <c r="J149" s="995"/>
      <c r="K149" s="539"/>
      <c r="L149" s="539"/>
      <c r="M149" s="539"/>
      <c r="N149" s="539"/>
      <c r="O149" s="539"/>
      <c r="P149" s="539"/>
    </row>
    <row r="150" spans="2:16" x14ac:dyDescent="0.25">
      <c r="B150" s="1008" t="s">
        <v>925</v>
      </c>
      <c r="C150" s="1009"/>
      <c r="D150" s="1009"/>
      <c r="E150" s="1009"/>
      <c r="F150" s="1009"/>
      <c r="G150" s="1009"/>
      <c r="H150" s="1009"/>
      <c r="I150" s="1009"/>
      <c r="J150" s="1010"/>
      <c r="K150" s="531" t="s">
        <v>915</v>
      </c>
      <c r="L150" s="532"/>
      <c r="M150" s="532"/>
      <c r="N150" s="531" t="s">
        <v>915</v>
      </c>
      <c r="O150" s="532"/>
      <c r="P150" s="532"/>
    </row>
  </sheetData>
  <sheetProtection password="C9A4" sheet="1" objects="1" scenarios="1"/>
  <mergeCells count="149">
    <mergeCell ref="C93:H93"/>
    <mergeCell ref="C94:H94"/>
    <mergeCell ref="C95:H95"/>
    <mergeCell ref="C96:H96"/>
    <mergeCell ref="C97:H97"/>
    <mergeCell ref="C98:H98"/>
    <mergeCell ref="C100:J100"/>
    <mergeCell ref="B149:J149"/>
    <mergeCell ref="B150:J150"/>
    <mergeCell ref="B143:J143"/>
    <mergeCell ref="B144:J144"/>
    <mergeCell ref="B145:J145"/>
    <mergeCell ref="B146:J146"/>
    <mergeCell ref="B147:J147"/>
    <mergeCell ref="B148:J148"/>
    <mergeCell ref="B126:J126"/>
    <mergeCell ref="B127:J127"/>
    <mergeCell ref="B128:J128"/>
    <mergeCell ref="B129:J129"/>
    <mergeCell ref="C142:J142"/>
    <mergeCell ref="C139:H139"/>
    <mergeCell ref="C140:H140"/>
    <mergeCell ref="C141:H141"/>
    <mergeCell ref="C137:H137"/>
    <mergeCell ref="B68:H68"/>
    <mergeCell ref="B64:J64"/>
    <mergeCell ref="B65:J65"/>
    <mergeCell ref="B66:J66"/>
    <mergeCell ref="C79:J79"/>
    <mergeCell ref="B59:J59"/>
    <mergeCell ref="B60:J60"/>
    <mergeCell ref="B61:J61"/>
    <mergeCell ref="B62:J62"/>
    <mergeCell ref="B63:J63"/>
    <mergeCell ref="C69:H69"/>
    <mergeCell ref="C70:H70"/>
    <mergeCell ref="C71:H71"/>
    <mergeCell ref="C72:H72"/>
    <mergeCell ref="B67:J67"/>
    <mergeCell ref="B44:J44"/>
    <mergeCell ref="B45:J45"/>
    <mergeCell ref="C58:J58"/>
    <mergeCell ref="C53:H53"/>
    <mergeCell ref="C54:H54"/>
    <mergeCell ref="C55:H55"/>
    <mergeCell ref="C56:H56"/>
    <mergeCell ref="C57:H57"/>
    <mergeCell ref="B47:H47"/>
    <mergeCell ref="C48:H48"/>
    <mergeCell ref="C49:H49"/>
    <mergeCell ref="C50:H50"/>
    <mergeCell ref="C51:H51"/>
    <mergeCell ref="C52:H52"/>
    <mergeCell ref="C91:H91"/>
    <mergeCell ref="C92:H92"/>
    <mergeCell ref="B80:J80"/>
    <mergeCell ref="B81:J81"/>
    <mergeCell ref="B82:J82"/>
    <mergeCell ref="B83:J83"/>
    <mergeCell ref="C73:H73"/>
    <mergeCell ref="C74:H74"/>
    <mergeCell ref="C75:H75"/>
    <mergeCell ref="B84:J84"/>
    <mergeCell ref="B85:J85"/>
    <mergeCell ref="B86:J86"/>
    <mergeCell ref="B87:J87"/>
    <mergeCell ref="B88:J88"/>
    <mergeCell ref="B89:H89"/>
    <mergeCell ref="C90:H90"/>
    <mergeCell ref="C76:H76"/>
    <mergeCell ref="C77:H77"/>
    <mergeCell ref="C78:H78"/>
    <mergeCell ref="C138:H138"/>
    <mergeCell ref="B110:H110"/>
    <mergeCell ref="C111:H111"/>
    <mergeCell ref="C112:H112"/>
    <mergeCell ref="B101:J101"/>
    <mergeCell ref="B102:J102"/>
    <mergeCell ref="B103:J103"/>
    <mergeCell ref="B104:J104"/>
    <mergeCell ref="B109:J109"/>
    <mergeCell ref="B130:J130"/>
    <mergeCell ref="B105:J105"/>
    <mergeCell ref="B106:J106"/>
    <mergeCell ref="B107:J107"/>
    <mergeCell ref="B108:J108"/>
    <mergeCell ref="C121:J121"/>
    <mergeCell ref="B2:J2"/>
    <mergeCell ref="B3:J3"/>
    <mergeCell ref="B4:J4"/>
    <mergeCell ref="B25:J25"/>
    <mergeCell ref="B46:J46"/>
    <mergeCell ref="C133:H133"/>
    <mergeCell ref="C134:H134"/>
    <mergeCell ref="C135:H135"/>
    <mergeCell ref="C136:H136"/>
    <mergeCell ref="C119:H119"/>
    <mergeCell ref="C120:H120"/>
    <mergeCell ref="B131:H131"/>
    <mergeCell ref="C132:H132"/>
    <mergeCell ref="B122:J122"/>
    <mergeCell ref="B123:J123"/>
    <mergeCell ref="B124:J124"/>
    <mergeCell ref="B125:J125"/>
    <mergeCell ref="C113:H113"/>
    <mergeCell ref="C114:H114"/>
    <mergeCell ref="C115:H115"/>
    <mergeCell ref="C116:H116"/>
    <mergeCell ref="C117:H117"/>
    <mergeCell ref="C118:H118"/>
    <mergeCell ref="C99:H99"/>
    <mergeCell ref="C33:H33"/>
    <mergeCell ref="C34:H34"/>
    <mergeCell ref="C35:H35"/>
    <mergeCell ref="C36:H36"/>
    <mergeCell ref="C37:J37"/>
    <mergeCell ref="B43:J43"/>
    <mergeCell ref="C27:H27"/>
    <mergeCell ref="C28:H28"/>
    <mergeCell ref="C29:H29"/>
    <mergeCell ref="C30:H30"/>
    <mergeCell ref="C31:H31"/>
    <mergeCell ref="C32:H32"/>
    <mergeCell ref="B38:J38"/>
    <mergeCell ref="B39:J39"/>
    <mergeCell ref="B40:J40"/>
    <mergeCell ref="B41:J41"/>
    <mergeCell ref="B42:J42"/>
    <mergeCell ref="B5:H5"/>
    <mergeCell ref="C6:H6"/>
    <mergeCell ref="C13:H13"/>
    <mergeCell ref="C14:H14"/>
    <mergeCell ref="C15:H15"/>
    <mergeCell ref="C16:J16"/>
    <mergeCell ref="B26:H26"/>
    <mergeCell ref="B23:J23"/>
    <mergeCell ref="B24:J24"/>
    <mergeCell ref="C7:H7"/>
    <mergeCell ref="C8:H8"/>
    <mergeCell ref="C9:H9"/>
    <mergeCell ref="C10:H10"/>
    <mergeCell ref="C11:H11"/>
    <mergeCell ref="C12:H12"/>
    <mergeCell ref="B17:J17"/>
    <mergeCell ref="B18:J18"/>
    <mergeCell ref="B19:J19"/>
    <mergeCell ref="B20:J20"/>
    <mergeCell ref="B21:J21"/>
    <mergeCell ref="B22:J22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>
    <tabColor theme="8" tint="-0.499984740745262"/>
  </sheetPr>
  <dimension ref="B2:N96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7" sqref="M7"/>
    </sheetView>
  </sheetViews>
  <sheetFormatPr defaultColWidth="9.140625" defaultRowHeight="15" x14ac:dyDescent="0.25"/>
  <cols>
    <col min="1" max="2" width="3.42578125" style="406" customWidth="1"/>
    <col min="3" max="8" width="9.140625" style="406"/>
    <col min="9" max="9" width="12.42578125" style="406" customWidth="1"/>
    <col min="10" max="10" width="13.42578125" style="406" bestFit="1" customWidth="1"/>
    <col min="11" max="11" width="15.42578125" style="406" customWidth="1"/>
    <col min="12" max="12" width="15.85546875" style="406" bestFit="1" customWidth="1"/>
    <col min="13" max="13" width="14.42578125" style="406" customWidth="1"/>
    <col min="14" max="14" width="15.42578125" style="406" customWidth="1"/>
    <col min="15" max="16384" width="9.140625" style="406"/>
  </cols>
  <sheetData>
    <row r="2" spans="2:14" ht="22.5" customHeight="1" x14ac:dyDescent="0.25">
      <c r="B2" s="1055" t="s">
        <v>932</v>
      </c>
      <c r="C2" s="1056"/>
      <c r="D2" s="1056"/>
      <c r="E2" s="1056"/>
      <c r="F2" s="1056"/>
      <c r="G2" s="1056"/>
      <c r="H2" s="1056"/>
      <c r="I2" s="1056"/>
      <c r="J2" s="1056"/>
      <c r="K2" s="1056"/>
      <c r="L2" s="1056"/>
      <c r="M2" s="1056"/>
      <c r="N2" s="1065"/>
    </row>
    <row r="3" spans="2:14" x14ac:dyDescent="0.25">
      <c r="B3" s="1069" t="s">
        <v>801</v>
      </c>
      <c r="C3" s="1070"/>
      <c r="D3" s="1070"/>
      <c r="E3" s="1070"/>
      <c r="F3" s="1070"/>
      <c r="G3" s="1070"/>
      <c r="H3" s="1070"/>
      <c r="I3" s="1070"/>
      <c r="J3" s="1070"/>
      <c r="K3" s="1071"/>
      <c r="L3" s="1066" t="s">
        <v>214</v>
      </c>
      <c r="M3" s="1067"/>
      <c r="N3" s="1068"/>
    </row>
    <row r="4" spans="2:14" x14ac:dyDescent="0.25">
      <c r="B4" s="1072"/>
      <c r="C4" s="1073"/>
      <c r="D4" s="1073"/>
      <c r="E4" s="1073"/>
      <c r="F4" s="1073"/>
      <c r="G4" s="1073"/>
      <c r="H4" s="1073"/>
      <c r="I4" s="1073"/>
      <c r="J4" s="1073"/>
      <c r="K4" s="1074"/>
      <c r="L4" s="328" t="s">
        <v>796</v>
      </c>
      <c r="M4" s="328" t="s">
        <v>240</v>
      </c>
      <c r="N4" s="329" t="s">
        <v>241</v>
      </c>
    </row>
    <row r="5" spans="2:14" x14ac:dyDescent="0.25">
      <c r="B5" s="1060" t="s">
        <v>679</v>
      </c>
      <c r="C5" s="1061"/>
      <c r="D5" s="1061"/>
      <c r="E5" s="1061"/>
      <c r="F5" s="1061"/>
      <c r="G5" s="1061"/>
      <c r="H5" s="1061"/>
      <c r="I5" s="1061"/>
      <c r="J5" s="1061"/>
      <c r="K5" s="1061"/>
      <c r="L5" s="1061"/>
      <c r="M5" s="1061"/>
      <c r="N5" s="1062"/>
    </row>
    <row r="6" spans="2:14" x14ac:dyDescent="0.25">
      <c r="B6" s="1043" t="s">
        <v>235</v>
      </c>
      <c r="C6" s="1044"/>
      <c r="D6" s="1044"/>
      <c r="E6" s="1044"/>
      <c r="F6" s="1044"/>
      <c r="G6" s="1044"/>
      <c r="H6" s="1045"/>
      <c r="I6" s="126" t="s">
        <v>16</v>
      </c>
      <c r="J6" s="126" t="s">
        <v>239</v>
      </c>
      <c r="K6" s="126" t="s">
        <v>0</v>
      </c>
      <c r="L6" s="328" t="s">
        <v>796</v>
      </c>
      <c r="M6" s="328" t="s">
        <v>240</v>
      </c>
      <c r="N6" s="329" t="s">
        <v>241</v>
      </c>
    </row>
    <row r="7" spans="2:14" x14ac:dyDescent="0.25">
      <c r="B7" s="128">
        <v>1</v>
      </c>
      <c r="C7" s="1075" t="str">
        <f>IF(ISBLANK('Descarte (ORÇ)'!C6)," ",'Descarte (ORÇ)'!C6)</f>
        <v>Lâmpadas + reatores + km rodado</v>
      </c>
      <c r="D7" s="1076"/>
      <c r="E7" s="1076"/>
      <c r="F7" s="1076"/>
      <c r="G7" s="1076"/>
      <c r="H7" s="1077"/>
      <c r="I7" s="540">
        <f>'Descarte (ORÇ)'!I6</f>
        <v>680</v>
      </c>
      <c r="J7" s="131">
        <f>'Descarte (ORÇ)'!J6</f>
        <v>6.1547058823529408</v>
      </c>
      <c r="K7" s="131">
        <f>I7*J7</f>
        <v>4185.2</v>
      </c>
      <c r="L7" s="133">
        <f>K7-M7-N7</f>
        <v>4185.2</v>
      </c>
      <c r="M7" s="132"/>
      <c r="N7" s="132"/>
    </row>
    <row r="8" spans="2:14" x14ac:dyDescent="0.25">
      <c r="B8" s="128">
        <v>2</v>
      </c>
      <c r="C8" s="1075" t="str">
        <f>IF(ISBLANK('Descarte (ORÇ)'!C7)," ",'Descarte (ORÇ)'!C7)</f>
        <v xml:space="preserve"> </v>
      </c>
      <c r="D8" s="1076"/>
      <c r="E8" s="1076"/>
      <c r="F8" s="1076"/>
      <c r="G8" s="1076"/>
      <c r="H8" s="1077"/>
      <c r="I8" s="540">
        <f>'Descarte (ORÇ)'!I7</f>
        <v>0</v>
      </c>
      <c r="J8" s="131">
        <f>'Descarte (ORÇ)'!J7</f>
        <v>0</v>
      </c>
      <c r="K8" s="131">
        <f t="shared" ref="K8:K16" si="0">I8*J8</f>
        <v>0</v>
      </c>
      <c r="L8" s="133">
        <f t="shared" ref="L8:L16" si="1">K8-M8-N8</f>
        <v>0</v>
      </c>
      <c r="M8" s="708"/>
      <c r="N8" s="132"/>
    </row>
    <row r="9" spans="2:14" x14ac:dyDescent="0.25">
      <c r="B9" s="128">
        <v>3</v>
      </c>
      <c r="C9" s="1075" t="str">
        <f>IF(ISBLANK('Descarte (ORÇ)'!C8)," ",'Descarte (ORÇ)'!C8)</f>
        <v xml:space="preserve"> </v>
      </c>
      <c r="D9" s="1076"/>
      <c r="E9" s="1076"/>
      <c r="F9" s="1076"/>
      <c r="G9" s="1076"/>
      <c r="H9" s="1077"/>
      <c r="I9" s="540">
        <f>'Descarte (ORÇ)'!I8</f>
        <v>0</v>
      </c>
      <c r="J9" s="131">
        <f>'Descarte (ORÇ)'!J8</f>
        <v>0</v>
      </c>
      <c r="K9" s="131">
        <f t="shared" si="0"/>
        <v>0</v>
      </c>
      <c r="L9" s="133">
        <f t="shared" si="1"/>
        <v>0</v>
      </c>
      <c r="M9" s="132"/>
      <c r="N9" s="132"/>
    </row>
    <row r="10" spans="2:14" x14ac:dyDescent="0.25">
      <c r="B10" s="128">
        <v>4</v>
      </c>
      <c r="C10" s="1075" t="str">
        <f>IF(ISBLANK('Descarte (ORÇ)'!C9)," ",'Descarte (ORÇ)'!C9)</f>
        <v xml:space="preserve"> </v>
      </c>
      <c r="D10" s="1076"/>
      <c r="E10" s="1076"/>
      <c r="F10" s="1076"/>
      <c r="G10" s="1076"/>
      <c r="H10" s="1077"/>
      <c r="I10" s="540">
        <f>'Descarte (ORÇ)'!I9</f>
        <v>0</v>
      </c>
      <c r="J10" s="131">
        <f>'Descarte (ORÇ)'!J9</f>
        <v>0</v>
      </c>
      <c r="K10" s="131">
        <f t="shared" si="0"/>
        <v>0</v>
      </c>
      <c r="L10" s="133">
        <f t="shared" si="1"/>
        <v>0</v>
      </c>
      <c r="M10" s="132"/>
      <c r="N10" s="132"/>
    </row>
    <row r="11" spans="2:14" x14ac:dyDescent="0.25">
      <c r="B11" s="128">
        <v>5</v>
      </c>
      <c r="C11" s="1075" t="str">
        <f>IF(ISBLANK('Descarte (ORÇ)'!C10)," ",'Descarte (ORÇ)'!C10)</f>
        <v xml:space="preserve"> </v>
      </c>
      <c r="D11" s="1076"/>
      <c r="E11" s="1076"/>
      <c r="F11" s="1076"/>
      <c r="G11" s="1076"/>
      <c r="H11" s="1077"/>
      <c r="I11" s="540">
        <f>'Descarte (ORÇ)'!I10</f>
        <v>0</v>
      </c>
      <c r="J11" s="131">
        <f>'Descarte (ORÇ)'!J10</f>
        <v>0</v>
      </c>
      <c r="K11" s="131">
        <f t="shared" si="0"/>
        <v>0</v>
      </c>
      <c r="L11" s="133">
        <f t="shared" si="1"/>
        <v>0</v>
      </c>
      <c r="M11" s="132"/>
      <c r="N11" s="132"/>
    </row>
    <row r="12" spans="2:14" x14ac:dyDescent="0.25">
      <c r="B12" s="128">
        <v>6</v>
      </c>
      <c r="C12" s="1075" t="str">
        <f>IF(ISBLANK('Descarte (ORÇ)'!C11)," ",'Descarte (ORÇ)'!C11)</f>
        <v xml:space="preserve"> </v>
      </c>
      <c r="D12" s="1076"/>
      <c r="E12" s="1076"/>
      <c r="F12" s="1076"/>
      <c r="G12" s="1076"/>
      <c r="H12" s="1077"/>
      <c r="I12" s="540">
        <f>'Descarte (ORÇ)'!I11</f>
        <v>0</v>
      </c>
      <c r="J12" s="131">
        <f>'Descarte (ORÇ)'!J11</f>
        <v>0</v>
      </c>
      <c r="K12" s="131">
        <f t="shared" si="0"/>
        <v>0</v>
      </c>
      <c r="L12" s="133">
        <f t="shared" si="1"/>
        <v>0</v>
      </c>
      <c r="M12" s="132"/>
      <c r="N12" s="132"/>
    </row>
    <row r="13" spans="2:14" x14ac:dyDescent="0.25">
      <c r="B13" s="128">
        <v>7</v>
      </c>
      <c r="C13" s="1075" t="str">
        <f>IF(ISBLANK('Descarte (ORÇ)'!C12)," ",'Descarte (ORÇ)'!C12)</f>
        <v xml:space="preserve"> </v>
      </c>
      <c r="D13" s="1076"/>
      <c r="E13" s="1076"/>
      <c r="F13" s="1076"/>
      <c r="G13" s="1076"/>
      <c r="H13" s="1077"/>
      <c r="I13" s="540">
        <f>'Descarte (ORÇ)'!I12</f>
        <v>0</v>
      </c>
      <c r="J13" s="131">
        <f>'Descarte (ORÇ)'!J12</f>
        <v>0</v>
      </c>
      <c r="K13" s="131">
        <f t="shared" si="0"/>
        <v>0</v>
      </c>
      <c r="L13" s="133">
        <f t="shared" si="1"/>
        <v>0</v>
      </c>
      <c r="M13" s="132"/>
      <c r="N13" s="132"/>
    </row>
    <row r="14" spans="2:14" x14ac:dyDescent="0.25">
      <c r="B14" s="128">
        <v>8</v>
      </c>
      <c r="C14" s="1075" t="str">
        <f>IF(ISBLANK('Descarte (ORÇ)'!C13)," ",'Descarte (ORÇ)'!C13)</f>
        <v xml:space="preserve"> </v>
      </c>
      <c r="D14" s="1076"/>
      <c r="E14" s="1076"/>
      <c r="F14" s="1076"/>
      <c r="G14" s="1076"/>
      <c r="H14" s="1077"/>
      <c r="I14" s="540">
        <f>'Descarte (ORÇ)'!I13</f>
        <v>0</v>
      </c>
      <c r="J14" s="131">
        <f>'Descarte (ORÇ)'!J13</f>
        <v>0</v>
      </c>
      <c r="K14" s="131">
        <f t="shared" si="0"/>
        <v>0</v>
      </c>
      <c r="L14" s="133">
        <f t="shared" si="1"/>
        <v>0</v>
      </c>
      <c r="M14" s="132"/>
      <c r="N14" s="132"/>
    </row>
    <row r="15" spans="2:14" x14ac:dyDescent="0.25">
      <c r="B15" s="128">
        <v>9</v>
      </c>
      <c r="C15" s="1075" t="str">
        <f>IF(ISBLANK('Descarte (ORÇ)'!C14)," ",'Descarte (ORÇ)'!C14)</f>
        <v xml:space="preserve"> </v>
      </c>
      <c r="D15" s="1076"/>
      <c r="E15" s="1076"/>
      <c r="F15" s="1076"/>
      <c r="G15" s="1076"/>
      <c r="H15" s="1077"/>
      <c r="I15" s="540">
        <f>'Descarte (ORÇ)'!I14</f>
        <v>0</v>
      </c>
      <c r="J15" s="131">
        <f>'Descarte (ORÇ)'!J14</f>
        <v>0</v>
      </c>
      <c r="K15" s="131">
        <f t="shared" si="0"/>
        <v>0</v>
      </c>
      <c r="L15" s="133">
        <f t="shared" si="1"/>
        <v>0</v>
      </c>
      <c r="M15" s="132"/>
      <c r="N15" s="132"/>
    </row>
    <row r="16" spans="2:14" x14ac:dyDescent="0.25">
      <c r="B16" s="128">
        <v>10</v>
      </c>
      <c r="C16" s="1075" t="str">
        <f>IF(ISBLANK('Descarte (ORÇ)'!C15)," ",'Descarte (ORÇ)'!C15)</f>
        <v xml:space="preserve"> </v>
      </c>
      <c r="D16" s="1076"/>
      <c r="E16" s="1076"/>
      <c r="F16" s="1076"/>
      <c r="G16" s="1076"/>
      <c r="H16" s="1077"/>
      <c r="I16" s="540">
        <f>'Descarte (ORÇ)'!I15</f>
        <v>0</v>
      </c>
      <c r="J16" s="131">
        <f>'Descarte (ORÇ)'!J15</f>
        <v>0</v>
      </c>
      <c r="K16" s="131">
        <f t="shared" si="0"/>
        <v>0</v>
      </c>
      <c r="L16" s="133">
        <f t="shared" si="1"/>
        <v>0</v>
      </c>
      <c r="M16" s="132"/>
      <c r="N16" s="132"/>
    </row>
    <row r="17" spans="2:14" x14ac:dyDescent="0.25">
      <c r="B17" s="134"/>
      <c r="C17" s="1078" t="s">
        <v>261</v>
      </c>
      <c r="D17" s="1078"/>
      <c r="E17" s="1078"/>
      <c r="F17" s="1078"/>
      <c r="G17" s="1078"/>
      <c r="H17" s="1078"/>
      <c r="I17" s="1078"/>
      <c r="J17" s="1079"/>
      <c r="K17" s="135">
        <f>SUM(K7:K16)</f>
        <v>4185.2</v>
      </c>
      <c r="L17" s="136">
        <f>SUM(L7:L16)</f>
        <v>4185.2</v>
      </c>
      <c r="M17" s="136">
        <f>SUM(M7:M16)</f>
        <v>0</v>
      </c>
      <c r="N17" s="136">
        <f>SUM(N7:N16)</f>
        <v>0</v>
      </c>
    </row>
    <row r="18" spans="2:14" x14ac:dyDescent="0.25">
      <c r="B18" s="1060" t="s">
        <v>681</v>
      </c>
      <c r="C18" s="1061"/>
      <c r="D18" s="1061"/>
      <c r="E18" s="1061"/>
      <c r="F18" s="1061"/>
      <c r="G18" s="1061"/>
      <c r="H18" s="1061"/>
      <c r="I18" s="1061"/>
      <c r="J18" s="1061"/>
      <c r="K18" s="1061"/>
      <c r="L18" s="1061"/>
      <c r="M18" s="1061"/>
      <c r="N18" s="1062"/>
    </row>
    <row r="19" spans="2:14" x14ac:dyDescent="0.25">
      <c r="B19" s="1043" t="s">
        <v>235</v>
      </c>
      <c r="C19" s="1044"/>
      <c r="D19" s="1044"/>
      <c r="E19" s="1044"/>
      <c r="F19" s="1044"/>
      <c r="G19" s="1044"/>
      <c r="H19" s="1045"/>
      <c r="I19" s="126" t="s">
        <v>16</v>
      </c>
      <c r="J19" s="126" t="s">
        <v>239</v>
      </c>
      <c r="K19" s="126" t="s">
        <v>0</v>
      </c>
      <c r="L19" s="328" t="s">
        <v>796</v>
      </c>
      <c r="M19" s="328" t="s">
        <v>240</v>
      </c>
      <c r="N19" s="329" t="s">
        <v>241</v>
      </c>
    </row>
    <row r="20" spans="2:14" x14ac:dyDescent="0.25">
      <c r="B20" s="128">
        <v>1</v>
      </c>
      <c r="C20" s="1075" t="str">
        <f>IF(ISBLANK('Descarte (ORÇ)'!C27)," ",'Descarte (ORÇ)'!C27)</f>
        <v xml:space="preserve"> </v>
      </c>
      <c r="D20" s="1076"/>
      <c r="E20" s="1076"/>
      <c r="F20" s="1076"/>
      <c r="G20" s="1076"/>
      <c r="H20" s="1077"/>
      <c r="I20" s="540">
        <f>'Descarte (ORÇ)'!I27</f>
        <v>0</v>
      </c>
      <c r="J20" s="131">
        <f>'Descarte (ORÇ)'!J27</f>
        <v>0</v>
      </c>
      <c r="K20" s="131">
        <f t="shared" ref="K20:K29" si="2">I20*J20</f>
        <v>0</v>
      </c>
      <c r="L20" s="133">
        <f t="shared" ref="L20:L29" si="3">K20-M20-N20</f>
        <v>0</v>
      </c>
      <c r="M20" s="132"/>
      <c r="N20" s="132"/>
    </row>
    <row r="21" spans="2:14" x14ac:dyDescent="0.25">
      <c r="B21" s="128">
        <v>2</v>
      </c>
      <c r="C21" s="1075" t="str">
        <f>IF(ISBLANK('Descarte (ORÇ)'!C28)," ",'Descarte (ORÇ)'!C28)</f>
        <v xml:space="preserve"> </v>
      </c>
      <c r="D21" s="1076"/>
      <c r="E21" s="1076"/>
      <c r="F21" s="1076"/>
      <c r="G21" s="1076"/>
      <c r="H21" s="1077"/>
      <c r="I21" s="540">
        <f>'Descarte (ORÇ)'!I28</f>
        <v>0</v>
      </c>
      <c r="J21" s="131">
        <f>'Descarte (ORÇ)'!J28</f>
        <v>0</v>
      </c>
      <c r="K21" s="131">
        <f t="shared" si="2"/>
        <v>0</v>
      </c>
      <c r="L21" s="133">
        <f t="shared" si="3"/>
        <v>0</v>
      </c>
      <c r="M21" s="132"/>
      <c r="N21" s="132"/>
    </row>
    <row r="22" spans="2:14" x14ac:dyDescent="0.25">
      <c r="B22" s="128">
        <v>3</v>
      </c>
      <c r="C22" s="1075" t="str">
        <f>IF(ISBLANK('Descarte (ORÇ)'!C29)," ",'Descarte (ORÇ)'!C29)</f>
        <v xml:space="preserve"> </v>
      </c>
      <c r="D22" s="1076"/>
      <c r="E22" s="1076"/>
      <c r="F22" s="1076"/>
      <c r="G22" s="1076"/>
      <c r="H22" s="1077"/>
      <c r="I22" s="540">
        <f>'Descarte (ORÇ)'!I29</f>
        <v>0</v>
      </c>
      <c r="J22" s="131">
        <f>'Descarte (ORÇ)'!J29</f>
        <v>0</v>
      </c>
      <c r="K22" s="131">
        <f t="shared" si="2"/>
        <v>0</v>
      </c>
      <c r="L22" s="133">
        <f t="shared" si="3"/>
        <v>0</v>
      </c>
      <c r="M22" s="132"/>
      <c r="N22" s="132"/>
    </row>
    <row r="23" spans="2:14" x14ac:dyDescent="0.25">
      <c r="B23" s="128">
        <v>4</v>
      </c>
      <c r="C23" s="1075" t="str">
        <f>IF(ISBLANK('Descarte (ORÇ)'!C30)," ",'Descarte (ORÇ)'!C30)</f>
        <v xml:space="preserve"> </v>
      </c>
      <c r="D23" s="1076"/>
      <c r="E23" s="1076"/>
      <c r="F23" s="1076"/>
      <c r="G23" s="1076"/>
      <c r="H23" s="1077"/>
      <c r="I23" s="540">
        <f>'Descarte (ORÇ)'!I30</f>
        <v>0</v>
      </c>
      <c r="J23" s="131">
        <f>'Descarte (ORÇ)'!J30</f>
        <v>0</v>
      </c>
      <c r="K23" s="131">
        <f t="shared" si="2"/>
        <v>0</v>
      </c>
      <c r="L23" s="133">
        <f t="shared" si="3"/>
        <v>0</v>
      </c>
      <c r="M23" s="132"/>
      <c r="N23" s="132"/>
    </row>
    <row r="24" spans="2:14" x14ac:dyDescent="0.25">
      <c r="B24" s="128">
        <v>5</v>
      </c>
      <c r="C24" s="1075" t="str">
        <f>IF(ISBLANK('Descarte (ORÇ)'!C31)," ",'Descarte (ORÇ)'!C31)</f>
        <v xml:space="preserve"> </v>
      </c>
      <c r="D24" s="1076"/>
      <c r="E24" s="1076"/>
      <c r="F24" s="1076"/>
      <c r="G24" s="1076"/>
      <c r="H24" s="1077"/>
      <c r="I24" s="540">
        <f>'Descarte (ORÇ)'!I31</f>
        <v>0</v>
      </c>
      <c r="J24" s="131">
        <f>'Descarte (ORÇ)'!J31</f>
        <v>0</v>
      </c>
      <c r="K24" s="131">
        <f t="shared" si="2"/>
        <v>0</v>
      </c>
      <c r="L24" s="133">
        <f t="shared" si="3"/>
        <v>0</v>
      </c>
      <c r="M24" s="132"/>
      <c r="N24" s="132"/>
    </row>
    <row r="25" spans="2:14" x14ac:dyDescent="0.25">
      <c r="B25" s="128">
        <v>6</v>
      </c>
      <c r="C25" s="1075" t="str">
        <f>IF(ISBLANK('Descarte (ORÇ)'!C32)," ",'Descarte (ORÇ)'!C32)</f>
        <v xml:space="preserve"> </v>
      </c>
      <c r="D25" s="1076"/>
      <c r="E25" s="1076"/>
      <c r="F25" s="1076"/>
      <c r="G25" s="1076"/>
      <c r="H25" s="1077"/>
      <c r="I25" s="540">
        <f>'Descarte (ORÇ)'!I32</f>
        <v>0</v>
      </c>
      <c r="J25" s="131">
        <f>'Descarte (ORÇ)'!J32</f>
        <v>0</v>
      </c>
      <c r="K25" s="131">
        <f t="shared" si="2"/>
        <v>0</v>
      </c>
      <c r="L25" s="133">
        <f t="shared" si="3"/>
        <v>0</v>
      </c>
      <c r="M25" s="132"/>
      <c r="N25" s="132"/>
    </row>
    <row r="26" spans="2:14" x14ac:dyDescent="0.25">
      <c r="B26" s="128">
        <v>7</v>
      </c>
      <c r="C26" s="1075" t="str">
        <f>IF(ISBLANK('Descarte (ORÇ)'!C33)," ",'Descarte (ORÇ)'!C33)</f>
        <v xml:space="preserve"> </v>
      </c>
      <c r="D26" s="1076"/>
      <c r="E26" s="1076"/>
      <c r="F26" s="1076"/>
      <c r="G26" s="1076"/>
      <c r="H26" s="1077"/>
      <c r="I26" s="540">
        <f>'Descarte (ORÇ)'!I33</f>
        <v>0</v>
      </c>
      <c r="J26" s="131">
        <f>'Descarte (ORÇ)'!J33</f>
        <v>0</v>
      </c>
      <c r="K26" s="131">
        <f t="shared" si="2"/>
        <v>0</v>
      </c>
      <c r="L26" s="133">
        <f t="shared" si="3"/>
        <v>0</v>
      </c>
      <c r="M26" s="132"/>
      <c r="N26" s="132"/>
    </row>
    <row r="27" spans="2:14" x14ac:dyDescent="0.25">
      <c r="B27" s="128">
        <v>8</v>
      </c>
      <c r="C27" s="1075" t="str">
        <f>IF(ISBLANK('Descarte (ORÇ)'!C34)," ",'Descarte (ORÇ)'!C34)</f>
        <v xml:space="preserve"> </v>
      </c>
      <c r="D27" s="1076"/>
      <c r="E27" s="1076"/>
      <c r="F27" s="1076"/>
      <c r="G27" s="1076"/>
      <c r="H27" s="1077"/>
      <c r="I27" s="540">
        <f>'Descarte (ORÇ)'!I34</f>
        <v>0</v>
      </c>
      <c r="J27" s="131">
        <f>'Descarte (ORÇ)'!J34</f>
        <v>0</v>
      </c>
      <c r="K27" s="131">
        <f t="shared" si="2"/>
        <v>0</v>
      </c>
      <c r="L27" s="133">
        <f t="shared" si="3"/>
        <v>0</v>
      </c>
      <c r="M27" s="132"/>
      <c r="N27" s="132"/>
    </row>
    <row r="28" spans="2:14" x14ac:dyDescent="0.25">
      <c r="B28" s="128">
        <v>9</v>
      </c>
      <c r="C28" s="1075" t="str">
        <f>IF(ISBLANK('Descarte (ORÇ)'!C35)," ",'Descarte (ORÇ)'!C35)</f>
        <v xml:space="preserve"> </v>
      </c>
      <c r="D28" s="1076"/>
      <c r="E28" s="1076"/>
      <c r="F28" s="1076"/>
      <c r="G28" s="1076"/>
      <c r="H28" s="1077"/>
      <c r="I28" s="540">
        <f>'Descarte (ORÇ)'!I35</f>
        <v>0</v>
      </c>
      <c r="J28" s="131">
        <f>'Descarte (ORÇ)'!J35</f>
        <v>0</v>
      </c>
      <c r="K28" s="131">
        <f t="shared" si="2"/>
        <v>0</v>
      </c>
      <c r="L28" s="133">
        <f t="shared" si="3"/>
        <v>0</v>
      </c>
      <c r="M28" s="132"/>
      <c r="N28" s="132"/>
    </row>
    <row r="29" spans="2:14" x14ac:dyDescent="0.25">
      <c r="B29" s="128">
        <v>10</v>
      </c>
      <c r="C29" s="1075" t="str">
        <f>IF(ISBLANK('Descarte (ORÇ)'!C36)," ",'Descarte (ORÇ)'!C36)</f>
        <v xml:space="preserve"> </v>
      </c>
      <c r="D29" s="1076"/>
      <c r="E29" s="1076"/>
      <c r="F29" s="1076"/>
      <c r="G29" s="1076"/>
      <c r="H29" s="1077"/>
      <c r="I29" s="540">
        <f>'Descarte (ORÇ)'!I36</f>
        <v>0</v>
      </c>
      <c r="J29" s="131">
        <f>'Descarte (ORÇ)'!J36</f>
        <v>0</v>
      </c>
      <c r="K29" s="131">
        <f t="shared" si="2"/>
        <v>0</v>
      </c>
      <c r="L29" s="133">
        <f t="shared" si="3"/>
        <v>0</v>
      </c>
      <c r="M29" s="132"/>
      <c r="N29" s="132"/>
    </row>
    <row r="30" spans="2:14" x14ac:dyDescent="0.25">
      <c r="B30" s="134"/>
      <c r="C30" s="1078" t="s">
        <v>262</v>
      </c>
      <c r="D30" s="1078"/>
      <c r="E30" s="1078"/>
      <c r="F30" s="1078"/>
      <c r="G30" s="1078"/>
      <c r="H30" s="1078"/>
      <c r="I30" s="1078"/>
      <c r="J30" s="1079"/>
      <c r="K30" s="135">
        <f>SUM(K20:K29)</f>
        <v>0</v>
      </c>
      <c r="L30" s="136">
        <f>SUM(L20:L29)</f>
        <v>0</v>
      </c>
      <c r="M30" s="136">
        <f>SUM(M20:M29)</f>
        <v>0</v>
      </c>
      <c r="N30" s="136">
        <f>SUM(N20:N29)</f>
        <v>0</v>
      </c>
    </row>
    <row r="31" spans="2:14" x14ac:dyDescent="0.25">
      <c r="B31" s="1060" t="s">
        <v>682</v>
      </c>
      <c r="C31" s="1061"/>
      <c r="D31" s="1061"/>
      <c r="E31" s="1061"/>
      <c r="F31" s="1061"/>
      <c r="G31" s="1061"/>
      <c r="H31" s="1061"/>
      <c r="I31" s="1061"/>
      <c r="J31" s="1061"/>
      <c r="K31" s="1061"/>
      <c r="L31" s="1061"/>
      <c r="M31" s="1061"/>
      <c r="N31" s="1062"/>
    </row>
    <row r="32" spans="2:14" x14ac:dyDescent="0.25">
      <c r="B32" s="1043" t="s">
        <v>235</v>
      </c>
      <c r="C32" s="1044"/>
      <c r="D32" s="1044"/>
      <c r="E32" s="1044"/>
      <c r="F32" s="1044"/>
      <c r="G32" s="1044"/>
      <c r="H32" s="1045"/>
      <c r="I32" s="126" t="s">
        <v>16</v>
      </c>
      <c r="J32" s="126" t="s">
        <v>239</v>
      </c>
      <c r="K32" s="126" t="s">
        <v>0</v>
      </c>
      <c r="L32" s="328" t="s">
        <v>796</v>
      </c>
      <c r="M32" s="328" t="s">
        <v>240</v>
      </c>
      <c r="N32" s="329" t="s">
        <v>241</v>
      </c>
    </row>
    <row r="33" spans="2:14" x14ac:dyDescent="0.25">
      <c r="B33" s="128">
        <v>1</v>
      </c>
      <c r="C33" s="1075" t="str">
        <f>IF(ISBLANK('Descarte (ORÇ)'!C48)," ",'Descarte (ORÇ)'!C48)</f>
        <v xml:space="preserve"> </v>
      </c>
      <c r="D33" s="1076"/>
      <c r="E33" s="1076"/>
      <c r="F33" s="1076"/>
      <c r="G33" s="1076"/>
      <c r="H33" s="1077"/>
      <c r="I33" s="540">
        <f>'Descarte (ORÇ)'!I48</f>
        <v>0</v>
      </c>
      <c r="J33" s="131">
        <f>'Descarte (ORÇ)'!J48</f>
        <v>0</v>
      </c>
      <c r="K33" s="131">
        <f t="shared" ref="K33:K42" si="4">I33*J33</f>
        <v>0</v>
      </c>
      <c r="L33" s="133">
        <f t="shared" ref="L33:L42" si="5">K33-M33-N33</f>
        <v>0</v>
      </c>
      <c r="M33" s="132"/>
      <c r="N33" s="132"/>
    </row>
    <row r="34" spans="2:14" x14ac:dyDescent="0.25">
      <c r="B34" s="128">
        <v>2</v>
      </c>
      <c r="C34" s="1075" t="str">
        <f>IF(ISBLANK('Descarte (ORÇ)'!C49)," ",'Descarte (ORÇ)'!C49)</f>
        <v xml:space="preserve"> </v>
      </c>
      <c r="D34" s="1076"/>
      <c r="E34" s="1076"/>
      <c r="F34" s="1076"/>
      <c r="G34" s="1076"/>
      <c r="H34" s="1077"/>
      <c r="I34" s="540">
        <f>'Descarte (ORÇ)'!I49</f>
        <v>0</v>
      </c>
      <c r="J34" s="131">
        <f>'Descarte (ORÇ)'!J49</f>
        <v>0</v>
      </c>
      <c r="K34" s="131">
        <f t="shared" si="4"/>
        <v>0</v>
      </c>
      <c r="L34" s="133">
        <f t="shared" si="5"/>
        <v>0</v>
      </c>
      <c r="M34" s="132"/>
      <c r="N34" s="132"/>
    </row>
    <row r="35" spans="2:14" x14ac:dyDescent="0.25">
      <c r="B35" s="128">
        <v>3</v>
      </c>
      <c r="C35" s="1075" t="str">
        <f>IF(ISBLANK('Descarte (ORÇ)'!C50)," ",'Descarte (ORÇ)'!C50)</f>
        <v xml:space="preserve"> </v>
      </c>
      <c r="D35" s="1076"/>
      <c r="E35" s="1076"/>
      <c r="F35" s="1076"/>
      <c r="G35" s="1076"/>
      <c r="H35" s="1077"/>
      <c r="I35" s="540">
        <f>'Descarte (ORÇ)'!I50</f>
        <v>0</v>
      </c>
      <c r="J35" s="131">
        <f>'Descarte (ORÇ)'!J50</f>
        <v>0</v>
      </c>
      <c r="K35" s="131">
        <f t="shared" si="4"/>
        <v>0</v>
      </c>
      <c r="L35" s="133">
        <f t="shared" si="5"/>
        <v>0</v>
      </c>
      <c r="M35" s="132"/>
      <c r="N35" s="132"/>
    </row>
    <row r="36" spans="2:14" x14ac:dyDescent="0.25">
      <c r="B36" s="128">
        <v>4</v>
      </c>
      <c r="C36" s="1075" t="str">
        <f>IF(ISBLANK('Descarte (ORÇ)'!C51)," ",'Descarte (ORÇ)'!C51)</f>
        <v xml:space="preserve"> </v>
      </c>
      <c r="D36" s="1076"/>
      <c r="E36" s="1076"/>
      <c r="F36" s="1076"/>
      <c r="G36" s="1076"/>
      <c r="H36" s="1077"/>
      <c r="I36" s="540">
        <f>'Descarte (ORÇ)'!I51</f>
        <v>0</v>
      </c>
      <c r="J36" s="131">
        <f>'Descarte (ORÇ)'!J51</f>
        <v>0</v>
      </c>
      <c r="K36" s="131">
        <f t="shared" si="4"/>
        <v>0</v>
      </c>
      <c r="L36" s="133">
        <f t="shared" si="5"/>
        <v>0</v>
      </c>
      <c r="M36" s="132"/>
      <c r="N36" s="132"/>
    </row>
    <row r="37" spans="2:14" x14ac:dyDescent="0.25">
      <c r="B37" s="128">
        <v>5</v>
      </c>
      <c r="C37" s="1075" t="str">
        <f>IF(ISBLANK('Descarte (ORÇ)'!C52)," ",'Descarte (ORÇ)'!C52)</f>
        <v xml:space="preserve"> </v>
      </c>
      <c r="D37" s="1076"/>
      <c r="E37" s="1076"/>
      <c r="F37" s="1076"/>
      <c r="G37" s="1076"/>
      <c r="H37" s="1077"/>
      <c r="I37" s="540">
        <f>'Descarte (ORÇ)'!I52</f>
        <v>0</v>
      </c>
      <c r="J37" s="131">
        <f>'Descarte (ORÇ)'!J52</f>
        <v>0</v>
      </c>
      <c r="K37" s="131">
        <f t="shared" si="4"/>
        <v>0</v>
      </c>
      <c r="L37" s="133">
        <f t="shared" si="5"/>
        <v>0</v>
      </c>
      <c r="M37" s="132"/>
      <c r="N37" s="132"/>
    </row>
    <row r="38" spans="2:14" x14ac:dyDescent="0.25">
      <c r="B38" s="128">
        <v>6</v>
      </c>
      <c r="C38" s="1075" t="str">
        <f>IF(ISBLANK('Descarte (ORÇ)'!C53)," ",'Descarte (ORÇ)'!C53)</f>
        <v xml:space="preserve"> </v>
      </c>
      <c r="D38" s="1076"/>
      <c r="E38" s="1076"/>
      <c r="F38" s="1076"/>
      <c r="G38" s="1076"/>
      <c r="H38" s="1077"/>
      <c r="I38" s="540">
        <f>'Descarte (ORÇ)'!I53</f>
        <v>0</v>
      </c>
      <c r="J38" s="131">
        <f>'Descarte (ORÇ)'!J53</f>
        <v>0</v>
      </c>
      <c r="K38" s="131">
        <f t="shared" si="4"/>
        <v>0</v>
      </c>
      <c r="L38" s="133">
        <f t="shared" si="5"/>
        <v>0</v>
      </c>
      <c r="M38" s="132"/>
      <c r="N38" s="132"/>
    </row>
    <row r="39" spans="2:14" x14ac:dyDescent="0.25">
      <c r="B39" s="128">
        <v>7</v>
      </c>
      <c r="C39" s="1075" t="str">
        <f>IF(ISBLANK('Descarte (ORÇ)'!C54)," ",'Descarte (ORÇ)'!C54)</f>
        <v xml:space="preserve"> </v>
      </c>
      <c r="D39" s="1076"/>
      <c r="E39" s="1076"/>
      <c r="F39" s="1076"/>
      <c r="G39" s="1076"/>
      <c r="H39" s="1077"/>
      <c r="I39" s="540">
        <f>'Descarte (ORÇ)'!I54</f>
        <v>0</v>
      </c>
      <c r="J39" s="131">
        <f>'Descarte (ORÇ)'!J54</f>
        <v>0</v>
      </c>
      <c r="K39" s="131">
        <f t="shared" si="4"/>
        <v>0</v>
      </c>
      <c r="L39" s="133">
        <f t="shared" si="5"/>
        <v>0</v>
      </c>
      <c r="M39" s="132"/>
      <c r="N39" s="132"/>
    </row>
    <row r="40" spans="2:14" x14ac:dyDescent="0.25">
      <c r="B40" s="128">
        <v>8</v>
      </c>
      <c r="C40" s="1075" t="str">
        <f>IF(ISBLANK('Descarte (ORÇ)'!C55)," ",'Descarte (ORÇ)'!C55)</f>
        <v xml:space="preserve"> </v>
      </c>
      <c r="D40" s="1076"/>
      <c r="E40" s="1076"/>
      <c r="F40" s="1076"/>
      <c r="G40" s="1076"/>
      <c r="H40" s="1077"/>
      <c r="I40" s="540">
        <f>'Descarte (ORÇ)'!I55</f>
        <v>0</v>
      </c>
      <c r="J40" s="131">
        <f>'Descarte (ORÇ)'!J55</f>
        <v>0</v>
      </c>
      <c r="K40" s="131">
        <f t="shared" si="4"/>
        <v>0</v>
      </c>
      <c r="L40" s="133">
        <f t="shared" si="5"/>
        <v>0</v>
      </c>
      <c r="M40" s="132"/>
      <c r="N40" s="132"/>
    </row>
    <row r="41" spans="2:14" x14ac:dyDescent="0.25">
      <c r="B41" s="128">
        <v>9</v>
      </c>
      <c r="C41" s="1075" t="str">
        <f>IF(ISBLANK('Descarte (ORÇ)'!C56)," ",'Descarte (ORÇ)'!C56)</f>
        <v xml:space="preserve"> </v>
      </c>
      <c r="D41" s="1076"/>
      <c r="E41" s="1076"/>
      <c r="F41" s="1076"/>
      <c r="G41" s="1076"/>
      <c r="H41" s="1077"/>
      <c r="I41" s="540">
        <f>'Descarte (ORÇ)'!I56</f>
        <v>0</v>
      </c>
      <c r="J41" s="131">
        <f>'Descarte (ORÇ)'!J56</f>
        <v>0</v>
      </c>
      <c r="K41" s="131">
        <f t="shared" si="4"/>
        <v>0</v>
      </c>
      <c r="L41" s="133">
        <f t="shared" si="5"/>
        <v>0</v>
      </c>
      <c r="M41" s="132"/>
      <c r="N41" s="132"/>
    </row>
    <row r="42" spans="2:14" x14ac:dyDescent="0.25">
      <c r="B42" s="128">
        <v>10</v>
      </c>
      <c r="C42" s="1075" t="str">
        <f>IF(ISBLANK('Descarte (ORÇ)'!C57)," ",'Descarte (ORÇ)'!C57)</f>
        <v xml:space="preserve"> </v>
      </c>
      <c r="D42" s="1076"/>
      <c r="E42" s="1076"/>
      <c r="F42" s="1076"/>
      <c r="G42" s="1076"/>
      <c r="H42" s="1077"/>
      <c r="I42" s="540">
        <f>'Descarte (ORÇ)'!I57</f>
        <v>0</v>
      </c>
      <c r="J42" s="131">
        <f>'Descarte (ORÇ)'!J57</f>
        <v>0</v>
      </c>
      <c r="K42" s="131">
        <f t="shared" si="4"/>
        <v>0</v>
      </c>
      <c r="L42" s="133">
        <f t="shared" si="5"/>
        <v>0</v>
      </c>
      <c r="M42" s="132"/>
      <c r="N42" s="132"/>
    </row>
    <row r="43" spans="2:14" x14ac:dyDescent="0.25">
      <c r="B43" s="134"/>
      <c r="C43" s="1078" t="s">
        <v>690</v>
      </c>
      <c r="D43" s="1078"/>
      <c r="E43" s="1078"/>
      <c r="F43" s="1078"/>
      <c r="G43" s="1078"/>
      <c r="H43" s="1078"/>
      <c r="I43" s="1078"/>
      <c r="J43" s="1079"/>
      <c r="K43" s="135">
        <f>SUM(K33:K42)</f>
        <v>0</v>
      </c>
      <c r="L43" s="136">
        <f>SUM(L33:L42)</f>
        <v>0</v>
      </c>
      <c r="M43" s="136">
        <f>SUM(M33:M42)</f>
        <v>0</v>
      </c>
      <c r="N43" s="136">
        <f>SUM(N33:N42)</f>
        <v>0</v>
      </c>
    </row>
    <row r="44" spans="2:14" x14ac:dyDescent="0.25">
      <c r="B44" s="1060" t="s">
        <v>683</v>
      </c>
      <c r="C44" s="1061"/>
      <c r="D44" s="1061"/>
      <c r="E44" s="1061"/>
      <c r="F44" s="1061"/>
      <c r="G44" s="1061"/>
      <c r="H44" s="1061"/>
      <c r="I44" s="1061"/>
      <c r="J44" s="1061"/>
      <c r="K44" s="1061"/>
      <c r="L44" s="1061"/>
      <c r="M44" s="1061"/>
      <c r="N44" s="1062"/>
    </row>
    <row r="45" spans="2:14" x14ac:dyDescent="0.25">
      <c r="B45" s="1043" t="s">
        <v>235</v>
      </c>
      <c r="C45" s="1044"/>
      <c r="D45" s="1044"/>
      <c r="E45" s="1044"/>
      <c r="F45" s="1044"/>
      <c r="G45" s="1044"/>
      <c r="H45" s="1045"/>
      <c r="I45" s="126" t="s">
        <v>16</v>
      </c>
      <c r="J45" s="126" t="s">
        <v>239</v>
      </c>
      <c r="K45" s="126" t="s">
        <v>0</v>
      </c>
      <c r="L45" s="328" t="s">
        <v>796</v>
      </c>
      <c r="M45" s="328" t="s">
        <v>240</v>
      </c>
      <c r="N45" s="329" t="s">
        <v>241</v>
      </c>
    </row>
    <row r="46" spans="2:14" x14ac:dyDescent="0.25">
      <c r="B46" s="128">
        <v>1</v>
      </c>
      <c r="C46" s="1075" t="str">
        <f>IF(ISBLANK('Descarte (ORÇ)'!C69)," ",'Descarte (ORÇ)'!C69)</f>
        <v xml:space="preserve"> </v>
      </c>
      <c r="D46" s="1076"/>
      <c r="E46" s="1076"/>
      <c r="F46" s="1076"/>
      <c r="G46" s="1076"/>
      <c r="H46" s="1077"/>
      <c r="I46" s="540">
        <f>'Descarte (ORÇ)'!I69</f>
        <v>0</v>
      </c>
      <c r="J46" s="131">
        <f>'Descarte (ORÇ)'!J69</f>
        <v>0</v>
      </c>
      <c r="K46" s="131">
        <f t="shared" ref="K46:K55" si="6">I46*J46</f>
        <v>0</v>
      </c>
      <c r="L46" s="133">
        <f t="shared" ref="L46:L55" si="7">K46-M46-N46</f>
        <v>0</v>
      </c>
      <c r="M46" s="132"/>
      <c r="N46" s="132"/>
    </row>
    <row r="47" spans="2:14" x14ac:dyDescent="0.25">
      <c r="B47" s="128">
        <v>2</v>
      </c>
      <c r="C47" s="1075" t="str">
        <f>IF(ISBLANK('Descarte (ORÇ)'!C70)," ",'Descarte (ORÇ)'!C70)</f>
        <v xml:space="preserve"> </v>
      </c>
      <c r="D47" s="1076"/>
      <c r="E47" s="1076"/>
      <c r="F47" s="1076"/>
      <c r="G47" s="1076"/>
      <c r="H47" s="1077"/>
      <c r="I47" s="540">
        <f>'Descarte (ORÇ)'!I70</f>
        <v>0</v>
      </c>
      <c r="J47" s="131">
        <f>'Descarte (ORÇ)'!J70</f>
        <v>0</v>
      </c>
      <c r="K47" s="131">
        <f t="shared" si="6"/>
        <v>0</v>
      </c>
      <c r="L47" s="133">
        <f t="shared" si="7"/>
        <v>0</v>
      </c>
      <c r="M47" s="132"/>
      <c r="N47" s="132"/>
    </row>
    <row r="48" spans="2:14" x14ac:dyDescent="0.25">
      <c r="B48" s="128">
        <v>3</v>
      </c>
      <c r="C48" s="1075" t="str">
        <f>IF(ISBLANK('Descarte (ORÇ)'!C71)," ",'Descarte (ORÇ)'!C71)</f>
        <v xml:space="preserve"> </v>
      </c>
      <c r="D48" s="1076"/>
      <c r="E48" s="1076"/>
      <c r="F48" s="1076"/>
      <c r="G48" s="1076"/>
      <c r="H48" s="1077"/>
      <c r="I48" s="540">
        <f>'Descarte (ORÇ)'!I71</f>
        <v>0</v>
      </c>
      <c r="J48" s="131">
        <f>'Descarte (ORÇ)'!J71</f>
        <v>0</v>
      </c>
      <c r="K48" s="131">
        <f t="shared" si="6"/>
        <v>0</v>
      </c>
      <c r="L48" s="133">
        <f t="shared" si="7"/>
        <v>0</v>
      </c>
      <c r="M48" s="132"/>
      <c r="N48" s="132"/>
    </row>
    <row r="49" spans="2:14" x14ac:dyDescent="0.25">
      <c r="B49" s="128">
        <v>4</v>
      </c>
      <c r="C49" s="1075" t="str">
        <f>IF(ISBLANK('Descarte (ORÇ)'!C72)," ",'Descarte (ORÇ)'!C72)</f>
        <v xml:space="preserve"> </v>
      </c>
      <c r="D49" s="1076"/>
      <c r="E49" s="1076"/>
      <c r="F49" s="1076"/>
      <c r="G49" s="1076"/>
      <c r="H49" s="1077"/>
      <c r="I49" s="540">
        <f>'Descarte (ORÇ)'!I72</f>
        <v>0</v>
      </c>
      <c r="J49" s="131">
        <f>'Descarte (ORÇ)'!J72</f>
        <v>0</v>
      </c>
      <c r="K49" s="131">
        <f t="shared" si="6"/>
        <v>0</v>
      </c>
      <c r="L49" s="133">
        <f t="shared" si="7"/>
        <v>0</v>
      </c>
      <c r="M49" s="132"/>
      <c r="N49" s="132"/>
    </row>
    <row r="50" spans="2:14" x14ac:dyDescent="0.25">
      <c r="B50" s="128">
        <v>5</v>
      </c>
      <c r="C50" s="1075" t="str">
        <f>IF(ISBLANK('Descarte (ORÇ)'!C73)," ",'Descarte (ORÇ)'!C73)</f>
        <v xml:space="preserve"> </v>
      </c>
      <c r="D50" s="1076"/>
      <c r="E50" s="1076"/>
      <c r="F50" s="1076"/>
      <c r="G50" s="1076"/>
      <c r="H50" s="1077"/>
      <c r="I50" s="540">
        <f>'Descarte (ORÇ)'!I73</f>
        <v>0</v>
      </c>
      <c r="J50" s="131">
        <f>'Descarte (ORÇ)'!J73</f>
        <v>0</v>
      </c>
      <c r="K50" s="131">
        <f t="shared" si="6"/>
        <v>0</v>
      </c>
      <c r="L50" s="133">
        <f t="shared" si="7"/>
        <v>0</v>
      </c>
      <c r="M50" s="132"/>
      <c r="N50" s="132"/>
    </row>
    <row r="51" spans="2:14" x14ac:dyDescent="0.25">
      <c r="B51" s="128">
        <v>6</v>
      </c>
      <c r="C51" s="1075" t="str">
        <f>IF(ISBLANK('Descarte (ORÇ)'!C74)," ",'Descarte (ORÇ)'!C74)</f>
        <v xml:space="preserve"> </v>
      </c>
      <c r="D51" s="1076"/>
      <c r="E51" s="1076"/>
      <c r="F51" s="1076"/>
      <c r="G51" s="1076"/>
      <c r="H51" s="1077"/>
      <c r="I51" s="540">
        <f>'Descarte (ORÇ)'!I74</f>
        <v>0</v>
      </c>
      <c r="J51" s="131">
        <f>'Descarte (ORÇ)'!J74</f>
        <v>0</v>
      </c>
      <c r="K51" s="131">
        <f t="shared" si="6"/>
        <v>0</v>
      </c>
      <c r="L51" s="133">
        <f t="shared" si="7"/>
        <v>0</v>
      </c>
      <c r="M51" s="708"/>
      <c r="N51" s="708"/>
    </row>
    <row r="52" spans="2:14" x14ac:dyDescent="0.25">
      <c r="B52" s="128">
        <v>7</v>
      </c>
      <c r="C52" s="1075" t="str">
        <f>IF(ISBLANK('Descarte (ORÇ)'!C75)," ",'Descarte (ORÇ)'!C75)</f>
        <v xml:space="preserve"> </v>
      </c>
      <c r="D52" s="1076"/>
      <c r="E52" s="1076"/>
      <c r="F52" s="1076"/>
      <c r="G52" s="1076"/>
      <c r="H52" s="1077"/>
      <c r="I52" s="540">
        <f>'Descarte (ORÇ)'!I75</f>
        <v>0</v>
      </c>
      <c r="J52" s="131">
        <f>'Descarte (ORÇ)'!J75</f>
        <v>0</v>
      </c>
      <c r="K52" s="131">
        <f t="shared" si="6"/>
        <v>0</v>
      </c>
      <c r="L52" s="133">
        <f t="shared" si="7"/>
        <v>0</v>
      </c>
      <c r="M52" s="132"/>
      <c r="N52" s="132"/>
    </row>
    <row r="53" spans="2:14" x14ac:dyDescent="0.25">
      <c r="B53" s="128">
        <v>8</v>
      </c>
      <c r="C53" s="1075" t="str">
        <f>IF(ISBLANK('Descarte (ORÇ)'!C76)," ",'Descarte (ORÇ)'!C76)</f>
        <v xml:space="preserve"> </v>
      </c>
      <c r="D53" s="1076"/>
      <c r="E53" s="1076"/>
      <c r="F53" s="1076"/>
      <c r="G53" s="1076"/>
      <c r="H53" s="1077"/>
      <c r="I53" s="540">
        <f>'Descarte (ORÇ)'!I76</f>
        <v>0</v>
      </c>
      <c r="J53" s="131">
        <f>'Descarte (ORÇ)'!J76</f>
        <v>0</v>
      </c>
      <c r="K53" s="131">
        <f t="shared" si="6"/>
        <v>0</v>
      </c>
      <c r="L53" s="133">
        <f t="shared" si="7"/>
        <v>0</v>
      </c>
      <c r="M53" s="132"/>
      <c r="N53" s="132"/>
    </row>
    <row r="54" spans="2:14" x14ac:dyDescent="0.25">
      <c r="B54" s="128">
        <v>9</v>
      </c>
      <c r="C54" s="1075" t="str">
        <f>IF(ISBLANK('Descarte (ORÇ)'!C77)," ",'Descarte (ORÇ)'!C77)</f>
        <v xml:space="preserve"> </v>
      </c>
      <c r="D54" s="1076"/>
      <c r="E54" s="1076"/>
      <c r="F54" s="1076"/>
      <c r="G54" s="1076"/>
      <c r="H54" s="1077"/>
      <c r="I54" s="540">
        <f>'Descarte (ORÇ)'!I77</f>
        <v>0</v>
      </c>
      <c r="J54" s="131">
        <f>'Descarte (ORÇ)'!J77</f>
        <v>0</v>
      </c>
      <c r="K54" s="131">
        <f t="shared" si="6"/>
        <v>0</v>
      </c>
      <c r="L54" s="133">
        <f t="shared" si="7"/>
        <v>0</v>
      </c>
      <c r="M54" s="132"/>
      <c r="N54" s="132"/>
    </row>
    <row r="55" spans="2:14" x14ac:dyDescent="0.25">
      <c r="B55" s="128">
        <v>10</v>
      </c>
      <c r="C55" s="1075" t="str">
        <f>IF(ISBLANK('Descarte (ORÇ)'!C78)," ",'Descarte (ORÇ)'!C78)</f>
        <v xml:space="preserve"> </v>
      </c>
      <c r="D55" s="1076"/>
      <c r="E55" s="1076"/>
      <c r="F55" s="1076"/>
      <c r="G55" s="1076"/>
      <c r="H55" s="1077"/>
      <c r="I55" s="540">
        <f>'Descarte (ORÇ)'!I78</f>
        <v>0</v>
      </c>
      <c r="J55" s="131">
        <f>'Descarte (ORÇ)'!J78</f>
        <v>0</v>
      </c>
      <c r="K55" s="131">
        <f t="shared" si="6"/>
        <v>0</v>
      </c>
      <c r="L55" s="133">
        <f t="shared" si="7"/>
        <v>0</v>
      </c>
      <c r="M55" s="132"/>
      <c r="N55" s="132"/>
    </row>
    <row r="56" spans="2:14" x14ac:dyDescent="0.25">
      <c r="B56" s="134"/>
      <c r="C56" s="1078" t="s">
        <v>263</v>
      </c>
      <c r="D56" s="1078"/>
      <c r="E56" s="1078"/>
      <c r="F56" s="1078"/>
      <c r="G56" s="1078"/>
      <c r="H56" s="1078"/>
      <c r="I56" s="1078"/>
      <c r="J56" s="1079"/>
      <c r="K56" s="135">
        <f>SUM(K46:K55)</f>
        <v>0</v>
      </c>
      <c r="L56" s="136">
        <f>SUM(L46:L55)</f>
        <v>0</v>
      </c>
      <c r="M56" s="136">
        <f>SUM(M46:M55)</f>
        <v>0</v>
      </c>
      <c r="N56" s="136">
        <f>SUM(N46:N55)</f>
        <v>0</v>
      </c>
    </row>
    <row r="57" spans="2:14" x14ac:dyDescent="0.25">
      <c r="B57" s="1060" t="s">
        <v>684</v>
      </c>
      <c r="C57" s="1061"/>
      <c r="D57" s="1061"/>
      <c r="E57" s="1061"/>
      <c r="F57" s="1061"/>
      <c r="G57" s="1061"/>
      <c r="H57" s="1061"/>
      <c r="I57" s="1061"/>
      <c r="J57" s="1061"/>
      <c r="K57" s="1061"/>
      <c r="L57" s="1061"/>
      <c r="M57" s="1061"/>
      <c r="N57" s="1062"/>
    </row>
    <row r="58" spans="2:14" x14ac:dyDescent="0.25">
      <c r="B58" s="1043" t="s">
        <v>235</v>
      </c>
      <c r="C58" s="1044"/>
      <c r="D58" s="1044"/>
      <c r="E58" s="1044"/>
      <c r="F58" s="1044"/>
      <c r="G58" s="1044"/>
      <c r="H58" s="1045"/>
      <c r="I58" s="126" t="s">
        <v>16</v>
      </c>
      <c r="J58" s="126" t="s">
        <v>239</v>
      </c>
      <c r="K58" s="126" t="s">
        <v>0</v>
      </c>
      <c r="L58" s="328" t="s">
        <v>796</v>
      </c>
      <c r="M58" s="328" t="s">
        <v>240</v>
      </c>
      <c r="N58" s="329" t="s">
        <v>241</v>
      </c>
    </row>
    <row r="59" spans="2:14" x14ac:dyDescent="0.25">
      <c r="B59" s="128">
        <v>1</v>
      </c>
      <c r="C59" s="1075" t="str">
        <f>IF(ISBLANK('Descarte (ORÇ)'!C90)," ",'Descarte (ORÇ)'!C90)</f>
        <v xml:space="preserve"> </v>
      </c>
      <c r="D59" s="1076"/>
      <c r="E59" s="1076"/>
      <c r="F59" s="1076"/>
      <c r="G59" s="1076"/>
      <c r="H59" s="1077"/>
      <c r="I59" s="540">
        <f>'Descarte (ORÇ)'!I90</f>
        <v>0</v>
      </c>
      <c r="J59" s="131">
        <f>'Descarte (ORÇ)'!J90</f>
        <v>0</v>
      </c>
      <c r="K59" s="131">
        <f t="shared" ref="K59:K68" si="8">I59*J59</f>
        <v>0</v>
      </c>
      <c r="L59" s="133">
        <f t="shared" ref="L59:L68" si="9">K59-M59-N59</f>
        <v>0</v>
      </c>
      <c r="M59" s="132"/>
      <c r="N59" s="132"/>
    </row>
    <row r="60" spans="2:14" x14ac:dyDescent="0.25">
      <c r="B60" s="128">
        <v>2</v>
      </c>
      <c r="C60" s="1075" t="str">
        <f>IF(ISBLANK('Descarte (ORÇ)'!C91)," ",'Descarte (ORÇ)'!C91)</f>
        <v xml:space="preserve"> </v>
      </c>
      <c r="D60" s="1076"/>
      <c r="E60" s="1076"/>
      <c r="F60" s="1076"/>
      <c r="G60" s="1076"/>
      <c r="H60" s="1077"/>
      <c r="I60" s="540">
        <f>'Descarte (ORÇ)'!I91</f>
        <v>0</v>
      </c>
      <c r="J60" s="131">
        <f>'Descarte (ORÇ)'!J91</f>
        <v>0</v>
      </c>
      <c r="K60" s="131">
        <f t="shared" si="8"/>
        <v>0</v>
      </c>
      <c r="L60" s="133">
        <f t="shared" si="9"/>
        <v>0</v>
      </c>
      <c r="M60" s="132"/>
      <c r="N60" s="132"/>
    </row>
    <row r="61" spans="2:14" x14ac:dyDescent="0.25">
      <c r="B61" s="128">
        <v>3</v>
      </c>
      <c r="C61" s="1075" t="str">
        <f>IF(ISBLANK('Descarte (ORÇ)'!C92)," ",'Descarte (ORÇ)'!C92)</f>
        <v xml:space="preserve"> </v>
      </c>
      <c r="D61" s="1076"/>
      <c r="E61" s="1076"/>
      <c r="F61" s="1076"/>
      <c r="G61" s="1076"/>
      <c r="H61" s="1077"/>
      <c r="I61" s="540">
        <f>'Descarte (ORÇ)'!I92</f>
        <v>0</v>
      </c>
      <c r="J61" s="131">
        <f>'Descarte (ORÇ)'!J92</f>
        <v>0</v>
      </c>
      <c r="K61" s="131">
        <f t="shared" si="8"/>
        <v>0</v>
      </c>
      <c r="L61" s="133">
        <f t="shared" si="9"/>
        <v>0</v>
      </c>
      <c r="M61" s="708"/>
      <c r="N61" s="132"/>
    </row>
    <row r="62" spans="2:14" x14ac:dyDescent="0.25">
      <c r="B62" s="128">
        <v>4</v>
      </c>
      <c r="C62" s="1075" t="str">
        <f>IF(ISBLANK('Descarte (ORÇ)'!C93)," ",'Descarte (ORÇ)'!C93)</f>
        <v xml:space="preserve"> </v>
      </c>
      <c r="D62" s="1076"/>
      <c r="E62" s="1076"/>
      <c r="F62" s="1076"/>
      <c r="G62" s="1076"/>
      <c r="H62" s="1077"/>
      <c r="I62" s="540">
        <f>'Descarte (ORÇ)'!I93</f>
        <v>0</v>
      </c>
      <c r="J62" s="131">
        <f>'Descarte (ORÇ)'!J93</f>
        <v>0</v>
      </c>
      <c r="K62" s="131">
        <f t="shared" si="8"/>
        <v>0</v>
      </c>
      <c r="L62" s="133">
        <f t="shared" si="9"/>
        <v>0</v>
      </c>
      <c r="M62" s="132"/>
      <c r="N62" s="708"/>
    </row>
    <row r="63" spans="2:14" x14ac:dyDescent="0.25">
      <c r="B63" s="128">
        <v>5</v>
      </c>
      <c r="C63" s="1075" t="str">
        <f>IF(ISBLANK('Descarte (ORÇ)'!C94)," ",'Descarte (ORÇ)'!C94)</f>
        <v xml:space="preserve"> </v>
      </c>
      <c r="D63" s="1076"/>
      <c r="E63" s="1076"/>
      <c r="F63" s="1076"/>
      <c r="G63" s="1076"/>
      <c r="H63" s="1077"/>
      <c r="I63" s="540">
        <f>'Descarte (ORÇ)'!I94</f>
        <v>0</v>
      </c>
      <c r="J63" s="131">
        <f>'Descarte (ORÇ)'!J94</f>
        <v>0</v>
      </c>
      <c r="K63" s="131">
        <f t="shared" si="8"/>
        <v>0</v>
      </c>
      <c r="L63" s="133">
        <f t="shared" si="9"/>
        <v>0</v>
      </c>
      <c r="M63" s="132"/>
      <c r="N63" s="132"/>
    </row>
    <row r="64" spans="2:14" x14ac:dyDescent="0.25">
      <c r="B64" s="128">
        <v>6</v>
      </c>
      <c r="C64" s="1075" t="str">
        <f>IF(ISBLANK('Descarte (ORÇ)'!C95)," ",'Descarte (ORÇ)'!C95)</f>
        <v xml:space="preserve"> </v>
      </c>
      <c r="D64" s="1076"/>
      <c r="E64" s="1076"/>
      <c r="F64" s="1076"/>
      <c r="G64" s="1076"/>
      <c r="H64" s="1077"/>
      <c r="I64" s="540">
        <f>'Descarte (ORÇ)'!I95</f>
        <v>0</v>
      </c>
      <c r="J64" s="131">
        <f>'Descarte (ORÇ)'!J95</f>
        <v>0</v>
      </c>
      <c r="K64" s="131">
        <f t="shared" si="8"/>
        <v>0</v>
      </c>
      <c r="L64" s="133">
        <f t="shared" si="9"/>
        <v>0</v>
      </c>
      <c r="M64" s="132"/>
      <c r="N64" s="132"/>
    </row>
    <row r="65" spans="2:14" x14ac:dyDescent="0.25">
      <c r="B65" s="128">
        <v>7</v>
      </c>
      <c r="C65" s="1075" t="str">
        <f>IF(ISBLANK('Descarte (ORÇ)'!C96)," ",'Descarte (ORÇ)'!C96)</f>
        <v xml:space="preserve"> </v>
      </c>
      <c r="D65" s="1076"/>
      <c r="E65" s="1076"/>
      <c r="F65" s="1076"/>
      <c r="G65" s="1076"/>
      <c r="H65" s="1077"/>
      <c r="I65" s="540">
        <f>'Descarte (ORÇ)'!I96</f>
        <v>0</v>
      </c>
      <c r="J65" s="131">
        <f>'Descarte (ORÇ)'!J96</f>
        <v>0</v>
      </c>
      <c r="K65" s="131">
        <f t="shared" si="8"/>
        <v>0</v>
      </c>
      <c r="L65" s="133">
        <f t="shared" si="9"/>
        <v>0</v>
      </c>
      <c r="M65" s="132"/>
      <c r="N65" s="132"/>
    </row>
    <row r="66" spans="2:14" x14ac:dyDescent="0.25">
      <c r="B66" s="128">
        <v>8</v>
      </c>
      <c r="C66" s="1075" t="str">
        <f>IF(ISBLANK('Descarte (ORÇ)'!C97)," ",'Descarte (ORÇ)'!C97)</f>
        <v xml:space="preserve"> </v>
      </c>
      <c r="D66" s="1076"/>
      <c r="E66" s="1076"/>
      <c r="F66" s="1076"/>
      <c r="G66" s="1076"/>
      <c r="H66" s="1077"/>
      <c r="I66" s="540">
        <f>'Descarte (ORÇ)'!I97</f>
        <v>0</v>
      </c>
      <c r="J66" s="131">
        <f>'Descarte (ORÇ)'!J97</f>
        <v>0</v>
      </c>
      <c r="K66" s="131">
        <f t="shared" si="8"/>
        <v>0</v>
      </c>
      <c r="L66" s="133">
        <f t="shared" si="9"/>
        <v>0</v>
      </c>
      <c r="M66" s="132"/>
      <c r="N66" s="132"/>
    </row>
    <row r="67" spans="2:14" x14ac:dyDescent="0.25">
      <c r="B67" s="128">
        <v>9</v>
      </c>
      <c r="C67" s="1075" t="str">
        <f>IF(ISBLANK('Descarte (ORÇ)'!C98)," ",'Descarte (ORÇ)'!C98)</f>
        <v xml:space="preserve"> </v>
      </c>
      <c r="D67" s="1076"/>
      <c r="E67" s="1076"/>
      <c r="F67" s="1076"/>
      <c r="G67" s="1076"/>
      <c r="H67" s="1077"/>
      <c r="I67" s="540">
        <f>'Descarte (ORÇ)'!I98</f>
        <v>0</v>
      </c>
      <c r="J67" s="131">
        <f>'Descarte (ORÇ)'!J98</f>
        <v>0</v>
      </c>
      <c r="K67" s="131">
        <f t="shared" si="8"/>
        <v>0</v>
      </c>
      <c r="L67" s="133">
        <f t="shared" si="9"/>
        <v>0</v>
      </c>
      <c r="M67" s="132"/>
      <c r="N67" s="132"/>
    </row>
    <row r="68" spans="2:14" x14ac:dyDescent="0.25">
      <c r="B68" s="128">
        <v>10</v>
      </c>
      <c r="C68" s="1075" t="str">
        <f>IF(ISBLANK('Descarte (ORÇ)'!C99)," ",'Descarte (ORÇ)'!C99)</f>
        <v xml:space="preserve"> </v>
      </c>
      <c r="D68" s="1076"/>
      <c r="E68" s="1076"/>
      <c r="F68" s="1076"/>
      <c r="G68" s="1076"/>
      <c r="H68" s="1077"/>
      <c r="I68" s="540">
        <f>'Descarte (ORÇ)'!I99</f>
        <v>0</v>
      </c>
      <c r="J68" s="131">
        <f>'Descarte (ORÇ)'!J99</f>
        <v>0</v>
      </c>
      <c r="K68" s="131">
        <f t="shared" si="8"/>
        <v>0</v>
      </c>
      <c r="L68" s="133">
        <f t="shared" si="9"/>
        <v>0</v>
      </c>
      <c r="M68" s="132"/>
      <c r="N68" s="132"/>
    </row>
    <row r="69" spans="2:14" x14ac:dyDescent="0.25">
      <c r="B69" s="134"/>
      <c r="C69" s="1078" t="s">
        <v>264</v>
      </c>
      <c r="D69" s="1078"/>
      <c r="E69" s="1078"/>
      <c r="F69" s="1078"/>
      <c r="G69" s="1078"/>
      <c r="H69" s="1078"/>
      <c r="I69" s="1078"/>
      <c r="J69" s="1079"/>
      <c r="K69" s="135">
        <f>SUM(K59:K68)</f>
        <v>0</v>
      </c>
      <c r="L69" s="136">
        <f>SUM(L59:L68)</f>
        <v>0</v>
      </c>
      <c r="M69" s="136">
        <f>SUM(M59:M68)</f>
        <v>0</v>
      </c>
      <c r="N69" s="136">
        <f>SUM(N59:N68)</f>
        <v>0</v>
      </c>
    </row>
    <row r="70" spans="2:14" x14ac:dyDescent="0.25">
      <c r="B70" s="1060" t="s">
        <v>688</v>
      </c>
      <c r="C70" s="1061"/>
      <c r="D70" s="1061"/>
      <c r="E70" s="1061"/>
      <c r="F70" s="1061"/>
      <c r="G70" s="1061"/>
      <c r="H70" s="1061"/>
      <c r="I70" s="1061"/>
      <c r="J70" s="1061"/>
      <c r="K70" s="1061"/>
      <c r="L70" s="1061"/>
      <c r="M70" s="1061"/>
      <c r="N70" s="1062"/>
    </row>
    <row r="71" spans="2:14" x14ac:dyDescent="0.25">
      <c r="B71" s="1043" t="s">
        <v>235</v>
      </c>
      <c r="C71" s="1044"/>
      <c r="D71" s="1044"/>
      <c r="E71" s="1044"/>
      <c r="F71" s="1044"/>
      <c r="G71" s="1044"/>
      <c r="H71" s="1045"/>
      <c r="I71" s="126" t="s">
        <v>16</v>
      </c>
      <c r="J71" s="126" t="s">
        <v>239</v>
      </c>
      <c r="K71" s="126" t="s">
        <v>0</v>
      </c>
      <c r="L71" s="328" t="s">
        <v>796</v>
      </c>
      <c r="M71" s="328" t="s">
        <v>240</v>
      </c>
      <c r="N71" s="329" t="s">
        <v>241</v>
      </c>
    </row>
    <row r="72" spans="2:14" x14ac:dyDescent="0.25">
      <c r="B72" s="128">
        <v>1</v>
      </c>
      <c r="C72" s="1075" t="str">
        <f>IF(ISBLANK('Descarte (ORÇ)'!C111)," ",'Descarte (ORÇ)'!C111)</f>
        <v xml:space="preserve"> </v>
      </c>
      <c r="D72" s="1076"/>
      <c r="E72" s="1076"/>
      <c r="F72" s="1076"/>
      <c r="G72" s="1076"/>
      <c r="H72" s="1077"/>
      <c r="I72" s="540">
        <f>'Descarte (ORÇ)'!I111</f>
        <v>0</v>
      </c>
      <c r="J72" s="131">
        <f>'Descarte (ORÇ)'!J111</f>
        <v>0</v>
      </c>
      <c r="K72" s="131">
        <f t="shared" ref="K72:K81" si="10">I72*J72</f>
        <v>0</v>
      </c>
      <c r="L72" s="133">
        <f t="shared" ref="L72:L81" si="11">K72-M72-N72</f>
        <v>0</v>
      </c>
      <c r="M72" s="132"/>
      <c r="N72" s="132"/>
    </row>
    <row r="73" spans="2:14" x14ac:dyDescent="0.25">
      <c r="B73" s="128">
        <v>2</v>
      </c>
      <c r="C73" s="1075" t="str">
        <f>IF(ISBLANK('Descarte (ORÇ)'!C112)," ",'Descarte (ORÇ)'!C112)</f>
        <v xml:space="preserve"> </v>
      </c>
      <c r="D73" s="1076"/>
      <c r="E73" s="1076"/>
      <c r="F73" s="1076"/>
      <c r="G73" s="1076"/>
      <c r="H73" s="1077"/>
      <c r="I73" s="540">
        <f>'Descarte (ORÇ)'!I112</f>
        <v>0</v>
      </c>
      <c r="J73" s="131">
        <f>'Descarte (ORÇ)'!J112</f>
        <v>0</v>
      </c>
      <c r="K73" s="131">
        <f t="shared" si="10"/>
        <v>0</v>
      </c>
      <c r="L73" s="133">
        <f t="shared" si="11"/>
        <v>0</v>
      </c>
      <c r="M73" s="132"/>
      <c r="N73" s="132"/>
    </row>
    <row r="74" spans="2:14" x14ac:dyDescent="0.25">
      <c r="B74" s="128">
        <v>3</v>
      </c>
      <c r="C74" s="1075" t="str">
        <f>IF(ISBLANK('Descarte (ORÇ)'!C113)," ",'Descarte (ORÇ)'!C113)</f>
        <v xml:space="preserve"> </v>
      </c>
      <c r="D74" s="1076"/>
      <c r="E74" s="1076"/>
      <c r="F74" s="1076"/>
      <c r="G74" s="1076"/>
      <c r="H74" s="1077"/>
      <c r="I74" s="540">
        <f>'Descarte (ORÇ)'!I113</f>
        <v>0</v>
      </c>
      <c r="J74" s="131">
        <f>'Descarte (ORÇ)'!J113</f>
        <v>0</v>
      </c>
      <c r="K74" s="131">
        <f t="shared" si="10"/>
        <v>0</v>
      </c>
      <c r="L74" s="133">
        <f t="shared" si="11"/>
        <v>0</v>
      </c>
      <c r="M74" s="132"/>
      <c r="N74" s="132"/>
    </row>
    <row r="75" spans="2:14" x14ac:dyDescent="0.25">
      <c r="B75" s="128">
        <v>4</v>
      </c>
      <c r="C75" s="1075" t="str">
        <f>IF(ISBLANK('Descarte (ORÇ)'!C114)," ",'Descarte (ORÇ)'!C114)</f>
        <v xml:space="preserve"> </v>
      </c>
      <c r="D75" s="1076"/>
      <c r="E75" s="1076"/>
      <c r="F75" s="1076"/>
      <c r="G75" s="1076"/>
      <c r="H75" s="1077"/>
      <c r="I75" s="540">
        <f>'Descarte (ORÇ)'!I114</f>
        <v>0</v>
      </c>
      <c r="J75" s="131">
        <f>'Descarte (ORÇ)'!J114</f>
        <v>0</v>
      </c>
      <c r="K75" s="131">
        <f t="shared" si="10"/>
        <v>0</v>
      </c>
      <c r="L75" s="133">
        <f t="shared" si="11"/>
        <v>0</v>
      </c>
      <c r="M75" s="708"/>
      <c r="N75" s="708"/>
    </row>
    <row r="76" spans="2:14" x14ac:dyDescent="0.25">
      <c r="B76" s="128">
        <v>5</v>
      </c>
      <c r="C76" s="1075" t="str">
        <f>IF(ISBLANK('Descarte (ORÇ)'!C115)," ",'Descarte (ORÇ)'!C115)</f>
        <v xml:space="preserve"> </v>
      </c>
      <c r="D76" s="1076"/>
      <c r="E76" s="1076"/>
      <c r="F76" s="1076"/>
      <c r="G76" s="1076"/>
      <c r="H76" s="1077"/>
      <c r="I76" s="540">
        <f>'Descarte (ORÇ)'!I115</f>
        <v>0</v>
      </c>
      <c r="J76" s="131">
        <f>'Descarte (ORÇ)'!J115</f>
        <v>0</v>
      </c>
      <c r="K76" s="131">
        <f t="shared" si="10"/>
        <v>0</v>
      </c>
      <c r="L76" s="133">
        <f t="shared" si="11"/>
        <v>0</v>
      </c>
      <c r="M76" s="132"/>
      <c r="N76" s="132"/>
    </row>
    <row r="77" spans="2:14" x14ac:dyDescent="0.25">
      <c r="B77" s="128">
        <v>6</v>
      </c>
      <c r="C77" s="1075" t="str">
        <f>IF(ISBLANK('Descarte (ORÇ)'!C116)," ",'Descarte (ORÇ)'!C116)</f>
        <v xml:space="preserve"> </v>
      </c>
      <c r="D77" s="1076"/>
      <c r="E77" s="1076"/>
      <c r="F77" s="1076"/>
      <c r="G77" s="1076"/>
      <c r="H77" s="1077"/>
      <c r="I77" s="540">
        <f>'Descarte (ORÇ)'!I116</f>
        <v>0</v>
      </c>
      <c r="J77" s="131">
        <f>'Descarte (ORÇ)'!J116</f>
        <v>0</v>
      </c>
      <c r="K77" s="131">
        <f t="shared" si="10"/>
        <v>0</v>
      </c>
      <c r="L77" s="133">
        <f t="shared" si="11"/>
        <v>0</v>
      </c>
      <c r="M77" s="132"/>
      <c r="N77" s="132"/>
    </row>
    <row r="78" spans="2:14" x14ac:dyDescent="0.25">
      <c r="B78" s="128">
        <v>7</v>
      </c>
      <c r="C78" s="1075" t="str">
        <f>IF(ISBLANK('Descarte (ORÇ)'!C117)," ",'Descarte (ORÇ)'!C117)</f>
        <v xml:space="preserve"> </v>
      </c>
      <c r="D78" s="1076"/>
      <c r="E78" s="1076"/>
      <c r="F78" s="1076"/>
      <c r="G78" s="1076"/>
      <c r="H78" s="1077"/>
      <c r="I78" s="540">
        <f>'Descarte (ORÇ)'!I117</f>
        <v>0</v>
      </c>
      <c r="J78" s="131">
        <f>'Descarte (ORÇ)'!J117</f>
        <v>0</v>
      </c>
      <c r="K78" s="131">
        <f t="shared" si="10"/>
        <v>0</v>
      </c>
      <c r="L78" s="133">
        <f t="shared" si="11"/>
        <v>0</v>
      </c>
      <c r="M78" s="132"/>
      <c r="N78" s="132"/>
    </row>
    <row r="79" spans="2:14" x14ac:dyDescent="0.25">
      <c r="B79" s="128">
        <v>8</v>
      </c>
      <c r="C79" s="1075" t="str">
        <f>IF(ISBLANK('Descarte (ORÇ)'!C118)," ",'Descarte (ORÇ)'!C118)</f>
        <v xml:space="preserve"> </v>
      </c>
      <c r="D79" s="1076"/>
      <c r="E79" s="1076"/>
      <c r="F79" s="1076"/>
      <c r="G79" s="1076"/>
      <c r="H79" s="1077"/>
      <c r="I79" s="540">
        <f>'Descarte (ORÇ)'!I118</f>
        <v>0</v>
      </c>
      <c r="J79" s="131">
        <f>'Descarte (ORÇ)'!J118</f>
        <v>0</v>
      </c>
      <c r="K79" s="131">
        <f t="shared" si="10"/>
        <v>0</v>
      </c>
      <c r="L79" s="133">
        <f t="shared" si="11"/>
        <v>0</v>
      </c>
      <c r="M79" s="132"/>
      <c r="N79" s="132"/>
    </row>
    <row r="80" spans="2:14" x14ac:dyDescent="0.25">
      <c r="B80" s="128">
        <v>9</v>
      </c>
      <c r="C80" s="1075" t="str">
        <f>IF(ISBLANK('Descarte (ORÇ)'!C119)," ",'Descarte (ORÇ)'!C119)</f>
        <v xml:space="preserve"> </v>
      </c>
      <c r="D80" s="1076"/>
      <c r="E80" s="1076"/>
      <c r="F80" s="1076"/>
      <c r="G80" s="1076"/>
      <c r="H80" s="1077"/>
      <c r="I80" s="540">
        <f>'Descarte (ORÇ)'!I119</f>
        <v>0</v>
      </c>
      <c r="J80" s="131">
        <f>'Descarte (ORÇ)'!J119</f>
        <v>0</v>
      </c>
      <c r="K80" s="131">
        <f t="shared" si="10"/>
        <v>0</v>
      </c>
      <c r="L80" s="133">
        <f t="shared" si="11"/>
        <v>0</v>
      </c>
      <c r="M80" s="132"/>
      <c r="N80" s="132"/>
    </row>
    <row r="81" spans="2:14" x14ac:dyDescent="0.25">
      <c r="B81" s="128">
        <v>10</v>
      </c>
      <c r="C81" s="1075" t="str">
        <f>IF(ISBLANK('Descarte (ORÇ)'!C120)," ",'Descarte (ORÇ)'!C120)</f>
        <v xml:space="preserve"> </v>
      </c>
      <c r="D81" s="1076"/>
      <c r="E81" s="1076"/>
      <c r="F81" s="1076"/>
      <c r="G81" s="1076"/>
      <c r="H81" s="1077"/>
      <c r="I81" s="540">
        <f>'Descarte (ORÇ)'!I120</f>
        <v>0</v>
      </c>
      <c r="J81" s="131">
        <f>'Descarte (ORÇ)'!J120</f>
        <v>0</v>
      </c>
      <c r="K81" s="131">
        <f t="shared" si="10"/>
        <v>0</v>
      </c>
      <c r="L81" s="133">
        <f t="shared" si="11"/>
        <v>0</v>
      </c>
      <c r="M81" s="132"/>
      <c r="N81" s="132"/>
    </row>
    <row r="82" spans="2:14" x14ac:dyDescent="0.25">
      <c r="B82" s="134"/>
      <c r="C82" s="1078" t="s">
        <v>265</v>
      </c>
      <c r="D82" s="1078"/>
      <c r="E82" s="1078"/>
      <c r="F82" s="1078"/>
      <c r="G82" s="1078"/>
      <c r="H82" s="1078"/>
      <c r="I82" s="1078"/>
      <c r="J82" s="1079"/>
      <c r="K82" s="135">
        <f>SUM(K72:K81)</f>
        <v>0</v>
      </c>
      <c r="L82" s="136">
        <f>SUM(L72:L81)</f>
        <v>0</v>
      </c>
      <c r="M82" s="136">
        <f>SUM(M72:M81)</f>
        <v>0</v>
      </c>
      <c r="N82" s="136">
        <f>SUM(N72:N81)</f>
        <v>0</v>
      </c>
    </row>
    <row r="83" spans="2:14" x14ac:dyDescent="0.25">
      <c r="B83" s="1060" t="s">
        <v>689</v>
      </c>
      <c r="C83" s="1061"/>
      <c r="D83" s="1061"/>
      <c r="E83" s="1061"/>
      <c r="F83" s="1061"/>
      <c r="G83" s="1061"/>
      <c r="H83" s="1061"/>
      <c r="I83" s="1061"/>
      <c r="J83" s="1061"/>
      <c r="K83" s="1061"/>
      <c r="L83" s="1061"/>
      <c r="M83" s="1061"/>
      <c r="N83" s="1062"/>
    </row>
    <row r="84" spans="2:14" x14ac:dyDescent="0.25">
      <c r="B84" s="1043" t="s">
        <v>235</v>
      </c>
      <c r="C84" s="1044"/>
      <c r="D84" s="1044"/>
      <c r="E84" s="1044"/>
      <c r="F84" s="1044"/>
      <c r="G84" s="1044"/>
      <c r="H84" s="1045"/>
      <c r="I84" s="126" t="s">
        <v>16</v>
      </c>
      <c r="J84" s="126" t="s">
        <v>239</v>
      </c>
      <c r="K84" s="126" t="s">
        <v>0</v>
      </c>
      <c r="L84" s="328" t="s">
        <v>796</v>
      </c>
      <c r="M84" s="328" t="s">
        <v>240</v>
      </c>
      <c r="N84" s="329" t="s">
        <v>241</v>
      </c>
    </row>
    <row r="85" spans="2:14" x14ac:dyDescent="0.25">
      <c r="B85" s="128">
        <v>1</v>
      </c>
      <c r="C85" s="1075" t="str">
        <f>IF(ISBLANK('Descarte (ORÇ)'!C132)," ",'Descarte (ORÇ)'!C132)</f>
        <v xml:space="preserve"> </v>
      </c>
      <c r="D85" s="1076"/>
      <c r="E85" s="1076"/>
      <c r="F85" s="1076"/>
      <c r="G85" s="1076"/>
      <c r="H85" s="1077"/>
      <c r="I85" s="540">
        <f>'Descarte (ORÇ)'!I132</f>
        <v>0</v>
      </c>
      <c r="J85" s="131">
        <f>'Descarte (ORÇ)'!J132</f>
        <v>0</v>
      </c>
      <c r="K85" s="131">
        <f t="shared" ref="K85:K94" si="12">I85*J85</f>
        <v>0</v>
      </c>
      <c r="L85" s="133">
        <f t="shared" ref="L85:L94" si="13">K85-M85-N85</f>
        <v>0</v>
      </c>
      <c r="M85" s="132"/>
      <c r="N85" s="132"/>
    </row>
    <row r="86" spans="2:14" x14ac:dyDescent="0.25">
      <c r="B86" s="128">
        <v>2</v>
      </c>
      <c r="C86" s="1075" t="str">
        <f>IF(ISBLANK('Descarte (ORÇ)'!C133)," ",'Descarte (ORÇ)'!C133)</f>
        <v xml:space="preserve"> </v>
      </c>
      <c r="D86" s="1076"/>
      <c r="E86" s="1076"/>
      <c r="F86" s="1076"/>
      <c r="G86" s="1076"/>
      <c r="H86" s="1077"/>
      <c r="I86" s="540">
        <f>'Descarte (ORÇ)'!I133</f>
        <v>0</v>
      </c>
      <c r="J86" s="131">
        <f>'Descarte (ORÇ)'!J133</f>
        <v>0</v>
      </c>
      <c r="K86" s="131">
        <f t="shared" si="12"/>
        <v>0</v>
      </c>
      <c r="L86" s="133">
        <f t="shared" si="13"/>
        <v>0</v>
      </c>
      <c r="M86" s="132"/>
      <c r="N86" s="132"/>
    </row>
    <row r="87" spans="2:14" x14ac:dyDescent="0.25">
      <c r="B87" s="128">
        <v>3</v>
      </c>
      <c r="C87" s="1075" t="str">
        <f>IF(ISBLANK('Descarte (ORÇ)'!C134)," ",'Descarte (ORÇ)'!C134)</f>
        <v xml:space="preserve"> </v>
      </c>
      <c r="D87" s="1076"/>
      <c r="E87" s="1076"/>
      <c r="F87" s="1076"/>
      <c r="G87" s="1076"/>
      <c r="H87" s="1077"/>
      <c r="I87" s="540">
        <f>'Descarte (ORÇ)'!I134</f>
        <v>0</v>
      </c>
      <c r="J87" s="131">
        <f>'Descarte (ORÇ)'!J134</f>
        <v>0</v>
      </c>
      <c r="K87" s="131">
        <f t="shared" si="12"/>
        <v>0</v>
      </c>
      <c r="L87" s="133">
        <f t="shared" si="13"/>
        <v>0</v>
      </c>
      <c r="M87" s="132"/>
      <c r="N87" s="132"/>
    </row>
    <row r="88" spans="2:14" x14ac:dyDescent="0.25">
      <c r="B88" s="128">
        <v>4</v>
      </c>
      <c r="C88" s="1075" t="str">
        <f>IF(ISBLANK('Descarte (ORÇ)'!C135)," ",'Descarte (ORÇ)'!C135)</f>
        <v xml:space="preserve"> </v>
      </c>
      <c r="D88" s="1076"/>
      <c r="E88" s="1076"/>
      <c r="F88" s="1076"/>
      <c r="G88" s="1076"/>
      <c r="H88" s="1077"/>
      <c r="I88" s="540">
        <f>'Descarte (ORÇ)'!I135</f>
        <v>0</v>
      </c>
      <c r="J88" s="131">
        <f>'Descarte (ORÇ)'!J135</f>
        <v>0</v>
      </c>
      <c r="K88" s="131">
        <f t="shared" si="12"/>
        <v>0</v>
      </c>
      <c r="L88" s="133">
        <f t="shared" si="13"/>
        <v>0</v>
      </c>
      <c r="M88" s="132"/>
      <c r="N88" s="132"/>
    </row>
    <row r="89" spans="2:14" x14ac:dyDescent="0.25">
      <c r="B89" s="128">
        <v>5</v>
      </c>
      <c r="C89" s="1075" t="str">
        <f>IF(ISBLANK('Descarte (ORÇ)'!C136)," ",'Descarte (ORÇ)'!C136)</f>
        <v xml:space="preserve"> </v>
      </c>
      <c r="D89" s="1076"/>
      <c r="E89" s="1076"/>
      <c r="F89" s="1076"/>
      <c r="G89" s="1076"/>
      <c r="H89" s="1077"/>
      <c r="I89" s="540">
        <f>'Descarte (ORÇ)'!I136</f>
        <v>0</v>
      </c>
      <c r="J89" s="131">
        <f>'Descarte (ORÇ)'!J136</f>
        <v>0</v>
      </c>
      <c r="K89" s="131">
        <f t="shared" si="12"/>
        <v>0</v>
      </c>
      <c r="L89" s="133">
        <f t="shared" si="13"/>
        <v>0</v>
      </c>
      <c r="M89" s="132"/>
      <c r="N89" s="132"/>
    </row>
    <row r="90" spans="2:14" x14ac:dyDescent="0.25">
      <c r="B90" s="128">
        <v>6</v>
      </c>
      <c r="C90" s="1075" t="str">
        <f>IF(ISBLANK('Descarte (ORÇ)'!C137)," ",'Descarte (ORÇ)'!C137)</f>
        <v xml:space="preserve"> </v>
      </c>
      <c r="D90" s="1076"/>
      <c r="E90" s="1076"/>
      <c r="F90" s="1076"/>
      <c r="G90" s="1076"/>
      <c r="H90" s="1077"/>
      <c r="I90" s="540">
        <f>'Descarte (ORÇ)'!I137</f>
        <v>0</v>
      </c>
      <c r="J90" s="131">
        <f>'Descarte (ORÇ)'!J137</f>
        <v>0</v>
      </c>
      <c r="K90" s="131">
        <f t="shared" si="12"/>
        <v>0</v>
      </c>
      <c r="L90" s="133">
        <f t="shared" si="13"/>
        <v>0</v>
      </c>
      <c r="M90" s="132"/>
      <c r="N90" s="132"/>
    </row>
    <row r="91" spans="2:14" x14ac:dyDescent="0.25">
      <c r="B91" s="128">
        <v>7</v>
      </c>
      <c r="C91" s="1075" t="str">
        <f>IF(ISBLANK('Descarte (ORÇ)'!C138)," ",'Descarte (ORÇ)'!C138)</f>
        <v xml:space="preserve"> </v>
      </c>
      <c r="D91" s="1076"/>
      <c r="E91" s="1076"/>
      <c r="F91" s="1076"/>
      <c r="G91" s="1076"/>
      <c r="H91" s="1077"/>
      <c r="I91" s="540">
        <f>'Descarte (ORÇ)'!I138</f>
        <v>0</v>
      </c>
      <c r="J91" s="131">
        <f>'Descarte (ORÇ)'!J138</f>
        <v>0</v>
      </c>
      <c r="K91" s="131">
        <f t="shared" si="12"/>
        <v>0</v>
      </c>
      <c r="L91" s="133">
        <f t="shared" si="13"/>
        <v>0</v>
      </c>
      <c r="M91" s="132"/>
      <c r="N91" s="132"/>
    </row>
    <row r="92" spans="2:14" x14ac:dyDescent="0.25">
      <c r="B92" s="128">
        <v>8</v>
      </c>
      <c r="C92" s="1075" t="str">
        <f>IF(ISBLANK('Descarte (ORÇ)'!C139)," ",'Descarte (ORÇ)'!C139)</f>
        <v xml:space="preserve"> </v>
      </c>
      <c r="D92" s="1076"/>
      <c r="E92" s="1076"/>
      <c r="F92" s="1076"/>
      <c r="G92" s="1076"/>
      <c r="H92" s="1077"/>
      <c r="I92" s="540">
        <f>'Descarte (ORÇ)'!I139</f>
        <v>0</v>
      </c>
      <c r="J92" s="131">
        <f>'Descarte (ORÇ)'!J139</f>
        <v>0</v>
      </c>
      <c r="K92" s="131">
        <f t="shared" si="12"/>
        <v>0</v>
      </c>
      <c r="L92" s="133">
        <f t="shared" si="13"/>
        <v>0</v>
      </c>
      <c r="M92" s="132"/>
      <c r="N92" s="132"/>
    </row>
    <row r="93" spans="2:14" x14ac:dyDescent="0.25">
      <c r="B93" s="128">
        <v>9</v>
      </c>
      <c r="C93" s="1075" t="str">
        <f>IF(ISBLANK('Descarte (ORÇ)'!C140)," ",'Descarte (ORÇ)'!C140)</f>
        <v xml:space="preserve"> </v>
      </c>
      <c r="D93" s="1076"/>
      <c r="E93" s="1076"/>
      <c r="F93" s="1076"/>
      <c r="G93" s="1076"/>
      <c r="H93" s="1077"/>
      <c r="I93" s="540">
        <f>'Descarte (ORÇ)'!I140</f>
        <v>0</v>
      </c>
      <c r="J93" s="131">
        <f>'Descarte (ORÇ)'!J140</f>
        <v>0</v>
      </c>
      <c r="K93" s="131">
        <f t="shared" si="12"/>
        <v>0</v>
      </c>
      <c r="L93" s="133">
        <f t="shared" si="13"/>
        <v>0</v>
      </c>
      <c r="M93" s="132"/>
      <c r="N93" s="132"/>
    </row>
    <row r="94" spans="2:14" x14ac:dyDescent="0.25">
      <c r="B94" s="128">
        <v>10</v>
      </c>
      <c r="C94" s="1075" t="str">
        <f>IF(ISBLANK('Descarte (ORÇ)'!C141)," ",'Descarte (ORÇ)'!C141)</f>
        <v xml:space="preserve"> </v>
      </c>
      <c r="D94" s="1076"/>
      <c r="E94" s="1076"/>
      <c r="F94" s="1076"/>
      <c r="G94" s="1076"/>
      <c r="H94" s="1077"/>
      <c r="I94" s="540">
        <f>'Descarte (ORÇ)'!I141</f>
        <v>0</v>
      </c>
      <c r="J94" s="131">
        <f>'Descarte (ORÇ)'!J141</f>
        <v>0</v>
      </c>
      <c r="K94" s="131">
        <f t="shared" si="12"/>
        <v>0</v>
      </c>
      <c r="L94" s="133">
        <f t="shared" si="13"/>
        <v>0</v>
      </c>
      <c r="M94" s="132"/>
      <c r="N94" s="132"/>
    </row>
    <row r="95" spans="2:14" x14ac:dyDescent="0.25">
      <c r="B95" s="134"/>
      <c r="C95" s="1078" t="s">
        <v>266</v>
      </c>
      <c r="D95" s="1078"/>
      <c r="E95" s="1078"/>
      <c r="F95" s="1078"/>
      <c r="G95" s="1078"/>
      <c r="H95" s="1078"/>
      <c r="I95" s="1078"/>
      <c r="J95" s="1079"/>
      <c r="K95" s="135">
        <f>SUM(K85:K94)</f>
        <v>0</v>
      </c>
      <c r="L95" s="136">
        <f>SUM(L85:L94)</f>
        <v>0</v>
      </c>
      <c r="M95" s="136">
        <f>SUM(M85:M94)</f>
        <v>0</v>
      </c>
      <c r="N95" s="136">
        <f>SUM(N85:N94)</f>
        <v>0</v>
      </c>
    </row>
    <row r="96" spans="2:14" x14ac:dyDescent="0.25">
      <c r="B96" s="140"/>
      <c r="C96" s="1080" t="s">
        <v>691</v>
      </c>
      <c r="D96" s="1080"/>
      <c r="E96" s="1080"/>
      <c r="F96" s="1080"/>
      <c r="G96" s="1080"/>
      <c r="H96" s="1080"/>
      <c r="I96" s="1080"/>
      <c r="J96" s="1081"/>
      <c r="K96" s="141">
        <f>SUM(K17,K30,K43,K56,K69,K82,K95)</f>
        <v>4185.2</v>
      </c>
      <c r="L96" s="141">
        <f>SUM(L17,L30,L43,L56,L69,L82,L95)</f>
        <v>4185.2</v>
      </c>
      <c r="M96" s="141">
        <f>SUM(M17,M30,M43,M56,M69,M82,M95)</f>
        <v>0</v>
      </c>
      <c r="N96" s="141">
        <f>SUM(N17,N30,N43,N56,N69,N82,N95)</f>
        <v>0</v>
      </c>
    </row>
  </sheetData>
  <sheetProtection algorithmName="SHA-512" hashValue="IT5ATu/I7+HHFvZmnL8EfqEwwbvuJs0m/JTJxgJxf3b/9QzqHlC1bzmmHV2PX2pR5Nq47COJN64duMWSjL180A==" saltValue="LegC9LIwHy5/J80j4nwB2g==" spinCount="100000" sheet="1" objects="1" scenarios="1"/>
  <mergeCells count="95">
    <mergeCell ref="C96:J96"/>
    <mergeCell ref="C91:H91"/>
    <mergeCell ref="C92:H92"/>
    <mergeCell ref="C93:H93"/>
    <mergeCell ref="C94:H94"/>
    <mergeCell ref="C95:J95"/>
    <mergeCell ref="C86:H86"/>
    <mergeCell ref="C87:H87"/>
    <mergeCell ref="C88:H88"/>
    <mergeCell ref="C89:H89"/>
    <mergeCell ref="C90:H90"/>
    <mergeCell ref="C81:H81"/>
    <mergeCell ref="C82:J82"/>
    <mergeCell ref="B84:H84"/>
    <mergeCell ref="C85:H85"/>
    <mergeCell ref="B83:N83"/>
    <mergeCell ref="C80:H80"/>
    <mergeCell ref="B71:H71"/>
    <mergeCell ref="C72:H72"/>
    <mergeCell ref="C73:H73"/>
    <mergeCell ref="C74:H74"/>
    <mergeCell ref="C75:H75"/>
    <mergeCell ref="C76:H76"/>
    <mergeCell ref="C77:H77"/>
    <mergeCell ref="C78:H78"/>
    <mergeCell ref="C79:H79"/>
    <mergeCell ref="B70:N70"/>
    <mergeCell ref="C64:H64"/>
    <mergeCell ref="C65:H65"/>
    <mergeCell ref="C66:H66"/>
    <mergeCell ref="C67:H67"/>
    <mergeCell ref="C68:H68"/>
    <mergeCell ref="C69:J69"/>
    <mergeCell ref="C63:H63"/>
    <mergeCell ref="C53:H53"/>
    <mergeCell ref="C54:H54"/>
    <mergeCell ref="C55:H55"/>
    <mergeCell ref="C56:J56"/>
    <mergeCell ref="B57:N57"/>
    <mergeCell ref="B58:H58"/>
    <mergeCell ref="C59:H59"/>
    <mergeCell ref="C60:H60"/>
    <mergeCell ref="C61:H61"/>
    <mergeCell ref="C62:H62"/>
    <mergeCell ref="C52:H52"/>
    <mergeCell ref="C42:H42"/>
    <mergeCell ref="C43:J43"/>
    <mergeCell ref="B45:H45"/>
    <mergeCell ref="C46:H46"/>
    <mergeCell ref="B44:N44"/>
    <mergeCell ref="C47:H47"/>
    <mergeCell ref="C48:H48"/>
    <mergeCell ref="C49:H49"/>
    <mergeCell ref="C50:H50"/>
    <mergeCell ref="C51:H51"/>
    <mergeCell ref="C41:H41"/>
    <mergeCell ref="B32:H32"/>
    <mergeCell ref="C33:H33"/>
    <mergeCell ref="C34:H34"/>
    <mergeCell ref="C35:H35"/>
    <mergeCell ref="C36:H36"/>
    <mergeCell ref="C37:H37"/>
    <mergeCell ref="C38:H38"/>
    <mergeCell ref="C39:H39"/>
    <mergeCell ref="C40:H40"/>
    <mergeCell ref="B31:N31"/>
    <mergeCell ref="C25:H25"/>
    <mergeCell ref="C26:H26"/>
    <mergeCell ref="C27:H27"/>
    <mergeCell ref="C28:H28"/>
    <mergeCell ref="C29:H29"/>
    <mergeCell ref="C30:J30"/>
    <mergeCell ref="C24:H24"/>
    <mergeCell ref="C14:H14"/>
    <mergeCell ref="C15:H15"/>
    <mergeCell ref="C16:H16"/>
    <mergeCell ref="C17:J17"/>
    <mergeCell ref="B18:N18"/>
    <mergeCell ref="B19:H19"/>
    <mergeCell ref="C20:H20"/>
    <mergeCell ref="C21:H21"/>
    <mergeCell ref="C22:H22"/>
    <mergeCell ref="C23:H23"/>
    <mergeCell ref="B2:N2"/>
    <mergeCell ref="L3:N3"/>
    <mergeCell ref="B3:K4"/>
    <mergeCell ref="C13:H13"/>
    <mergeCell ref="B6:H6"/>
    <mergeCell ref="C7:H7"/>
    <mergeCell ref="B5:N5"/>
    <mergeCell ref="C8:H8"/>
    <mergeCell ref="C9:H9"/>
    <mergeCell ref="C10:H10"/>
    <mergeCell ref="C11:H11"/>
    <mergeCell ref="C12:H12"/>
  </mergeCells>
  <pageMargins left="0.511811024" right="0.511811024" top="0.78740157499999996" bottom="0.78740157499999996" header="0.31496062000000002" footer="0.3149606200000000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2:R453"/>
  <sheetViews>
    <sheetView showGridLines="0" zoomScale="90" zoomScaleNormal="90" workbookViewId="0">
      <pane ySplit="6" topLeftCell="A7" activePane="bottomLeft" state="frozen"/>
      <selection activeCell="H20" sqref="H20"/>
      <selection pane="bottomLeft" activeCell="M62" sqref="M62:M73"/>
    </sheetView>
  </sheetViews>
  <sheetFormatPr defaultColWidth="9.140625" defaultRowHeight="15" x14ac:dyDescent="0.25"/>
  <cols>
    <col min="1" max="2" width="3.42578125" style="406" customWidth="1"/>
    <col min="3" max="9" width="9.140625" style="406"/>
    <col min="10" max="10" width="12.42578125" style="406" customWidth="1"/>
    <col min="11" max="11" width="12.42578125" style="470" customWidth="1"/>
    <col min="12" max="12" width="20.140625" style="406" bestFit="1" customWidth="1"/>
    <col min="13" max="18" width="28.42578125" style="406" customWidth="1"/>
    <col min="19" max="16384" width="9.140625" style="406"/>
  </cols>
  <sheetData>
    <row r="2" spans="2:18" ht="22.5" customHeight="1" x14ac:dyDescent="0.25">
      <c r="B2" s="525"/>
      <c r="C2" s="526"/>
      <c r="D2" s="526"/>
      <c r="E2" s="1056" t="s">
        <v>934</v>
      </c>
      <c r="F2" s="1056"/>
      <c r="G2" s="1056"/>
      <c r="H2" s="1056"/>
      <c r="I2" s="1056"/>
      <c r="J2" s="1056"/>
      <c r="K2" s="526"/>
      <c r="L2" s="526"/>
      <c r="M2" s="526"/>
      <c r="N2" s="526"/>
      <c r="O2" s="527"/>
      <c r="P2" s="527"/>
      <c r="Q2" s="527"/>
      <c r="R2" s="527"/>
    </row>
    <row r="3" spans="2:18" x14ac:dyDescent="0.25">
      <c r="B3" s="112"/>
      <c r="C3" s="113"/>
      <c r="D3" s="113"/>
      <c r="E3" s="113"/>
      <c r="F3" s="113"/>
      <c r="G3" s="113"/>
      <c r="H3" s="113"/>
      <c r="I3" s="113"/>
      <c r="J3" s="113"/>
      <c r="K3" s="466"/>
      <c r="L3" s="113"/>
      <c r="M3" s="1101" t="s">
        <v>933</v>
      </c>
      <c r="N3" s="1102"/>
      <c r="O3" s="1102"/>
      <c r="P3" s="1102"/>
      <c r="Q3" s="1102"/>
      <c r="R3" s="1102"/>
    </row>
    <row r="4" spans="2:18" x14ac:dyDescent="0.25">
      <c r="B4" s="115" t="s">
        <v>231</v>
      </c>
      <c r="C4" s="116"/>
      <c r="D4" s="116"/>
      <c r="E4" s="116"/>
      <c r="F4" s="117">
        <v>0.95</v>
      </c>
      <c r="G4" s="118"/>
      <c r="H4" s="116" t="s">
        <v>232</v>
      </c>
      <c r="I4" s="116"/>
      <c r="J4" s="116"/>
      <c r="K4" s="467"/>
      <c r="L4" s="119">
        <v>1.96</v>
      </c>
      <c r="M4" s="1101"/>
      <c r="N4" s="1102"/>
      <c r="O4" s="1102"/>
      <c r="P4" s="1102"/>
      <c r="Q4" s="1102"/>
      <c r="R4" s="1102"/>
    </row>
    <row r="5" spans="2:18" x14ac:dyDescent="0.25">
      <c r="B5" s="115" t="s">
        <v>233</v>
      </c>
      <c r="C5" s="116"/>
      <c r="D5" s="116"/>
      <c r="E5" s="116"/>
      <c r="F5" s="117">
        <v>0.1</v>
      </c>
      <c r="G5" s="118"/>
      <c r="H5" s="116"/>
      <c r="I5" s="116"/>
      <c r="J5" s="116"/>
      <c r="K5" s="467"/>
      <c r="L5" s="121"/>
      <c r="M5" s="1101"/>
      <c r="N5" s="1102"/>
      <c r="O5" s="1102"/>
      <c r="P5" s="1102"/>
      <c r="Q5" s="1102"/>
      <c r="R5" s="1102"/>
    </row>
    <row r="6" spans="2:18" x14ac:dyDescent="0.25">
      <c r="B6" s="122"/>
      <c r="C6" s="123"/>
      <c r="D6" s="123"/>
      <c r="E6" s="123"/>
      <c r="F6" s="123"/>
      <c r="G6" s="123"/>
      <c r="H6" s="123"/>
      <c r="I6" s="123"/>
      <c r="J6" s="123"/>
      <c r="K6" s="468"/>
      <c r="L6" s="123"/>
      <c r="M6" s="541" t="s">
        <v>917</v>
      </c>
      <c r="N6" s="541" t="s">
        <v>926</v>
      </c>
      <c r="O6" s="541" t="s">
        <v>927</v>
      </c>
      <c r="P6" s="541" t="s">
        <v>943</v>
      </c>
      <c r="Q6" s="541" t="s">
        <v>944</v>
      </c>
      <c r="R6" s="541" t="s">
        <v>945</v>
      </c>
    </row>
    <row r="7" spans="2:18" x14ac:dyDescent="0.25">
      <c r="B7" s="1083" t="s">
        <v>679</v>
      </c>
      <c r="C7" s="1083"/>
      <c r="D7" s="1083"/>
      <c r="E7" s="1083"/>
      <c r="F7" s="1083"/>
      <c r="G7" s="1083"/>
      <c r="H7" s="1083"/>
      <c r="I7" s="1083"/>
      <c r="J7" s="1083"/>
      <c r="K7" s="1083"/>
      <c r="L7" s="1083"/>
      <c r="M7" s="523"/>
      <c r="N7" s="523"/>
      <c r="O7" s="524"/>
      <c r="P7" s="523"/>
      <c r="Q7" s="523"/>
      <c r="R7" s="524"/>
    </row>
    <row r="8" spans="2:18" x14ac:dyDescent="0.25">
      <c r="B8" s="1084" t="s">
        <v>234</v>
      </c>
      <c r="C8" s="1084"/>
      <c r="D8" s="1084"/>
      <c r="E8" s="1084"/>
      <c r="F8" s="1084"/>
      <c r="G8" s="1084"/>
      <c r="H8" s="1084"/>
      <c r="I8" s="1084"/>
      <c r="J8" s="1084"/>
      <c r="K8" s="1084"/>
      <c r="L8" s="1084"/>
      <c r="M8" s="541" t="s">
        <v>917</v>
      </c>
      <c r="N8" s="541" t="s">
        <v>926</v>
      </c>
      <c r="O8" s="541" t="s">
        <v>927</v>
      </c>
      <c r="P8" s="541" t="s">
        <v>943</v>
      </c>
      <c r="Q8" s="541" t="s">
        <v>944</v>
      </c>
      <c r="R8" s="541" t="s">
        <v>945</v>
      </c>
    </row>
    <row r="9" spans="2:18" x14ac:dyDescent="0.25">
      <c r="B9" s="1043" t="s">
        <v>235</v>
      </c>
      <c r="C9" s="1044"/>
      <c r="D9" s="1044"/>
      <c r="E9" s="1044"/>
      <c r="F9" s="1044"/>
      <c r="G9" s="1044"/>
      <c r="H9" s="1045"/>
      <c r="I9" s="498" t="s">
        <v>236</v>
      </c>
      <c r="J9" s="126" t="s">
        <v>237</v>
      </c>
      <c r="K9" s="126" t="s">
        <v>238</v>
      </c>
      <c r="L9" s="126" t="s">
        <v>916</v>
      </c>
      <c r="M9" s="328" t="s">
        <v>239</v>
      </c>
      <c r="N9" s="328" t="s">
        <v>239</v>
      </c>
      <c r="O9" s="328" t="s">
        <v>239</v>
      </c>
      <c r="P9" s="328" t="s">
        <v>239</v>
      </c>
      <c r="Q9" s="328" t="s">
        <v>239</v>
      </c>
      <c r="R9" s="328" t="s">
        <v>239</v>
      </c>
    </row>
    <row r="10" spans="2:18" x14ac:dyDescent="0.25">
      <c r="B10" s="128">
        <v>1</v>
      </c>
      <c r="C10" s="1082" t="str">
        <f>IlumBenef!H5</f>
        <v>Fluorescente tubular 40W</v>
      </c>
      <c r="D10" s="1047"/>
      <c r="E10" s="1047"/>
      <c r="F10" s="1047"/>
      <c r="G10" s="1047"/>
      <c r="H10" s="1048"/>
      <c r="I10" s="786">
        <v>0.5</v>
      </c>
      <c r="J10" s="787">
        <f>IlumBenef!H7</f>
        <v>160</v>
      </c>
      <c r="K10" s="469">
        <f>IF(OR(I10=0,J10=0),0,IF((((($L$4^2*I10^2)/$F$5^2)*J10)/((($L$4^2*I10^2)/$F$5^2)+J10))&lt;(($L$4^2*I10^2)/$F$5^2),ROUND((((($L$4^2*I10^2)/$F$5^2)*J10)/((($L$4^2*I10^2)/$F$5^2)+J10)),0),ROUND((($L$4^2*I10^2)/$F$5^2),0)))</f>
        <v>60</v>
      </c>
      <c r="L10" s="546">
        <f>IFERROR(SMALL(M10:R10,1),0)</f>
        <v>13</v>
      </c>
      <c r="M10" s="534">
        <v>13</v>
      </c>
      <c r="N10" s="132"/>
      <c r="O10" s="132"/>
      <c r="P10" s="534"/>
      <c r="Q10" s="132"/>
      <c r="R10" s="132"/>
    </row>
    <row r="11" spans="2:18" x14ac:dyDescent="0.25">
      <c r="B11" s="128">
        <v>2</v>
      </c>
      <c r="C11" s="1082" t="str">
        <f>IlumBenef!I5</f>
        <v>Fluorescente tubular 40W</v>
      </c>
      <c r="D11" s="1047"/>
      <c r="E11" s="1047"/>
      <c r="F11" s="1047"/>
      <c r="G11" s="1047"/>
      <c r="H11" s="1048"/>
      <c r="I11" s="786">
        <v>0.5</v>
      </c>
      <c r="J11" s="787">
        <f>IlumBenef!I7</f>
        <v>28</v>
      </c>
      <c r="K11" s="469">
        <f t="shared" ref="K11:K59" si="0">IF(OR(I11=0,J11=0),0,IF((((($L$4^2*I11^2)/$F$5^2)*J11)/((($L$4^2*I11^2)/$F$5^2)+J11))&lt;(($L$4^2*I11^2)/$F$5^2),ROUND((((($L$4^2*I11^2)/$F$5^2)*J11)/((($L$4^2*I11^2)/$F$5^2)+J11)),0),ROUND((($L$4^2*I11^2)/$F$5^2),0)))</f>
        <v>22</v>
      </c>
      <c r="L11" s="546">
        <f t="shared" ref="L11:L59" si="1">IFERROR(SMALL(M11:R11,1),0)</f>
        <v>13</v>
      </c>
      <c r="M11" s="534">
        <v>13</v>
      </c>
      <c r="N11" s="132"/>
      <c r="O11" s="132"/>
      <c r="P11" s="534"/>
      <c r="Q11" s="132"/>
      <c r="R11" s="132"/>
    </row>
    <row r="12" spans="2:18" x14ac:dyDescent="0.25">
      <c r="B12" s="128">
        <v>3</v>
      </c>
      <c r="C12" s="1082" t="str">
        <f>IlumBenef!J5</f>
        <v>Fluorescente tubular 40W</v>
      </c>
      <c r="D12" s="1047"/>
      <c r="E12" s="1047"/>
      <c r="F12" s="1047"/>
      <c r="G12" s="1047"/>
      <c r="H12" s="1048"/>
      <c r="I12" s="786">
        <v>0.5</v>
      </c>
      <c r="J12" s="787">
        <f>IlumBenef!J7</f>
        <v>8</v>
      </c>
      <c r="K12" s="469">
        <f t="shared" si="0"/>
        <v>7</v>
      </c>
      <c r="L12" s="546">
        <f t="shared" si="1"/>
        <v>13</v>
      </c>
      <c r="M12" s="534">
        <v>13</v>
      </c>
      <c r="N12" s="132"/>
      <c r="O12" s="132"/>
      <c r="P12" s="534"/>
      <c r="Q12" s="132"/>
      <c r="R12" s="132"/>
    </row>
    <row r="13" spans="2:18" x14ac:dyDescent="0.25">
      <c r="B13" s="128">
        <v>4</v>
      </c>
      <c r="C13" s="1082" t="str">
        <f>IlumBenef!K5</f>
        <v>Fluorescente tubular 40W</v>
      </c>
      <c r="D13" s="1047"/>
      <c r="E13" s="1047"/>
      <c r="F13" s="1047"/>
      <c r="G13" s="1047"/>
      <c r="H13" s="1048"/>
      <c r="I13" s="786">
        <v>0.5</v>
      </c>
      <c r="J13" s="787">
        <f>IlumBenef!K7</f>
        <v>64</v>
      </c>
      <c r="K13" s="469">
        <f t="shared" si="0"/>
        <v>38</v>
      </c>
      <c r="L13" s="546">
        <f t="shared" si="1"/>
        <v>13</v>
      </c>
      <c r="M13" s="534">
        <v>13</v>
      </c>
      <c r="N13" s="132"/>
      <c r="O13" s="132"/>
      <c r="P13" s="534"/>
      <c r="Q13" s="132"/>
      <c r="R13" s="132"/>
    </row>
    <row r="14" spans="2:18" x14ac:dyDescent="0.25">
      <c r="B14" s="128">
        <v>5</v>
      </c>
      <c r="C14" s="1082" t="str">
        <f>IlumBenef!L5</f>
        <v>fluorescente tubular 40W</v>
      </c>
      <c r="D14" s="1047"/>
      <c r="E14" s="1047"/>
      <c r="F14" s="1047"/>
      <c r="G14" s="1047"/>
      <c r="H14" s="1048"/>
      <c r="I14" s="786">
        <v>0.5</v>
      </c>
      <c r="J14" s="787">
        <f>IlumBenef!L7</f>
        <v>30</v>
      </c>
      <c r="K14" s="469">
        <f t="shared" si="0"/>
        <v>23</v>
      </c>
      <c r="L14" s="546">
        <f t="shared" si="1"/>
        <v>13</v>
      </c>
      <c r="M14" s="534">
        <v>13</v>
      </c>
      <c r="N14" s="132"/>
      <c r="O14" s="132"/>
      <c r="P14" s="534"/>
      <c r="Q14" s="132"/>
      <c r="R14" s="132"/>
    </row>
    <row r="15" spans="2:18" x14ac:dyDescent="0.25">
      <c r="B15" s="128">
        <v>6</v>
      </c>
      <c r="C15" s="1082" t="str">
        <f>IlumBenef!M5</f>
        <v>fluorescente tubular 20W</v>
      </c>
      <c r="D15" s="1047"/>
      <c r="E15" s="1047"/>
      <c r="F15" s="1047"/>
      <c r="G15" s="1047"/>
      <c r="H15" s="1048"/>
      <c r="I15" s="786">
        <v>0.5</v>
      </c>
      <c r="J15" s="787">
        <f>IlumBenef!M7</f>
        <v>8</v>
      </c>
      <c r="K15" s="469">
        <f t="shared" si="0"/>
        <v>7</v>
      </c>
      <c r="L15" s="546">
        <f t="shared" si="1"/>
        <v>13</v>
      </c>
      <c r="M15" s="534">
        <v>13</v>
      </c>
      <c r="N15" s="132"/>
      <c r="O15" s="132"/>
      <c r="P15" s="534"/>
      <c r="Q15" s="132"/>
      <c r="R15" s="132"/>
    </row>
    <row r="16" spans="2:18" x14ac:dyDescent="0.25">
      <c r="B16" s="128">
        <v>7</v>
      </c>
      <c r="C16" s="1082" t="str">
        <f>IlumBenef!N5</f>
        <v>fluorescente tubular 20W</v>
      </c>
      <c r="D16" s="1047"/>
      <c r="E16" s="1047"/>
      <c r="F16" s="1047"/>
      <c r="G16" s="1047"/>
      <c r="H16" s="1048"/>
      <c r="I16" s="786">
        <v>0.5</v>
      </c>
      <c r="J16" s="787">
        <f>IlumBenef!N7</f>
        <v>8</v>
      </c>
      <c r="K16" s="469">
        <f t="shared" si="0"/>
        <v>7</v>
      </c>
      <c r="L16" s="546">
        <f t="shared" si="1"/>
        <v>13</v>
      </c>
      <c r="M16" s="534">
        <v>13</v>
      </c>
      <c r="N16" s="708"/>
      <c r="O16" s="132"/>
      <c r="P16" s="534"/>
      <c r="Q16" s="132"/>
      <c r="R16" s="132"/>
    </row>
    <row r="17" spans="2:18" x14ac:dyDescent="0.25">
      <c r="B17" s="128">
        <v>8</v>
      </c>
      <c r="C17" s="1082" t="str">
        <f>IlumBenef!O5</f>
        <v>fluorescente tubular  20W</v>
      </c>
      <c r="D17" s="1047"/>
      <c r="E17" s="1047"/>
      <c r="F17" s="1047"/>
      <c r="G17" s="1047"/>
      <c r="H17" s="1048"/>
      <c r="I17" s="786">
        <v>0.5</v>
      </c>
      <c r="J17" s="787">
        <f>IlumBenef!O7</f>
        <v>102</v>
      </c>
      <c r="K17" s="469">
        <f t="shared" si="0"/>
        <v>49</v>
      </c>
      <c r="L17" s="546">
        <f t="shared" si="1"/>
        <v>13</v>
      </c>
      <c r="M17" s="534">
        <v>13</v>
      </c>
      <c r="N17" s="132"/>
      <c r="O17" s="132"/>
      <c r="P17" s="534"/>
      <c r="Q17" s="132"/>
      <c r="R17" s="132"/>
    </row>
    <row r="18" spans="2:18" x14ac:dyDescent="0.25">
      <c r="B18" s="128">
        <v>9</v>
      </c>
      <c r="C18" s="1047" t="str">
        <f>IlumBenef!P5</f>
        <v>PL 12W</v>
      </c>
      <c r="D18" s="1047"/>
      <c r="E18" s="1047"/>
      <c r="F18" s="1047"/>
      <c r="G18" s="1047"/>
      <c r="H18" s="1048"/>
      <c r="I18" s="545">
        <v>0.5</v>
      </c>
      <c r="J18" s="533">
        <f>IlumBenef!P7</f>
        <v>12</v>
      </c>
      <c r="K18" s="469">
        <f t="shared" si="0"/>
        <v>11</v>
      </c>
      <c r="L18" s="546">
        <f t="shared" si="1"/>
        <v>13</v>
      </c>
      <c r="M18" s="534">
        <v>13</v>
      </c>
      <c r="N18" s="132"/>
      <c r="O18" s="132"/>
      <c r="P18" s="534"/>
      <c r="Q18" s="132"/>
      <c r="R18" s="132"/>
    </row>
    <row r="19" spans="2:18" x14ac:dyDescent="0.25">
      <c r="B19" s="128">
        <v>10</v>
      </c>
      <c r="C19" s="1047" t="str">
        <f>IlumBenef!Q5</f>
        <v>PL 20W</v>
      </c>
      <c r="D19" s="1047"/>
      <c r="E19" s="1047"/>
      <c r="F19" s="1047"/>
      <c r="G19" s="1047"/>
      <c r="H19" s="1048"/>
      <c r="I19" s="786">
        <v>0.5</v>
      </c>
      <c r="J19" s="533">
        <f>IlumBenef!Q7</f>
        <v>46</v>
      </c>
      <c r="K19" s="469">
        <f t="shared" si="0"/>
        <v>31</v>
      </c>
      <c r="L19" s="546">
        <f t="shared" si="1"/>
        <v>13</v>
      </c>
      <c r="M19" s="534">
        <v>13</v>
      </c>
      <c r="N19" s="132"/>
      <c r="O19" s="132"/>
      <c r="P19" s="534"/>
      <c r="Q19" s="132"/>
      <c r="R19" s="132"/>
    </row>
    <row r="20" spans="2:18" x14ac:dyDescent="0.25">
      <c r="B20" s="128">
        <v>11</v>
      </c>
      <c r="C20" s="1047" t="str">
        <f>IlumBenef!R5</f>
        <v>PL 20W</v>
      </c>
      <c r="D20" s="1047"/>
      <c r="E20" s="1047"/>
      <c r="F20" s="1047"/>
      <c r="G20" s="1047"/>
      <c r="H20" s="1048"/>
      <c r="I20" s="786">
        <v>0.5</v>
      </c>
      <c r="J20" s="533">
        <f>IlumBenef!R7</f>
        <v>9</v>
      </c>
      <c r="K20" s="469">
        <f t="shared" si="0"/>
        <v>8</v>
      </c>
      <c r="L20" s="546">
        <f t="shared" si="1"/>
        <v>13</v>
      </c>
      <c r="M20" s="534">
        <v>13</v>
      </c>
      <c r="N20" s="132"/>
      <c r="O20" s="132"/>
      <c r="P20" s="534"/>
      <c r="Q20" s="132"/>
      <c r="R20" s="132"/>
    </row>
    <row r="21" spans="2:18" x14ac:dyDescent="0.25">
      <c r="B21" s="128">
        <v>12</v>
      </c>
      <c r="C21" s="1047" t="str">
        <f>IlumBenef!S5</f>
        <v>PL 25W</v>
      </c>
      <c r="D21" s="1047"/>
      <c r="E21" s="1047"/>
      <c r="F21" s="1047"/>
      <c r="G21" s="1047"/>
      <c r="H21" s="1048"/>
      <c r="I21" s="786">
        <v>0.5</v>
      </c>
      <c r="J21" s="533">
        <f>IlumBenef!S7</f>
        <v>1</v>
      </c>
      <c r="K21" s="469">
        <f t="shared" si="0"/>
        <v>1</v>
      </c>
      <c r="L21" s="546">
        <f t="shared" si="1"/>
        <v>13</v>
      </c>
      <c r="M21" s="534">
        <v>13</v>
      </c>
      <c r="N21" s="132"/>
      <c r="O21" s="132"/>
      <c r="P21" s="534"/>
      <c r="Q21" s="132"/>
      <c r="R21" s="132"/>
    </row>
    <row r="22" spans="2:18" x14ac:dyDescent="0.25">
      <c r="B22" s="128">
        <v>13</v>
      </c>
      <c r="C22" s="1046"/>
      <c r="D22" s="1047"/>
      <c r="E22" s="1047"/>
      <c r="F22" s="1047"/>
      <c r="G22" s="1047"/>
      <c r="H22" s="1048"/>
      <c r="I22" s="786"/>
      <c r="J22" s="533"/>
      <c r="K22" s="469">
        <f t="shared" si="0"/>
        <v>0</v>
      </c>
      <c r="L22" s="546">
        <f t="shared" si="1"/>
        <v>0</v>
      </c>
      <c r="M22" s="534"/>
      <c r="N22" s="132"/>
      <c r="O22" s="132"/>
      <c r="P22" s="534"/>
      <c r="Q22" s="132"/>
      <c r="R22" s="132"/>
    </row>
    <row r="23" spans="2:18" x14ac:dyDescent="0.25">
      <c r="B23" s="128">
        <v>14</v>
      </c>
      <c r="C23" s="1047"/>
      <c r="D23" s="1047"/>
      <c r="E23" s="1047"/>
      <c r="F23" s="1047"/>
      <c r="G23" s="1047"/>
      <c r="H23" s="1048"/>
      <c r="I23" s="786"/>
      <c r="J23" s="533"/>
      <c r="K23" s="469">
        <f t="shared" si="0"/>
        <v>0</v>
      </c>
      <c r="L23" s="546">
        <f t="shared" si="1"/>
        <v>0</v>
      </c>
      <c r="M23" s="534"/>
      <c r="N23" s="132"/>
      <c r="O23" s="132"/>
      <c r="P23" s="534"/>
      <c r="Q23" s="132"/>
      <c r="R23" s="132"/>
    </row>
    <row r="24" spans="2:18" x14ac:dyDescent="0.25">
      <c r="B24" s="128">
        <v>15</v>
      </c>
      <c r="C24" s="1047"/>
      <c r="D24" s="1047"/>
      <c r="E24" s="1047"/>
      <c r="F24" s="1047"/>
      <c r="G24" s="1047"/>
      <c r="H24" s="1048"/>
      <c r="I24" s="786"/>
      <c r="J24" s="533"/>
      <c r="K24" s="469">
        <f t="shared" si="0"/>
        <v>0</v>
      </c>
      <c r="L24" s="546">
        <f t="shared" si="1"/>
        <v>0</v>
      </c>
      <c r="M24" s="534"/>
      <c r="N24" s="132"/>
      <c r="O24" s="132"/>
      <c r="P24" s="534"/>
      <c r="Q24" s="132"/>
      <c r="R24" s="132"/>
    </row>
    <row r="25" spans="2:18" x14ac:dyDescent="0.25">
      <c r="B25" s="128">
        <v>16</v>
      </c>
      <c r="C25" s="1047"/>
      <c r="D25" s="1047"/>
      <c r="E25" s="1047"/>
      <c r="F25" s="1047"/>
      <c r="G25" s="1047"/>
      <c r="H25" s="1048"/>
      <c r="I25" s="786"/>
      <c r="J25" s="533"/>
      <c r="K25" s="469">
        <f t="shared" si="0"/>
        <v>0</v>
      </c>
      <c r="L25" s="546">
        <f t="shared" si="1"/>
        <v>0</v>
      </c>
      <c r="M25" s="534"/>
      <c r="N25" s="132"/>
      <c r="O25" s="132"/>
      <c r="P25" s="534"/>
      <c r="Q25" s="132"/>
      <c r="R25" s="132"/>
    </row>
    <row r="26" spans="2:18" x14ac:dyDescent="0.25">
      <c r="B26" s="128">
        <v>17</v>
      </c>
      <c r="C26" s="1047"/>
      <c r="D26" s="1047"/>
      <c r="E26" s="1047"/>
      <c r="F26" s="1047"/>
      <c r="G26" s="1047"/>
      <c r="H26" s="1048"/>
      <c r="I26" s="545"/>
      <c r="J26" s="533"/>
      <c r="K26" s="469">
        <f t="shared" si="0"/>
        <v>0</v>
      </c>
      <c r="L26" s="546">
        <f t="shared" si="1"/>
        <v>0</v>
      </c>
      <c r="M26" s="534"/>
      <c r="N26" s="132"/>
      <c r="O26" s="132"/>
      <c r="P26" s="534"/>
      <c r="Q26" s="132"/>
      <c r="R26" s="132"/>
    </row>
    <row r="27" spans="2:18" x14ac:dyDescent="0.25">
      <c r="B27" s="128">
        <v>18</v>
      </c>
      <c r="C27" s="1047"/>
      <c r="D27" s="1047"/>
      <c r="E27" s="1047"/>
      <c r="F27" s="1047"/>
      <c r="G27" s="1047"/>
      <c r="H27" s="1048"/>
      <c r="I27" s="545"/>
      <c r="J27" s="533"/>
      <c r="K27" s="469">
        <f t="shared" si="0"/>
        <v>0</v>
      </c>
      <c r="L27" s="546">
        <f t="shared" si="1"/>
        <v>0</v>
      </c>
      <c r="M27" s="534"/>
      <c r="N27" s="132"/>
      <c r="O27" s="132"/>
      <c r="P27" s="534"/>
      <c r="Q27" s="132"/>
      <c r="R27" s="132"/>
    </row>
    <row r="28" spans="2:18" x14ac:dyDescent="0.25">
      <c r="B28" s="128">
        <v>19</v>
      </c>
      <c r="C28" s="1047"/>
      <c r="D28" s="1047"/>
      <c r="E28" s="1047"/>
      <c r="F28" s="1047"/>
      <c r="G28" s="1047"/>
      <c r="H28" s="1048"/>
      <c r="I28" s="545"/>
      <c r="J28" s="533"/>
      <c r="K28" s="469">
        <f t="shared" si="0"/>
        <v>0</v>
      </c>
      <c r="L28" s="546">
        <f t="shared" si="1"/>
        <v>0</v>
      </c>
      <c r="M28" s="534"/>
      <c r="N28" s="132"/>
      <c r="O28" s="132"/>
      <c r="P28" s="534"/>
      <c r="Q28" s="132"/>
      <c r="R28" s="132"/>
    </row>
    <row r="29" spans="2:18" x14ac:dyDescent="0.25">
      <c r="B29" s="128">
        <v>20</v>
      </c>
      <c r="C29" s="1047"/>
      <c r="D29" s="1047"/>
      <c r="E29" s="1047"/>
      <c r="F29" s="1047"/>
      <c r="G29" s="1047"/>
      <c r="H29" s="1048"/>
      <c r="I29" s="545"/>
      <c r="J29" s="533"/>
      <c r="K29" s="469">
        <f t="shared" si="0"/>
        <v>0</v>
      </c>
      <c r="L29" s="546">
        <f t="shared" si="1"/>
        <v>0</v>
      </c>
      <c r="M29" s="534"/>
      <c r="N29" s="132"/>
      <c r="O29" s="132"/>
      <c r="P29" s="534"/>
      <c r="Q29" s="132"/>
      <c r="R29" s="132"/>
    </row>
    <row r="30" spans="2:18" x14ac:dyDescent="0.25">
      <c r="B30" s="128">
        <v>21</v>
      </c>
      <c r="C30" s="1047"/>
      <c r="D30" s="1047"/>
      <c r="E30" s="1047"/>
      <c r="F30" s="1047"/>
      <c r="G30" s="1047"/>
      <c r="H30" s="1048"/>
      <c r="I30" s="545"/>
      <c r="J30" s="533"/>
      <c r="K30" s="469">
        <f t="shared" si="0"/>
        <v>0</v>
      </c>
      <c r="L30" s="546">
        <f t="shared" si="1"/>
        <v>0</v>
      </c>
      <c r="M30" s="534"/>
      <c r="N30" s="132"/>
      <c r="O30" s="132"/>
      <c r="P30" s="534"/>
      <c r="Q30" s="132"/>
      <c r="R30" s="132"/>
    </row>
    <row r="31" spans="2:18" x14ac:dyDescent="0.25">
      <c r="B31" s="128">
        <v>22</v>
      </c>
      <c r="C31" s="1047"/>
      <c r="D31" s="1047"/>
      <c r="E31" s="1047"/>
      <c r="F31" s="1047"/>
      <c r="G31" s="1047"/>
      <c r="H31" s="1048"/>
      <c r="I31" s="545"/>
      <c r="J31" s="533"/>
      <c r="K31" s="469">
        <f t="shared" si="0"/>
        <v>0</v>
      </c>
      <c r="L31" s="546">
        <f t="shared" si="1"/>
        <v>0</v>
      </c>
      <c r="M31" s="534"/>
      <c r="N31" s="132"/>
      <c r="O31" s="132"/>
      <c r="P31" s="534"/>
      <c r="Q31" s="132"/>
      <c r="R31" s="132"/>
    </row>
    <row r="32" spans="2:18" x14ac:dyDescent="0.25">
      <c r="B32" s="128">
        <v>23</v>
      </c>
      <c r="C32" s="1047"/>
      <c r="D32" s="1047"/>
      <c r="E32" s="1047"/>
      <c r="F32" s="1047"/>
      <c r="G32" s="1047"/>
      <c r="H32" s="1048"/>
      <c r="I32" s="545"/>
      <c r="J32" s="533"/>
      <c r="K32" s="469">
        <f t="shared" si="0"/>
        <v>0</v>
      </c>
      <c r="L32" s="546">
        <f t="shared" si="1"/>
        <v>0</v>
      </c>
      <c r="M32" s="534"/>
      <c r="N32" s="132"/>
      <c r="O32" s="132"/>
      <c r="P32" s="534"/>
      <c r="Q32" s="132"/>
      <c r="R32" s="132"/>
    </row>
    <row r="33" spans="2:18" x14ac:dyDescent="0.25">
      <c r="B33" s="128">
        <v>24</v>
      </c>
      <c r="C33" s="1047"/>
      <c r="D33" s="1047"/>
      <c r="E33" s="1047"/>
      <c r="F33" s="1047"/>
      <c r="G33" s="1047"/>
      <c r="H33" s="1048"/>
      <c r="I33" s="545"/>
      <c r="J33" s="533"/>
      <c r="K33" s="469">
        <f t="shared" si="0"/>
        <v>0</v>
      </c>
      <c r="L33" s="546">
        <f t="shared" si="1"/>
        <v>0</v>
      </c>
      <c r="M33" s="534"/>
      <c r="N33" s="132"/>
      <c r="O33" s="132"/>
      <c r="P33" s="534"/>
      <c r="Q33" s="132"/>
      <c r="R33" s="132"/>
    </row>
    <row r="34" spans="2:18" x14ac:dyDescent="0.25">
      <c r="B34" s="128">
        <v>25</v>
      </c>
      <c r="C34" s="1047"/>
      <c r="D34" s="1047"/>
      <c r="E34" s="1047"/>
      <c r="F34" s="1047"/>
      <c r="G34" s="1047"/>
      <c r="H34" s="1048"/>
      <c r="I34" s="545"/>
      <c r="J34" s="533"/>
      <c r="K34" s="469">
        <f t="shared" si="0"/>
        <v>0</v>
      </c>
      <c r="L34" s="546">
        <f t="shared" si="1"/>
        <v>0</v>
      </c>
      <c r="M34" s="534"/>
      <c r="N34" s="132"/>
      <c r="O34" s="132"/>
      <c r="P34" s="534"/>
      <c r="Q34" s="132"/>
      <c r="R34" s="132"/>
    </row>
    <row r="35" spans="2:18" x14ac:dyDescent="0.25">
      <c r="B35" s="128">
        <v>26</v>
      </c>
      <c r="C35" s="1047"/>
      <c r="D35" s="1047"/>
      <c r="E35" s="1047"/>
      <c r="F35" s="1047"/>
      <c r="G35" s="1047"/>
      <c r="H35" s="1048"/>
      <c r="I35" s="545"/>
      <c r="J35" s="533"/>
      <c r="K35" s="469">
        <f t="shared" si="0"/>
        <v>0</v>
      </c>
      <c r="L35" s="546">
        <f t="shared" si="1"/>
        <v>0</v>
      </c>
      <c r="M35" s="534"/>
      <c r="N35" s="132"/>
      <c r="O35" s="132"/>
      <c r="P35" s="534"/>
      <c r="Q35" s="132"/>
      <c r="R35" s="132"/>
    </row>
    <row r="36" spans="2:18" x14ac:dyDescent="0.25">
      <c r="B36" s="128">
        <v>27</v>
      </c>
      <c r="C36" s="1047"/>
      <c r="D36" s="1047"/>
      <c r="E36" s="1047"/>
      <c r="F36" s="1047"/>
      <c r="G36" s="1047"/>
      <c r="H36" s="1048"/>
      <c r="I36" s="545"/>
      <c r="J36" s="533"/>
      <c r="K36" s="469">
        <f t="shared" si="0"/>
        <v>0</v>
      </c>
      <c r="L36" s="546">
        <f t="shared" si="1"/>
        <v>0</v>
      </c>
      <c r="M36" s="534"/>
      <c r="N36" s="132"/>
      <c r="O36" s="132"/>
      <c r="P36" s="534"/>
      <c r="Q36" s="132"/>
      <c r="R36" s="132"/>
    </row>
    <row r="37" spans="2:18" x14ac:dyDescent="0.25">
      <c r="B37" s="128">
        <v>28</v>
      </c>
      <c r="C37" s="1047"/>
      <c r="D37" s="1047"/>
      <c r="E37" s="1047"/>
      <c r="F37" s="1047"/>
      <c r="G37" s="1047"/>
      <c r="H37" s="1048"/>
      <c r="I37" s="545"/>
      <c r="J37" s="533"/>
      <c r="K37" s="469">
        <f t="shared" si="0"/>
        <v>0</v>
      </c>
      <c r="L37" s="546">
        <f t="shared" si="1"/>
        <v>0</v>
      </c>
      <c r="M37" s="534"/>
      <c r="N37" s="132"/>
      <c r="O37" s="132"/>
      <c r="P37" s="534"/>
      <c r="Q37" s="132"/>
      <c r="R37" s="132"/>
    </row>
    <row r="38" spans="2:18" x14ac:dyDescent="0.25">
      <c r="B38" s="128">
        <v>29</v>
      </c>
      <c r="C38" s="1047"/>
      <c r="D38" s="1047"/>
      <c r="E38" s="1047"/>
      <c r="F38" s="1047"/>
      <c r="G38" s="1047"/>
      <c r="H38" s="1048"/>
      <c r="I38" s="545"/>
      <c r="J38" s="533"/>
      <c r="K38" s="469">
        <f t="shared" si="0"/>
        <v>0</v>
      </c>
      <c r="L38" s="546">
        <f t="shared" si="1"/>
        <v>0</v>
      </c>
      <c r="M38" s="534"/>
      <c r="N38" s="132"/>
      <c r="O38" s="132"/>
      <c r="P38" s="534"/>
      <c r="Q38" s="132"/>
      <c r="R38" s="132"/>
    </row>
    <row r="39" spans="2:18" x14ac:dyDescent="0.25">
      <c r="B39" s="128">
        <v>30</v>
      </c>
      <c r="C39" s="1047"/>
      <c r="D39" s="1047"/>
      <c r="E39" s="1047"/>
      <c r="F39" s="1047"/>
      <c r="G39" s="1047"/>
      <c r="H39" s="1048"/>
      <c r="I39" s="545"/>
      <c r="J39" s="533"/>
      <c r="K39" s="469">
        <f t="shared" si="0"/>
        <v>0</v>
      </c>
      <c r="L39" s="546">
        <f t="shared" si="1"/>
        <v>0</v>
      </c>
      <c r="M39" s="534"/>
      <c r="N39" s="132"/>
      <c r="O39" s="132"/>
      <c r="P39" s="534"/>
      <c r="Q39" s="132"/>
      <c r="R39" s="132"/>
    </row>
    <row r="40" spans="2:18" x14ac:dyDescent="0.25">
      <c r="B40" s="128">
        <v>31</v>
      </c>
      <c r="C40" s="1047"/>
      <c r="D40" s="1047"/>
      <c r="E40" s="1047"/>
      <c r="F40" s="1047"/>
      <c r="G40" s="1047"/>
      <c r="H40" s="1048"/>
      <c r="I40" s="545"/>
      <c r="J40" s="533"/>
      <c r="K40" s="469">
        <f t="shared" si="0"/>
        <v>0</v>
      </c>
      <c r="L40" s="546">
        <f t="shared" si="1"/>
        <v>0</v>
      </c>
      <c r="M40" s="534"/>
      <c r="N40" s="132"/>
      <c r="O40" s="132"/>
      <c r="P40" s="534"/>
      <c r="Q40" s="132"/>
      <c r="R40" s="132"/>
    </row>
    <row r="41" spans="2:18" x14ac:dyDescent="0.25">
      <c r="B41" s="128">
        <v>32</v>
      </c>
      <c r="C41" s="1047"/>
      <c r="D41" s="1047"/>
      <c r="E41" s="1047"/>
      <c r="F41" s="1047"/>
      <c r="G41" s="1047"/>
      <c r="H41" s="1048"/>
      <c r="I41" s="545"/>
      <c r="J41" s="533"/>
      <c r="K41" s="469">
        <f t="shared" si="0"/>
        <v>0</v>
      </c>
      <c r="L41" s="546">
        <f t="shared" si="1"/>
        <v>0</v>
      </c>
      <c r="M41" s="534"/>
      <c r="N41" s="132"/>
      <c r="O41" s="132"/>
      <c r="P41" s="534"/>
      <c r="Q41" s="132"/>
      <c r="R41" s="132"/>
    </row>
    <row r="42" spans="2:18" x14ac:dyDescent="0.25">
      <c r="B42" s="128">
        <v>33</v>
      </c>
      <c r="C42" s="1047"/>
      <c r="D42" s="1047"/>
      <c r="E42" s="1047"/>
      <c r="F42" s="1047"/>
      <c r="G42" s="1047"/>
      <c r="H42" s="1048"/>
      <c r="I42" s="545"/>
      <c r="J42" s="533"/>
      <c r="K42" s="469">
        <f t="shared" si="0"/>
        <v>0</v>
      </c>
      <c r="L42" s="546">
        <f t="shared" si="1"/>
        <v>0</v>
      </c>
      <c r="M42" s="534"/>
      <c r="N42" s="132"/>
      <c r="O42" s="132"/>
      <c r="P42" s="534"/>
      <c r="Q42" s="132"/>
      <c r="R42" s="132"/>
    </row>
    <row r="43" spans="2:18" x14ac:dyDescent="0.25">
      <c r="B43" s="128">
        <v>34</v>
      </c>
      <c r="C43" s="1047"/>
      <c r="D43" s="1047"/>
      <c r="E43" s="1047"/>
      <c r="F43" s="1047"/>
      <c r="G43" s="1047"/>
      <c r="H43" s="1048"/>
      <c r="I43" s="545"/>
      <c r="J43" s="533"/>
      <c r="K43" s="469">
        <f t="shared" si="0"/>
        <v>0</v>
      </c>
      <c r="L43" s="546">
        <f t="shared" si="1"/>
        <v>0</v>
      </c>
      <c r="M43" s="534"/>
      <c r="N43" s="132"/>
      <c r="O43" s="132"/>
      <c r="P43" s="534"/>
      <c r="Q43" s="132"/>
      <c r="R43" s="132"/>
    </row>
    <row r="44" spans="2:18" x14ac:dyDescent="0.25">
      <c r="B44" s="128">
        <v>35</v>
      </c>
      <c r="C44" s="1047"/>
      <c r="D44" s="1047"/>
      <c r="E44" s="1047"/>
      <c r="F44" s="1047"/>
      <c r="G44" s="1047"/>
      <c r="H44" s="1048"/>
      <c r="I44" s="545"/>
      <c r="J44" s="533"/>
      <c r="K44" s="469">
        <f t="shared" si="0"/>
        <v>0</v>
      </c>
      <c r="L44" s="546">
        <f t="shared" si="1"/>
        <v>0</v>
      </c>
      <c r="M44" s="534"/>
      <c r="N44" s="132"/>
      <c r="O44" s="132"/>
      <c r="P44" s="534"/>
      <c r="Q44" s="132"/>
      <c r="R44" s="132"/>
    </row>
    <row r="45" spans="2:18" x14ac:dyDescent="0.25">
      <c r="B45" s="128">
        <v>36</v>
      </c>
      <c r="C45" s="1047"/>
      <c r="D45" s="1047"/>
      <c r="E45" s="1047"/>
      <c r="F45" s="1047"/>
      <c r="G45" s="1047"/>
      <c r="H45" s="1048"/>
      <c r="I45" s="545"/>
      <c r="J45" s="533"/>
      <c r="K45" s="469">
        <f t="shared" si="0"/>
        <v>0</v>
      </c>
      <c r="L45" s="546">
        <f t="shared" si="1"/>
        <v>0</v>
      </c>
      <c r="M45" s="534"/>
      <c r="N45" s="132"/>
      <c r="O45" s="132"/>
      <c r="P45" s="534"/>
      <c r="Q45" s="132"/>
      <c r="R45" s="132"/>
    </row>
    <row r="46" spans="2:18" x14ac:dyDescent="0.25">
      <c r="B46" s="128">
        <v>37</v>
      </c>
      <c r="C46" s="1047"/>
      <c r="D46" s="1047"/>
      <c r="E46" s="1047"/>
      <c r="F46" s="1047"/>
      <c r="G46" s="1047"/>
      <c r="H46" s="1048"/>
      <c r="I46" s="545"/>
      <c r="J46" s="533"/>
      <c r="K46" s="469">
        <f t="shared" si="0"/>
        <v>0</v>
      </c>
      <c r="L46" s="546">
        <f t="shared" si="1"/>
        <v>0</v>
      </c>
      <c r="M46" s="534"/>
      <c r="N46" s="132"/>
      <c r="O46" s="132"/>
      <c r="P46" s="534"/>
      <c r="Q46" s="132"/>
      <c r="R46" s="132"/>
    </row>
    <row r="47" spans="2:18" x14ac:dyDescent="0.25">
      <c r="B47" s="128">
        <v>38</v>
      </c>
      <c r="C47" s="1047"/>
      <c r="D47" s="1047"/>
      <c r="E47" s="1047"/>
      <c r="F47" s="1047"/>
      <c r="G47" s="1047"/>
      <c r="H47" s="1048"/>
      <c r="I47" s="545"/>
      <c r="J47" s="533"/>
      <c r="K47" s="469">
        <f t="shared" si="0"/>
        <v>0</v>
      </c>
      <c r="L47" s="546">
        <f t="shared" si="1"/>
        <v>0</v>
      </c>
      <c r="M47" s="534"/>
      <c r="N47" s="132"/>
      <c r="O47" s="132"/>
      <c r="P47" s="534"/>
      <c r="Q47" s="132"/>
      <c r="R47" s="132"/>
    </row>
    <row r="48" spans="2:18" x14ac:dyDescent="0.25">
      <c r="B48" s="128">
        <v>39</v>
      </c>
      <c r="C48" s="1047"/>
      <c r="D48" s="1047"/>
      <c r="E48" s="1047"/>
      <c r="F48" s="1047"/>
      <c r="G48" s="1047"/>
      <c r="H48" s="1048"/>
      <c r="I48" s="545"/>
      <c r="J48" s="533"/>
      <c r="K48" s="469">
        <f t="shared" si="0"/>
        <v>0</v>
      </c>
      <c r="L48" s="546">
        <f t="shared" si="1"/>
        <v>0</v>
      </c>
      <c r="M48" s="534"/>
      <c r="N48" s="132"/>
      <c r="O48" s="132"/>
      <c r="P48" s="534"/>
      <c r="Q48" s="132"/>
      <c r="R48" s="132"/>
    </row>
    <row r="49" spans="2:18" x14ac:dyDescent="0.25">
      <c r="B49" s="128">
        <v>40</v>
      </c>
      <c r="C49" s="1047"/>
      <c r="D49" s="1047"/>
      <c r="E49" s="1047"/>
      <c r="F49" s="1047"/>
      <c r="G49" s="1047"/>
      <c r="H49" s="1048"/>
      <c r="I49" s="545"/>
      <c r="J49" s="533"/>
      <c r="K49" s="469">
        <f t="shared" si="0"/>
        <v>0</v>
      </c>
      <c r="L49" s="546">
        <f t="shared" si="1"/>
        <v>0</v>
      </c>
      <c r="M49" s="534"/>
      <c r="N49" s="132"/>
      <c r="O49" s="132"/>
      <c r="P49" s="534"/>
      <c r="Q49" s="132"/>
      <c r="R49" s="132"/>
    </row>
    <row r="50" spans="2:18" x14ac:dyDescent="0.25">
      <c r="B50" s="128">
        <v>41</v>
      </c>
      <c r="C50" s="1047"/>
      <c r="D50" s="1047"/>
      <c r="E50" s="1047"/>
      <c r="F50" s="1047"/>
      <c r="G50" s="1047"/>
      <c r="H50" s="1048"/>
      <c r="I50" s="545"/>
      <c r="J50" s="533"/>
      <c r="K50" s="469">
        <f t="shared" si="0"/>
        <v>0</v>
      </c>
      <c r="L50" s="546">
        <f t="shared" si="1"/>
        <v>0</v>
      </c>
      <c r="M50" s="534"/>
      <c r="N50" s="132"/>
      <c r="O50" s="132"/>
      <c r="P50" s="534"/>
      <c r="Q50" s="132"/>
      <c r="R50" s="132"/>
    </row>
    <row r="51" spans="2:18" x14ac:dyDescent="0.25">
      <c r="B51" s="128">
        <v>42</v>
      </c>
      <c r="C51" s="1047"/>
      <c r="D51" s="1047"/>
      <c r="E51" s="1047"/>
      <c r="F51" s="1047"/>
      <c r="G51" s="1047"/>
      <c r="H51" s="1048"/>
      <c r="I51" s="545"/>
      <c r="J51" s="533"/>
      <c r="K51" s="469">
        <f t="shared" si="0"/>
        <v>0</v>
      </c>
      <c r="L51" s="546">
        <f t="shared" si="1"/>
        <v>0</v>
      </c>
      <c r="M51" s="534"/>
      <c r="N51" s="132"/>
      <c r="O51" s="132"/>
      <c r="P51" s="534"/>
      <c r="Q51" s="132"/>
      <c r="R51" s="132"/>
    </row>
    <row r="52" spans="2:18" x14ac:dyDescent="0.25">
      <c r="B52" s="128">
        <v>43</v>
      </c>
      <c r="C52" s="1047"/>
      <c r="D52" s="1047"/>
      <c r="E52" s="1047"/>
      <c r="F52" s="1047"/>
      <c r="G52" s="1047"/>
      <c r="H52" s="1048"/>
      <c r="I52" s="545"/>
      <c r="J52" s="533"/>
      <c r="K52" s="469">
        <f t="shared" si="0"/>
        <v>0</v>
      </c>
      <c r="L52" s="546">
        <f t="shared" si="1"/>
        <v>0</v>
      </c>
      <c r="M52" s="534"/>
      <c r="N52" s="132"/>
      <c r="O52" s="132"/>
      <c r="P52" s="534"/>
      <c r="Q52" s="132"/>
      <c r="R52" s="132"/>
    </row>
    <row r="53" spans="2:18" x14ac:dyDescent="0.25">
      <c r="B53" s="128">
        <v>44</v>
      </c>
      <c r="C53" s="1047"/>
      <c r="D53" s="1047"/>
      <c r="E53" s="1047"/>
      <c r="F53" s="1047"/>
      <c r="G53" s="1047"/>
      <c r="H53" s="1048"/>
      <c r="I53" s="545"/>
      <c r="J53" s="533"/>
      <c r="K53" s="469">
        <f t="shared" si="0"/>
        <v>0</v>
      </c>
      <c r="L53" s="546">
        <f t="shared" si="1"/>
        <v>0</v>
      </c>
      <c r="M53" s="534"/>
      <c r="N53" s="132"/>
      <c r="O53" s="132"/>
      <c r="P53" s="534"/>
      <c r="Q53" s="132"/>
      <c r="R53" s="132"/>
    </row>
    <row r="54" spans="2:18" x14ac:dyDescent="0.25">
      <c r="B54" s="128">
        <v>45</v>
      </c>
      <c r="C54" s="1047"/>
      <c r="D54" s="1047"/>
      <c r="E54" s="1047"/>
      <c r="F54" s="1047"/>
      <c r="G54" s="1047"/>
      <c r="H54" s="1048"/>
      <c r="I54" s="545"/>
      <c r="J54" s="533"/>
      <c r="K54" s="469">
        <f t="shared" si="0"/>
        <v>0</v>
      </c>
      <c r="L54" s="546">
        <f t="shared" si="1"/>
        <v>0</v>
      </c>
      <c r="M54" s="534"/>
      <c r="N54" s="132"/>
      <c r="O54" s="132"/>
      <c r="P54" s="534"/>
      <c r="Q54" s="132"/>
      <c r="R54" s="132"/>
    </row>
    <row r="55" spans="2:18" x14ac:dyDescent="0.25">
      <c r="B55" s="128">
        <v>46</v>
      </c>
      <c r="C55" s="1047"/>
      <c r="D55" s="1047"/>
      <c r="E55" s="1047"/>
      <c r="F55" s="1047"/>
      <c r="G55" s="1047"/>
      <c r="H55" s="1048"/>
      <c r="I55" s="545"/>
      <c r="J55" s="533"/>
      <c r="K55" s="469">
        <f t="shared" si="0"/>
        <v>0</v>
      </c>
      <c r="L55" s="546">
        <f t="shared" si="1"/>
        <v>0</v>
      </c>
      <c r="M55" s="534"/>
      <c r="N55" s="132"/>
      <c r="O55" s="132"/>
      <c r="P55" s="534"/>
      <c r="Q55" s="132"/>
      <c r="R55" s="132"/>
    </row>
    <row r="56" spans="2:18" x14ac:dyDescent="0.25">
      <c r="B56" s="128">
        <v>47</v>
      </c>
      <c r="C56" s="1047"/>
      <c r="D56" s="1047"/>
      <c r="E56" s="1047"/>
      <c r="F56" s="1047"/>
      <c r="G56" s="1047"/>
      <c r="H56" s="1048"/>
      <c r="I56" s="545"/>
      <c r="J56" s="533"/>
      <c r="K56" s="469">
        <f t="shared" si="0"/>
        <v>0</v>
      </c>
      <c r="L56" s="546">
        <f t="shared" si="1"/>
        <v>0</v>
      </c>
      <c r="M56" s="534"/>
      <c r="N56" s="132"/>
      <c r="O56" s="132"/>
      <c r="P56" s="534"/>
      <c r="Q56" s="132"/>
      <c r="R56" s="132"/>
    </row>
    <row r="57" spans="2:18" x14ac:dyDescent="0.25">
      <c r="B57" s="128">
        <v>48</v>
      </c>
      <c r="C57" s="1047"/>
      <c r="D57" s="1047"/>
      <c r="E57" s="1047"/>
      <c r="F57" s="1047"/>
      <c r="G57" s="1047"/>
      <c r="H57" s="1048"/>
      <c r="I57" s="545"/>
      <c r="J57" s="533"/>
      <c r="K57" s="469">
        <f t="shared" si="0"/>
        <v>0</v>
      </c>
      <c r="L57" s="546">
        <f t="shared" si="1"/>
        <v>0</v>
      </c>
      <c r="M57" s="534"/>
      <c r="N57" s="132"/>
      <c r="O57" s="132"/>
      <c r="P57" s="534"/>
      <c r="Q57" s="132"/>
      <c r="R57" s="132"/>
    </row>
    <row r="58" spans="2:18" x14ac:dyDescent="0.25">
      <c r="B58" s="128">
        <v>49</v>
      </c>
      <c r="C58" s="1047"/>
      <c r="D58" s="1047"/>
      <c r="E58" s="1047"/>
      <c r="F58" s="1047"/>
      <c r="G58" s="1047"/>
      <c r="H58" s="1048"/>
      <c r="I58" s="545"/>
      <c r="J58" s="533"/>
      <c r="K58" s="469">
        <f t="shared" si="0"/>
        <v>0</v>
      </c>
      <c r="L58" s="546">
        <f t="shared" si="1"/>
        <v>0</v>
      </c>
      <c r="M58" s="534"/>
      <c r="N58" s="132"/>
      <c r="O58" s="132"/>
      <c r="P58" s="534"/>
      <c r="Q58" s="132"/>
      <c r="R58" s="132"/>
    </row>
    <row r="59" spans="2:18" x14ac:dyDescent="0.25">
      <c r="B59" s="128">
        <v>50</v>
      </c>
      <c r="C59" s="1047"/>
      <c r="D59" s="1047"/>
      <c r="E59" s="1047"/>
      <c r="F59" s="1047"/>
      <c r="G59" s="1047"/>
      <c r="H59" s="1048"/>
      <c r="I59" s="545"/>
      <c r="J59" s="533"/>
      <c r="K59" s="469">
        <f t="shared" si="0"/>
        <v>0</v>
      </c>
      <c r="L59" s="546">
        <f t="shared" si="1"/>
        <v>0</v>
      </c>
      <c r="M59" s="534"/>
      <c r="N59" s="132"/>
      <c r="O59" s="132"/>
      <c r="P59" s="534"/>
      <c r="Q59" s="132"/>
      <c r="R59" s="132"/>
    </row>
    <row r="60" spans="2:18" x14ac:dyDescent="0.25">
      <c r="B60" s="1084" t="s">
        <v>243</v>
      </c>
      <c r="C60" s="1084"/>
      <c r="D60" s="1084"/>
      <c r="E60" s="1084"/>
      <c r="F60" s="1084"/>
      <c r="G60" s="1084"/>
      <c r="H60" s="1084"/>
      <c r="I60" s="1084"/>
      <c r="J60" s="1084"/>
      <c r="K60" s="1084"/>
      <c r="L60" s="1084"/>
      <c r="M60" s="541" t="s">
        <v>917</v>
      </c>
      <c r="N60" s="541" t="s">
        <v>926</v>
      </c>
      <c r="O60" s="541" t="s">
        <v>927</v>
      </c>
      <c r="P60" s="541" t="s">
        <v>943</v>
      </c>
      <c r="Q60" s="541" t="s">
        <v>944</v>
      </c>
      <c r="R60" s="541" t="s">
        <v>945</v>
      </c>
    </row>
    <row r="61" spans="2:18" x14ac:dyDescent="0.25">
      <c r="B61" s="1043" t="s">
        <v>235</v>
      </c>
      <c r="C61" s="1044"/>
      <c r="D61" s="1044"/>
      <c r="E61" s="1044"/>
      <c r="F61" s="1044"/>
      <c r="G61" s="1044"/>
      <c r="H61" s="1045"/>
      <c r="I61" s="498" t="s">
        <v>236</v>
      </c>
      <c r="J61" s="126" t="s">
        <v>237</v>
      </c>
      <c r="K61" s="126" t="s">
        <v>238</v>
      </c>
      <c r="L61" s="126" t="s">
        <v>916</v>
      </c>
      <c r="M61" s="328" t="s">
        <v>239</v>
      </c>
      <c r="N61" s="328" t="s">
        <v>239</v>
      </c>
      <c r="O61" s="328" t="s">
        <v>239</v>
      </c>
      <c r="P61" s="328" t="s">
        <v>239</v>
      </c>
      <c r="Q61" s="328" t="s">
        <v>239</v>
      </c>
      <c r="R61" s="328" t="s">
        <v>239</v>
      </c>
    </row>
    <row r="62" spans="2:18" x14ac:dyDescent="0.25">
      <c r="B62" s="128">
        <v>1</v>
      </c>
      <c r="C62" s="1087" t="str">
        <f>IlumBenef!H24</f>
        <v>led tubular 16 W</v>
      </c>
      <c r="D62" s="1047"/>
      <c r="E62" s="1047"/>
      <c r="F62" s="1047"/>
      <c r="G62" s="1047"/>
      <c r="H62" s="1048"/>
      <c r="I62" s="783">
        <v>0.5</v>
      </c>
      <c r="J62" s="784">
        <v>160</v>
      </c>
      <c r="K62" s="469">
        <f>IF(OR(I62=0,J62=0),0,IF((((($L$4^2*I62^2)/$F$5^2)*J62)/((($L$4^2*I62^2)/$F$5^2)+J62))&lt;(($L$4^2*I62^2)/$F$5^2),ROUND((((($L$4^2*I62^2)/$F$5^2)*J62)/((($L$4^2*I62^2)/$F$5^2)+J62)),0),ROUND((($L$4^2*I62^2)/$F$5^2),0)))</f>
        <v>60</v>
      </c>
      <c r="L62" s="546">
        <f>IFERROR(SMALL(M62:R62,1),0)</f>
        <v>13</v>
      </c>
      <c r="M62" s="534">
        <v>13</v>
      </c>
      <c r="N62" s="132"/>
      <c r="O62" s="132"/>
      <c r="P62" s="534"/>
      <c r="Q62" s="132"/>
      <c r="R62" s="132"/>
    </row>
    <row r="63" spans="2:18" x14ac:dyDescent="0.25">
      <c r="B63" s="128">
        <v>2</v>
      </c>
      <c r="C63" s="1085" t="str">
        <f>IlumBenef!I24</f>
        <v>led tubular 16 W</v>
      </c>
      <c r="D63" s="1047"/>
      <c r="E63" s="1047"/>
      <c r="F63" s="1047"/>
      <c r="G63" s="1047"/>
      <c r="H63" s="1048"/>
      <c r="I63" s="783">
        <v>0.5</v>
      </c>
      <c r="J63" s="533">
        <v>28</v>
      </c>
      <c r="K63" s="469">
        <f t="shared" ref="K63:K111" si="2">IF(OR(I63=0,J63=0),0,IF((((($L$4^2*I63^2)/$F$5^2)*J63)/((($L$4^2*I63^2)/$F$5^2)+J63))&lt;(($L$4^2*I63^2)/$F$5^2),ROUND((((($L$4^2*I63^2)/$F$5^2)*J63)/((($L$4^2*I63^2)/$F$5^2)+J63)),0),ROUND((($L$4^2*I63^2)/$F$5^2),0)))</f>
        <v>22</v>
      </c>
      <c r="L63" s="546">
        <f t="shared" ref="L63:L111" si="3">IFERROR(SMALL(M63:R63,1),0)</f>
        <v>13</v>
      </c>
      <c r="M63" s="534">
        <v>13</v>
      </c>
      <c r="N63" s="132"/>
      <c r="O63" s="132"/>
      <c r="P63" s="534"/>
      <c r="Q63" s="132"/>
      <c r="R63" s="132"/>
    </row>
    <row r="64" spans="2:18" x14ac:dyDescent="0.25">
      <c r="B64" s="128">
        <v>3</v>
      </c>
      <c r="C64" s="1085" t="str">
        <f>IlumBenef!J24</f>
        <v>led tubular 16 W</v>
      </c>
      <c r="D64" s="1047"/>
      <c r="E64" s="1047"/>
      <c r="F64" s="1047"/>
      <c r="G64" s="1047"/>
      <c r="H64" s="1048"/>
      <c r="I64" s="783">
        <v>0.5</v>
      </c>
      <c r="J64" s="533">
        <v>8</v>
      </c>
      <c r="K64" s="469">
        <f t="shared" si="2"/>
        <v>7</v>
      </c>
      <c r="L64" s="546">
        <f t="shared" si="3"/>
        <v>13</v>
      </c>
      <c r="M64" s="534">
        <v>13</v>
      </c>
      <c r="N64" s="132"/>
      <c r="O64" s="132"/>
      <c r="P64" s="534"/>
      <c r="Q64" s="132"/>
      <c r="R64" s="132"/>
    </row>
    <row r="65" spans="2:18" x14ac:dyDescent="0.25">
      <c r="B65" s="128">
        <v>4</v>
      </c>
      <c r="C65" s="1086" t="str">
        <f>IlumBenef!K24</f>
        <v>Led tubular 16 W</v>
      </c>
      <c r="D65" s="1047"/>
      <c r="E65" s="1047"/>
      <c r="F65" s="1047"/>
      <c r="G65" s="1047"/>
      <c r="H65" s="1048"/>
      <c r="I65" s="783">
        <v>0.5</v>
      </c>
      <c r="J65" s="778">
        <v>64</v>
      </c>
      <c r="K65" s="469">
        <f t="shared" si="2"/>
        <v>38</v>
      </c>
      <c r="L65" s="546">
        <f t="shared" si="3"/>
        <v>13</v>
      </c>
      <c r="M65" s="534">
        <v>13</v>
      </c>
      <c r="N65" s="132"/>
      <c r="O65" s="132"/>
      <c r="P65" s="534"/>
      <c r="Q65" s="132"/>
      <c r="R65" s="132"/>
    </row>
    <row r="66" spans="2:18" x14ac:dyDescent="0.25">
      <c r="B66" s="128">
        <v>5</v>
      </c>
      <c r="C66" s="1047" t="str">
        <f>IlumBenef!L24</f>
        <v>Led tubular 16W</v>
      </c>
      <c r="D66" s="1047"/>
      <c r="E66" s="1047"/>
      <c r="F66" s="1047"/>
      <c r="G66" s="1047"/>
      <c r="H66" s="1048"/>
      <c r="I66" s="783">
        <v>0.5</v>
      </c>
      <c r="J66" s="778">
        <v>30</v>
      </c>
      <c r="K66" s="469">
        <f t="shared" si="2"/>
        <v>23</v>
      </c>
      <c r="L66" s="546">
        <f t="shared" si="3"/>
        <v>13</v>
      </c>
      <c r="M66" s="534">
        <v>13</v>
      </c>
      <c r="N66" s="132"/>
      <c r="O66" s="132"/>
      <c r="P66" s="534"/>
      <c r="Q66" s="132"/>
      <c r="R66" s="132"/>
    </row>
    <row r="67" spans="2:18" x14ac:dyDescent="0.25">
      <c r="B67" s="128">
        <v>6</v>
      </c>
      <c r="C67" s="1047" t="str">
        <f>IlumBenef!M24</f>
        <v>Led tubular 8W</v>
      </c>
      <c r="D67" s="1047"/>
      <c r="E67" s="1047"/>
      <c r="F67" s="1047"/>
      <c r="G67" s="1047"/>
      <c r="H67" s="1048"/>
      <c r="I67" s="783">
        <v>0.5</v>
      </c>
      <c r="J67" s="778">
        <v>8</v>
      </c>
      <c r="K67" s="469">
        <f t="shared" si="2"/>
        <v>7</v>
      </c>
      <c r="L67" s="546">
        <f t="shared" si="3"/>
        <v>13</v>
      </c>
      <c r="M67" s="534">
        <v>13</v>
      </c>
      <c r="N67" s="132"/>
      <c r="O67" s="132"/>
      <c r="P67" s="534"/>
      <c r="Q67" s="132"/>
      <c r="R67" s="132"/>
    </row>
    <row r="68" spans="2:18" x14ac:dyDescent="0.25">
      <c r="B68" s="128">
        <v>7</v>
      </c>
      <c r="C68" s="1047" t="str">
        <f>IlumBenef!N24</f>
        <v>Led tubular 8W</v>
      </c>
      <c r="D68" s="1047"/>
      <c r="E68" s="1047"/>
      <c r="F68" s="1047"/>
      <c r="G68" s="1047"/>
      <c r="H68" s="1048"/>
      <c r="I68" s="783">
        <v>0.5</v>
      </c>
      <c r="J68" s="778">
        <v>8</v>
      </c>
      <c r="K68" s="469">
        <f t="shared" si="2"/>
        <v>7</v>
      </c>
      <c r="L68" s="546">
        <f t="shared" si="3"/>
        <v>13</v>
      </c>
      <c r="M68" s="534">
        <v>13</v>
      </c>
      <c r="N68" s="132"/>
      <c r="O68" s="132"/>
      <c r="P68" s="534"/>
      <c r="Q68" s="132"/>
      <c r="R68" s="132"/>
    </row>
    <row r="69" spans="2:18" x14ac:dyDescent="0.25">
      <c r="B69" s="128">
        <v>8</v>
      </c>
      <c r="C69" s="1047" t="str">
        <f>IlumBenef!O24</f>
        <v>Led tubular 8W</v>
      </c>
      <c r="D69" s="1047"/>
      <c r="E69" s="1047"/>
      <c r="F69" s="1047"/>
      <c r="G69" s="1047"/>
      <c r="H69" s="1048"/>
      <c r="I69" s="783">
        <v>0.5</v>
      </c>
      <c r="J69" s="778">
        <v>102</v>
      </c>
      <c r="K69" s="469">
        <f t="shared" si="2"/>
        <v>49</v>
      </c>
      <c r="L69" s="546">
        <f t="shared" si="3"/>
        <v>13</v>
      </c>
      <c r="M69" s="534">
        <v>13</v>
      </c>
      <c r="N69" s="132"/>
      <c r="O69" s="132"/>
      <c r="P69" s="534"/>
      <c r="Q69" s="132"/>
      <c r="R69" s="132"/>
    </row>
    <row r="70" spans="2:18" x14ac:dyDescent="0.25">
      <c r="B70" s="128">
        <v>9</v>
      </c>
      <c r="C70" s="1047" t="str">
        <f>IlumBenef!P24</f>
        <v>Led bulbo 8W</v>
      </c>
      <c r="D70" s="1047"/>
      <c r="E70" s="1047"/>
      <c r="F70" s="1047"/>
      <c r="G70" s="1047"/>
      <c r="H70" s="1048"/>
      <c r="I70" s="783">
        <v>0.5</v>
      </c>
      <c r="J70" s="778">
        <v>12</v>
      </c>
      <c r="K70" s="469">
        <f t="shared" si="2"/>
        <v>11</v>
      </c>
      <c r="L70" s="546">
        <f t="shared" si="3"/>
        <v>13</v>
      </c>
      <c r="M70" s="534">
        <v>13</v>
      </c>
      <c r="N70" s="132"/>
      <c r="O70" s="132"/>
      <c r="P70" s="534"/>
      <c r="Q70" s="132"/>
      <c r="R70" s="132"/>
    </row>
    <row r="71" spans="2:18" x14ac:dyDescent="0.25">
      <c r="B71" s="128">
        <v>10</v>
      </c>
      <c r="C71" s="1047" t="str">
        <f>IlumBenef!Q24</f>
        <v>Led Bulbo 8W</v>
      </c>
      <c r="D71" s="1047"/>
      <c r="E71" s="1047"/>
      <c r="F71" s="1047"/>
      <c r="G71" s="1047"/>
      <c r="H71" s="1048"/>
      <c r="I71" s="783">
        <v>0.5</v>
      </c>
      <c r="J71" s="778">
        <v>46</v>
      </c>
      <c r="K71" s="469">
        <f t="shared" si="2"/>
        <v>31</v>
      </c>
      <c r="L71" s="546">
        <f t="shared" si="3"/>
        <v>13</v>
      </c>
      <c r="M71" s="534">
        <v>13</v>
      </c>
      <c r="N71" s="132"/>
      <c r="O71" s="132"/>
      <c r="P71" s="534"/>
      <c r="Q71" s="132"/>
      <c r="R71" s="132"/>
    </row>
    <row r="72" spans="2:18" x14ac:dyDescent="0.25">
      <c r="B72" s="128">
        <v>11</v>
      </c>
      <c r="C72" s="1047" t="str">
        <f>IlumBenef!R24</f>
        <v>Led bulbo 8W</v>
      </c>
      <c r="D72" s="1047"/>
      <c r="E72" s="1047"/>
      <c r="F72" s="1047"/>
      <c r="G72" s="1047"/>
      <c r="H72" s="1048"/>
      <c r="I72" s="783">
        <v>0.5</v>
      </c>
      <c r="J72" s="778">
        <v>9</v>
      </c>
      <c r="K72" s="469">
        <f t="shared" si="2"/>
        <v>8</v>
      </c>
      <c r="L72" s="546">
        <f t="shared" si="3"/>
        <v>13</v>
      </c>
      <c r="M72" s="534">
        <v>13</v>
      </c>
      <c r="N72" s="132"/>
      <c r="O72" s="132"/>
      <c r="P72" s="534"/>
      <c r="Q72" s="132"/>
      <c r="R72" s="132"/>
    </row>
    <row r="73" spans="2:18" x14ac:dyDescent="0.25">
      <c r="B73" s="128">
        <v>12</v>
      </c>
      <c r="C73" s="1047" t="str">
        <f>IlumBenef!S24</f>
        <v>Led bulbo 8W</v>
      </c>
      <c r="D73" s="1047"/>
      <c r="E73" s="1047"/>
      <c r="F73" s="1047"/>
      <c r="G73" s="1047"/>
      <c r="H73" s="1048"/>
      <c r="I73" s="783">
        <v>0.5</v>
      </c>
      <c r="J73" s="778">
        <v>1</v>
      </c>
      <c r="K73" s="469">
        <f t="shared" si="2"/>
        <v>1</v>
      </c>
      <c r="L73" s="546">
        <f t="shared" si="3"/>
        <v>13</v>
      </c>
      <c r="M73" s="534">
        <v>13</v>
      </c>
      <c r="N73" s="132"/>
      <c r="O73" s="132"/>
      <c r="P73" s="534"/>
      <c r="Q73" s="132"/>
      <c r="R73" s="132"/>
    </row>
    <row r="74" spans="2:18" x14ac:dyDescent="0.25">
      <c r="B74" s="128">
        <v>13</v>
      </c>
      <c r="C74" s="1047"/>
      <c r="D74" s="1047"/>
      <c r="E74" s="1047"/>
      <c r="F74" s="1047"/>
      <c r="G74" s="1047"/>
      <c r="H74" s="1048"/>
      <c r="I74" s="545"/>
      <c r="J74" s="533"/>
      <c r="K74" s="469">
        <f t="shared" si="2"/>
        <v>0</v>
      </c>
      <c r="L74" s="546">
        <f t="shared" si="3"/>
        <v>0</v>
      </c>
      <c r="M74" s="534"/>
      <c r="N74" s="132"/>
      <c r="O74" s="132"/>
      <c r="P74" s="534"/>
      <c r="Q74" s="132"/>
      <c r="R74" s="132"/>
    </row>
    <row r="75" spans="2:18" x14ac:dyDescent="0.25">
      <c r="B75" s="128">
        <v>14</v>
      </c>
      <c r="C75" s="1047"/>
      <c r="D75" s="1047"/>
      <c r="E75" s="1047"/>
      <c r="F75" s="1047"/>
      <c r="G75" s="1047"/>
      <c r="H75" s="1048"/>
      <c r="I75" s="545"/>
      <c r="J75" s="533"/>
      <c r="K75" s="469">
        <f t="shared" si="2"/>
        <v>0</v>
      </c>
      <c r="L75" s="546">
        <f t="shared" si="3"/>
        <v>0</v>
      </c>
      <c r="M75" s="534"/>
      <c r="N75" s="132"/>
      <c r="O75" s="132"/>
      <c r="P75" s="534"/>
      <c r="Q75" s="132"/>
      <c r="R75" s="132"/>
    </row>
    <row r="76" spans="2:18" x14ac:dyDescent="0.25">
      <c r="B76" s="128">
        <v>15</v>
      </c>
      <c r="C76" s="1047"/>
      <c r="D76" s="1047"/>
      <c r="E76" s="1047"/>
      <c r="F76" s="1047"/>
      <c r="G76" s="1047"/>
      <c r="H76" s="1048"/>
      <c r="I76" s="545"/>
      <c r="J76" s="533"/>
      <c r="K76" s="469">
        <f t="shared" si="2"/>
        <v>0</v>
      </c>
      <c r="L76" s="546">
        <f t="shared" si="3"/>
        <v>0</v>
      </c>
      <c r="M76" s="534"/>
      <c r="N76" s="132"/>
      <c r="O76" s="132"/>
      <c r="P76" s="534"/>
      <c r="Q76" s="132"/>
      <c r="R76" s="132"/>
    </row>
    <row r="77" spans="2:18" x14ac:dyDescent="0.25">
      <c r="B77" s="128">
        <v>16</v>
      </c>
      <c r="C77" s="1047"/>
      <c r="D77" s="1047"/>
      <c r="E77" s="1047"/>
      <c r="F77" s="1047"/>
      <c r="G77" s="1047"/>
      <c r="H77" s="1048"/>
      <c r="I77" s="545"/>
      <c r="J77" s="533"/>
      <c r="K77" s="469">
        <f t="shared" si="2"/>
        <v>0</v>
      </c>
      <c r="L77" s="546">
        <f t="shared" si="3"/>
        <v>0</v>
      </c>
      <c r="M77" s="534"/>
      <c r="N77" s="132"/>
      <c r="O77" s="132"/>
      <c r="P77" s="534"/>
      <c r="Q77" s="132"/>
      <c r="R77" s="132"/>
    </row>
    <row r="78" spans="2:18" x14ac:dyDescent="0.25">
      <c r="B78" s="128">
        <v>17</v>
      </c>
      <c r="C78" s="1047"/>
      <c r="D78" s="1047"/>
      <c r="E78" s="1047"/>
      <c r="F78" s="1047"/>
      <c r="G78" s="1047"/>
      <c r="H78" s="1048"/>
      <c r="I78" s="545"/>
      <c r="J78" s="533"/>
      <c r="K78" s="469">
        <f t="shared" si="2"/>
        <v>0</v>
      </c>
      <c r="L78" s="546">
        <f t="shared" si="3"/>
        <v>0</v>
      </c>
      <c r="M78" s="534"/>
      <c r="N78" s="132"/>
      <c r="O78" s="132"/>
      <c r="P78" s="534"/>
      <c r="Q78" s="132"/>
      <c r="R78" s="132"/>
    </row>
    <row r="79" spans="2:18" x14ac:dyDescent="0.25">
      <c r="B79" s="128">
        <v>18</v>
      </c>
      <c r="C79" s="1047"/>
      <c r="D79" s="1047"/>
      <c r="E79" s="1047"/>
      <c r="F79" s="1047"/>
      <c r="G79" s="1047"/>
      <c r="H79" s="1048"/>
      <c r="I79" s="545"/>
      <c r="J79" s="533"/>
      <c r="K79" s="469">
        <f t="shared" si="2"/>
        <v>0</v>
      </c>
      <c r="L79" s="546">
        <f t="shared" si="3"/>
        <v>0</v>
      </c>
      <c r="M79" s="534"/>
      <c r="N79" s="132"/>
      <c r="O79" s="132"/>
      <c r="P79" s="534"/>
      <c r="Q79" s="132"/>
      <c r="R79" s="132"/>
    </row>
    <row r="80" spans="2:18" x14ac:dyDescent="0.25">
      <c r="B80" s="128">
        <v>19</v>
      </c>
      <c r="C80" s="1047"/>
      <c r="D80" s="1047"/>
      <c r="E80" s="1047"/>
      <c r="F80" s="1047"/>
      <c r="G80" s="1047"/>
      <c r="H80" s="1048"/>
      <c r="I80" s="545"/>
      <c r="J80" s="533"/>
      <c r="K80" s="469">
        <f t="shared" si="2"/>
        <v>0</v>
      </c>
      <c r="L80" s="546">
        <f t="shared" si="3"/>
        <v>0</v>
      </c>
      <c r="M80" s="534"/>
      <c r="N80" s="132"/>
      <c r="O80" s="132"/>
      <c r="P80" s="534"/>
      <c r="Q80" s="132"/>
      <c r="R80" s="132"/>
    </row>
    <row r="81" spans="2:18" x14ac:dyDescent="0.25">
      <c r="B81" s="128">
        <v>20</v>
      </c>
      <c r="C81" s="1047"/>
      <c r="D81" s="1047"/>
      <c r="E81" s="1047"/>
      <c r="F81" s="1047"/>
      <c r="G81" s="1047"/>
      <c r="H81" s="1048"/>
      <c r="I81" s="545"/>
      <c r="J81" s="533"/>
      <c r="K81" s="469">
        <f t="shared" si="2"/>
        <v>0</v>
      </c>
      <c r="L81" s="546">
        <f t="shared" si="3"/>
        <v>0</v>
      </c>
      <c r="M81" s="534"/>
      <c r="N81" s="132"/>
      <c r="O81" s="132"/>
      <c r="P81" s="534"/>
      <c r="Q81" s="132"/>
      <c r="R81" s="132"/>
    </row>
    <row r="82" spans="2:18" x14ac:dyDescent="0.25">
      <c r="B82" s="128">
        <v>21</v>
      </c>
      <c r="C82" s="1047"/>
      <c r="D82" s="1047"/>
      <c r="E82" s="1047"/>
      <c r="F82" s="1047"/>
      <c r="G82" s="1047"/>
      <c r="H82" s="1048"/>
      <c r="I82" s="545"/>
      <c r="J82" s="533"/>
      <c r="K82" s="469">
        <f t="shared" si="2"/>
        <v>0</v>
      </c>
      <c r="L82" s="546">
        <f t="shared" si="3"/>
        <v>0</v>
      </c>
      <c r="M82" s="534"/>
      <c r="N82" s="132"/>
      <c r="O82" s="132"/>
      <c r="P82" s="534"/>
      <c r="Q82" s="132"/>
      <c r="R82" s="132"/>
    </row>
    <row r="83" spans="2:18" x14ac:dyDescent="0.25">
      <c r="B83" s="128">
        <v>22</v>
      </c>
      <c r="C83" s="1047"/>
      <c r="D83" s="1047"/>
      <c r="E83" s="1047"/>
      <c r="F83" s="1047"/>
      <c r="G83" s="1047"/>
      <c r="H83" s="1048"/>
      <c r="I83" s="545"/>
      <c r="J83" s="533"/>
      <c r="K83" s="469">
        <f t="shared" si="2"/>
        <v>0</v>
      </c>
      <c r="L83" s="546">
        <f t="shared" si="3"/>
        <v>0</v>
      </c>
      <c r="M83" s="534"/>
      <c r="N83" s="132"/>
      <c r="O83" s="132"/>
      <c r="P83" s="534"/>
      <c r="Q83" s="132"/>
      <c r="R83" s="132"/>
    </row>
    <row r="84" spans="2:18" x14ac:dyDescent="0.25">
      <c r="B84" s="128">
        <v>23</v>
      </c>
      <c r="C84" s="1047"/>
      <c r="D84" s="1047"/>
      <c r="E84" s="1047"/>
      <c r="F84" s="1047"/>
      <c r="G84" s="1047"/>
      <c r="H84" s="1048"/>
      <c r="I84" s="545"/>
      <c r="J84" s="533"/>
      <c r="K84" s="469">
        <f t="shared" si="2"/>
        <v>0</v>
      </c>
      <c r="L84" s="546">
        <f t="shared" si="3"/>
        <v>0</v>
      </c>
      <c r="M84" s="534"/>
      <c r="N84" s="132"/>
      <c r="O84" s="132"/>
      <c r="P84" s="534"/>
      <c r="Q84" s="132"/>
      <c r="R84" s="132"/>
    </row>
    <row r="85" spans="2:18" x14ac:dyDescent="0.25">
      <c r="B85" s="128">
        <v>24</v>
      </c>
      <c r="C85" s="1047"/>
      <c r="D85" s="1047"/>
      <c r="E85" s="1047"/>
      <c r="F85" s="1047"/>
      <c r="G85" s="1047"/>
      <c r="H85" s="1048"/>
      <c r="I85" s="545"/>
      <c r="J85" s="533"/>
      <c r="K85" s="469">
        <f t="shared" si="2"/>
        <v>0</v>
      </c>
      <c r="L85" s="546">
        <f t="shared" si="3"/>
        <v>0</v>
      </c>
      <c r="M85" s="534"/>
      <c r="N85" s="132"/>
      <c r="O85" s="132"/>
      <c r="P85" s="534"/>
      <c r="Q85" s="132"/>
      <c r="R85" s="132"/>
    </row>
    <row r="86" spans="2:18" x14ac:dyDescent="0.25">
      <c r="B86" s="128">
        <v>25</v>
      </c>
      <c r="C86" s="1047"/>
      <c r="D86" s="1047"/>
      <c r="E86" s="1047"/>
      <c r="F86" s="1047"/>
      <c r="G86" s="1047"/>
      <c r="H86" s="1048"/>
      <c r="I86" s="545"/>
      <c r="J86" s="533"/>
      <c r="K86" s="469">
        <f t="shared" si="2"/>
        <v>0</v>
      </c>
      <c r="L86" s="546">
        <f t="shared" si="3"/>
        <v>0</v>
      </c>
      <c r="M86" s="534"/>
      <c r="N86" s="132"/>
      <c r="O86" s="132"/>
      <c r="P86" s="534"/>
      <c r="Q86" s="132"/>
      <c r="R86" s="132"/>
    </row>
    <row r="87" spans="2:18" x14ac:dyDescent="0.25">
      <c r="B87" s="128">
        <v>26</v>
      </c>
      <c r="C87" s="1047"/>
      <c r="D87" s="1047"/>
      <c r="E87" s="1047"/>
      <c r="F87" s="1047"/>
      <c r="G87" s="1047"/>
      <c r="H87" s="1048"/>
      <c r="I87" s="545"/>
      <c r="J87" s="533"/>
      <c r="K87" s="469">
        <f t="shared" si="2"/>
        <v>0</v>
      </c>
      <c r="L87" s="546">
        <f t="shared" si="3"/>
        <v>0</v>
      </c>
      <c r="M87" s="534"/>
      <c r="N87" s="132"/>
      <c r="O87" s="132"/>
      <c r="P87" s="534"/>
      <c r="Q87" s="132"/>
      <c r="R87" s="132"/>
    </row>
    <row r="88" spans="2:18" x14ac:dyDescent="0.25">
      <c r="B88" s="128">
        <v>27</v>
      </c>
      <c r="C88" s="1047"/>
      <c r="D88" s="1047"/>
      <c r="E88" s="1047"/>
      <c r="F88" s="1047"/>
      <c r="G88" s="1047"/>
      <c r="H88" s="1048"/>
      <c r="I88" s="545"/>
      <c r="J88" s="533"/>
      <c r="K88" s="469">
        <f t="shared" si="2"/>
        <v>0</v>
      </c>
      <c r="L88" s="546">
        <f t="shared" si="3"/>
        <v>0</v>
      </c>
      <c r="M88" s="534"/>
      <c r="N88" s="132"/>
      <c r="O88" s="132"/>
      <c r="P88" s="534"/>
      <c r="Q88" s="132"/>
      <c r="R88" s="132"/>
    </row>
    <row r="89" spans="2:18" x14ac:dyDescent="0.25">
      <c r="B89" s="128">
        <v>28</v>
      </c>
      <c r="C89" s="1047"/>
      <c r="D89" s="1047"/>
      <c r="E89" s="1047"/>
      <c r="F89" s="1047"/>
      <c r="G89" s="1047"/>
      <c r="H89" s="1048"/>
      <c r="I89" s="545"/>
      <c r="J89" s="533"/>
      <c r="K89" s="469">
        <f t="shared" si="2"/>
        <v>0</v>
      </c>
      <c r="L89" s="546">
        <f t="shared" si="3"/>
        <v>0</v>
      </c>
      <c r="M89" s="534"/>
      <c r="N89" s="132"/>
      <c r="O89" s="132"/>
      <c r="P89" s="534"/>
      <c r="Q89" s="132"/>
      <c r="R89" s="132"/>
    </row>
    <row r="90" spans="2:18" x14ac:dyDescent="0.25">
      <c r="B90" s="128">
        <v>29</v>
      </c>
      <c r="C90" s="1047"/>
      <c r="D90" s="1047"/>
      <c r="E90" s="1047"/>
      <c r="F90" s="1047"/>
      <c r="G90" s="1047"/>
      <c r="H90" s="1048"/>
      <c r="I90" s="545"/>
      <c r="J90" s="533"/>
      <c r="K90" s="469">
        <f t="shared" si="2"/>
        <v>0</v>
      </c>
      <c r="L90" s="546">
        <f t="shared" si="3"/>
        <v>0</v>
      </c>
      <c r="M90" s="534"/>
      <c r="N90" s="132"/>
      <c r="O90" s="132"/>
      <c r="P90" s="534"/>
      <c r="Q90" s="132"/>
      <c r="R90" s="132"/>
    </row>
    <row r="91" spans="2:18" x14ac:dyDescent="0.25">
      <c r="B91" s="128">
        <v>30</v>
      </c>
      <c r="C91" s="1047"/>
      <c r="D91" s="1047"/>
      <c r="E91" s="1047"/>
      <c r="F91" s="1047"/>
      <c r="G91" s="1047"/>
      <c r="H91" s="1048"/>
      <c r="I91" s="545"/>
      <c r="J91" s="533"/>
      <c r="K91" s="469">
        <f t="shared" si="2"/>
        <v>0</v>
      </c>
      <c r="L91" s="546">
        <f t="shared" si="3"/>
        <v>0</v>
      </c>
      <c r="M91" s="534"/>
      <c r="N91" s="132"/>
      <c r="O91" s="132"/>
      <c r="P91" s="534"/>
      <c r="Q91" s="132"/>
      <c r="R91" s="132"/>
    </row>
    <row r="92" spans="2:18" x14ac:dyDescent="0.25">
      <c r="B92" s="128">
        <v>31</v>
      </c>
      <c r="C92" s="1047"/>
      <c r="D92" s="1047"/>
      <c r="E92" s="1047"/>
      <c r="F92" s="1047"/>
      <c r="G92" s="1047"/>
      <c r="H92" s="1048"/>
      <c r="I92" s="545"/>
      <c r="J92" s="533"/>
      <c r="K92" s="469">
        <f t="shared" si="2"/>
        <v>0</v>
      </c>
      <c r="L92" s="546">
        <f t="shared" si="3"/>
        <v>0</v>
      </c>
      <c r="M92" s="534"/>
      <c r="N92" s="132"/>
      <c r="O92" s="132"/>
      <c r="P92" s="534"/>
      <c r="Q92" s="132"/>
      <c r="R92" s="132"/>
    </row>
    <row r="93" spans="2:18" x14ac:dyDescent="0.25">
      <c r="B93" s="128">
        <v>32</v>
      </c>
      <c r="C93" s="1047"/>
      <c r="D93" s="1047"/>
      <c r="E93" s="1047"/>
      <c r="F93" s="1047"/>
      <c r="G93" s="1047"/>
      <c r="H93" s="1048"/>
      <c r="I93" s="545"/>
      <c r="J93" s="533"/>
      <c r="K93" s="469">
        <f t="shared" si="2"/>
        <v>0</v>
      </c>
      <c r="L93" s="546">
        <f t="shared" si="3"/>
        <v>0</v>
      </c>
      <c r="M93" s="534"/>
      <c r="N93" s="132"/>
      <c r="O93" s="132"/>
      <c r="P93" s="534"/>
      <c r="Q93" s="132"/>
      <c r="R93" s="132"/>
    </row>
    <row r="94" spans="2:18" x14ac:dyDescent="0.25">
      <c r="B94" s="128">
        <v>33</v>
      </c>
      <c r="C94" s="1047"/>
      <c r="D94" s="1047"/>
      <c r="E94" s="1047"/>
      <c r="F94" s="1047"/>
      <c r="G94" s="1047"/>
      <c r="H94" s="1048"/>
      <c r="I94" s="545"/>
      <c r="J94" s="533"/>
      <c r="K94" s="469">
        <f t="shared" si="2"/>
        <v>0</v>
      </c>
      <c r="L94" s="546">
        <f t="shared" si="3"/>
        <v>0</v>
      </c>
      <c r="M94" s="534"/>
      <c r="N94" s="132"/>
      <c r="O94" s="132"/>
      <c r="P94" s="534"/>
      <c r="Q94" s="132"/>
      <c r="R94" s="132"/>
    </row>
    <row r="95" spans="2:18" x14ac:dyDescent="0.25">
      <c r="B95" s="128">
        <v>34</v>
      </c>
      <c r="C95" s="1047"/>
      <c r="D95" s="1047"/>
      <c r="E95" s="1047"/>
      <c r="F95" s="1047"/>
      <c r="G95" s="1047"/>
      <c r="H95" s="1048"/>
      <c r="I95" s="545"/>
      <c r="J95" s="533"/>
      <c r="K95" s="469">
        <f t="shared" si="2"/>
        <v>0</v>
      </c>
      <c r="L95" s="546">
        <f t="shared" si="3"/>
        <v>0</v>
      </c>
      <c r="M95" s="534"/>
      <c r="N95" s="132"/>
      <c r="O95" s="132"/>
      <c r="P95" s="534"/>
      <c r="Q95" s="132"/>
      <c r="R95" s="132"/>
    </row>
    <row r="96" spans="2:18" x14ac:dyDescent="0.25">
      <c r="B96" s="128">
        <v>35</v>
      </c>
      <c r="C96" s="1047"/>
      <c r="D96" s="1047"/>
      <c r="E96" s="1047"/>
      <c r="F96" s="1047"/>
      <c r="G96" s="1047"/>
      <c r="H96" s="1048"/>
      <c r="I96" s="545"/>
      <c r="J96" s="533"/>
      <c r="K96" s="469">
        <f t="shared" si="2"/>
        <v>0</v>
      </c>
      <c r="L96" s="546">
        <f t="shared" si="3"/>
        <v>0</v>
      </c>
      <c r="M96" s="534"/>
      <c r="N96" s="132"/>
      <c r="O96" s="132"/>
      <c r="P96" s="534"/>
      <c r="Q96" s="132"/>
      <c r="R96" s="132"/>
    </row>
    <row r="97" spans="2:18" x14ac:dyDescent="0.25">
      <c r="B97" s="128">
        <v>36</v>
      </c>
      <c r="C97" s="1047"/>
      <c r="D97" s="1047"/>
      <c r="E97" s="1047"/>
      <c r="F97" s="1047"/>
      <c r="G97" s="1047"/>
      <c r="H97" s="1048"/>
      <c r="I97" s="545"/>
      <c r="J97" s="533"/>
      <c r="K97" s="469">
        <f t="shared" si="2"/>
        <v>0</v>
      </c>
      <c r="L97" s="546">
        <f t="shared" si="3"/>
        <v>0</v>
      </c>
      <c r="M97" s="534"/>
      <c r="N97" s="132"/>
      <c r="O97" s="132"/>
      <c r="P97" s="534"/>
      <c r="Q97" s="132"/>
      <c r="R97" s="132"/>
    </row>
    <row r="98" spans="2:18" x14ac:dyDescent="0.25">
      <c r="B98" s="128">
        <v>37</v>
      </c>
      <c r="C98" s="1047"/>
      <c r="D98" s="1047"/>
      <c r="E98" s="1047"/>
      <c r="F98" s="1047"/>
      <c r="G98" s="1047"/>
      <c r="H98" s="1048"/>
      <c r="I98" s="545"/>
      <c r="J98" s="533"/>
      <c r="K98" s="469">
        <f t="shared" si="2"/>
        <v>0</v>
      </c>
      <c r="L98" s="546">
        <f t="shared" si="3"/>
        <v>0</v>
      </c>
      <c r="M98" s="534"/>
      <c r="N98" s="132"/>
      <c r="O98" s="132"/>
      <c r="P98" s="534"/>
      <c r="Q98" s="132"/>
      <c r="R98" s="132"/>
    </row>
    <row r="99" spans="2:18" x14ac:dyDescent="0.25">
      <c r="B99" s="128">
        <v>38</v>
      </c>
      <c r="C99" s="1047"/>
      <c r="D99" s="1047"/>
      <c r="E99" s="1047"/>
      <c r="F99" s="1047"/>
      <c r="G99" s="1047"/>
      <c r="H99" s="1048"/>
      <c r="I99" s="545"/>
      <c r="J99" s="533"/>
      <c r="K99" s="469">
        <f t="shared" si="2"/>
        <v>0</v>
      </c>
      <c r="L99" s="546">
        <f t="shared" si="3"/>
        <v>0</v>
      </c>
      <c r="M99" s="534"/>
      <c r="N99" s="132"/>
      <c r="O99" s="132"/>
      <c r="P99" s="534"/>
      <c r="Q99" s="132"/>
      <c r="R99" s="132"/>
    </row>
    <row r="100" spans="2:18" x14ac:dyDescent="0.25">
      <c r="B100" s="128">
        <v>39</v>
      </c>
      <c r="C100" s="1047"/>
      <c r="D100" s="1047"/>
      <c r="E100" s="1047"/>
      <c r="F100" s="1047"/>
      <c r="G100" s="1047"/>
      <c r="H100" s="1048"/>
      <c r="I100" s="545"/>
      <c r="J100" s="533"/>
      <c r="K100" s="469">
        <f t="shared" si="2"/>
        <v>0</v>
      </c>
      <c r="L100" s="546">
        <f t="shared" si="3"/>
        <v>0</v>
      </c>
      <c r="M100" s="534"/>
      <c r="N100" s="132"/>
      <c r="O100" s="132"/>
      <c r="P100" s="534"/>
      <c r="Q100" s="132"/>
      <c r="R100" s="132"/>
    </row>
    <row r="101" spans="2:18" x14ac:dyDescent="0.25">
      <c r="B101" s="128">
        <v>40</v>
      </c>
      <c r="C101" s="1047"/>
      <c r="D101" s="1047"/>
      <c r="E101" s="1047"/>
      <c r="F101" s="1047"/>
      <c r="G101" s="1047"/>
      <c r="H101" s="1048"/>
      <c r="I101" s="545"/>
      <c r="J101" s="533"/>
      <c r="K101" s="469">
        <f t="shared" si="2"/>
        <v>0</v>
      </c>
      <c r="L101" s="546">
        <f t="shared" si="3"/>
        <v>0</v>
      </c>
      <c r="M101" s="534"/>
      <c r="N101" s="132"/>
      <c r="O101" s="132"/>
      <c r="P101" s="534"/>
      <c r="Q101" s="132"/>
      <c r="R101" s="132"/>
    </row>
    <row r="102" spans="2:18" x14ac:dyDescent="0.25">
      <c r="B102" s="128">
        <v>41</v>
      </c>
      <c r="C102" s="1047"/>
      <c r="D102" s="1047"/>
      <c r="E102" s="1047"/>
      <c r="F102" s="1047"/>
      <c r="G102" s="1047"/>
      <c r="H102" s="1048"/>
      <c r="I102" s="545"/>
      <c r="J102" s="533"/>
      <c r="K102" s="469">
        <f t="shared" si="2"/>
        <v>0</v>
      </c>
      <c r="L102" s="546">
        <f t="shared" si="3"/>
        <v>0</v>
      </c>
      <c r="M102" s="534"/>
      <c r="N102" s="132"/>
      <c r="O102" s="132"/>
      <c r="P102" s="534"/>
      <c r="Q102" s="132"/>
      <c r="R102" s="132"/>
    </row>
    <row r="103" spans="2:18" x14ac:dyDescent="0.25">
      <c r="B103" s="128">
        <v>42</v>
      </c>
      <c r="C103" s="1047"/>
      <c r="D103" s="1047"/>
      <c r="E103" s="1047"/>
      <c r="F103" s="1047"/>
      <c r="G103" s="1047"/>
      <c r="H103" s="1048"/>
      <c r="I103" s="545"/>
      <c r="J103" s="533"/>
      <c r="K103" s="469">
        <f t="shared" si="2"/>
        <v>0</v>
      </c>
      <c r="L103" s="546">
        <f t="shared" si="3"/>
        <v>0</v>
      </c>
      <c r="M103" s="534"/>
      <c r="N103" s="132"/>
      <c r="O103" s="132"/>
      <c r="P103" s="534"/>
      <c r="Q103" s="132"/>
      <c r="R103" s="132"/>
    </row>
    <row r="104" spans="2:18" x14ac:dyDescent="0.25">
      <c r="B104" s="128">
        <v>43</v>
      </c>
      <c r="C104" s="1047"/>
      <c r="D104" s="1047"/>
      <c r="E104" s="1047"/>
      <c r="F104" s="1047"/>
      <c r="G104" s="1047"/>
      <c r="H104" s="1048"/>
      <c r="I104" s="545"/>
      <c r="J104" s="533"/>
      <c r="K104" s="469">
        <f t="shared" si="2"/>
        <v>0</v>
      </c>
      <c r="L104" s="546">
        <f t="shared" si="3"/>
        <v>0</v>
      </c>
      <c r="M104" s="534"/>
      <c r="N104" s="132"/>
      <c r="O104" s="132"/>
      <c r="P104" s="534"/>
      <c r="Q104" s="132"/>
      <c r="R104" s="132"/>
    </row>
    <row r="105" spans="2:18" x14ac:dyDescent="0.25">
      <c r="B105" s="128">
        <v>44</v>
      </c>
      <c r="C105" s="1047"/>
      <c r="D105" s="1047"/>
      <c r="E105" s="1047"/>
      <c r="F105" s="1047"/>
      <c r="G105" s="1047"/>
      <c r="H105" s="1048"/>
      <c r="I105" s="545"/>
      <c r="J105" s="533"/>
      <c r="K105" s="469">
        <f t="shared" si="2"/>
        <v>0</v>
      </c>
      <c r="L105" s="546">
        <f t="shared" si="3"/>
        <v>0</v>
      </c>
      <c r="M105" s="534"/>
      <c r="N105" s="132"/>
      <c r="O105" s="132"/>
      <c r="P105" s="534"/>
      <c r="Q105" s="132"/>
      <c r="R105" s="132"/>
    </row>
    <row r="106" spans="2:18" x14ac:dyDescent="0.25">
      <c r="B106" s="128">
        <v>45</v>
      </c>
      <c r="C106" s="1047"/>
      <c r="D106" s="1047"/>
      <c r="E106" s="1047"/>
      <c r="F106" s="1047"/>
      <c r="G106" s="1047"/>
      <c r="H106" s="1048"/>
      <c r="I106" s="545"/>
      <c r="J106" s="533"/>
      <c r="K106" s="469">
        <f t="shared" si="2"/>
        <v>0</v>
      </c>
      <c r="L106" s="546">
        <f t="shared" si="3"/>
        <v>0</v>
      </c>
      <c r="M106" s="534"/>
      <c r="N106" s="132"/>
      <c r="O106" s="132"/>
      <c r="P106" s="534"/>
      <c r="Q106" s="132"/>
      <c r="R106" s="132"/>
    </row>
    <row r="107" spans="2:18" x14ac:dyDescent="0.25">
      <c r="B107" s="128">
        <v>46</v>
      </c>
      <c r="C107" s="1047"/>
      <c r="D107" s="1047"/>
      <c r="E107" s="1047"/>
      <c r="F107" s="1047"/>
      <c r="G107" s="1047"/>
      <c r="H107" s="1048"/>
      <c r="I107" s="545"/>
      <c r="J107" s="533"/>
      <c r="K107" s="469">
        <f t="shared" si="2"/>
        <v>0</v>
      </c>
      <c r="L107" s="546">
        <f t="shared" si="3"/>
        <v>0</v>
      </c>
      <c r="M107" s="534"/>
      <c r="N107" s="132"/>
      <c r="O107" s="132"/>
      <c r="P107" s="534"/>
      <c r="Q107" s="132"/>
      <c r="R107" s="132"/>
    </row>
    <row r="108" spans="2:18" x14ac:dyDescent="0.25">
      <c r="B108" s="128">
        <v>47</v>
      </c>
      <c r="C108" s="1047"/>
      <c r="D108" s="1047"/>
      <c r="E108" s="1047"/>
      <c r="F108" s="1047"/>
      <c r="G108" s="1047"/>
      <c r="H108" s="1048"/>
      <c r="I108" s="545"/>
      <c r="J108" s="533"/>
      <c r="K108" s="469">
        <f t="shared" si="2"/>
        <v>0</v>
      </c>
      <c r="L108" s="546">
        <f t="shared" si="3"/>
        <v>0</v>
      </c>
      <c r="M108" s="759"/>
      <c r="N108" s="132"/>
      <c r="O108" s="132"/>
      <c r="P108" s="534"/>
      <c r="Q108" s="132"/>
      <c r="R108" s="132"/>
    </row>
    <row r="109" spans="2:18" x14ac:dyDescent="0.25">
      <c r="B109" s="128">
        <v>48</v>
      </c>
      <c r="C109" s="1047"/>
      <c r="D109" s="1047"/>
      <c r="E109" s="1047"/>
      <c r="F109" s="1047"/>
      <c r="G109" s="1047"/>
      <c r="H109" s="1048"/>
      <c r="I109" s="545"/>
      <c r="J109" s="533"/>
      <c r="K109" s="469">
        <f t="shared" si="2"/>
        <v>0</v>
      </c>
      <c r="L109" s="546">
        <f t="shared" si="3"/>
        <v>0</v>
      </c>
      <c r="M109" s="534"/>
      <c r="N109" s="132"/>
      <c r="O109" s="132"/>
      <c r="P109" s="534"/>
      <c r="Q109" s="132"/>
      <c r="R109" s="132"/>
    </row>
    <row r="110" spans="2:18" x14ac:dyDescent="0.25">
      <c r="B110" s="128">
        <v>49</v>
      </c>
      <c r="C110" s="1047"/>
      <c r="D110" s="1047"/>
      <c r="E110" s="1047"/>
      <c r="F110" s="1047"/>
      <c r="G110" s="1047"/>
      <c r="H110" s="1048"/>
      <c r="I110" s="545"/>
      <c r="J110" s="533"/>
      <c r="K110" s="469">
        <f t="shared" si="2"/>
        <v>0</v>
      </c>
      <c r="L110" s="546">
        <f t="shared" si="3"/>
        <v>0</v>
      </c>
      <c r="M110" s="534"/>
      <c r="N110" s="132"/>
      <c r="O110" s="132"/>
      <c r="P110" s="534"/>
      <c r="Q110" s="132"/>
      <c r="R110" s="132"/>
    </row>
    <row r="111" spans="2:18" x14ac:dyDescent="0.25">
      <c r="B111" s="128">
        <v>50</v>
      </c>
      <c r="C111" s="1047"/>
      <c r="D111" s="1047"/>
      <c r="E111" s="1047"/>
      <c r="F111" s="1047"/>
      <c r="G111" s="1047"/>
      <c r="H111" s="1048"/>
      <c r="I111" s="545"/>
      <c r="J111" s="533"/>
      <c r="K111" s="469">
        <f t="shared" si="2"/>
        <v>0</v>
      </c>
      <c r="L111" s="546">
        <f t="shared" si="3"/>
        <v>0</v>
      </c>
      <c r="M111" s="534"/>
      <c r="N111" s="132"/>
      <c r="O111" s="132"/>
      <c r="P111" s="534"/>
      <c r="Q111" s="132"/>
      <c r="R111" s="132"/>
    </row>
    <row r="112" spans="2:18" x14ac:dyDescent="0.25">
      <c r="B112" s="1060" t="s">
        <v>681</v>
      </c>
      <c r="C112" s="1061"/>
      <c r="D112" s="1061"/>
      <c r="E112" s="1061"/>
      <c r="F112" s="1061"/>
      <c r="G112" s="1061"/>
      <c r="H112" s="1061"/>
      <c r="I112" s="1061"/>
      <c r="J112" s="1061"/>
      <c r="K112" s="1061"/>
      <c r="L112" s="1061"/>
      <c r="M112" s="523"/>
      <c r="N112" s="523"/>
      <c r="O112" s="524"/>
      <c r="P112" s="523"/>
      <c r="Q112" s="523"/>
      <c r="R112" s="524"/>
    </row>
    <row r="113" spans="2:18" x14ac:dyDescent="0.25">
      <c r="B113" s="1084" t="s">
        <v>234</v>
      </c>
      <c r="C113" s="1084"/>
      <c r="D113" s="1084"/>
      <c r="E113" s="1084"/>
      <c r="F113" s="1084"/>
      <c r="G113" s="1084"/>
      <c r="H113" s="1084"/>
      <c r="I113" s="1084"/>
      <c r="J113" s="1084"/>
      <c r="K113" s="1084"/>
      <c r="L113" s="1084"/>
      <c r="M113" s="541" t="s">
        <v>917</v>
      </c>
      <c r="N113" s="541" t="s">
        <v>926</v>
      </c>
      <c r="O113" s="541" t="s">
        <v>927</v>
      </c>
      <c r="P113" s="541" t="s">
        <v>943</v>
      </c>
      <c r="Q113" s="541" t="s">
        <v>944</v>
      </c>
      <c r="R113" s="541" t="s">
        <v>945</v>
      </c>
    </row>
    <row r="114" spans="2:18" x14ac:dyDescent="0.25">
      <c r="B114" s="1043" t="s">
        <v>235</v>
      </c>
      <c r="C114" s="1044"/>
      <c r="D114" s="1044"/>
      <c r="E114" s="1044"/>
      <c r="F114" s="1044"/>
      <c r="G114" s="1044"/>
      <c r="H114" s="1045"/>
      <c r="I114" s="498" t="s">
        <v>236</v>
      </c>
      <c r="J114" s="126" t="s">
        <v>237</v>
      </c>
      <c r="K114" s="126" t="s">
        <v>238</v>
      </c>
      <c r="L114" s="126" t="s">
        <v>916</v>
      </c>
      <c r="M114" s="328" t="s">
        <v>239</v>
      </c>
      <c r="N114" s="328" t="s">
        <v>239</v>
      </c>
      <c r="O114" s="328" t="s">
        <v>239</v>
      </c>
      <c r="P114" s="328" t="s">
        <v>239</v>
      </c>
      <c r="Q114" s="328" t="s">
        <v>239</v>
      </c>
      <c r="R114" s="328" t="s">
        <v>239</v>
      </c>
    </row>
    <row r="115" spans="2:18" x14ac:dyDescent="0.25">
      <c r="B115" s="128">
        <v>1</v>
      </c>
      <c r="C115" s="1087"/>
      <c r="D115" s="1047"/>
      <c r="E115" s="1047"/>
      <c r="F115" s="1047"/>
      <c r="G115" s="1047"/>
      <c r="H115" s="1048"/>
      <c r="I115" s="783"/>
      <c r="J115" s="784"/>
      <c r="K115" s="469">
        <f t="shared" ref="K115:K134" si="4">IF(OR(I115=0,J115=0),0,IF((((($L$4^2*I115^2)/$F$5^2)*J115)/((($L$4^2*I115^2)/$F$5^2)+J115))&lt;(($L$4^2*I115^2)/$F$5^2),ROUND((((($L$4^2*I115^2)/$F$5^2)*J115)/((($L$4^2*I115^2)/$F$5^2)+J115)),0),ROUND((($L$4^2*I115^2)/$F$5^2),0)))</f>
        <v>0</v>
      </c>
      <c r="L115" s="546">
        <f t="shared" ref="L115:L134" si="5">IFERROR(SMALL(M115:R115,1),0)</f>
        <v>0</v>
      </c>
      <c r="M115" s="534"/>
      <c r="N115" s="132"/>
      <c r="O115" s="132"/>
      <c r="P115" s="534"/>
      <c r="Q115" s="132"/>
      <c r="R115" s="132"/>
    </row>
    <row r="116" spans="2:18" x14ac:dyDescent="0.25">
      <c r="B116" s="128">
        <v>2</v>
      </c>
      <c r="C116" s="1088"/>
      <c r="D116" s="1047"/>
      <c r="E116" s="1047"/>
      <c r="F116" s="1047"/>
      <c r="G116" s="1047"/>
      <c r="H116" s="1048"/>
      <c r="I116" s="777"/>
      <c r="J116" s="778"/>
      <c r="K116" s="469">
        <f t="shared" si="4"/>
        <v>0</v>
      </c>
      <c r="L116" s="546">
        <f t="shared" si="5"/>
        <v>0</v>
      </c>
      <c r="M116" s="759"/>
      <c r="N116" s="132"/>
      <c r="O116" s="708"/>
      <c r="P116" s="534"/>
      <c r="Q116" s="132"/>
      <c r="R116" s="132"/>
    </row>
    <row r="117" spans="2:18" x14ac:dyDescent="0.25">
      <c r="B117" s="128">
        <v>3</v>
      </c>
      <c r="C117" s="1088"/>
      <c r="D117" s="1047"/>
      <c r="E117" s="1047"/>
      <c r="F117" s="1047"/>
      <c r="G117" s="1047"/>
      <c r="H117" s="1048"/>
      <c r="I117" s="545"/>
      <c r="J117" s="533"/>
      <c r="K117" s="469">
        <f t="shared" si="4"/>
        <v>0</v>
      </c>
      <c r="L117" s="546">
        <f t="shared" si="5"/>
        <v>0</v>
      </c>
      <c r="M117" s="534"/>
      <c r="N117" s="132"/>
      <c r="O117" s="132"/>
      <c r="P117" s="534"/>
      <c r="Q117" s="132"/>
      <c r="R117" s="132"/>
    </row>
    <row r="118" spans="2:18" x14ac:dyDescent="0.25">
      <c r="B118" s="128">
        <v>4</v>
      </c>
      <c r="C118" s="1047"/>
      <c r="D118" s="1047"/>
      <c r="E118" s="1047"/>
      <c r="F118" s="1047"/>
      <c r="G118" s="1047"/>
      <c r="H118" s="1048"/>
      <c r="I118" s="545"/>
      <c r="J118" s="533"/>
      <c r="K118" s="469">
        <f t="shared" si="4"/>
        <v>0</v>
      </c>
      <c r="L118" s="546">
        <f t="shared" si="5"/>
        <v>0</v>
      </c>
      <c r="M118" s="534"/>
      <c r="N118" s="132"/>
      <c r="O118" s="132"/>
      <c r="P118" s="534"/>
      <c r="Q118" s="132"/>
      <c r="R118" s="132"/>
    </row>
    <row r="119" spans="2:18" x14ac:dyDescent="0.25">
      <c r="B119" s="128">
        <v>5</v>
      </c>
      <c r="C119" s="1047"/>
      <c r="D119" s="1047"/>
      <c r="E119" s="1047"/>
      <c r="F119" s="1047"/>
      <c r="G119" s="1047"/>
      <c r="H119" s="1048"/>
      <c r="I119" s="545"/>
      <c r="J119" s="533"/>
      <c r="K119" s="469">
        <f t="shared" si="4"/>
        <v>0</v>
      </c>
      <c r="L119" s="546">
        <f t="shared" si="5"/>
        <v>0</v>
      </c>
      <c r="M119" s="534"/>
      <c r="N119" s="132"/>
      <c r="O119" s="132"/>
      <c r="P119" s="534"/>
      <c r="Q119" s="132"/>
      <c r="R119" s="132"/>
    </row>
    <row r="120" spans="2:18" x14ac:dyDescent="0.25">
      <c r="B120" s="128">
        <v>6</v>
      </c>
      <c r="C120" s="1047"/>
      <c r="D120" s="1047"/>
      <c r="E120" s="1047"/>
      <c r="F120" s="1047"/>
      <c r="G120" s="1047"/>
      <c r="H120" s="1048"/>
      <c r="I120" s="545"/>
      <c r="J120" s="533"/>
      <c r="K120" s="469">
        <f t="shared" si="4"/>
        <v>0</v>
      </c>
      <c r="L120" s="546">
        <f t="shared" si="5"/>
        <v>0</v>
      </c>
      <c r="M120" s="534"/>
      <c r="N120" s="132"/>
      <c r="O120" s="132"/>
      <c r="P120" s="534"/>
      <c r="Q120" s="132"/>
      <c r="R120" s="132"/>
    </row>
    <row r="121" spans="2:18" x14ac:dyDescent="0.25">
      <c r="B121" s="128">
        <v>7</v>
      </c>
      <c r="C121" s="1047"/>
      <c r="D121" s="1047"/>
      <c r="E121" s="1047"/>
      <c r="F121" s="1047"/>
      <c r="G121" s="1047"/>
      <c r="H121" s="1048"/>
      <c r="I121" s="545"/>
      <c r="J121" s="533"/>
      <c r="K121" s="469">
        <f t="shared" si="4"/>
        <v>0</v>
      </c>
      <c r="L121" s="546">
        <f t="shared" si="5"/>
        <v>0</v>
      </c>
      <c r="M121" s="534"/>
      <c r="N121" s="132"/>
      <c r="O121" s="132"/>
      <c r="P121" s="534"/>
      <c r="Q121" s="132"/>
      <c r="R121" s="132"/>
    </row>
    <row r="122" spans="2:18" x14ac:dyDescent="0.25">
      <c r="B122" s="128">
        <v>8</v>
      </c>
      <c r="C122" s="1047"/>
      <c r="D122" s="1047"/>
      <c r="E122" s="1047"/>
      <c r="F122" s="1047"/>
      <c r="G122" s="1047"/>
      <c r="H122" s="1048"/>
      <c r="I122" s="545"/>
      <c r="J122" s="533"/>
      <c r="K122" s="469">
        <f t="shared" si="4"/>
        <v>0</v>
      </c>
      <c r="L122" s="546">
        <f t="shared" si="5"/>
        <v>0</v>
      </c>
      <c r="M122" s="534"/>
      <c r="N122" s="132"/>
      <c r="O122" s="132"/>
      <c r="P122" s="534"/>
      <c r="Q122" s="132"/>
      <c r="R122" s="132"/>
    </row>
    <row r="123" spans="2:18" x14ac:dyDescent="0.25">
      <c r="B123" s="128">
        <v>9</v>
      </c>
      <c r="C123" s="1047"/>
      <c r="D123" s="1047"/>
      <c r="E123" s="1047"/>
      <c r="F123" s="1047"/>
      <c r="G123" s="1047"/>
      <c r="H123" s="1048"/>
      <c r="I123" s="545"/>
      <c r="J123" s="533"/>
      <c r="K123" s="469">
        <f t="shared" si="4"/>
        <v>0</v>
      </c>
      <c r="L123" s="546">
        <f t="shared" si="5"/>
        <v>0</v>
      </c>
      <c r="M123" s="534"/>
      <c r="N123" s="132"/>
      <c r="O123" s="132"/>
      <c r="P123" s="534"/>
      <c r="Q123" s="132"/>
      <c r="R123" s="132"/>
    </row>
    <row r="124" spans="2:18" x14ac:dyDescent="0.25">
      <c r="B124" s="128">
        <v>10</v>
      </c>
      <c r="C124" s="1047"/>
      <c r="D124" s="1047"/>
      <c r="E124" s="1047"/>
      <c r="F124" s="1047"/>
      <c r="G124" s="1047"/>
      <c r="H124" s="1048"/>
      <c r="I124" s="545"/>
      <c r="J124" s="533"/>
      <c r="K124" s="469">
        <f t="shared" si="4"/>
        <v>0</v>
      </c>
      <c r="L124" s="546">
        <f t="shared" si="5"/>
        <v>0</v>
      </c>
      <c r="M124" s="534"/>
      <c r="N124" s="132"/>
      <c r="O124" s="132"/>
      <c r="P124" s="534"/>
      <c r="Q124" s="132"/>
      <c r="R124" s="132"/>
    </row>
    <row r="125" spans="2:18" x14ac:dyDescent="0.25">
      <c r="B125" s="128">
        <v>11</v>
      </c>
      <c r="C125" s="1047"/>
      <c r="D125" s="1047"/>
      <c r="E125" s="1047"/>
      <c r="F125" s="1047"/>
      <c r="G125" s="1047"/>
      <c r="H125" s="1048"/>
      <c r="I125" s="545"/>
      <c r="J125" s="533"/>
      <c r="K125" s="469">
        <f t="shared" si="4"/>
        <v>0</v>
      </c>
      <c r="L125" s="546">
        <f t="shared" si="5"/>
        <v>0</v>
      </c>
      <c r="M125" s="534"/>
      <c r="N125" s="132"/>
      <c r="O125" s="132"/>
      <c r="P125" s="534"/>
      <c r="Q125" s="132"/>
      <c r="R125" s="132"/>
    </row>
    <row r="126" spans="2:18" x14ac:dyDescent="0.25">
      <c r="B126" s="128">
        <v>12</v>
      </c>
      <c r="C126" s="1047"/>
      <c r="D126" s="1047"/>
      <c r="E126" s="1047"/>
      <c r="F126" s="1047"/>
      <c r="G126" s="1047"/>
      <c r="H126" s="1048"/>
      <c r="I126" s="545"/>
      <c r="J126" s="533"/>
      <c r="K126" s="469">
        <f t="shared" si="4"/>
        <v>0</v>
      </c>
      <c r="L126" s="546">
        <f t="shared" si="5"/>
        <v>0</v>
      </c>
      <c r="M126" s="534"/>
      <c r="N126" s="132"/>
      <c r="O126" s="132"/>
      <c r="P126" s="534"/>
      <c r="Q126" s="132"/>
      <c r="R126" s="132"/>
    </row>
    <row r="127" spans="2:18" x14ac:dyDescent="0.25">
      <c r="B127" s="128">
        <v>13</v>
      </c>
      <c r="C127" s="1047"/>
      <c r="D127" s="1047"/>
      <c r="E127" s="1047"/>
      <c r="F127" s="1047"/>
      <c r="G127" s="1047"/>
      <c r="H127" s="1048"/>
      <c r="I127" s="545"/>
      <c r="J127" s="533"/>
      <c r="K127" s="469">
        <f t="shared" si="4"/>
        <v>0</v>
      </c>
      <c r="L127" s="546">
        <f t="shared" si="5"/>
        <v>0</v>
      </c>
      <c r="M127" s="534"/>
      <c r="N127" s="132"/>
      <c r="O127" s="132"/>
      <c r="P127" s="534"/>
      <c r="Q127" s="132"/>
      <c r="R127" s="132"/>
    </row>
    <row r="128" spans="2:18" x14ac:dyDescent="0.25">
      <c r="B128" s="128">
        <v>14</v>
      </c>
      <c r="C128" s="1047"/>
      <c r="D128" s="1047"/>
      <c r="E128" s="1047"/>
      <c r="F128" s="1047"/>
      <c r="G128" s="1047"/>
      <c r="H128" s="1048"/>
      <c r="I128" s="545"/>
      <c r="J128" s="533"/>
      <c r="K128" s="469">
        <f t="shared" si="4"/>
        <v>0</v>
      </c>
      <c r="L128" s="546">
        <f t="shared" si="5"/>
        <v>0</v>
      </c>
      <c r="M128" s="534"/>
      <c r="N128" s="132"/>
      <c r="O128" s="132"/>
      <c r="P128" s="534"/>
      <c r="Q128" s="132"/>
      <c r="R128" s="132"/>
    </row>
    <row r="129" spans="2:18" x14ac:dyDescent="0.25">
      <c r="B129" s="128">
        <v>15</v>
      </c>
      <c r="C129" s="1047"/>
      <c r="D129" s="1047"/>
      <c r="E129" s="1047"/>
      <c r="F129" s="1047"/>
      <c r="G129" s="1047"/>
      <c r="H129" s="1048"/>
      <c r="I129" s="545"/>
      <c r="J129" s="533"/>
      <c r="K129" s="469">
        <f t="shared" si="4"/>
        <v>0</v>
      </c>
      <c r="L129" s="546">
        <f t="shared" si="5"/>
        <v>0</v>
      </c>
      <c r="M129" s="534"/>
      <c r="N129" s="132"/>
      <c r="O129" s="132"/>
      <c r="P129" s="534"/>
      <c r="Q129" s="132"/>
      <c r="R129" s="132"/>
    </row>
    <row r="130" spans="2:18" x14ac:dyDescent="0.25">
      <c r="B130" s="128">
        <v>16</v>
      </c>
      <c r="C130" s="1047"/>
      <c r="D130" s="1047"/>
      <c r="E130" s="1047"/>
      <c r="F130" s="1047"/>
      <c r="G130" s="1047"/>
      <c r="H130" s="1048"/>
      <c r="I130" s="545"/>
      <c r="J130" s="533"/>
      <c r="K130" s="469">
        <f t="shared" si="4"/>
        <v>0</v>
      </c>
      <c r="L130" s="546">
        <f t="shared" si="5"/>
        <v>0</v>
      </c>
      <c r="M130" s="534"/>
      <c r="N130" s="132"/>
      <c r="O130" s="132"/>
      <c r="P130" s="534"/>
      <c r="Q130" s="132"/>
      <c r="R130" s="132"/>
    </row>
    <row r="131" spans="2:18" x14ac:dyDescent="0.25">
      <c r="B131" s="128">
        <v>17</v>
      </c>
      <c r="C131" s="1047"/>
      <c r="D131" s="1047"/>
      <c r="E131" s="1047"/>
      <c r="F131" s="1047"/>
      <c r="G131" s="1047"/>
      <c r="H131" s="1048"/>
      <c r="I131" s="545"/>
      <c r="J131" s="533"/>
      <c r="K131" s="469">
        <f t="shared" si="4"/>
        <v>0</v>
      </c>
      <c r="L131" s="546">
        <f t="shared" si="5"/>
        <v>0</v>
      </c>
      <c r="M131" s="534"/>
      <c r="N131" s="132"/>
      <c r="O131" s="132"/>
      <c r="P131" s="534"/>
      <c r="Q131" s="132"/>
      <c r="R131" s="132"/>
    </row>
    <row r="132" spans="2:18" x14ac:dyDescent="0.25">
      <c r="B132" s="128">
        <v>18</v>
      </c>
      <c r="C132" s="1047"/>
      <c r="D132" s="1047"/>
      <c r="E132" s="1047"/>
      <c r="F132" s="1047"/>
      <c r="G132" s="1047"/>
      <c r="H132" s="1048"/>
      <c r="I132" s="545"/>
      <c r="J132" s="533"/>
      <c r="K132" s="469">
        <f t="shared" si="4"/>
        <v>0</v>
      </c>
      <c r="L132" s="546">
        <f t="shared" si="5"/>
        <v>0</v>
      </c>
      <c r="M132" s="534"/>
      <c r="N132" s="132"/>
      <c r="O132" s="132"/>
      <c r="P132" s="534"/>
      <c r="Q132" s="132"/>
      <c r="R132" s="132"/>
    </row>
    <row r="133" spans="2:18" x14ac:dyDescent="0.25">
      <c r="B133" s="128">
        <v>19</v>
      </c>
      <c r="C133" s="1047"/>
      <c r="D133" s="1047"/>
      <c r="E133" s="1047"/>
      <c r="F133" s="1047"/>
      <c r="G133" s="1047"/>
      <c r="H133" s="1048"/>
      <c r="I133" s="545"/>
      <c r="J133" s="533"/>
      <c r="K133" s="469">
        <f t="shared" si="4"/>
        <v>0</v>
      </c>
      <c r="L133" s="546">
        <f t="shared" si="5"/>
        <v>0</v>
      </c>
      <c r="M133" s="534"/>
      <c r="N133" s="132"/>
      <c r="O133" s="132"/>
      <c r="P133" s="534"/>
      <c r="Q133" s="132"/>
      <c r="R133" s="132"/>
    </row>
    <row r="134" spans="2:18" x14ac:dyDescent="0.25">
      <c r="B134" s="128">
        <v>20</v>
      </c>
      <c r="C134" s="1047"/>
      <c r="D134" s="1047"/>
      <c r="E134" s="1047"/>
      <c r="F134" s="1047"/>
      <c r="G134" s="1047"/>
      <c r="H134" s="1048"/>
      <c r="I134" s="545"/>
      <c r="J134" s="533"/>
      <c r="K134" s="469">
        <f t="shared" si="4"/>
        <v>0</v>
      </c>
      <c r="L134" s="546">
        <f t="shared" si="5"/>
        <v>0</v>
      </c>
      <c r="M134" s="534"/>
      <c r="N134" s="132"/>
      <c r="O134" s="132"/>
      <c r="P134" s="534"/>
      <c r="Q134" s="132"/>
      <c r="R134" s="132"/>
    </row>
    <row r="135" spans="2:18" x14ac:dyDescent="0.25">
      <c r="B135" s="1084" t="s">
        <v>243</v>
      </c>
      <c r="C135" s="1084"/>
      <c r="D135" s="1084"/>
      <c r="E135" s="1084"/>
      <c r="F135" s="1084"/>
      <c r="G135" s="1084"/>
      <c r="H135" s="1084"/>
      <c r="I135" s="1084"/>
      <c r="J135" s="1084"/>
      <c r="K135" s="1084"/>
      <c r="L135" s="1084"/>
      <c r="M135" s="541" t="s">
        <v>917</v>
      </c>
      <c r="N135" s="541" t="s">
        <v>926</v>
      </c>
      <c r="O135" s="541" t="s">
        <v>927</v>
      </c>
      <c r="P135" s="541" t="s">
        <v>943</v>
      </c>
      <c r="Q135" s="541" t="s">
        <v>944</v>
      </c>
      <c r="R135" s="541" t="s">
        <v>945</v>
      </c>
    </row>
    <row r="136" spans="2:18" x14ac:dyDescent="0.25">
      <c r="B136" s="1043" t="s">
        <v>235</v>
      </c>
      <c r="C136" s="1044"/>
      <c r="D136" s="1044"/>
      <c r="E136" s="1044"/>
      <c r="F136" s="1044"/>
      <c r="G136" s="1044"/>
      <c r="H136" s="1045"/>
      <c r="I136" s="498" t="s">
        <v>236</v>
      </c>
      <c r="J136" s="126" t="s">
        <v>237</v>
      </c>
      <c r="K136" s="126" t="s">
        <v>238</v>
      </c>
      <c r="L136" s="126" t="s">
        <v>916</v>
      </c>
      <c r="M136" s="328" t="s">
        <v>239</v>
      </c>
      <c r="N136" s="328" t="s">
        <v>239</v>
      </c>
      <c r="O136" s="328" t="s">
        <v>239</v>
      </c>
      <c r="P136" s="328" t="s">
        <v>239</v>
      </c>
      <c r="Q136" s="328" t="s">
        <v>239</v>
      </c>
      <c r="R136" s="328" t="s">
        <v>239</v>
      </c>
    </row>
    <row r="137" spans="2:18" x14ac:dyDescent="0.25">
      <c r="B137" s="128">
        <v>1</v>
      </c>
      <c r="C137" s="1087"/>
      <c r="D137" s="1047"/>
      <c r="E137" s="1047"/>
      <c r="F137" s="1047"/>
      <c r="G137" s="1047"/>
      <c r="H137" s="1048"/>
      <c r="I137" s="783"/>
      <c r="J137" s="784"/>
      <c r="K137" s="469">
        <f t="shared" ref="K137:K156" si="6">IF(OR(I137=0,J137=0),0,IF((((($L$4^2*I137^2)/$F$5^2)*J137)/((($L$4^2*I137^2)/$F$5^2)+J137))&lt;(($L$4^2*I137^2)/$F$5^2),ROUND((((($L$4^2*I137^2)/$F$5^2)*J137)/((($L$4^2*I137^2)/$F$5^2)+J137)),0),ROUND((($L$4^2*I137^2)/$F$5^2),0)))</f>
        <v>0</v>
      </c>
      <c r="L137" s="546">
        <f t="shared" ref="L137:L156" si="7">IFERROR(SMALL(M137:R137,1),0)</f>
        <v>0</v>
      </c>
      <c r="M137" s="534"/>
      <c r="N137" s="132"/>
      <c r="O137" s="132"/>
      <c r="P137" s="534"/>
      <c r="Q137" s="132"/>
      <c r="R137" s="132"/>
    </row>
    <row r="138" spans="2:18" x14ac:dyDescent="0.25">
      <c r="B138" s="128">
        <v>2</v>
      </c>
      <c r="C138" s="1089"/>
      <c r="D138" s="1090"/>
      <c r="E138" s="1090"/>
      <c r="F138" s="1090"/>
      <c r="G138" s="1090"/>
      <c r="H138" s="1091"/>
      <c r="I138" s="129"/>
      <c r="J138" s="130"/>
      <c r="K138" s="469">
        <f t="shared" si="6"/>
        <v>0</v>
      </c>
      <c r="L138" s="546">
        <f t="shared" si="7"/>
        <v>0</v>
      </c>
      <c r="M138" s="534"/>
      <c r="N138" s="132"/>
      <c r="O138" s="132"/>
      <c r="P138" s="534"/>
      <c r="Q138" s="132"/>
      <c r="R138" s="132"/>
    </row>
    <row r="139" spans="2:18" x14ac:dyDescent="0.25">
      <c r="B139" s="128">
        <v>3</v>
      </c>
      <c r="C139" s="1093"/>
      <c r="D139" s="1090"/>
      <c r="E139" s="1090"/>
      <c r="F139" s="1090"/>
      <c r="G139" s="1090"/>
      <c r="H139" s="1091"/>
      <c r="I139" s="129"/>
      <c r="J139" s="130"/>
      <c r="K139" s="469">
        <f t="shared" si="6"/>
        <v>0</v>
      </c>
      <c r="L139" s="546">
        <f t="shared" si="7"/>
        <v>0</v>
      </c>
      <c r="M139" s="534"/>
      <c r="N139" s="132"/>
      <c r="O139" s="132"/>
      <c r="P139" s="534"/>
      <c r="Q139" s="132"/>
      <c r="R139" s="132"/>
    </row>
    <row r="140" spans="2:18" x14ac:dyDescent="0.25">
      <c r="B140" s="128">
        <v>4</v>
      </c>
      <c r="C140" s="1092"/>
      <c r="D140" s="1090"/>
      <c r="E140" s="1090"/>
      <c r="F140" s="1090"/>
      <c r="G140" s="1090"/>
      <c r="H140" s="1091"/>
      <c r="I140" s="129"/>
      <c r="J140" s="130"/>
      <c r="K140" s="469">
        <f t="shared" si="6"/>
        <v>0</v>
      </c>
      <c r="L140" s="546">
        <f t="shared" si="7"/>
        <v>0</v>
      </c>
      <c r="M140" s="534"/>
      <c r="N140" s="132"/>
      <c r="O140" s="132"/>
      <c r="P140" s="534"/>
      <c r="Q140" s="132"/>
      <c r="R140" s="132"/>
    </row>
    <row r="141" spans="2:18" x14ac:dyDescent="0.25">
      <c r="B141" s="128">
        <v>5</v>
      </c>
      <c r="C141" s="1092"/>
      <c r="D141" s="1090"/>
      <c r="E141" s="1090"/>
      <c r="F141" s="1090"/>
      <c r="G141" s="1090"/>
      <c r="H141" s="1091"/>
      <c r="I141" s="129"/>
      <c r="J141" s="130"/>
      <c r="K141" s="469">
        <f t="shared" si="6"/>
        <v>0</v>
      </c>
      <c r="L141" s="546">
        <f t="shared" si="7"/>
        <v>0</v>
      </c>
      <c r="M141" s="534"/>
      <c r="N141" s="132"/>
      <c r="O141" s="132"/>
      <c r="P141" s="534"/>
      <c r="Q141" s="132"/>
      <c r="R141" s="132"/>
    </row>
    <row r="142" spans="2:18" x14ac:dyDescent="0.25">
      <c r="B142" s="128">
        <v>6</v>
      </c>
      <c r="C142" s="1092"/>
      <c r="D142" s="1090"/>
      <c r="E142" s="1090"/>
      <c r="F142" s="1090"/>
      <c r="G142" s="1090"/>
      <c r="H142" s="1091"/>
      <c r="I142" s="129"/>
      <c r="J142" s="130"/>
      <c r="K142" s="469">
        <f t="shared" si="6"/>
        <v>0</v>
      </c>
      <c r="L142" s="546">
        <f t="shared" si="7"/>
        <v>0</v>
      </c>
      <c r="M142" s="534"/>
      <c r="N142" s="132"/>
      <c r="O142" s="132"/>
      <c r="P142" s="534"/>
      <c r="Q142" s="132"/>
      <c r="R142" s="132"/>
    </row>
    <row r="143" spans="2:18" x14ac:dyDescent="0.25">
      <c r="B143" s="128">
        <v>7</v>
      </c>
      <c r="C143" s="1090"/>
      <c r="D143" s="1090"/>
      <c r="E143" s="1090"/>
      <c r="F143" s="1090"/>
      <c r="G143" s="1090"/>
      <c r="H143" s="1091"/>
      <c r="I143" s="129"/>
      <c r="J143" s="130"/>
      <c r="K143" s="469">
        <f t="shared" si="6"/>
        <v>0</v>
      </c>
      <c r="L143" s="546">
        <f t="shared" si="7"/>
        <v>0</v>
      </c>
      <c r="M143" s="534"/>
      <c r="N143" s="132"/>
      <c r="O143" s="132"/>
      <c r="P143" s="534"/>
      <c r="Q143" s="132"/>
      <c r="R143" s="132"/>
    </row>
    <row r="144" spans="2:18" x14ac:dyDescent="0.25">
      <c r="B144" s="128">
        <v>8</v>
      </c>
      <c r="C144" s="1090"/>
      <c r="D144" s="1090"/>
      <c r="E144" s="1090"/>
      <c r="F144" s="1090"/>
      <c r="G144" s="1090"/>
      <c r="H144" s="1091"/>
      <c r="I144" s="129"/>
      <c r="J144" s="130"/>
      <c r="K144" s="469">
        <f t="shared" si="6"/>
        <v>0</v>
      </c>
      <c r="L144" s="546">
        <f t="shared" si="7"/>
        <v>0</v>
      </c>
      <c r="M144" s="534"/>
      <c r="N144" s="132"/>
      <c r="O144" s="132"/>
      <c r="P144" s="534"/>
      <c r="Q144" s="132"/>
      <c r="R144" s="132"/>
    </row>
    <row r="145" spans="2:18" x14ac:dyDescent="0.25">
      <c r="B145" s="128">
        <v>9</v>
      </c>
      <c r="C145" s="1090"/>
      <c r="D145" s="1090"/>
      <c r="E145" s="1090"/>
      <c r="F145" s="1090"/>
      <c r="G145" s="1090"/>
      <c r="H145" s="1091"/>
      <c r="I145" s="129"/>
      <c r="J145" s="130"/>
      <c r="K145" s="469">
        <f t="shared" si="6"/>
        <v>0</v>
      </c>
      <c r="L145" s="546">
        <f t="shared" si="7"/>
        <v>0</v>
      </c>
      <c r="M145" s="534"/>
      <c r="N145" s="132"/>
      <c r="O145" s="132"/>
      <c r="P145" s="534"/>
      <c r="Q145" s="132"/>
      <c r="R145" s="132"/>
    </row>
    <row r="146" spans="2:18" x14ac:dyDescent="0.25">
      <c r="B146" s="128">
        <v>10</v>
      </c>
      <c r="C146" s="1092"/>
      <c r="D146" s="1090"/>
      <c r="E146" s="1090"/>
      <c r="F146" s="1090"/>
      <c r="G146" s="1090"/>
      <c r="H146" s="1091"/>
      <c r="I146" s="129"/>
      <c r="J146" s="130"/>
      <c r="K146" s="469">
        <f t="shared" si="6"/>
        <v>0</v>
      </c>
      <c r="L146" s="546">
        <f t="shared" si="7"/>
        <v>0</v>
      </c>
      <c r="M146" s="534"/>
      <c r="N146" s="132"/>
      <c r="O146" s="132"/>
      <c r="P146" s="534"/>
      <c r="Q146" s="132"/>
      <c r="R146" s="132"/>
    </row>
    <row r="147" spans="2:18" x14ac:dyDescent="0.25">
      <c r="B147" s="128">
        <v>11</v>
      </c>
      <c r="C147" s="1092"/>
      <c r="D147" s="1090"/>
      <c r="E147" s="1090"/>
      <c r="F147" s="1090"/>
      <c r="G147" s="1090"/>
      <c r="H147" s="1091"/>
      <c r="I147" s="129"/>
      <c r="J147" s="130"/>
      <c r="K147" s="469">
        <f t="shared" si="6"/>
        <v>0</v>
      </c>
      <c r="L147" s="546">
        <f t="shared" si="7"/>
        <v>0</v>
      </c>
      <c r="M147" s="534"/>
      <c r="N147" s="132"/>
      <c r="O147" s="132"/>
      <c r="P147" s="534"/>
      <c r="Q147" s="132"/>
      <c r="R147" s="132"/>
    </row>
    <row r="148" spans="2:18" x14ac:dyDescent="0.25">
      <c r="B148" s="128">
        <v>12</v>
      </c>
      <c r="C148" s="1092"/>
      <c r="D148" s="1090"/>
      <c r="E148" s="1090"/>
      <c r="F148" s="1090"/>
      <c r="G148" s="1090"/>
      <c r="H148" s="1091"/>
      <c r="I148" s="129"/>
      <c r="J148" s="130"/>
      <c r="K148" s="469">
        <f t="shared" si="6"/>
        <v>0</v>
      </c>
      <c r="L148" s="546">
        <f t="shared" si="7"/>
        <v>0</v>
      </c>
      <c r="M148" s="534"/>
      <c r="N148" s="132"/>
      <c r="O148" s="132"/>
      <c r="P148" s="534"/>
      <c r="Q148" s="132"/>
      <c r="R148" s="132"/>
    </row>
    <row r="149" spans="2:18" x14ac:dyDescent="0.25">
      <c r="B149" s="128">
        <v>13</v>
      </c>
      <c r="C149" s="1092"/>
      <c r="D149" s="1090"/>
      <c r="E149" s="1090"/>
      <c r="F149" s="1090"/>
      <c r="G149" s="1090"/>
      <c r="H149" s="1091"/>
      <c r="I149" s="129"/>
      <c r="J149" s="130"/>
      <c r="K149" s="469">
        <f t="shared" si="6"/>
        <v>0</v>
      </c>
      <c r="L149" s="546">
        <f t="shared" si="7"/>
        <v>0</v>
      </c>
      <c r="M149" s="534"/>
      <c r="N149" s="132"/>
      <c r="O149" s="132"/>
      <c r="P149" s="534"/>
      <c r="Q149" s="132"/>
      <c r="R149" s="132"/>
    </row>
    <row r="150" spans="2:18" x14ac:dyDescent="0.25">
      <c r="B150" s="128">
        <v>14</v>
      </c>
      <c r="C150" s="1092"/>
      <c r="D150" s="1090"/>
      <c r="E150" s="1090"/>
      <c r="F150" s="1090"/>
      <c r="G150" s="1090"/>
      <c r="H150" s="1091"/>
      <c r="I150" s="129"/>
      <c r="J150" s="130"/>
      <c r="K150" s="469">
        <f t="shared" si="6"/>
        <v>0</v>
      </c>
      <c r="L150" s="546">
        <f t="shared" si="7"/>
        <v>0</v>
      </c>
      <c r="M150" s="534"/>
      <c r="N150" s="132"/>
      <c r="O150" s="132"/>
      <c r="P150" s="534"/>
      <c r="Q150" s="132"/>
      <c r="R150" s="132"/>
    </row>
    <row r="151" spans="2:18" x14ac:dyDescent="0.25">
      <c r="B151" s="128">
        <v>15</v>
      </c>
      <c r="C151" s="1090"/>
      <c r="D151" s="1090"/>
      <c r="E151" s="1090"/>
      <c r="F151" s="1090"/>
      <c r="G151" s="1090"/>
      <c r="H151" s="1091"/>
      <c r="I151" s="129"/>
      <c r="J151" s="130"/>
      <c r="K151" s="469">
        <f t="shared" si="6"/>
        <v>0</v>
      </c>
      <c r="L151" s="546">
        <f t="shared" si="7"/>
        <v>0</v>
      </c>
      <c r="M151" s="534"/>
      <c r="N151" s="132"/>
      <c r="O151" s="132"/>
      <c r="P151" s="534"/>
      <c r="Q151" s="132"/>
      <c r="R151" s="132"/>
    </row>
    <row r="152" spans="2:18" x14ac:dyDescent="0.25">
      <c r="B152" s="128">
        <v>16</v>
      </c>
      <c r="C152" s="1090"/>
      <c r="D152" s="1090"/>
      <c r="E152" s="1090"/>
      <c r="F152" s="1090"/>
      <c r="G152" s="1090"/>
      <c r="H152" s="1091"/>
      <c r="I152" s="129"/>
      <c r="J152" s="130"/>
      <c r="K152" s="469">
        <f t="shared" si="6"/>
        <v>0</v>
      </c>
      <c r="L152" s="546">
        <f t="shared" si="7"/>
        <v>0</v>
      </c>
      <c r="M152" s="534"/>
      <c r="N152" s="132"/>
      <c r="O152" s="132"/>
      <c r="P152" s="534"/>
      <c r="Q152" s="132"/>
      <c r="R152" s="132"/>
    </row>
    <row r="153" spans="2:18" x14ac:dyDescent="0.25">
      <c r="B153" s="128">
        <v>17</v>
      </c>
      <c r="C153" s="1090"/>
      <c r="D153" s="1090"/>
      <c r="E153" s="1090"/>
      <c r="F153" s="1090"/>
      <c r="G153" s="1090"/>
      <c r="H153" s="1091"/>
      <c r="I153" s="129"/>
      <c r="J153" s="130"/>
      <c r="K153" s="469">
        <f t="shared" si="6"/>
        <v>0</v>
      </c>
      <c r="L153" s="546">
        <f t="shared" si="7"/>
        <v>0</v>
      </c>
      <c r="M153" s="534"/>
      <c r="N153" s="132"/>
      <c r="O153" s="132"/>
      <c r="P153" s="534"/>
      <c r="Q153" s="132"/>
      <c r="R153" s="132"/>
    </row>
    <row r="154" spans="2:18" x14ac:dyDescent="0.25">
      <c r="B154" s="128">
        <v>18</v>
      </c>
      <c r="C154" s="1090"/>
      <c r="D154" s="1090"/>
      <c r="E154" s="1090"/>
      <c r="F154" s="1090"/>
      <c r="G154" s="1090"/>
      <c r="H154" s="1091"/>
      <c r="I154" s="129"/>
      <c r="J154" s="130"/>
      <c r="K154" s="469">
        <f t="shared" si="6"/>
        <v>0</v>
      </c>
      <c r="L154" s="546">
        <f t="shared" si="7"/>
        <v>0</v>
      </c>
      <c r="M154" s="534"/>
      <c r="N154" s="132"/>
      <c r="O154" s="132"/>
      <c r="P154" s="534"/>
      <c r="Q154" s="132"/>
      <c r="R154" s="132"/>
    </row>
    <row r="155" spans="2:18" x14ac:dyDescent="0.25">
      <c r="B155" s="128">
        <v>19</v>
      </c>
      <c r="C155" s="1090"/>
      <c r="D155" s="1090"/>
      <c r="E155" s="1090"/>
      <c r="F155" s="1090"/>
      <c r="G155" s="1090"/>
      <c r="H155" s="1091"/>
      <c r="I155" s="129"/>
      <c r="J155" s="130"/>
      <c r="K155" s="469">
        <f t="shared" si="6"/>
        <v>0</v>
      </c>
      <c r="L155" s="546">
        <f t="shared" si="7"/>
        <v>0</v>
      </c>
      <c r="M155" s="534"/>
      <c r="N155" s="132"/>
      <c r="O155" s="132"/>
      <c r="P155" s="534"/>
      <c r="Q155" s="132"/>
      <c r="R155" s="132"/>
    </row>
    <row r="156" spans="2:18" x14ac:dyDescent="0.25">
      <c r="B156" s="128">
        <v>20</v>
      </c>
      <c r="C156" s="1090"/>
      <c r="D156" s="1090"/>
      <c r="E156" s="1090"/>
      <c r="F156" s="1090"/>
      <c r="G156" s="1090"/>
      <c r="H156" s="1091"/>
      <c r="I156" s="129"/>
      <c r="J156" s="130"/>
      <c r="K156" s="469">
        <f t="shared" si="6"/>
        <v>0</v>
      </c>
      <c r="L156" s="546">
        <f t="shared" si="7"/>
        <v>0</v>
      </c>
      <c r="M156" s="534"/>
      <c r="N156" s="132"/>
      <c r="O156" s="132"/>
      <c r="P156" s="534"/>
      <c r="Q156" s="132"/>
      <c r="R156" s="132"/>
    </row>
    <row r="157" spans="2:18" x14ac:dyDescent="0.25">
      <c r="B157" s="1083" t="s">
        <v>682</v>
      </c>
      <c r="C157" s="1083"/>
      <c r="D157" s="1083"/>
      <c r="E157" s="1083"/>
      <c r="F157" s="1083"/>
      <c r="G157" s="1083"/>
      <c r="H157" s="1083"/>
      <c r="I157" s="1083"/>
      <c r="J157" s="1083"/>
      <c r="K157" s="1083"/>
      <c r="L157" s="1083"/>
      <c r="M157" s="523"/>
      <c r="N157" s="523"/>
      <c r="O157" s="524"/>
      <c r="P157" s="523"/>
      <c r="Q157" s="523"/>
      <c r="R157" s="524"/>
    </row>
    <row r="158" spans="2:18" x14ac:dyDescent="0.25">
      <c r="B158" s="1084" t="s">
        <v>234</v>
      </c>
      <c r="C158" s="1084"/>
      <c r="D158" s="1084"/>
      <c r="E158" s="1084"/>
      <c r="F158" s="1084"/>
      <c r="G158" s="1084"/>
      <c r="H158" s="1084"/>
      <c r="I158" s="1084"/>
      <c r="J158" s="1084"/>
      <c r="K158" s="1084"/>
      <c r="L158" s="1084"/>
      <c r="M158" s="541" t="s">
        <v>917</v>
      </c>
      <c r="N158" s="541" t="s">
        <v>926</v>
      </c>
      <c r="O158" s="541" t="s">
        <v>927</v>
      </c>
      <c r="P158" s="541" t="s">
        <v>943</v>
      </c>
      <c r="Q158" s="541" t="s">
        <v>944</v>
      </c>
      <c r="R158" s="541" t="s">
        <v>945</v>
      </c>
    </row>
    <row r="159" spans="2:18" x14ac:dyDescent="0.25">
      <c r="B159" s="1043" t="s">
        <v>235</v>
      </c>
      <c r="C159" s="1044"/>
      <c r="D159" s="1044"/>
      <c r="E159" s="1044"/>
      <c r="F159" s="1044"/>
      <c r="G159" s="1044"/>
      <c r="H159" s="1045"/>
      <c r="I159" s="498" t="s">
        <v>236</v>
      </c>
      <c r="J159" s="126" t="s">
        <v>237</v>
      </c>
      <c r="K159" s="126" t="s">
        <v>238</v>
      </c>
      <c r="L159" s="126" t="s">
        <v>916</v>
      </c>
      <c r="M159" s="328" t="s">
        <v>239</v>
      </c>
      <c r="N159" s="328" t="s">
        <v>239</v>
      </c>
      <c r="O159" s="328" t="s">
        <v>239</v>
      </c>
      <c r="P159" s="328" t="s">
        <v>239</v>
      </c>
      <c r="Q159" s="328" t="s">
        <v>239</v>
      </c>
      <c r="R159" s="328" t="s">
        <v>239</v>
      </c>
    </row>
    <row r="160" spans="2:18" x14ac:dyDescent="0.25">
      <c r="B160" s="128">
        <v>1</v>
      </c>
      <c r="C160" s="1094"/>
      <c r="D160" s="1047"/>
      <c r="E160" s="1047"/>
      <c r="F160" s="1047"/>
      <c r="G160" s="1047"/>
      <c r="H160" s="1048"/>
      <c r="I160" s="783"/>
      <c r="J160" s="784"/>
      <c r="K160" s="469">
        <f t="shared" ref="K160:K209" si="8">IF(OR(I160=0,J160=0),0,IF((((($L$4^2*I160^2)/$F$5^2)*J160)/((($L$4^2*I160^2)/$F$5^2)+J160))&lt;(($L$4^2*I160^2)/$F$5^2),ROUND((((($L$4^2*I160^2)/$F$5^2)*J160)/((($L$4^2*I160^2)/$F$5^2)+J160)),0),ROUND((($L$4^2*I160^2)/$F$5^2),0)))</f>
        <v>0</v>
      </c>
      <c r="L160" s="546">
        <f t="shared" ref="L160:L209" si="9">IFERROR(SMALL(M160:R160,1),0)</f>
        <v>0</v>
      </c>
      <c r="M160" s="534"/>
      <c r="N160" s="132"/>
      <c r="O160" s="132"/>
      <c r="P160" s="534"/>
      <c r="Q160" s="132"/>
      <c r="R160" s="132"/>
    </row>
    <row r="161" spans="2:18" x14ac:dyDescent="0.25">
      <c r="B161" s="128">
        <v>2</v>
      </c>
      <c r="C161" s="1090"/>
      <c r="D161" s="1090"/>
      <c r="E161" s="1090"/>
      <c r="F161" s="1090"/>
      <c r="G161" s="1090"/>
      <c r="H161" s="1091"/>
      <c r="I161" s="129"/>
      <c r="J161" s="130"/>
      <c r="K161" s="469">
        <f t="shared" si="8"/>
        <v>0</v>
      </c>
      <c r="L161" s="546">
        <f t="shared" si="9"/>
        <v>0</v>
      </c>
      <c r="M161" s="534"/>
      <c r="N161" s="132"/>
      <c r="O161" s="132"/>
      <c r="P161" s="534"/>
      <c r="Q161" s="132"/>
      <c r="R161" s="132"/>
    </row>
    <row r="162" spans="2:18" x14ac:dyDescent="0.25">
      <c r="B162" s="128">
        <v>3</v>
      </c>
      <c r="C162" s="1095"/>
      <c r="D162" s="1090"/>
      <c r="E162" s="1090"/>
      <c r="F162" s="1090"/>
      <c r="G162" s="1090"/>
      <c r="H162" s="1091"/>
      <c r="I162" s="129"/>
      <c r="J162" s="130"/>
      <c r="K162" s="469">
        <f t="shared" si="8"/>
        <v>0</v>
      </c>
      <c r="L162" s="546">
        <f t="shared" si="9"/>
        <v>0</v>
      </c>
      <c r="M162" s="534"/>
      <c r="N162" s="132"/>
      <c r="O162" s="132"/>
      <c r="P162" s="534"/>
      <c r="Q162" s="132"/>
      <c r="R162" s="132"/>
    </row>
    <row r="163" spans="2:18" x14ac:dyDescent="0.25">
      <c r="B163" s="128">
        <v>4</v>
      </c>
      <c r="C163" s="1095"/>
      <c r="D163" s="1090"/>
      <c r="E163" s="1090"/>
      <c r="F163" s="1090"/>
      <c r="G163" s="1090"/>
      <c r="H163" s="1091"/>
      <c r="I163" s="129"/>
      <c r="J163" s="130"/>
      <c r="K163" s="469">
        <f t="shared" si="8"/>
        <v>0</v>
      </c>
      <c r="L163" s="546">
        <f t="shared" si="9"/>
        <v>0</v>
      </c>
      <c r="M163" s="534"/>
      <c r="N163" s="132"/>
      <c r="O163" s="132"/>
      <c r="P163" s="534"/>
      <c r="Q163" s="132"/>
      <c r="R163" s="132"/>
    </row>
    <row r="164" spans="2:18" x14ac:dyDescent="0.25">
      <c r="B164" s="128">
        <v>5</v>
      </c>
      <c r="C164" s="1095"/>
      <c r="D164" s="1090"/>
      <c r="E164" s="1090"/>
      <c r="F164" s="1090"/>
      <c r="G164" s="1090"/>
      <c r="H164" s="1091"/>
      <c r="I164" s="129"/>
      <c r="J164" s="130"/>
      <c r="K164" s="469">
        <f t="shared" si="8"/>
        <v>0</v>
      </c>
      <c r="L164" s="546">
        <f t="shared" si="9"/>
        <v>0</v>
      </c>
      <c r="M164" s="534"/>
      <c r="N164" s="132"/>
      <c r="O164" s="132"/>
      <c r="P164" s="534"/>
      <c r="Q164" s="132"/>
      <c r="R164" s="132"/>
    </row>
    <row r="165" spans="2:18" x14ac:dyDescent="0.25">
      <c r="B165" s="128">
        <v>6</v>
      </c>
      <c r="C165" s="1090"/>
      <c r="D165" s="1090"/>
      <c r="E165" s="1090"/>
      <c r="F165" s="1090"/>
      <c r="G165" s="1090"/>
      <c r="H165" s="1091"/>
      <c r="I165" s="129"/>
      <c r="J165" s="130"/>
      <c r="K165" s="469">
        <f t="shared" si="8"/>
        <v>0</v>
      </c>
      <c r="L165" s="546">
        <f t="shared" si="9"/>
        <v>0</v>
      </c>
      <c r="M165" s="534"/>
      <c r="N165" s="132"/>
      <c r="O165" s="132"/>
      <c r="P165" s="534"/>
      <c r="Q165" s="132"/>
      <c r="R165" s="132"/>
    </row>
    <row r="166" spans="2:18" x14ac:dyDescent="0.25">
      <c r="B166" s="128">
        <v>7</v>
      </c>
      <c r="C166" s="1090"/>
      <c r="D166" s="1090"/>
      <c r="E166" s="1090"/>
      <c r="F166" s="1090"/>
      <c r="G166" s="1090"/>
      <c r="H166" s="1091"/>
      <c r="I166" s="129"/>
      <c r="J166" s="130"/>
      <c r="K166" s="469">
        <f t="shared" si="8"/>
        <v>0</v>
      </c>
      <c r="L166" s="546">
        <f t="shared" si="9"/>
        <v>0</v>
      </c>
      <c r="M166" s="534"/>
      <c r="N166" s="132"/>
      <c r="O166" s="132"/>
      <c r="P166" s="534"/>
      <c r="Q166" s="132"/>
      <c r="R166" s="132"/>
    </row>
    <row r="167" spans="2:18" x14ac:dyDescent="0.25">
      <c r="B167" s="128">
        <v>8</v>
      </c>
      <c r="C167" s="1095"/>
      <c r="D167" s="1090"/>
      <c r="E167" s="1090"/>
      <c r="F167" s="1090"/>
      <c r="G167" s="1090"/>
      <c r="H167" s="1091"/>
      <c r="I167" s="129"/>
      <c r="J167" s="130"/>
      <c r="K167" s="469">
        <f t="shared" si="8"/>
        <v>0</v>
      </c>
      <c r="L167" s="546">
        <f t="shared" si="9"/>
        <v>0</v>
      </c>
      <c r="M167" s="534"/>
      <c r="N167" s="132"/>
      <c r="O167" s="132"/>
      <c r="P167" s="534"/>
      <c r="Q167" s="132"/>
      <c r="R167" s="132"/>
    </row>
    <row r="168" spans="2:18" x14ac:dyDescent="0.25">
      <c r="B168" s="128">
        <v>9</v>
      </c>
      <c r="C168" s="1090"/>
      <c r="D168" s="1090"/>
      <c r="E168" s="1090"/>
      <c r="F168" s="1090"/>
      <c r="G168" s="1090"/>
      <c r="H168" s="1091"/>
      <c r="I168" s="129"/>
      <c r="J168" s="130"/>
      <c r="K168" s="469">
        <f t="shared" si="8"/>
        <v>0</v>
      </c>
      <c r="L168" s="546">
        <f t="shared" si="9"/>
        <v>0</v>
      </c>
      <c r="M168" s="534"/>
      <c r="N168" s="132"/>
      <c r="O168" s="132"/>
      <c r="P168" s="534"/>
      <c r="Q168" s="132"/>
      <c r="R168" s="132"/>
    </row>
    <row r="169" spans="2:18" x14ac:dyDescent="0.25">
      <c r="B169" s="128">
        <v>10</v>
      </c>
      <c r="C169" s="1095"/>
      <c r="D169" s="1090"/>
      <c r="E169" s="1090"/>
      <c r="F169" s="1090"/>
      <c r="G169" s="1090"/>
      <c r="H169" s="1091"/>
      <c r="I169" s="129"/>
      <c r="J169" s="130"/>
      <c r="K169" s="469">
        <f t="shared" si="8"/>
        <v>0</v>
      </c>
      <c r="L169" s="546">
        <f t="shared" si="9"/>
        <v>0</v>
      </c>
      <c r="M169" s="534"/>
      <c r="N169" s="132"/>
      <c r="O169" s="132"/>
      <c r="P169" s="534"/>
      <c r="Q169" s="132"/>
      <c r="R169" s="132"/>
    </row>
    <row r="170" spans="2:18" x14ac:dyDescent="0.25">
      <c r="B170" s="128">
        <v>11</v>
      </c>
      <c r="C170" s="1090"/>
      <c r="D170" s="1090"/>
      <c r="E170" s="1090"/>
      <c r="F170" s="1090"/>
      <c r="G170" s="1090"/>
      <c r="H170" s="1091"/>
      <c r="I170" s="129"/>
      <c r="J170" s="130"/>
      <c r="K170" s="469">
        <f t="shared" si="8"/>
        <v>0</v>
      </c>
      <c r="L170" s="546">
        <f t="shared" si="9"/>
        <v>0</v>
      </c>
      <c r="M170" s="534"/>
      <c r="N170" s="132"/>
      <c r="O170" s="132"/>
      <c r="P170" s="534"/>
      <c r="Q170" s="132"/>
      <c r="R170" s="132"/>
    </row>
    <row r="171" spans="2:18" x14ac:dyDescent="0.25">
      <c r="B171" s="128">
        <v>12</v>
      </c>
      <c r="C171" s="1090"/>
      <c r="D171" s="1090"/>
      <c r="E171" s="1090"/>
      <c r="F171" s="1090"/>
      <c r="G171" s="1090"/>
      <c r="H171" s="1091"/>
      <c r="I171" s="129"/>
      <c r="J171" s="130"/>
      <c r="K171" s="469">
        <f t="shared" si="8"/>
        <v>0</v>
      </c>
      <c r="L171" s="546">
        <f t="shared" si="9"/>
        <v>0</v>
      </c>
      <c r="M171" s="534"/>
      <c r="N171" s="132"/>
      <c r="O171" s="132"/>
      <c r="P171" s="534"/>
      <c r="Q171" s="132"/>
      <c r="R171" s="132"/>
    </row>
    <row r="172" spans="2:18" x14ac:dyDescent="0.25">
      <c r="B172" s="128">
        <v>13</v>
      </c>
      <c r="C172" s="1090"/>
      <c r="D172" s="1090"/>
      <c r="E172" s="1090"/>
      <c r="F172" s="1090"/>
      <c r="G172" s="1090"/>
      <c r="H172" s="1091"/>
      <c r="I172" s="129"/>
      <c r="J172" s="130"/>
      <c r="K172" s="469">
        <f t="shared" si="8"/>
        <v>0</v>
      </c>
      <c r="L172" s="546">
        <f t="shared" si="9"/>
        <v>0</v>
      </c>
      <c r="M172" s="534"/>
      <c r="N172" s="132"/>
      <c r="O172" s="132"/>
      <c r="P172" s="534"/>
      <c r="Q172" s="132"/>
      <c r="R172" s="132"/>
    </row>
    <row r="173" spans="2:18" x14ac:dyDescent="0.25">
      <c r="B173" s="128">
        <v>14</v>
      </c>
      <c r="C173" s="1090"/>
      <c r="D173" s="1090"/>
      <c r="E173" s="1090"/>
      <c r="F173" s="1090"/>
      <c r="G173" s="1090"/>
      <c r="H173" s="1091"/>
      <c r="I173" s="129"/>
      <c r="J173" s="130"/>
      <c r="K173" s="469">
        <f t="shared" si="8"/>
        <v>0</v>
      </c>
      <c r="L173" s="546">
        <f t="shared" si="9"/>
        <v>0</v>
      </c>
      <c r="M173" s="534"/>
      <c r="N173" s="132"/>
      <c r="O173" s="132"/>
      <c r="P173" s="534"/>
      <c r="Q173" s="132"/>
      <c r="R173" s="132"/>
    </row>
    <row r="174" spans="2:18" x14ac:dyDescent="0.25">
      <c r="B174" s="128">
        <v>15</v>
      </c>
      <c r="C174" s="1090"/>
      <c r="D174" s="1090"/>
      <c r="E174" s="1090"/>
      <c r="F174" s="1090"/>
      <c r="G174" s="1090"/>
      <c r="H174" s="1091"/>
      <c r="I174" s="129"/>
      <c r="J174" s="130"/>
      <c r="K174" s="469">
        <f t="shared" si="8"/>
        <v>0</v>
      </c>
      <c r="L174" s="546">
        <f t="shared" si="9"/>
        <v>0</v>
      </c>
      <c r="M174" s="534"/>
      <c r="N174" s="132"/>
      <c r="O174" s="132"/>
      <c r="P174" s="534"/>
      <c r="Q174" s="132"/>
      <c r="R174" s="132"/>
    </row>
    <row r="175" spans="2:18" x14ac:dyDescent="0.25">
      <c r="B175" s="128">
        <v>16</v>
      </c>
      <c r="C175" s="1090"/>
      <c r="D175" s="1090"/>
      <c r="E175" s="1090"/>
      <c r="F175" s="1090"/>
      <c r="G175" s="1090"/>
      <c r="H175" s="1091"/>
      <c r="I175" s="129"/>
      <c r="J175" s="130"/>
      <c r="K175" s="469">
        <f t="shared" si="8"/>
        <v>0</v>
      </c>
      <c r="L175" s="546">
        <f t="shared" si="9"/>
        <v>0</v>
      </c>
      <c r="M175" s="534"/>
      <c r="N175" s="132"/>
      <c r="O175" s="132"/>
      <c r="P175" s="534"/>
      <c r="Q175" s="132"/>
      <c r="R175" s="132"/>
    </row>
    <row r="176" spans="2:18" x14ac:dyDescent="0.25">
      <c r="B176" s="128">
        <v>17</v>
      </c>
      <c r="C176" s="1096"/>
      <c r="D176" s="1090"/>
      <c r="E176" s="1090"/>
      <c r="F176" s="1090"/>
      <c r="G176" s="1090"/>
      <c r="H176" s="1091"/>
      <c r="I176" s="129"/>
      <c r="J176" s="130"/>
      <c r="K176" s="469">
        <f t="shared" si="8"/>
        <v>0</v>
      </c>
      <c r="L176" s="546">
        <f t="shared" si="9"/>
        <v>0</v>
      </c>
      <c r="M176" s="534"/>
      <c r="N176" s="132"/>
      <c r="O176" s="132"/>
      <c r="P176" s="534"/>
      <c r="Q176" s="132"/>
      <c r="R176" s="132"/>
    </row>
    <row r="177" spans="2:18" x14ac:dyDescent="0.25">
      <c r="B177" s="128">
        <v>18</v>
      </c>
      <c r="C177" s="1090"/>
      <c r="D177" s="1090"/>
      <c r="E177" s="1090"/>
      <c r="F177" s="1090"/>
      <c r="G177" s="1090"/>
      <c r="H177" s="1091"/>
      <c r="I177" s="129"/>
      <c r="J177" s="130"/>
      <c r="K177" s="469">
        <f t="shared" si="8"/>
        <v>0</v>
      </c>
      <c r="L177" s="546">
        <f t="shared" si="9"/>
        <v>0</v>
      </c>
      <c r="M177" s="534"/>
      <c r="N177" s="132"/>
      <c r="O177" s="132"/>
      <c r="P177" s="534"/>
      <c r="Q177" s="132"/>
      <c r="R177" s="132"/>
    </row>
    <row r="178" spans="2:18" x14ac:dyDescent="0.25">
      <c r="B178" s="128">
        <v>19</v>
      </c>
      <c r="C178" s="1090"/>
      <c r="D178" s="1090"/>
      <c r="E178" s="1090"/>
      <c r="F178" s="1090"/>
      <c r="G178" s="1090"/>
      <c r="H178" s="1091"/>
      <c r="I178" s="129"/>
      <c r="J178" s="130"/>
      <c r="K178" s="469">
        <f t="shared" si="8"/>
        <v>0</v>
      </c>
      <c r="L178" s="546">
        <f t="shared" si="9"/>
        <v>0</v>
      </c>
      <c r="M178" s="534"/>
      <c r="N178" s="132"/>
      <c r="O178" s="132"/>
      <c r="P178" s="534"/>
      <c r="Q178" s="132"/>
      <c r="R178" s="132"/>
    </row>
    <row r="179" spans="2:18" x14ac:dyDescent="0.25">
      <c r="B179" s="128">
        <v>20</v>
      </c>
      <c r="C179" s="1090"/>
      <c r="D179" s="1090"/>
      <c r="E179" s="1090"/>
      <c r="F179" s="1090"/>
      <c r="G179" s="1090"/>
      <c r="H179" s="1091"/>
      <c r="I179" s="129"/>
      <c r="J179" s="130"/>
      <c r="K179" s="469">
        <f t="shared" si="8"/>
        <v>0</v>
      </c>
      <c r="L179" s="546">
        <f t="shared" si="9"/>
        <v>0</v>
      </c>
      <c r="M179" s="534"/>
      <c r="N179" s="132"/>
      <c r="O179" s="132"/>
      <c r="P179" s="534"/>
      <c r="Q179" s="132"/>
      <c r="R179" s="132"/>
    </row>
    <row r="180" spans="2:18" x14ac:dyDescent="0.25">
      <c r="B180" s="128">
        <v>21</v>
      </c>
      <c r="C180" s="1090"/>
      <c r="D180" s="1090"/>
      <c r="E180" s="1090"/>
      <c r="F180" s="1090"/>
      <c r="G180" s="1090"/>
      <c r="H180" s="1091"/>
      <c r="I180" s="129"/>
      <c r="J180" s="130"/>
      <c r="K180" s="469">
        <f t="shared" si="8"/>
        <v>0</v>
      </c>
      <c r="L180" s="546">
        <f t="shared" si="9"/>
        <v>0</v>
      </c>
      <c r="M180" s="534"/>
      <c r="N180" s="132"/>
      <c r="O180" s="132"/>
      <c r="P180" s="534"/>
      <c r="Q180" s="132"/>
      <c r="R180" s="132"/>
    </row>
    <row r="181" spans="2:18" x14ac:dyDescent="0.25">
      <c r="B181" s="128">
        <v>22</v>
      </c>
      <c r="C181" s="1096"/>
      <c r="D181" s="1090"/>
      <c r="E181" s="1090"/>
      <c r="F181" s="1090"/>
      <c r="G181" s="1090"/>
      <c r="H181" s="1091"/>
      <c r="I181" s="129"/>
      <c r="J181" s="130"/>
      <c r="K181" s="469">
        <f t="shared" si="8"/>
        <v>0</v>
      </c>
      <c r="L181" s="546">
        <f t="shared" si="9"/>
        <v>0</v>
      </c>
      <c r="M181" s="534"/>
      <c r="N181" s="132"/>
      <c r="O181" s="132"/>
      <c r="P181" s="534"/>
      <c r="Q181" s="132"/>
      <c r="R181" s="132"/>
    </row>
    <row r="182" spans="2:18" x14ac:dyDescent="0.25">
      <c r="B182" s="128">
        <v>23</v>
      </c>
      <c r="C182" s="1090"/>
      <c r="D182" s="1090"/>
      <c r="E182" s="1090"/>
      <c r="F182" s="1090"/>
      <c r="G182" s="1090"/>
      <c r="H182" s="1091"/>
      <c r="I182" s="129"/>
      <c r="J182" s="130"/>
      <c r="K182" s="469">
        <f t="shared" si="8"/>
        <v>0</v>
      </c>
      <c r="L182" s="546">
        <f t="shared" si="9"/>
        <v>0</v>
      </c>
      <c r="M182" s="534"/>
      <c r="N182" s="132"/>
      <c r="O182" s="132"/>
      <c r="P182" s="534"/>
      <c r="Q182" s="132"/>
      <c r="R182" s="132"/>
    </row>
    <row r="183" spans="2:18" x14ac:dyDescent="0.25">
      <c r="B183" s="128">
        <v>24</v>
      </c>
      <c r="C183" s="1096"/>
      <c r="D183" s="1090"/>
      <c r="E183" s="1090"/>
      <c r="F183" s="1090"/>
      <c r="G183" s="1090"/>
      <c r="H183" s="1091"/>
      <c r="I183" s="129"/>
      <c r="J183" s="130"/>
      <c r="K183" s="469">
        <f t="shared" si="8"/>
        <v>0</v>
      </c>
      <c r="L183" s="546">
        <f t="shared" si="9"/>
        <v>0</v>
      </c>
      <c r="M183" s="534"/>
      <c r="N183" s="132"/>
      <c r="O183" s="132"/>
      <c r="P183" s="534"/>
      <c r="Q183" s="132"/>
      <c r="R183" s="132"/>
    </row>
    <row r="184" spans="2:18" x14ac:dyDescent="0.25">
      <c r="B184" s="128">
        <v>25</v>
      </c>
      <c r="C184" s="1090"/>
      <c r="D184" s="1090"/>
      <c r="E184" s="1090"/>
      <c r="F184" s="1090"/>
      <c r="G184" s="1090"/>
      <c r="H184" s="1091"/>
      <c r="I184" s="129"/>
      <c r="J184" s="130"/>
      <c r="K184" s="469">
        <f t="shared" si="8"/>
        <v>0</v>
      </c>
      <c r="L184" s="546">
        <f t="shared" si="9"/>
        <v>0</v>
      </c>
      <c r="M184" s="534"/>
      <c r="N184" s="132"/>
      <c r="O184" s="132"/>
      <c r="P184" s="534"/>
      <c r="Q184" s="132"/>
      <c r="R184" s="132"/>
    </row>
    <row r="185" spans="2:18" x14ac:dyDescent="0.25">
      <c r="B185" s="128">
        <v>26</v>
      </c>
      <c r="C185" s="1090"/>
      <c r="D185" s="1090"/>
      <c r="E185" s="1090"/>
      <c r="F185" s="1090"/>
      <c r="G185" s="1090"/>
      <c r="H185" s="1091"/>
      <c r="I185" s="129"/>
      <c r="J185" s="130"/>
      <c r="K185" s="469">
        <f t="shared" si="8"/>
        <v>0</v>
      </c>
      <c r="L185" s="546">
        <f t="shared" si="9"/>
        <v>0</v>
      </c>
      <c r="M185" s="534"/>
      <c r="N185" s="132"/>
      <c r="O185" s="132"/>
      <c r="P185" s="534"/>
      <c r="Q185" s="132"/>
      <c r="R185" s="132"/>
    </row>
    <row r="186" spans="2:18" x14ac:dyDescent="0.25">
      <c r="B186" s="128">
        <v>27</v>
      </c>
      <c r="C186" s="1090"/>
      <c r="D186" s="1090"/>
      <c r="E186" s="1090"/>
      <c r="F186" s="1090"/>
      <c r="G186" s="1090"/>
      <c r="H186" s="1091"/>
      <c r="I186" s="129"/>
      <c r="J186" s="130"/>
      <c r="K186" s="469">
        <f t="shared" si="8"/>
        <v>0</v>
      </c>
      <c r="L186" s="546">
        <f t="shared" si="9"/>
        <v>0</v>
      </c>
      <c r="M186" s="534"/>
      <c r="N186" s="132"/>
      <c r="O186" s="132"/>
      <c r="P186" s="534"/>
      <c r="Q186" s="132"/>
      <c r="R186" s="132"/>
    </row>
    <row r="187" spans="2:18" x14ac:dyDescent="0.25">
      <c r="B187" s="128">
        <v>28</v>
      </c>
      <c r="C187" s="1090"/>
      <c r="D187" s="1090"/>
      <c r="E187" s="1090"/>
      <c r="F187" s="1090"/>
      <c r="G187" s="1090"/>
      <c r="H187" s="1091"/>
      <c r="I187" s="129"/>
      <c r="J187" s="130"/>
      <c r="K187" s="469">
        <f t="shared" si="8"/>
        <v>0</v>
      </c>
      <c r="L187" s="546">
        <f t="shared" si="9"/>
        <v>0</v>
      </c>
      <c r="M187" s="534"/>
      <c r="N187" s="132"/>
      <c r="O187" s="132"/>
      <c r="P187" s="534"/>
      <c r="Q187" s="132"/>
      <c r="R187" s="132"/>
    </row>
    <row r="188" spans="2:18" x14ac:dyDescent="0.25">
      <c r="B188" s="128">
        <v>29</v>
      </c>
      <c r="C188" s="1090"/>
      <c r="D188" s="1090"/>
      <c r="E188" s="1090"/>
      <c r="F188" s="1090"/>
      <c r="G188" s="1090"/>
      <c r="H188" s="1091"/>
      <c r="I188" s="129"/>
      <c r="J188" s="130"/>
      <c r="K188" s="469">
        <f t="shared" si="8"/>
        <v>0</v>
      </c>
      <c r="L188" s="546">
        <f t="shared" si="9"/>
        <v>0</v>
      </c>
      <c r="M188" s="534"/>
      <c r="N188" s="132"/>
      <c r="O188" s="132"/>
      <c r="P188" s="534"/>
      <c r="Q188" s="132"/>
      <c r="R188" s="132"/>
    </row>
    <row r="189" spans="2:18" x14ac:dyDescent="0.25">
      <c r="B189" s="128">
        <v>30</v>
      </c>
      <c r="C189" s="1090"/>
      <c r="D189" s="1090"/>
      <c r="E189" s="1090"/>
      <c r="F189" s="1090"/>
      <c r="G189" s="1090"/>
      <c r="H189" s="1091"/>
      <c r="I189" s="129"/>
      <c r="J189" s="130"/>
      <c r="K189" s="469">
        <f t="shared" si="8"/>
        <v>0</v>
      </c>
      <c r="L189" s="546">
        <f t="shared" si="9"/>
        <v>0</v>
      </c>
      <c r="M189" s="534"/>
      <c r="N189" s="132"/>
      <c r="O189" s="132"/>
      <c r="P189" s="534"/>
      <c r="Q189" s="132"/>
      <c r="R189" s="132"/>
    </row>
    <row r="190" spans="2:18" x14ac:dyDescent="0.25">
      <c r="B190" s="128">
        <v>31</v>
      </c>
      <c r="C190" s="1090"/>
      <c r="D190" s="1090"/>
      <c r="E190" s="1090"/>
      <c r="F190" s="1090"/>
      <c r="G190" s="1090"/>
      <c r="H190" s="1091"/>
      <c r="I190" s="129"/>
      <c r="J190" s="130"/>
      <c r="K190" s="469">
        <f t="shared" si="8"/>
        <v>0</v>
      </c>
      <c r="L190" s="546">
        <f t="shared" si="9"/>
        <v>0</v>
      </c>
      <c r="M190" s="534"/>
      <c r="N190" s="132"/>
      <c r="O190" s="132"/>
      <c r="P190" s="534"/>
      <c r="Q190" s="132"/>
      <c r="R190" s="132"/>
    </row>
    <row r="191" spans="2:18" x14ac:dyDescent="0.25">
      <c r="B191" s="128">
        <v>32</v>
      </c>
      <c r="C191" s="1090"/>
      <c r="D191" s="1090"/>
      <c r="E191" s="1090"/>
      <c r="F191" s="1090"/>
      <c r="G191" s="1090"/>
      <c r="H191" s="1091"/>
      <c r="I191" s="129"/>
      <c r="J191" s="130"/>
      <c r="K191" s="469">
        <f t="shared" si="8"/>
        <v>0</v>
      </c>
      <c r="L191" s="546">
        <f t="shared" si="9"/>
        <v>0</v>
      </c>
      <c r="M191" s="534"/>
      <c r="N191" s="132"/>
      <c r="O191" s="132"/>
      <c r="P191" s="534"/>
      <c r="Q191" s="132"/>
      <c r="R191" s="132"/>
    </row>
    <row r="192" spans="2:18" x14ac:dyDescent="0.25">
      <c r="B192" s="128">
        <v>33</v>
      </c>
      <c r="C192" s="1090"/>
      <c r="D192" s="1090"/>
      <c r="E192" s="1090"/>
      <c r="F192" s="1090"/>
      <c r="G192" s="1090"/>
      <c r="H192" s="1091"/>
      <c r="I192" s="129"/>
      <c r="J192" s="130"/>
      <c r="K192" s="469">
        <f t="shared" si="8"/>
        <v>0</v>
      </c>
      <c r="L192" s="546">
        <f t="shared" si="9"/>
        <v>0</v>
      </c>
      <c r="M192" s="534"/>
      <c r="N192" s="132"/>
      <c r="O192" s="132"/>
      <c r="P192" s="534"/>
      <c r="Q192" s="132"/>
      <c r="R192" s="132"/>
    </row>
    <row r="193" spans="2:18" x14ac:dyDescent="0.25">
      <c r="B193" s="128">
        <v>34</v>
      </c>
      <c r="C193" s="1090"/>
      <c r="D193" s="1090"/>
      <c r="E193" s="1090"/>
      <c r="F193" s="1090"/>
      <c r="G193" s="1090"/>
      <c r="H193" s="1091"/>
      <c r="I193" s="129"/>
      <c r="J193" s="130"/>
      <c r="K193" s="469">
        <f t="shared" si="8"/>
        <v>0</v>
      </c>
      <c r="L193" s="546">
        <f t="shared" si="9"/>
        <v>0</v>
      </c>
      <c r="M193" s="534"/>
      <c r="N193" s="132"/>
      <c r="O193" s="132"/>
      <c r="P193" s="534"/>
      <c r="Q193" s="132"/>
      <c r="R193" s="132"/>
    </row>
    <row r="194" spans="2:18" x14ac:dyDescent="0.25">
      <c r="B194" s="128">
        <v>35</v>
      </c>
      <c r="C194" s="1090"/>
      <c r="D194" s="1090"/>
      <c r="E194" s="1090"/>
      <c r="F194" s="1090"/>
      <c r="G194" s="1090"/>
      <c r="H194" s="1091"/>
      <c r="I194" s="129"/>
      <c r="J194" s="130"/>
      <c r="K194" s="469">
        <f t="shared" si="8"/>
        <v>0</v>
      </c>
      <c r="L194" s="546">
        <f t="shared" si="9"/>
        <v>0</v>
      </c>
      <c r="M194" s="534"/>
      <c r="N194" s="132"/>
      <c r="O194" s="132"/>
      <c r="P194" s="534"/>
      <c r="Q194" s="132"/>
      <c r="R194" s="132"/>
    </row>
    <row r="195" spans="2:18" x14ac:dyDescent="0.25">
      <c r="B195" s="128">
        <v>36</v>
      </c>
      <c r="C195" s="1090"/>
      <c r="D195" s="1090"/>
      <c r="E195" s="1090"/>
      <c r="F195" s="1090"/>
      <c r="G195" s="1090"/>
      <c r="H195" s="1091"/>
      <c r="I195" s="129"/>
      <c r="J195" s="130"/>
      <c r="K195" s="469">
        <f t="shared" si="8"/>
        <v>0</v>
      </c>
      <c r="L195" s="546">
        <f t="shared" si="9"/>
        <v>0</v>
      </c>
      <c r="M195" s="534"/>
      <c r="N195" s="132"/>
      <c r="O195" s="132"/>
      <c r="P195" s="534"/>
      <c r="Q195" s="132"/>
      <c r="R195" s="132"/>
    </row>
    <row r="196" spans="2:18" x14ac:dyDescent="0.25">
      <c r="B196" s="128">
        <v>37</v>
      </c>
      <c r="C196" s="1090"/>
      <c r="D196" s="1090"/>
      <c r="E196" s="1090"/>
      <c r="F196" s="1090"/>
      <c r="G196" s="1090"/>
      <c r="H196" s="1091"/>
      <c r="I196" s="129"/>
      <c r="J196" s="130"/>
      <c r="K196" s="469">
        <f t="shared" si="8"/>
        <v>0</v>
      </c>
      <c r="L196" s="546">
        <f t="shared" si="9"/>
        <v>0</v>
      </c>
      <c r="M196" s="534"/>
      <c r="N196" s="132"/>
      <c r="O196" s="132"/>
      <c r="P196" s="534"/>
      <c r="Q196" s="132"/>
      <c r="R196" s="132"/>
    </row>
    <row r="197" spans="2:18" x14ac:dyDescent="0.25">
      <c r="B197" s="128">
        <v>38</v>
      </c>
      <c r="C197" s="1090"/>
      <c r="D197" s="1090"/>
      <c r="E197" s="1090"/>
      <c r="F197" s="1090"/>
      <c r="G197" s="1090"/>
      <c r="H197" s="1091"/>
      <c r="I197" s="129"/>
      <c r="J197" s="130"/>
      <c r="K197" s="469">
        <f t="shared" si="8"/>
        <v>0</v>
      </c>
      <c r="L197" s="546">
        <f t="shared" si="9"/>
        <v>0</v>
      </c>
      <c r="M197" s="534"/>
      <c r="N197" s="132"/>
      <c r="O197" s="132"/>
      <c r="P197" s="534"/>
      <c r="Q197" s="132"/>
      <c r="R197" s="132"/>
    </row>
    <row r="198" spans="2:18" x14ac:dyDescent="0.25">
      <c r="B198" s="128">
        <v>39</v>
      </c>
      <c r="C198" s="1090"/>
      <c r="D198" s="1090"/>
      <c r="E198" s="1090"/>
      <c r="F198" s="1090"/>
      <c r="G198" s="1090"/>
      <c r="H198" s="1091"/>
      <c r="I198" s="129"/>
      <c r="J198" s="130"/>
      <c r="K198" s="469">
        <f t="shared" si="8"/>
        <v>0</v>
      </c>
      <c r="L198" s="546">
        <f t="shared" si="9"/>
        <v>0</v>
      </c>
      <c r="M198" s="534"/>
      <c r="N198" s="132"/>
      <c r="O198" s="132"/>
      <c r="P198" s="534"/>
      <c r="Q198" s="132"/>
      <c r="R198" s="132"/>
    </row>
    <row r="199" spans="2:18" x14ac:dyDescent="0.25">
      <c r="B199" s="128">
        <v>40</v>
      </c>
      <c r="C199" s="1090"/>
      <c r="D199" s="1090"/>
      <c r="E199" s="1090"/>
      <c r="F199" s="1090"/>
      <c r="G199" s="1090"/>
      <c r="H199" s="1091"/>
      <c r="I199" s="129"/>
      <c r="J199" s="130"/>
      <c r="K199" s="469">
        <f t="shared" si="8"/>
        <v>0</v>
      </c>
      <c r="L199" s="546">
        <f t="shared" si="9"/>
        <v>0</v>
      </c>
      <c r="M199" s="534"/>
      <c r="N199" s="132"/>
      <c r="O199" s="132"/>
      <c r="P199" s="534"/>
      <c r="Q199" s="132"/>
      <c r="R199" s="132"/>
    </row>
    <row r="200" spans="2:18" x14ac:dyDescent="0.25">
      <c r="B200" s="128">
        <v>41</v>
      </c>
      <c r="C200" s="1090"/>
      <c r="D200" s="1090"/>
      <c r="E200" s="1090"/>
      <c r="F200" s="1090"/>
      <c r="G200" s="1090"/>
      <c r="H200" s="1091"/>
      <c r="I200" s="129"/>
      <c r="J200" s="130"/>
      <c r="K200" s="469">
        <f t="shared" si="8"/>
        <v>0</v>
      </c>
      <c r="L200" s="546">
        <f t="shared" si="9"/>
        <v>0</v>
      </c>
      <c r="M200" s="534"/>
      <c r="N200" s="132"/>
      <c r="O200" s="132"/>
      <c r="P200" s="534"/>
      <c r="Q200" s="132"/>
      <c r="R200" s="132"/>
    </row>
    <row r="201" spans="2:18" x14ac:dyDescent="0.25">
      <c r="B201" s="128">
        <v>42</v>
      </c>
      <c r="C201" s="1090"/>
      <c r="D201" s="1090"/>
      <c r="E201" s="1090"/>
      <c r="F201" s="1090"/>
      <c r="G201" s="1090"/>
      <c r="H201" s="1091"/>
      <c r="I201" s="129"/>
      <c r="J201" s="130"/>
      <c r="K201" s="469">
        <f t="shared" si="8"/>
        <v>0</v>
      </c>
      <c r="L201" s="546">
        <f t="shared" si="9"/>
        <v>0</v>
      </c>
      <c r="M201" s="534"/>
      <c r="N201" s="132"/>
      <c r="O201" s="132"/>
      <c r="P201" s="534"/>
      <c r="Q201" s="132"/>
      <c r="R201" s="132"/>
    </row>
    <row r="202" spans="2:18" x14ac:dyDescent="0.25">
      <c r="B202" s="128">
        <v>43</v>
      </c>
      <c r="C202" s="1090"/>
      <c r="D202" s="1090"/>
      <c r="E202" s="1090"/>
      <c r="F202" s="1090"/>
      <c r="G202" s="1090"/>
      <c r="H202" s="1091"/>
      <c r="I202" s="129"/>
      <c r="J202" s="130"/>
      <c r="K202" s="469">
        <f t="shared" si="8"/>
        <v>0</v>
      </c>
      <c r="L202" s="546">
        <f t="shared" si="9"/>
        <v>0</v>
      </c>
      <c r="M202" s="534"/>
      <c r="N202" s="132"/>
      <c r="O202" s="132"/>
      <c r="P202" s="534"/>
      <c r="Q202" s="132"/>
      <c r="R202" s="132"/>
    </row>
    <row r="203" spans="2:18" x14ac:dyDescent="0.25">
      <c r="B203" s="128">
        <v>44</v>
      </c>
      <c r="C203" s="1090"/>
      <c r="D203" s="1090"/>
      <c r="E203" s="1090"/>
      <c r="F203" s="1090"/>
      <c r="G203" s="1090"/>
      <c r="H203" s="1091"/>
      <c r="I203" s="129"/>
      <c r="J203" s="130"/>
      <c r="K203" s="469">
        <f t="shared" si="8"/>
        <v>0</v>
      </c>
      <c r="L203" s="546">
        <f t="shared" si="9"/>
        <v>0</v>
      </c>
      <c r="M203" s="534"/>
      <c r="N203" s="132"/>
      <c r="O203" s="132"/>
      <c r="P203" s="534"/>
      <c r="Q203" s="132"/>
      <c r="R203" s="132"/>
    </row>
    <row r="204" spans="2:18" x14ac:dyDescent="0.25">
      <c r="B204" s="128">
        <v>45</v>
      </c>
      <c r="C204" s="1090"/>
      <c r="D204" s="1090"/>
      <c r="E204" s="1090"/>
      <c r="F204" s="1090"/>
      <c r="G204" s="1090"/>
      <c r="H204" s="1091"/>
      <c r="I204" s="129"/>
      <c r="J204" s="130"/>
      <c r="K204" s="469">
        <f t="shared" si="8"/>
        <v>0</v>
      </c>
      <c r="L204" s="546">
        <f t="shared" si="9"/>
        <v>0</v>
      </c>
      <c r="M204" s="534"/>
      <c r="N204" s="132"/>
      <c r="O204" s="132"/>
      <c r="P204" s="534"/>
      <c r="Q204" s="132"/>
      <c r="R204" s="132"/>
    </row>
    <row r="205" spans="2:18" x14ac:dyDescent="0.25">
      <c r="B205" s="128">
        <v>46</v>
      </c>
      <c r="C205" s="1090"/>
      <c r="D205" s="1090"/>
      <c r="E205" s="1090"/>
      <c r="F205" s="1090"/>
      <c r="G205" s="1090"/>
      <c r="H205" s="1091"/>
      <c r="I205" s="129"/>
      <c r="J205" s="130"/>
      <c r="K205" s="469">
        <f t="shared" si="8"/>
        <v>0</v>
      </c>
      <c r="L205" s="546">
        <f t="shared" si="9"/>
        <v>0</v>
      </c>
      <c r="M205" s="534"/>
      <c r="N205" s="132"/>
      <c r="O205" s="132"/>
      <c r="P205" s="534"/>
      <c r="Q205" s="132"/>
      <c r="R205" s="132"/>
    </row>
    <row r="206" spans="2:18" x14ac:dyDescent="0.25">
      <c r="B206" s="128">
        <v>47</v>
      </c>
      <c r="C206" s="1090"/>
      <c r="D206" s="1090"/>
      <c r="E206" s="1090"/>
      <c r="F206" s="1090"/>
      <c r="G206" s="1090"/>
      <c r="H206" s="1091"/>
      <c r="I206" s="129"/>
      <c r="J206" s="130"/>
      <c r="K206" s="469">
        <f t="shared" si="8"/>
        <v>0</v>
      </c>
      <c r="L206" s="546">
        <f t="shared" si="9"/>
        <v>0</v>
      </c>
      <c r="M206" s="534"/>
      <c r="N206" s="132"/>
      <c r="O206" s="132"/>
      <c r="P206" s="534"/>
      <c r="Q206" s="132"/>
      <c r="R206" s="132"/>
    </row>
    <row r="207" spans="2:18" x14ac:dyDescent="0.25">
      <c r="B207" s="128">
        <v>48</v>
      </c>
      <c r="C207" s="1090"/>
      <c r="D207" s="1090"/>
      <c r="E207" s="1090"/>
      <c r="F207" s="1090"/>
      <c r="G207" s="1090"/>
      <c r="H207" s="1091"/>
      <c r="I207" s="129"/>
      <c r="J207" s="130"/>
      <c r="K207" s="469">
        <f t="shared" si="8"/>
        <v>0</v>
      </c>
      <c r="L207" s="546">
        <f t="shared" si="9"/>
        <v>0</v>
      </c>
      <c r="M207" s="534"/>
      <c r="N207" s="132"/>
      <c r="O207" s="132"/>
      <c r="P207" s="534"/>
      <c r="Q207" s="132"/>
      <c r="R207" s="132"/>
    </row>
    <row r="208" spans="2:18" x14ac:dyDescent="0.25">
      <c r="B208" s="128">
        <v>49</v>
      </c>
      <c r="C208" s="1096"/>
      <c r="D208" s="1090"/>
      <c r="E208" s="1090"/>
      <c r="F208" s="1090"/>
      <c r="G208" s="1090"/>
      <c r="H208" s="1091"/>
      <c r="I208" s="129"/>
      <c r="J208" s="130"/>
      <c r="K208" s="469">
        <f t="shared" si="8"/>
        <v>0</v>
      </c>
      <c r="L208" s="546">
        <f t="shared" si="9"/>
        <v>0</v>
      </c>
      <c r="M208" s="534"/>
      <c r="N208" s="132"/>
      <c r="O208" s="132"/>
      <c r="P208" s="534"/>
      <c r="Q208" s="132"/>
      <c r="R208" s="132"/>
    </row>
    <row r="209" spans="2:18" x14ac:dyDescent="0.25">
      <c r="B209" s="128">
        <v>50</v>
      </c>
      <c r="C209" s="1090"/>
      <c r="D209" s="1090"/>
      <c r="E209" s="1090"/>
      <c r="F209" s="1090"/>
      <c r="G209" s="1090"/>
      <c r="H209" s="1091"/>
      <c r="I209" s="129"/>
      <c r="J209" s="130"/>
      <c r="K209" s="469">
        <f t="shared" si="8"/>
        <v>0</v>
      </c>
      <c r="L209" s="546">
        <f t="shared" si="9"/>
        <v>0</v>
      </c>
      <c r="M209" s="534"/>
      <c r="N209" s="132"/>
      <c r="O209" s="132"/>
      <c r="P209" s="534"/>
      <c r="Q209" s="132"/>
      <c r="R209" s="132"/>
    </row>
    <row r="210" spans="2:18" x14ac:dyDescent="0.25">
      <c r="B210" s="1084" t="s">
        <v>243</v>
      </c>
      <c r="C210" s="1084"/>
      <c r="D210" s="1084"/>
      <c r="E210" s="1084"/>
      <c r="F210" s="1084"/>
      <c r="G210" s="1084"/>
      <c r="H210" s="1084"/>
      <c r="I210" s="1084"/>
      <c r="J210" s="1084"/>
      <c r="K210" s="1084"/>
      <c r="L210" s="1084"/>
      <c r="M210" s="541" t="s">
        <v>917</v>
      </c>
      <c r="N210" s="541" t="s">
        <v>926</v>
      </c>
      <c r="O210" s="541" t="s">
        <v>927</v>
      </c>
      <c r="P210" s="541" t="s">
        <v>943</v>
      </c>
      <c r="Q210" s="541" t="s">
        <v>944</v>
      </c>
      <c r="R210" s="541" t="s">
        <v>945</v>
      </c>
    </row>
    <row r="211" spans="2:18" x14ac:dyDescent="0.25">
      <c r="B211" s="1043" t="s">
        <v>235</v>
      </c>
      <c r="C211" s="1044"/>
      <c r="D211" s="1044"/>
      <c r="E211" s="1044"/>
      <c r="F211" s="1044"/>
      <c r="G211" s="1044"/>
      <c r="H211" s="1045"/>
      <c r="I211" s="498" t="s">
        <v>236</v>
      </c>
      <c r="J211" s="126" t="s">
        <v>237</v>
      </c>
      <c r="K211" s="126" t="s">
        <v>238</v>
      </c>
      <c r="L211" s="126" t="s">
        <v>916</v>
      </c>
      <c r="M211" s="328" t="s">
        <v>239</v>
      </c>
      <c r="N211" s="328" t="s">
        <v>239</v>
      </c>
      <c r="O211" s="328" t="s">
        <v>239</v>
      </c>
      <c r="P211" s="328" t="s">
        <v>239</v>
      </c>
      <c r="Q211" s="328" t="s">
        <v>239</v>
      </c>
      <c r="R211" s="328" t="s">
        <v>239</v>
      </c>
    </row>
    <row r="212" spans="2:18" x14ac:dyDescent="0.25">
      <c r="B212" s="128">
        <v>1</v>
      </c>
      <c r="C212" s="1087"/>
      <c r="D212" s="1047"/>
      <c r="E212" s="1047"/>
      <c r="F212" s="1047"/>
      <c r="G212" s="1047"/>
      <c r="H212" s="1048"/>
      <c r="I212" s="783"/>
      <c r="J212" s="784"/>
      <c r="K212" s="469">
        <f t="shared" ref="K212:K261" si="10">IF(OR(I212=0,J212=0),0,IF((((($L$4^2*I212^2)/$F$5^2)*J212)/((($L$4^2*I212^2)/$F$5^2)+J212))&lt;(($L$4^2*I212^2)/$F$5^2),ROUND((((($L$4^2*I212^2)/$F$5^2)*J212)/((($L$4^2*I212^2)/$F$5^2)+J212)),0),ROUND((($L$4^2*I212^2)/$F$5^2),0)))</f>
        <v>0</v>
      </c>
      <c r="L212" s="546">
        <f t="shared" ref="L212:L261" si="11">IFERROR(SMALL(M212:R212,1),0)</f>
        <v>0</v>
      </c>
      <c r="M212" s="534"/>
      <c r="N212" s="132"/>
      <c r="O212" s="132"/>
      <c r="P212" s="534"/>
      <c r="Q212" s="132"/>
      <c r="R212" s="132"/>
    </row>
    <row r="213" spans="2:18" x14ac:dyDescent="0.25">
      <c r="B213" s="128">
        <v>2</v>
      </c>
      <c r="C213" s="1090"/>
      <c r="D213" s="1090"/>
      <c r="E213" s="1090"/>
      <c r="F213" s="1090"/>
      <c r="G213" s="1090"/>
      <c r="H213" s="1091"/>
      <c r="I213" s="129"/>
      <c r="J213" s="130"/>
      <c r="K213" s="469">
        <f t="shared" si="10"/>
        <v>0</v>
      </c>
      <c r="L213" s="546">
        <f t="shared" si="11"/>
        <v>0</v>
      </c>
      <c r="M213" s="534"/>
      <c r="N213" s="132"/>
      <c r="O213" s="132"/>
      <c r="P213" s="534"/>
      <c r="Q213" s="132"/>
      <c r="R213" s="132"/>
    </row>
    <row r="214" spans="2:18" x14ac:dyDescent="0.25">
      <c r="B214" s="128">
        <v>3</v>
      </c>
      <c r="C214" s="1093"/>
      <c r="D214" s="1090"/>
      <c r="E214" s="1090"/>
      <c r="F214" s="1090"/>
      <c r="G214" s="1090"/>
      <c r="H214" s="1091"/>
      <c r="I214" s="129"/>
      <c r="J214" s="130"/>
      <c r="K214" s="469">
        <f t="shared" si="10"/>
        <v>0</v>
      </c>
      <c r="L214" s="546">
        <f t="shared" si="11"/>
        <v>0</v>
      </c>
      <c r="M214" s="534"/>
      <c r="N214" s="132"/>
      <c r="O214" s="132"/>
      <c r="P214" s="534"/>
      <c r="Q214" s="132"/>
      <c r="R214" s="132"/>
    </row>
    <row r="215" spans="2:18" x14ac:dyDescent="0.25">
      <c r="B215" s="128">
        <v>4</v>
      </c>
      <c r="C215" s="1090"/>
      <c r="D215" s="1090"/>
      <c r="E215" s="1090"/>
      <c r="F215" s="1090"/>
      <c r="G215" s="1090"/>
      <c r="H215" s="1091"/>
      <c r="I215" s="129"/>
      <c r="J215" s="130"/>
      <c r="K215" s="469">
        <f t="shared" si="10"/>
        <v>0</v>
      </c>
      <c r="L215" s="546">
        <f t="shared" si="11"/>
        <v>0</v>
      </c>
      <c r="M215" s="534"/>
      <c r="N215" s="132"/>
      <c r="O215" s="132"/>
      <c r="P215" s="534"/>
      <c r="Q215" s="132"/>
      <c r="R215" s="132"/>
    </row>
    <row r="216" spans="2:18" x14ac:dyDescent="0.25">
      <c r="B216" s="128">
        <v>5</v>
      </c>
      <c r="C216" s="1090"/>
      <c r="D216" s="1090"/>
      <c r="E216" s="1090"/>
      <c r="F216" s="1090"/>
      <c r="G216" s="1090"/>
      <c r="H216" s="1091"/>
      <c r="I216" s="129"/>
      <c r="J216" s="130"/>
      <c r="K216" s="469">
        <f t="shared" si="10"/>
        <v>0</v>
      </c>
      <c r="L216" s="546">
        <f t="shared" si="11"/>
        <v>0</v>
      </c>
      <c r="M216" s="534"/>
      <c r="N216" s="132"/>
      <c r="O216" s="132"/>
      <c r="P216" s="534"/>
      <c r="Q216" s="132"/>
      <c r="R216" s="132"/>
    </row>
    <row r="217" spans="2:18" x14ac:dyDescent="0.25">
      <c r="B217" s="128">
        <v>6</v>
      </c>
      <c r="C217" s="1090"/>
      <c r="D217" s="1090"/>
      <c r="E217" s="1090"/>
      <c r="F217" s="1090"/>
      <c r="G217" s="1090"/>
      <c r="H217" s="1091"/>
      <c r="I217" s="129"/>
      <c r="J217" s="130"/>
      <c r="K217" s="469">
        <f t="shared" si="10"/>
        <v>0</v>
      </c>
      <c r="L217" s="546">
        <f t="shared" si="11"/>
        <v>0</v>
      </c>
      <c r="M217" s="534"/>
      <c r="N217" s="132"/>
      <c r="O217" s="132"/>
      <c r="P217" s="534"/>
      <c r="Q217" s="132"/>
      <c r="R217" s="132"/>
    </row>
    <row r="218" spans="2:18" x14ac:dyDescent="0.25">
      <c r="B218" s="128">
        <v>7</v>
      </c>
      <c r="C218" s="1090"/>
      <c r="D218" s="1090"/>
      <c r="E218" s="1090"/>
      <c r="F218" s="1090"/>
      <c r="G218" s="1090"/>
      <c r="H218" s="1091"/>
      <c r="I218" s="129"/>
      <c r="J218" s="130"/>
      <c r="K218" s="469">
        <f t="shared" si="10"/>
        <v>0</v>
      </c>
      <c r="L218" s="546">
        <f t="shared" si="11"/>
        <v>0</v>
      </c>
      <c r="M218" s="534"/>
      <c r="N218" s="132"/>
      <c r="O218" s="132"/>
      <c r="P218" s="534"/>
      <c r="Q218" s="132"/>
      <c r="R218" s="132"/>
    </row>
    <row r="219" spans="2:18" x14ac:dyDescent="0.25">
      <c r="B219" s="128">
        <v>8</v>
      </c>
      <c r="C219" s="1090"/>
      <c r="D219" s="1090"/>
      <c r="E219" s="1090"/>
      <c r="F219" s="1090"/>
      <c r="G219" s="1090"/>
      <c r="H219" s="1091"/>
      <c r="I219" s="129"/>
      <c r="J219" s="130"/>
      <c r="K219" s="469">
        <f t="shared" si="10"/>
        <v>0</v>
      </c>
      <c r="L219" s="546">
        <f t="shared" si="11"/>
        <v>0</v>
      </c>
      <c r="M219" s="534"/>
      <c r="N219" s="132"/>
      <c r="O219" s="132"/>
      <c r="P219" s="534"/>
      <c r="Q219" s="132"/>
      <c r="R219" s="132"/>
    </row>
    <row r="220" spans="2:18" x14ac:dyDescent="0.25">
      <c r="B220" s="128">
        <v>9</v>
      </c>
      <c r="C220" s="1090"/>
      <c r="D220" s="1090"/>
      <c r="E220" s="1090"/>
      <c r="F220" s="1090"/>
      <c r="G220" s="1090"/>
      <c r="H220" s="1091"/>
      <c r="I220" s="129"/>
      <c r="J220" s="130"/>
      <c r="K220" s="469">
        <f t="shared" si="10"/>
        <v>0</v>
      </c>
      <c r="L220" s="546">
        <f t="shared" si="11"/>
        <v>0</v>
      </c>
      <c r="M220" s="534"/>
      <c r="N220" s="132"/>
      <c r="O220" s="132"/>
      <c r="P220" s="534"/>
      <c r="Q220" s="132"/>
      <c r="R220" s="132"/>
    </row>
    <row r="221" spans="2:18" x14ac:dyDescent="0.25">
      <c r="B221" s="128">
        <v>10</v>
      </c>
      <c r="C221" s="1090"/>
      <c r="D221" s="1090"/>
      <c r="E221" s="1090"/>
      <c r="F221" s="1090"/>
      <c r="G221" s="1090"/>
      <c r="H221" s="1091"/>
      <c r="I221" s="129"/>
      <c r="J221" s="130"/>
      <c r="K221" s="469">
        <f t="shared" si="10"/>
        <v>0</v>
      </c>
      <c r="L221" s="546">
        <f t="shared" si="11"/>
        <v>0</v>
      </c>
      <c r="M221" s="534"/>
      <c r="N221" s="132"/>
      <c r="O221" s="132"/>
      <c r="P221" s="534"/>
      <c r="Q221" s="132"/>
      <c r="R221" s="132"/>
    </row>
    <row r="222" spans="2:18" x14ac:dyDescent="0.25">
      <c r="B222" s="128">
        <v>11</v>
      </c>
      <c r="C222" s="1090"/>
      <c r="D222" s="1090"/>
      <c r="E222" s="1090"/>
      <c r="F222" s="1090"/>
      <c r="G222" s="1090"/>
      <c r="H222" s="1091"/>
      <c r="I222" s="129"/>
      <c r="J222" s="130"/>
      <c r="K222" s="469">
        <f t="shared" si="10"/>
        <v>0</v>
      </c>
      <c r="L222" s="546">
        <f t="shared" si="11"/>
        <v>0</v>
      </c>
      <c r="M222" s="534"/>
      <c r="N222" s="132"/>
      <c r="O222" s="132"/>
      <c r="P222" s="534"/>
      <c r="Q222" s="132"/>
      <c r="R222" s="132"/>
    </row>
    <row r="223" spans="2:18" x14ac:dyDescent="0.25">
      <c r="B223" s="128">
        <v>12</v>
      </c>
      <c r="C223" s="1090"/>
      <c r="D223" s="1090"/>
      <c r="E223" s="1090"/>
      <c r="F223" s="1090"/>
      <c r="G223" s="1090"/>
      <c r="H223" s="1091"/>
      <c r="I223" s="129"/>
      <c r="J223" s="130"/>
      <c r="K223" s="469">
        <f t="shared" si="10"/>
        <v>0</v>
      </c>
      <c r="L223" s="546">
        <f t="shared" si="11"/>
        <v>0</v>
      </c>
      <c r="M223" s="534"/>
      <c r="N223" s="132"/>
      <c r="O223" s="132"/>
      <c r="P223" s="534"/>
      <c r="Q223" s="132"/>
      <c r="R223" s="132"/>
    </row>
    <row r="224" spans="2:18" x14ac:dyDescent="0.25">
      <c r="B224" s="128">
        <v>13</v>
      </c>
      <c r="C224" s="1090"/>
      <c r="D224" s="1090"/>
      <c r="E224" s="1090"/>
      <c r="F224" s="1090"/>
      <c r="G224" s="1090"/>
      <c r="H224" s="1091"/>
      <c r="I224" s="129"/>
      <c r="J224" s="130"/>
      <c r="K224" s="469">
        <f t="shared" si="10"/>
        <v>0</v>
      </c>
      <c r="L224" s="546">
        <f t="shared" si="11"/>
        <v>0</v>
      </c>
      <c r="M224" s="534"/>
      <c r="N224" s="132"/>
      <c r="O224" s="132"/>
      <c r="P224" s="534"/>
      <c r="Q224" s="132"/>
      <c r="R224" s="132"/>
    </row>
    <row r="225" spans="2:18" x14ac:dyDescent="0.25">
      <c r="B225" s="128">
        <v>14</v>
      </c>
      <c r="C225" s="1090"/>
      <c r="D225" s="1090"/>
      <c r="E225" s="1090"/>
      <c r="F225" s="1090"/>
      <c r="G225" s="1090"/>
      <c r="H225" s="1091"/>
      <c r="I225" s="129"/>
      <c r="J225" s="130"/>
      <c r="K225" s="469">
        <f t="shared" si="10"/>
        <v>0</v>
      </c>
      <c r="L225" s="546">
        <f t="shared" si="11"/>
        <v>0</v>
      </c>
      <c r="M225" s="534"/>
      <c r="N225" s="132"/>
      <c r="O225" s="132"/>
      <c r="P225" s="534"/>
      <c r="Q225" s="132"/>
      <c r="R225" s="132"/>
    </row>
    <row r="226" spans="2:18" x14ac:dyDescent="0.25">
      <c r="B226" s="128">
        <v>15</v>
      </c>
      <c r="C226" s="1090"/>
      <c r="D226" s="1090"/>
      <c r="E226" s="1090"/>
      <c r="F226" s="1090"/>
      <c r="G226" s="1090"/>
      <c r="H226" s="1091"/>
      <c r="I226" s="129"/>
      <c r="J226" s="130"/>
      <c r="K226" s="469">
        <f t="shared" si="10"/>
        <v>0</v>
      </c>
      <c r="L226" s="546">
        <f t="shared" si="11"/>
        <v>0</v>
      </c>
      <c r="M226" s="534"/>
      <c r="N226" s="132"/>
      <c r="O226" s="132"/>
      <c r="P226" s="534"/>
      <c r="Q226" s="132"/>
      <c r="R226" s="132"/>
    </row>
    <row r="227" spans="2:18" x14ac:dyDescent="0.25">
      <c r="B227" s="128">
        <v>16</v>
      </c>
      <c r="C227" s="1090"/>
      <c r="D227" s="1090"/>
      <c r="E227" s="1090"/>
      <c r="F227" s="1090"/>
      <c r="G227" s="1090"/>
      <c r="H227" s="1091"/>
      <c r="I227" s="129"/>
      <c r="J227" s="130"/>
      <c r="K227" s="469">
        <f t="shared" si="10"/>
        <v>0</v>
      </c>
      <c r="L227" s="546">
        <f t="shared" si="11"/>
        <v>0</v>
      </c>
      <c r="M227" s="534"/>
      <c r="N227" s="132"/>
      <c r="O227" s="132"/>
      <c r="P227" s="534"/>
      <c r="Q227" s="132"/>
      <c r="R227" s="132"/>
    </row>
    <row r="228" spans="2:18" x14ac:dyDescent="0.25">
      <c r="B228" s="128">
        <v>17</v>
      </c>
      <c r="C228" s="1090"/>
      <c r="D228" s="1090"/>
      <c r="E228" s="1090"/>
      <c r="F228" s="1090"/>
      <c r="G228" s="1090"/>
      <c r="H228" s="1091"/>
      <c r="I228" s="129"/>
      <c r="J228" s="130"/>
      <c r="K228" s="469">
        <f t="shared" si="10"/>
        <v>0</v>
      </c>
      <c r="L228" s="546">
        <f t="shared" si="11"/>
        <v>0</v>
      </c>
      <c r="M228" s="534"/>
      <c r="N228" s="132"/>
      <c r="O228" s="132"/>
      <c r="P228" s="534"/>
      <c r="Q228" s="132"/>
      <c r="R228" s="132"/>
    </row>
    <row r="229" spans="2:18" x14ac:dyDescent="0.25">
      <c r="B229" s="128">
        <v>18</v>
      </c>
      <c r="C229" s="1090"/>
      <c r="D229" s="1090"/>
      <c r="E229" s="1090"/>
      <c r="F229" s="1090"/>
      <c r="G229" s="1090"/>
      <c r="H229" s="1091"/>
      <c r="I229" s="129"/>
      <c r="J229" s="130"/>
      <c r="K229" s="469">
        <f t="shared" si="10"/>
        <v>0</v>
      </c>
      <c r="L229" s="546">
        <f t="shared" si="11"/>
        <v>0</v>
      </c>
      <c r="M229" s="534"/>
      <c r="N229" s="132"/>
      <c r="O229" s="132"/>
      <c r="P229" s="534"/>
      <c r="Q229" s="132"/>
      <c r="R229" s="132"/>
    </row>
    <row r="230" spans="2:18" x14ac:dyDescent="0.25">
      <c r="B230" s="128">
        <v>19</v>
      </c>
      <c r="C230" s="1090"/>
      <c r="D230" s="1090"/>
      <c r="E230" s="1090"/>
      <c r="F230" s="1090"/>
      <c r="G230" s="1090"/>
      <c r="H230" s="1091"/>
      <c r="I230" s="129"/>
      <c r="J230" s="130"/>
      <c r="K230" s="469">
        <f t="shared" si="10"/>
        <v>0</v>
      </c>
      <c r="L230" s="546">
        <f t="shared" si="11"/>
        <v>0</v>
      </c>
      <c r="M230" s="534"/>
      <c r="N230" s="132"/>
      <c r="O230" s="132"/>
      <c r="P230" s="534"/>
      <c r="Q230" s="132"/>
      <c r="R230" s="132"/>
    </row>
    <row r="231" spans="2:18" x14ac:dyDescent="0.25">
      <c r="B231" s="128">
        <v>20</v>
      </c>
      <c r="C231" s="1090"/>
      <c r="D231" s="1090"/>
      <c r="E231" s="1090"/>
      <c r="F231" s="1090"/>
      <c r="G231" s="1090"/>
      <c r="H231" s="1091"/>
      <c r="I231" s="129"/>
      <c r="J231" s="130"/>
      <c r="K231" s="469">
        <f t="shared" si="10"/>
        <v>0</v>
      </c>
      <c r="L231" s="546">
        <f t="shared" si="11"/>
        <v>0</v>
      </c>
      <c r="M231" s="534"/>
      <c r="N231" s="132"/>
      <c r="O231" s="132"/>
      <c r="P231" s="534"/>
      <c r="Q231" s="132"/>
      <c r="R231" s="132"/>
    </row>
    <row r="232" spans="2:18" x14ac:dyDescent="0.25">
      <c r="B232" s="128">
        <v>21</v>
      </c>
      <c r="C232" s="1096"/>
      <c r="D232" s="1090"/>
      <c r="E232" s="1090"/>
      <c r="F232" s="1090"/>
      <c r="G232" s="1090"/>
      <c r="H232" s="1091"/>
      <c r="I232" s="129"/>
      <c r="J232" s="130"/>
      <c r="K232" s="469">
        <f t="shared" si="10"/>
        <v>0</v>
      </c>
      <c r="L232" s="546">
        <f t="shared" si="11"/>
        <v>0</v>
      </c>
      <c r="M232" s="534"/>
      <c r="N232" s="132"/>
      <c r="O232" s="132"/>
      <c r="P232" s="534"/>
      <c r="Q232" s="132"/>
      <c r="R232" s="132"/>
    </row>
    <row r="233" spans="2:18" x14ac:dyDescent="0.25">
      <c r="B233" s="128">
        <v>22</v>
      </c>
      <c r="C233" s="1090"/>
      <c r="D233" s="1090"/>
      <c r="E233" s="1090"/>
      <c r="F233" s="1090"/>
      <c r="G233" s="1090"/>
      <c r="H233" s="1091"/>
      <c r="I233" s="129"/>
      <c r="J233" s="130"/>
      <c r="K233" s="469">
        <f t="shared" si="10"/>
        <v>0</v>
      </c>
      <c r="L233" s="546">
        <f t="shared" si="11"/>
        <v>0</v>
      </c>
      <c r="M233" s="534"/>
      <c r="N233" s="132"/>
      <c r="O233" s="132"/>
      <c r="P233" s="534"/>
      <c r="Q233" s="132"/>
      <c r="R233" s="132"/>
    </row>
    <row r="234" spans="2:18" x14ac:dyDescent="0.25">
      <c r="B234" s="128">
        <v>23</v>
      </c>
      <c r="C234" s="1090"/>
      <c r="D234" s="1090"/>
      <c r="E234" s="1090"/>
      <c r="F234" s="1090"/>
      <c r="G234" s="1090"/>
      <c r="H234" s="1091"/>
      <c r="I234" s="129"/>
      <c r="J234" s="130"/>
      <c r="K234" s="469">
        <f t="shared" si="10"/>
        <v>0</v>
      </c>
      <c r="L234" s="546">
        <f t="shared" si="11"/>
        <v>0</v>
      </c>
      <c r="M234" s="534"/>
      <c r="N234" s="132"/>
      <c r="O234" s="132"/>
      <c r="P234" s="534"/>
      <c r="Q234" s="132"/>
      <c r="R234" s="132"/>
    </row>
    <row r="235" spans="2:18" x14ac:dyDescent="0.25">
      <c r="B235" s="128">
        <v>24</v>
      </c>
      <c r="C235" s="1090"/>
      <c r="D235" s="1090"/>
      <c r="E235" s="1090"/>
      <c r="F235" s="1090"/>
      <c r="G235" s="1090"/>
      <c r="H235" s="1091"/>
      <c r="I235" s="129"/>
      <c r="J235" s="130"/>
      <c r="K235" s="469">
        <f t="shared" si="10"/>
        <v>0</v>
      </c>
      <c r="L235" s="546">
        <f t="shared" si="11"/>
        <v>0</v>
      </c>
      <c r="M235" s="534"/>
      <c r="N235" s="132"/>
      <c r="O235" s="132"/>
      <c r="P235" s="534"/>
      <c r="Q235" s="132"/>
      <c r="R235" s="132"/>
    </row>
    <row r="236" spans="2:18" x14ac:dyDescent="0.25">
      <c r="B236" s="128">
        <v>25</v>
      </c>
      <c r="C236" s="1090"/>
      <c r="D236" s="1090"/>
      <c r="E236" s="1090"/>
      <c r="F236" s="1090"/>
      <c r="G236" s="1090"/>
      <c r="H236" s="1091"/>
      <c r="I236" s="129"/>
      <c r="J236" s="130"/>
      <c r="K236" s="469">
        <f t="shared" si="10"/>
        <v>0</v>
      </c>
      <c r="L236" s="546">
        <f t="shared" si="11"/>
        <v>0</v>
      </c>
      <c r="M236" s="534"/>
      <c r="N236" s="132"/>
      <c r="O236" s="132"/>
      <c r="P236" s="534"/>
      <c r="Q236" s="132"/>
      <c r="R236" s="132"/>
    </row>
    <row r="237" spans="2:18" x14ac:dyDescent="0.25">
      <c r="B237" s="128">
        <v>26</v>
      </c>
      <c r="C237" s="1090"/>
      <c r="D237" s="1090"/>
      <c r="E237" s="1090"/>
      <c r="F237" s="1090"/>
      <c r="G237" s="1090"/>
      <c r="H237" s="1091"/>
      <c r="I237" s="129"/>
      <c r="J237" s="130"/>
      <c r="K237" s="469">
        <f t="shared" si="10"/>
        <v>0</v>
      </c>
      <c r="L237" s="546">
        <f t="shared" si="11"/>
        <v>0</v>
      </c>
      <c r="M237" s="534"/>
      <c r="N237" s="132"/>
      <c r="O237" s="132"/>
      <c r="P237" s="534"/>
      <c r="Q237" s="132"/>
      <c r="R237" s="132"/>
    </row>
    <row r="238" spans="2:18" x14ac:dyDescent="0.25">
      <c r="B238" s="128">
        <v>27</v>
      </c>
      <c r="C238" s="1090"/>
      <c r="D238" s="1090"/>
      <c r="E238" s="1090"/>
      <c r="F238" s="1090"/>
      <c r="G238" s="1090"/>
      <c r="H238" s="1091"/>
      <c r="I238" s="129"/>
      <c r="J238" s="130"/>
      <c r="K238" s="469">
        <f t="shared" si="10"/>
        <v>0</v>
      </c>
      <c r="L238" s="546">
        <f t="shared" si="11"/>
        <v>0</v>
      </c>
      <c r="M238" s="534"/>
      <c r="N238" s="132"/>
      <c r="O238" s="132"/>
      <c r="P238" s="534"/>
      <c r="Q238" s="132"/>
      <c r="R238" s="132"/>
    </row>
    <row r="239" spans="2:18" x14ac:dyDescent="0.25">
      <c r="B239" s="128">
        <v>28</v>
      </c>
      <c r="C239" s="1090"/>
      <c r="D239" s="1090"/>
      <c r="E239" s="1090"/>
      <c r="F239" s="1090"/>
      <c r="G239" s="1090"/>
      <c r="H239" s="1091"/>
      <c r="I239" s="129"/>
      <c r="J239" s="130"/>
      <c r="K239" s="469">
        <f t="shared" si="10"/>
        <v>0</v>
      </c>
      <c r="L239" s="546">
        <f t="shared" si="11"/>
        <v>0</v>
      </c>
      <c r="M239" s="534"/>
      <c r="N239" s="132"/>
      <c r="O239" s="132"/>
      <c r="P239" s="534"/>
      <c r="Q239" s="132"/>
      <c r="R239" s="132"/>
    </row>
    <row r="240" spans="2:18" x14ac:dyDescent="0.25">
      <c r="B240" s="128">
        <v>29</v>
      </c>
      <c r="C240" s="1090"/>
      <c r="D240" s="1090"/>
      <c r="E240" s="1090"/>
      <c r="F240" s="1090"/>
      <c r="G240" s="1090"/>
      <c r="H240" s="1091"/>
      <c r="I240" s="129"/>
      <c r="J240" s="130"/>
      <c r="K240" s="469">
        <f t="shared" si="10"/>
        <v>0</v>
      </c>
      <c r="L240" s="546">
        <f t="shared" si="11"/>
        <v>0</v>
      </c>
      <c r="M240" s="534"/>
      <c r="N240" s="132"/>
      <c r="O240" s="132"/>
      <c r="P240" s="534"/>
      <c r="Q240" s="132"/>
      <c r="R240" s="132"/>
    </row>
    <row r="241" spans="2:18" x14ac:dyDescent="0.25">
      <c r="B241" s="128">
        <v>30</v>
      </c>
      <c r="C241" s="1090"/>
      <c r="D241" s="1090"/>
      <c r="E241" s="1090"/>
      <c r="F241" s="1090"/>
      <c r="G241" s="1090"/>
      <c r="H241" s="1091"/>
      <c r="I241" s="129"/>
      <c r="J241" s="130"/>
      <c r="K241" s="469">
        <f t="shared" si="10"/>
        <v>0</v>
      </c>
      <c r="L241" s="546">
        <f t="shared" si="11"/>
        <v>0</v>
      </c>
      <c r="M241" s="534"/>
      <c r="N241" s="132"/>
      <c r="O241" s="132"/>
      <c r="P241" s="534"/>
      <c r="Q241" s="132"/>
      <c r="R241" s="132"/>
    </row>
    <row r="242" spans="2:18" x14ac:dyDescent="0.25">
      <c r="B242" s="128">
        <v>31</v>
      </c>
      <c r="C242" s="1090"/>
      <c r="D242" s="1090"/>
      <c r="E242" s="1090"/>
      <c r="F242" s="1090"/>
      <c r="G242" s="1090"/>
      <c r="H242" s="1091"/>
      <c r="I242" s="129"/>
      <c r="J242" s="130"/>
      <c r="K242" s="469">
        <f t="shared" si="10"/>
        <v>0</v>
      </c>
      <c r="L242" s="546">
        <f t="shared" si="11"/>
        <v>0</v>
      </c>
      <c r="M242" s="534"/>
      <c r="N242" s="132"/>
      <c r="O242" s="132"/>
      <c r="P242" s="534"/>
      <c r="Q242" s="132"/>
      <c r="R242" s="132"/>
    </row>
    <row r="243" spans="2:18" x14ac:dyDescent="0.25">
      <c r="B243" s="128">
        <v>32</v>
      </c>
      <c r="C243" s="1090"/>
      <c r="D243" s="1090"/>
      <c r="E243" s="1090"/>
      <c r="F243" s="1090"/>
      <c r="G243" s="1090"/>
      <c r="H243" s="1091"/>
      <c r="I243" s="129"/>
      <c r="J243" s="130"/>
      <c r="K243" s="469">
        <f t="shared" si="10"/>
        <v>0</v>
      </c>
      <c r="L243" s="546">
        <f t="shared" si="11"/>
        <v>0</v>
      </c>
      <c r="M243" s="534"/>
      <c r="N243" s="132"/>
      <c r="O243" s="132"/>
      <c r="P243" s="534"/>
      <c r="Q243" s="132"/>
      <c r="R243" s="132"/>
    </row>
    <row r="244" spans="2:18" x14ac:dyDescent="0.25">
      <c r="B244" s="128">
        <v>33</v>
      </c>
      <c r="C244" s="1090"/>
      <c r="D244" s="1090"/>
      <c r="E244" s="1090"/>
      <c r="F244" s="1090"/>
      <c r="G244" s="1090"/>
      <c r="H244" s="1091"/>
      <c r="I244" s="129"/>
      <c r="J244" s="130"/>
      <c r="K244" s="469">
        <f t="shared" si="10"/>
        <v>0</v>
      </c>
      <c r="L244" s="546">
        <f t="shared" si="11"/>
        <v>0</v>
      </c>
      <c r="M244" s="534"/>
      <c r="N244" s="132"/>
      <c r="O244" s="132"/>
      <c r="P244" s="534"/>
      <c r="Q244" s="132"/>
      <c r="R244" s="132"/>
    </row>
    <row r="245" spans="2:18" x14ac:dyDescent="0.25">
      <c r="B245" s="128">
        <v>34</v>
      </c>
      <c r="C245" s="1090"/>
      <c r="D245" s="1090"/>
      <c r="E245" s="1090"/>
      <c r="F245" s="1090"/>
      <c r="G245" s="1090"/>
      <c r="H245" s="1091"/>
      <c r="I245" s="129"/>
      <c r="J245" s="130"/>
      <c r="K245" s="469">
        <f t="shared" si="10"/>
        <v>0</v>
      </c>
      <c r="L245" s="546">
        <f t="shared" si="11"/>
        <v>0</v>
      </c>
      <c r="M245" s="534"/>
      <c r="N245" s="132"/>
      <c r="O245" s="132"/>
      <c r="P245" s="534"/>
      <c r="Q245" s="132"/>
      <c r="R245" s="132"/>
    </row>
    <row r="246" spans="2:18" x14ac:dyDescent="0.25">
      <c r="B246" s="128">
        <v>35</v>
      </c>
      <c r="C246" s="1090"/>
      <c r="D246" s="1090"/>
      <c r="E246" s="1090"/>
      <c r="F246" s="1090"/>
      <c r="G246" s="1090"/>
      <c r="H246" s="1091"/>
      <c r="I246" s="129"/>
      <c r="J246" s="130"/>
      <c r="K246" s="469">
        <f t="shared" si="10"/>
        <v>0</v>
      </c>
      <c r="L246" s="546">
        <f t="shared" si="11"/>
        <v>0</v>
      </c>
      <c r="M246" s="534"/>
      <c r="N246" s="132"/>
      <c r="O246" s="132"/>
      <c r="P246" s="534"/>
      <c r="Q246" s="132"/>
      <c r="R246" s="132"/>
    </row>
    <row r="247" spans="2:18" x14ac:dyDescent="0.25">
      <c r="B247" s="128">
        <v>36</v>
      </c>
      <c r="C247" s="1096"/>
      <c r="D247" s="1090"/>
      <c r="E247" s="1090"/>
      <c r="F247" s="1090"/>
      <c r="G247" s="1090"/>
      <c r="H247" s="1091"/>
      <c r="I247" s="129"/>
      <c r="J247" s="130"/>
      <c r="K247" s="469">
        <f t="shared" si="10"/>
        <v>0</v>
      </c>
      <c r="L247" s="546">
        <f t="shared" si="11"/>
        <v>0</v>
      </c>
      <c r="M247" s="534"/>
      <c r="N247" s="132"/>
      <c r="O247" s="132"/>
      <c r="P247" s="534"/>
      <c r="Q247" s="132"/>
      <c r="R247" s="132"/>
    </row>
    <row r="248" spans="2:18" x14ac:dyDescent="0.25">
      <c r="B248" s="128">
        <v>37</v>
      </c>
      <c r="C248" s="1090"/>
      <c r="D248" s="1090"/>
      <c r="E248" s="1090"/>
      <c r="F248" s="1090"/>
      <c r="G248" s="1090"/>
      <c r="H248" s="1091"/>
      <c r="I248" s="129"/>
      <c r="J248" s="130"/>
      <c r="K248" s="469">
        <f t="shared" si="10"/>
        <v>0</v>
      </c>
      <c r="L248" s="546">
        <f t="shared" si="11"/>
        <v>0</v>
      </c>
      <c r="M248" s="534"/>
      <c r="N248" s="132"/>
      <c r="O248" s="132"/>
      <c r="P248" s="534"/>
      <c r="Q248" s="132"/>
      <c r="R248" s="132"/>
    </row>
    <row r="249" spans="2:18" x14ac:dyDescent="0.25">
      <c r="B249" s="128">
        <v>38</v>
      </c>
      <c r="C249" s="1090"/>
      <c r="D249" s="1090"/>
      <c r="E249" s="1090"/>
      <c r="F249" s="1090"/>
      <c r="G249" s="1090"/>
      <c r="H249" s="1091"/>
      <c r="I249" s="129"/>
      <c r="J249" s="130"/>
      <c r="K249" s="469">
        <f t="shared" si="10"/>
        <v>0</v>
      </c>
      <c r="L249" s="546">
        <f t="shared" si="11"/>
        <v>0</v>
      </c>
      <c r="M249" s="534"/>
      <c r="N249" s="132"/>
      <c r="O249" s="132"/>
      <c r="P249" s="534"/>
      <c r="Q249" s="132"/>
      <c r="R249" s="132"/>
    </row>
    <row r="250" spans="2:18" x14ac:dyDescent="0.25">
      <c r="B250" s="128">
        <v>39</v>
      </c>
      <c r="C250" s="1090"/>
      <c r="D250" s="1090"/>
      <c r="E250" s="1090"/>
      <c r="F250" s="1090"/>
      <c r="G250" s="1090"/>
      <c r="H250" s="1091"/>
      <c r="I250" s="129"/>
      <c r="J250" s="130"/>
      <c r="K250" s="469">
        <f t="shared" si="10"/>
        <v>0</v>
      </c>
      <c r="L250" s="546">
        <f t="shared" si="11"/>
        <v>0</v>
      </c>
      <c r="M250" s="534"/>
      <c r="N250" s="132"/>
      <c r="O250" s="132"/>
      <c r="P250" s="534"/>
      <c r="Q250" s="132"/>
      <c r="R250" s="132"/>
    </row>
    <row r="251" spans="2:18" x14ac:dyDescent="0.25">
      <c r="B251" s="128">
        <v>40</v>
      </c>
      <c r="C251" s="1090"/>
      <c r="D251" s="1090"/>
      <c r="E251" s="1090"/>
      <c r="F251" s="1090"/>
      <c r="G251" s="1090"/>
      <c r="H251" s="1091"/>
      <c r="I251" s="129"/>
      <c r="J251" s="130"/>
      <c r="K251" s="469">
        <f t="shared" si="10"/>
        <v>0</v>
      </c>
      <c r="L251" s="546">
        <f t="shared" si="11"/>
        <v>0</v>
      </c>
      <c r="M251" s="534"/>
      <c r="N251" s="132"/>
      <c r="O251" s="132"/>
      <c r="P251" s="534"/>
      <c r="Q251" s="132"/>
      <c r="R251" s="132"/>
    </row>
    <row r="252" spans="2:18" x14ac:dyDescent="0.25">
      <c r="B252" s="128">
        <v>41</v>
      </c>
      <c r="C252" s="1096"/>
      <c r="D252" s="1090"/>
      <c r="E252" s="1090"/>
      <c r="F252" s="1090"/>
      <c r="G252" s="1090"/>
      <c r="H252" s="1091"/>
      <c r="I252" s="129"/>
      <c r="J252" s="130"/>
      <c r="K252" s="469">
        <f t="shared" si="10"/>
        <v>0</v>
      </c>
      <c r="L252" s="546">
        <f t="shared" si="11"/>
        <v>0</v>
      </c>
      <c r="M252" s="534"/>
      <c r="N252" s="132"/>
      <c r="O252" s="132"/>
      <c r="P252" s="534"/>
      <c r="Q252" s="132"/>
      <c r="R252" s="132"/>
    </row>
    <row r="253" spans="2:18" x14ac:dyDescent="0.25">
      <c r="B253" s="128">
        <v>42</v>
      </c>
      <c r="C253" s="1090"/>
      <c r="D253" s="1090"/>
      <c r="E253" s="1090"/>
      <c r="F253" s="1090"/>
      <c r="G253" s="1090"/>
      <c r="H253" s="1091"/>
      <c r="I253" s="129"/>
      <c r="J253" s="130"/>
      <c r="K253" s="469">
        <f t="shared" si="10"/>
        <v>0</v>
      </c>
      <c r="L253" s="546">
        <f t="shared" si="11"/>
        <v>0</v>
      </c>
      <c r="M253" s="534"/>
      <c r="N253" s="132"/>
      <c r="O253" s="132"/>
      <c r="P253" s="534"/>
      <c r="Q253" s="132"/>
      <c r="R253" s="132"/>
    </row>
    <row r="254" spans="2:18" x14ac:dyDescent="0.25">
      <c r="B254" s="128">
        <v>43</v>
      </c>
      <c r="C254" s="1090"/>
      <c r="D254" s="1090"/>
      <c r="E254" s="1090"/>
      <c r="F254" s="1090"/>
      <c r="G254" s="1090"/>
      <c r="H254" s="1091"/>
      <c r="I254" s="129"/>
      <c r="J254" s="130"/>
      <c r="K254" s="469">
        <f t="shared" si="10"/>
        <v>0</v>
      </c>
      <c r="L254" s="546">
        <f t="shared" si="11"/>
        <v>0</v>
      </c>
      <c r="M254" s="534"/>
      <c r="N254" s="132"/>
      <c r="O254" s="132"/>
      <c r="P254" s="534"/>
      <c r="Q254" s="132"/>
      <c r="R254" s="132"/>
    </row>
    <row r="255" spans="2:18" x14ac:dyDescent="0.25">
      <c r="B255" s="128">
        <v>44</v>
      </c>
      <c r="C255" s="1090"/>
      <c r="D255" s="1090"/>
      <c r="E255" s="1090"/>
      <c r="F255" s="1090"/>
      <c r="G255" s="1090"/>
      <c r="H255" s="1091"/>
      <c r="I255" s="129"/>
      <c r="J255" s="130"/>
      <c r="K255" s="469">
        <f t="shared" si="10"/>
        <v>0</v>
      </c>
      <c r="L255" s="546">
        <f t="shared" si="11"/>
        <v>0</v>
      </c>
      <c r="M255" s="534"/>
      <c r="N255" s="132"/>
      <c r="O255" s="132"/>
      <c r="P255" s="534"/>
      <c r="Q255" s="132"/>
      <c r="R255" s="132"/>
    </row>
    <row r="256" spans="2:18" x14ac:dyDescent="0.25">
      <c r="B256" s="128">
        <v>45</v>
      </c>
      <c r="C256" s="1090"/>
      <c r="D256" s="1090"/>
      <c r="E256" s="1090"/>
      <c r="F256" s="1090"/>
      <c r="G256" s="1090"/>
      <c r="H256" s="1091"/>
      <c r="I256" s="129"/>
      <c r="J256" s="130"/>
      <c r="K256" s="469">
        <f t="shared" si="10"/>
        <v>0</v>
      </c>
      <c r="L256" s="546">
        <f t="shared" si="11"/>
        <v>0</v>
      </c>
      <c r="M256" s="534"/>
      <c r="N256" s="132"/>
      <c r="O256" s="132"/>
      <c r="P256" s="534"/>
      <c r="Q256" s="132"/>
      <c r="R256" s="132"/>
    </row>
    <row r="257" spans="2:18" x14ac:dyDescent="0.25">
      <c r="B257" s="128">
        <v>46</v>
      </c>
      <c r="C257" s="1090"/>
      <c r="D257" s="1090"/>
      <c r="E257" s="1090"/>
      <c r="F257" s="1090"/>
      <c r="G257" s="1090"/>
      <c r="H257" s="1091"/>
      <c r="I257" s="129"/>
      <c r="J257" s="130"/>
      <c r="K257" s="469">
        <f t="shared" si="10"/>
        <v>0</v>
      </c>
      <c r="L257" s="546">
        <f t="shared" si="11"/>
        <v>0</v>
      </c>
      <c r="M257" s="534"/>
      <c r="N257" s="132"/>
      <c r="O257" s="132"/>
      <c r="P257" s="534"/>
      <c r="Q257" s="132"/>
      <c r="R257" s="132"/>
    </row>
    <row r="258" spans="2:18" x14ac:dyDescent="0.25">
      <c r="B258" s="128">
        <v>47</v>
      </c>
      <c r="C258" s="1090"/>
      <c r="D258" s="1090"/>
      <c r="E258" s="1090"/>
      <c r="F258" s="1090"/>
      <c r="G258" s="1090"/>
      <c r="H258" s="1091"/>
      <c r="I258" s="129"/>
      <c r="J258" s="130"/>
      <c r="K258" s="469">
        <f t="shared" si="10"/>
        <v>0</v>
      </c>
      <c r="L258" s="546">
        <f t="shared" si="11"/>
        <v>0</v>
      </c>
      <c r="M258" s="534"/>
      <c r="N258" s="132"/>
      <c r="O258" s="132"/>
      <c r="P258" s="534"/>
      <c r="Q258" s="132"/>
      <c r="R258" s="132"/>
    </row>
    <row r="259" spans="2:18" x14ac:dyDescent="0.25">
      <c r="B259" s="128">
        <v>48</v>
      </c>
      <c r="C259" s="1090"/>
      <c r="D259" s="1090"/>
      <c r="E259" s="1090"/>
      <c r="F259" s="1090"/>
      <c r="G259" s="1090"/>
      <c r="H259" s="1091"/>
      <c r="I259" s="129"/>
      <c r="J259" s="130"/>
      <c r="K259" s="469">
        <f>IF(OR(I259=0,J259=0),0,IF((((($L$4^2*I259^2)/$F$5^2)*J259)/((($L$4^2*I259^2)/$F$5^2)+J259))&lt;(($L$4^2*I259^2)/$F$5^2),ROUND((((($L$4^2*I259^2)/$F$5^2)*J259)/((($L$4^2*I259^2)/$F$5^2)+J259)),0),ROUND((($L$4^2*I259^2)/$F$5^2),0)))</f>
        <v>0</v>
      </c>
      <c r="L259" s="546">
        <f t="shared" si="11"/>
        <v>0</v>
      </c>
      <c r="M259" s="534"/>
      <c r="N259" s="132"/>
      <c r="O259" s="132"/>
      <c r="P259" s="534"/>
      <c r="Q259" s="132"/>
      <c r="R259" s="132"/>
    </row>
    <row r="260" spans="2:18" x14ac:dyDescent="0.25">
      <c r="B260" s="128">
        <v>49</v>
      </c>
      <c r="C260" s="1090"/>
      <c r="D260" s="1090"/>
      <c r="E260" s="1090"/>
      <c r="F260" s="1090"/>
      <c r="G260" s="1090"/>
      <c r="H260" s="1091"/>
      <c r="I260" s="129"/>
      <c r="J260" s="130"/>
      <c r="K260" s="469">
        <f t="shared" si="10"/>
        <v>0</v>
      </c>
      <c r="L260" s="546">
        <f t="shared" si="11"/>
        <v>0</v>
      </c>
      <c r="M260" s="534"/>
      <c r="N260" s="132"/>
      <c r="O260" s="132"/>
      <c r="P260" s="534"/>
      <c r="Q260" s="132"/>
      <c r="R260" s="132"/>
    </row>
    <row r="261" spans="2:18" x14ac:dyDescent="0.25">
      <c r="B261" s="128">
        <v>50</v>
      </c>
      <c r="C261" s="1090"/>
      <c r="D261" s="1090"/>
      <c r="E261" s="1090"/>
      <c r="F261" s="1090"/>
      <c r="G261" s="1090"/>
      <c r="H261" s="1091"/>
      <c r="I261" s="129"/>
      <c r="J261" s="130"/>
      <c r="K261" s="469">
        <f t="shared" si="10"/>
        <v>0</v>
      </c>
      <c r="L261" s="546">
        <f t="shared" si="11"/>
        <v>0</v>
      </c>
      <c r="M261" s="534"/>
      <c r="N261" s="132"/>
      <c r="O261" s="132"/>
      <c r="P261" s="534"/>
      <c r="Q261" s="132"/>
      <c r="R261" s="132"/>
    </row>
    <row r="262" spans="2:18" x14ac:dyDescent="0.25">
      <c r="B262" s="1083" t="s">
        <v>683</v>
      </c>
      <c r="C262" s="1083"/>
      <c r="D262" s="1083"/>
      <c r="E262" s="1083"/>
      <c r="F262" s="1083"/>
      <c r="G262" s="1083"/>
      <c r="H262" s="1083"/>
      <c r="I262" s="1083"/>
      <c r="J262" s="1083"/>
      <c r="K262" s="1083"/>
      <c r="L262" s="1083"/>
      <c r="M262" s="523"/>
      <c r="N262" s="523"/>
      <c r="O262" s="524"/>
      <c r="P262" s="523"/>
      <c r="Q262" s="523"/>
      <c r="R262" s="524"/>
    </row>
    <row r="263" spans="2:18" x14ac:dyDescent="0.25">
      <c r="B263" s="1084" t="s">
        <v>234</v>
      </c>
      <c r="C263" s="1084"/>
      <c r="D263" s="1084"/>
      <c r="E263" s="1084"/>
      <c r="F263" s="1084"/>
      <c r="G263" s="1084"/>
      <c r="H263" s="1084"/>
      <c r="I263" s="1084"/>
      <c r="J263" s="1084"/>
      <c r="K263" s="1084"/>
      <c r="L263" s="1084"/>
      <c r="M263" s="541" t="s">
        <v>917</v>
      </c>
      <c r="N263" s="541" t="s">
        <v>926</v>
      </c>
      <c r="O263" s="541" t="s">
        <v>927</v>
      </c>
      <c r="P263" s="541" t="s">
        <v>943</v>
      </c>
      <c r="Q263" s="541" t="s">
        <v>944</v>
      </c>
      <c r="R263" s="541" t="s">
        <v>945</v>
      </c>
    </row>
    <row r="264" spans="2:18" x14ac:dyDescent="0.25">
      <c r="B264" s="1043" t="s">
        <v>235</v>
      </c>
      <c r="C264" s="1044"/>
      <c r="D264" s="1044"/>
      <c r="E264" s="1044"/>
      <c r="F264" s="1044"/>
      <c r="G264" s="1044"/>
      <c r="H264" s="1045"/>
      <c r="I264" s="498" t="s">
        <v>236</v>
      </c>
      <c r="J264" s="126" t="s">
        <v>237</v>
      </c>
      <c r="K264" s="126" t="s">
        <v>238</v>
      </c>
      <c r="L264" s="126" t="s">
        <v>916</v>
      </c>
      <c r="M264" s="328" t="s">
        <v>239</v>
      </c>
      <c r="N264" s="328" t="s">
        <v>239</v>
      </c>
      <c r="O264" s="328" t="s">
        <v>239</v>
      </c>
      <c r="P264" s="328" t="s">
        <v>239</v>
      </c>
      <c r="Q264" s="328" t="s">
        <v>239</v>
      </c>
      <c r="R264" s="328" t="s">
        <v>239</v>
      </c>
    </row>
    <row r="265" spans="2:18" x14ac:dyDescent="0.25">
      <c r="B265" s="128">
        <v>1</v>
      </c>
      <c r="C265" s="1087"/>
      <c r="D265" s="1047"/>
      <c r="E265" s="1047"/>
      <c r="F265" s="1047"/>
      <c r="G265" s="1047"/>
      <c r="H265" s="1048"/>
      <c r="I265" s="783"/>
      <c r="J265" s="784"/>
      <c r="K265" s="469">
        <f t="shared" ref="K265:K284" si="12">IF(OR(I265=0,J265=0),0,IF((((($L$4^2*I265^2)/$F$5^2)*J265)/((($L$4^2*I265^2)/$F$5^2)+J265))&lt;(($L$4^2*I265^2)/$F$5^2),ROUND((((($L$4^2*I265^2)/$F$5^2)*J265)/((($L$4^2*I265^2)/$F$5^2)+J265)),0),ROUND((($L$4^2*I265^2)/$F$5^2),0)))</f>
        <v>0</v>
      </c>
      <c r="L265" s="546">
        <f t="shared" ref="L265:L284" si="13">IFERROR(SMALL(M265:R265,1),0)</f>
        <v>0</v>
      </c>
      <c r="M265" s="534"/>
      <c r="N265" s="132"/>
      <c r="O265" s="132"/>
      <c r="P265" s="534"/>
      <c r="Q265" s="132"/>
      <c r="R265" s="132"/>
    </row>
    <row r="266" spans="2:18" x14ac:dyDescent="0.25">
      <c r="B266" s="128">
        <v>2</v>
      </c>
      <c r="C266" s="1090"/>
      <c r="D266" s="1090"/>
      <c r="E266" s="1090"/>
      <c r="F266" s="1090"/>
      <c r="G266" s="1090"/>
      <c r="H266" s="1091"/>
      <c r="I266" s="129"/>
      <c r="J266" s="336"/>
      <c r="K266" s="469">
        <f t="shared" si="12"/>
        <v>0</v>
      </c>
      <c r="L266" s="546">
        <f t="shared" si="13"/>
        <v>0</v>
      </c>
      <c r="M266" s="534"/>
      <c r="N266" s="132"/>
      <c r="O266" s="132"/>
      <c r="P266" s="534"/>
      <c r="Q266" s="132"/>
      <c r="R266" s="132"/>
    </row>
    <row r="267" spans="2:18" x14ac:dyDescent="0.25">
      <c r="B267" s="128">
        <v>3</v>
      </c>
      <c r="C267" s="1093"/>
      <c r="D267" s="1090"/>
      <c r="E267" s="1090"/>
      <c r="F267" s="1090"/>
      <c r="G267" s="1090"/>
      <c r="H267" s="1091"/>
      <c r="I267" s="129"/>
      <c r="J267" s="336"/>
      <c r="K267" s="469">
        <f t="shared" si="12"/>
        <v>0</v>
      </c>
      <c r="L267" s="546">
        <f t="shared" si="13"/>
        <v>0</v>
      </c>
      <c r="M267" s="534"/>
      <c r="N267" s="132"/>
      <c r="O267" s="132"/>
      <c r="P267" s="534"/>
      <c r="Q267" s="132"/>
      <c r="R267" s="132"/>
    </row>
    <row r="268" spans="2:18" x14ac:dyDescent="0.25">
      <c r="B268" s="128">
        <v>4</v>
      </c>
      <c r="C268" s="1090"/>
      <c r="D268" s="1090"/>
      <c r="E268" s="1090"/>
      <c r="F268" s="1090"/>
      <c r="G268" s="1090"/>
      <c r="H268" s="1091"/>
      <c r="I268" s="129"/>
      <c r="J268" s="336"/>
      <c r="K268" s="469">
        <f t="shared" si="12"/>
        <v>0</v>
      </c>
      <c r="L268" s="546">
        <f t="shared" si="13"/>
        <v>0</v>
      </c>
      <c r="M268" s="534"/>
      <c r="N268" s="132"/>
      <c r="O268" s="132"/>
      <c r="P268" s="534"/>
      <c r="Q268" s="132"/>
      <c r="R268" s="132"/>
    </row>
    <row r="269" spans="2:18" x14ac:dyDescent="0.25">
      <c r="B269" s="128">
        <v>5</v>
      </c>
      <c r="C269" s="1090"/>
      <c r="D269" s="1090"/>
      <c r="E269" s="1090"/>
      <c r="F269" s="1090"/>
      <c r="G269" s="1090"/>
      <c r="H269" s="1091"/>
      <c r="I269" s="129"/>
      <c r="J269" s="336"/>
      <c r="K269" s="469">
        <f t="shared" si="12"/>
        <v>0</v>
      </c>
      <c r="L269" s="546">
        <f t="shared" si="13"/>
        <v>0</v>
      </c>
      <c r="M269" s="534"/>
      <c r="N269" s="132"/>
      <c r="O269" s="132"/>
      <c r="P269" s="534"/>
      <c r="Q269" s="132"/>
      <c r="R269" s="132"/>
    </row>
    <row r="270" spans="2:18" x14ac:dyDescent="0.25">
      <c r="B270" s="128">
        <v>6</v>
      </c>
      <c r="C270" s="1090"/>
      <c r="D270" s="1090"/>
      <c r="E270" s="1090"/>
      <c r="F270" s="1090"/>
      <c r="G270" s="1090"/>
      <c r="H270" s="1091"/>
      <c r="I270" s="129"/>
      <c r="J270" s="336"/>
      <c r="K270" s="469">
        <f t="shared" si="12"/>
        <v>0</v>
      </c>
      <c r="L270" s="546">
        <f t="shared" si="13"/>
        <v>0</v>
      </c>
      <c r="M270" s="534"/>
      <c r="N270" s="132"/>
      <c r="O270" s="132"/>
      <c r="P270" s="534"/>
      <c r="Q270" s="132"/>
      <c r="R270" s="132"/>
    </row>
    <row r="271" spans="2:18" x14ac:dyDescent="0.25">
      <c r="B271" s="128">
        <v>7</v>
      </c>
      <c r="C271" s="1090"/>
      <c r="D271" s="1090"/>
      <c r="E271" s="1090"/>
      <c r="F271" s="1090"/>
      <c r="G271" s="1090"/>
      <c r="H271" s="1091"/>
      <c r="I271" s="129"/>
      <c r="J271" s="336"/>
      <c r="K271" s="469">
        <f t="shared" si="12"/>
        <v>0</v>
      </c>
      <c r="L271" s="546">
        <f t="shared" si="13"/>
        <v>0</v>
      </c>
      <c r="M271" s="534"/>
      <c r="N271" s="132"/>
      <c r="O271" s="132"/>
      <c r="P271" s="534"/>
      <c r="Q271" s="132"/>
      <c r="R271" s="132"/>
    </row>
    <row r="272" spans="2:18" x14ac:dyDescent="0.25">
      <c r="B272" s="128">
        <v>8</v>
      </c>
      <c r="C272" s="1090"/>
      <c r="D272" s="1090"/>
      <c r="E272" s="1090"/>
      <c r="F272" s="1090"/>
      <c r="G272" s="1090"/>
      <c r="H272" s="1091"/>
      <c r="I272" s="129"/>
      <c r="J272" s="336"/>
      <c r="K272" s="469">
        <f t="shared" si="12"/>
        <v>0</v>
      </c>
      <c r="L272" s="546">
        <f t="shared" si="13"/>
        <v>0</v>
      </c>
      <c r="M272" s="534"/>
      <c r="N272" s="132"/>
      <c r="O272" s="132"/>
      <c r="P272" s="534"/>
      <c r="Q272" s="132"/>
      <c r="R272" s="132"/>
    </row>
    <row r="273" spans="2:18" x14ac:dyDescent="0.25">
      <c r="B273" s="128">
        <v>9</v>
      </c>
      <c r="C273" s="1090"/>
      <c r="D273" s="1090"/>
      <c r="E273" s="1090"/>
      <c r="F273" s="1090"/>
      <c r="G273" s="1090"/>
      <c r="H273" s="1091"/>
      <c r="I273" s="129"/>
      <c r="J273" s="336"/>
      <c r="K273" s="469">
        <f t="shared" si="12"/>
        <v>0</v>
      </c>
      <c r="L273" s="546">
        <f t="shared" si="13"/>
        <v>0</v>
      </c>
      <c r="M273" s="534"/>
      <c r="N273" s="132"/>
      <c r="O273" s="132"/>
      <c r="P273" s="534"/>
      <c r="Q273" s="132"/>
      <c r="R273" s="132"/>
    </row>
    <row r="274" spans="2:18" x14ac:dyDescent="0.25">
      <c r="B274" s="128">
        <v>10</v>
      </c>
      <c r="C274" s="1090"/>
      <c r="D274" s="1090"/>
      <c r="E274" s="1090"/>
      <c r="F274" s="1090"/>
      <c r="G274" s="1090"/>
      <c r="H274" s="1091"/>
      <c r="I274" s="129"/>
      <c r="J274" s="336"/>
      <c r="K274" s="469">
        <f t="shared" si="12"/>
        <v>0</v>
      </c>
      <c r="L274" s="546">
        <f t="shared" si="13"/>
        <v>0</v>
      </c>
      <c r="M274" s="534"/>
      <c r="N274" s="132"/>
      <c r="O274" s="132"/>
      <c r="P274" s="534"/>
      <c r="Q274" s="132"/>
      <c r="R274" s="132"/>
    </row>
    <row r="275" spans="2:18" x14ac:dyDescent="0.25">
      <c r="B275" s="128">
        <v>11</v>
      </c>
      <c r="C275" s="1090"/>
      <c r="D275" s="1090"/>
      <c r="E275" s="1090"/>
      <c r="F275" s="1090"/>
      <c r="G275" s="1090"/>
      <c r="H275" s="1091"/>
      <c r="I275" s="129"/>
      <c r="J275" s="336"/>
      <c r="K275" s="469">
        <f t="shared" si="12"/>
        <v>0</v>
      </c>
      <c r="L275" s="546">
        <f t="shared" si="13"/>
        <v>0</v>
      </c>
      <c r="M275" s="534"/>
      <c r="N275" s="132"/>
      <c r="O275" s="132"/>
      <c r="P275" s="534"/>
      <c r="Q275" s="132"/>
      <c r="R275" s="132"/>
    </row>
    <row r="276" spans="2:18" x14ac:dyDescent="0.25">
      <c r="B276" s="128">
        <v>12</v>
      </c>
      <c r="C276" s="1090"/>
      <c r="D276" s="1090"/>
      <c r="E276" s="1090"/>
      <c r="F276" s="1090"/>
      <c r="G276" s="1090"/>
      <c r="H276" s="1091"/>
      <c r="I276" s="129"/>
      <c r="J276" s="130"/>
      <c r="K276" s="469">
        <f t="shared" si="12"/>
        <v>0</v>
      </c>
      <c r="L276" s="546">
        <f t="shared" si="13"/>
        <v>0</v>
      </c>
      <c r="M276" s="534"/>
      <c r="N276" s="132"/>
      <c r="O276" s="132"/>
      <c r="P276" s="534"/>
      <c r="Q276" s="132"/>
      <c r="R276" s="132"/>
    </row>
    <row r="277" spans="2:18" x14ac:dyDescent="0.25">
      <c r="B277" s="128">
        <v>13</v>
      </c>
      <c r="C277" s="1090"/>
      <c r="D277" s="1090"/>
      <c r="E277" s="1090"/>
      <c r="F277" s="1090"/>
      <c r="G277" s="1090"/>
      <c r="H277" s="1091"/>
      <c r="I277" s="129"/>
      <c r="J277" s="130"/>
      <c r="K277" s="469">
        <f t="shared" si="12"/>
        <v>0</v>
      </c>
      <c r="L277" s="546">
        <f t="shared" si="13"/>
        <v>0</v>
      </c>
      <c r="M277" s="534"/>
      <c r="N277" s="132"/>
      <c r="O277" s="132"/>
      <c r="P277" s="534"/>
      <c r="Q277" s="132"/>
      <c r="R277" s="132"/>
    </row>
    <row r="278" spans="2:18" x14ac:dyDescent="0.25">
      <c r="B278" s="128">
        <v>14</v>
      </c>
      <c r="C278" s="1090"/>
      <c r="D278" s="1090"/>
      <c r="E278" s="1090"/>
      <c r="F278" s="1090"/>
      <c r="G278" s="1090"/>
      <c r="H278" s="1091"/>
      <c r="I278" s="129"/>
      <c r="J278" s="130"/>
      <c r="K278" s="469">
        <f t="shared" si="12"/>
        <v>0</v>
      </c>
      <c r="L278" s="546">
        <f t="shared" si="13"/>
        <v>0</v>
      </c>
      <c r="M278" s="534"/>
      <c r="N278" s="132"/>
      <c r="O278" s="132"/>
      <c r="P278" s="534"/>
      <c r="Q278" s="132"/>
      <c r="R278" s="132"/>
    </row>
    <row r="279" spans="2:18" x14ac:dyDescent="0.25">
      <c r="B279" s="128">
        <v>15</v>
      </c>
      <c r="C279" s="1090"/>
      <c r="D279" s="1090"/>
      <c r="E279" s="1090"/>
      <c r="F279" s="1090"/>
      <c r="G279" s="1090"/>
      <c r="H279" s="1091"/>
      <c r="I279" s="129"/>
      <c r="J279" s="130"/>
      <c r="K279" s="469">
        <f t="shared" si="12"/>
        <v>0</v>
      </c>
      <c r="L279" s="546">
        <f t="shared" si="13"/>
        <v>0</v>
      </c>
      <c r="M279" s="534"/>
      <c r="N279" s="132"/>
      <c r="O279" s="132"/>
      <c r="P279" s="534"/>
      <c r="Q279" s="132"/>
      <c r="R279" s="132"/>
    </row>
    <row r="280" spans="2:18" x14ac:dyDescent="0.25">
      <c r="B280" s="128">
        <v>16</v>
      </c>
      <c r="C280" s="1090"/>
      <c r="D280" s="1090"/>
      <c r="E280" s="1090"/>
      <c r="F280" s="1090"/>
      <c r="G280" s="1090"/>
      <c r="H280" s="1091"/>
      <c r="I280" s="129"/>
      <c r="J280" s="130"/>
      <c r="K280" s="469">
        <f t="shared" si="12"/>
        <v>0</v>
      </c>
      <c r="L280" s="546">
        <f t="shared" si="13"/>
        <v>0</v>
      </c>
      <c r="M280" s="534"/>
      <c r="N280" s="132"/>
      <c r="O280" s="132"/>
      <c r="P280" s="534"/>
      <c r="Q280" s="132"/>
      <c r="R280" s="132"/>
    </row>
    <row r="281" spans="2:18" x14ac:dyDescent="0.25">
      <c r="B281" s="128">
        <v>17</v>
      </c>
      <c r="C281" s="1090"/>
      <c r="D281" s="1090"/>
      <c r="E281" s="1090"/>
      <c r="F281" s="1090"/>
      <c r="G281" s="1090"/>
      <c r="H281" s="1091"/>
      <c r="I281" s="129"/>
      <c r="J281" s="130"/>
      <c r="K281" s="469">
        <f t="shared" si="12"/>
        <v>0</v>
      </c>
      <c r="L281" s="546">
        <f t="shared" si="13"/>
        <v>0</v>
      </c>
      <c r="M281" s="534"/>
      <c r="N281" s="132"/>
      <c r="O281" s="132"/>
      <c r="P281" s="534"/>
      <c r="Q281" s="132"/>
      <c r="R281" s="132"/>
    </row>
    <row r="282" spans="2:18" x14ac:dyDescent="0.25">
      <c r="B282" s="128">
        <v>18</v>
      </c>
      <c r="C282" s="1090"/>
      <c r="D282" s="1090"/>
      <c r="E282" s="1090"/>
      <c r="F282" s="1090"/>
      <c r="G282" s="1090"/>
      <c r="H282" s="1091"/>
      <c r="I282" s="129"/>
      <c r="J282" s="130"/>
      <c r="K282" s="469">
        <f t="shared" si="12"/>
        <v>0</v>
      </c>
      <c r="L282" s="546">
        <f t="shared" si="13"/>
        <v>0</v>
      </c>
      <c r="M282" s="534"/>
      <c r="N282" s="132"/>
      <c r="O282" s="132"/>
      <c r="P282" s="534"/>
      <c r="Q282" s="132"/>
      <c r="R282" s="132"/>
    </row>
    <row r="283" spans="2:18" x14ac:dyDescent="0.25">
      <c r="B283" s="128">
        <v>19</v>
      </c>
      <c r="C283" s="1090"/>
      <c r="D283" s="1090"/>
      <c r="E283" s="1090"/>
      <c r="F283" s="1090"/>
      <c r="G283" s="1090"/>
      <c r="H283" s="1091"/>
      <c r="I283" s="129"/>
      <c r="J283" s="130"/>
      <c r="K283" s="469">
        <f t="shared" si="12"/>
        <v>0</v>
      </c>
      <c r="L283" s="546">
        <f t="shared" si="13"/>
        <v>0</v>
      </c>
      <c r="M283" s="534"/>
      <c r="N283" s="132"/>
      <c r="O283" s="132"/>
      <c r="P283" s="534"/>
      <c r="Q283" s="132"/>
      <c r="R283" s="132"/>
    </row>
    <row r="284" spans="2:18" x14ac:dyDescent="0.25">
      <c r="B284" s="128">
        <v>20</v>
      </c>
      <c r="C284" s="1090"/>
      <c r="D284" s="1090"/>
      <c r="E284" s="1090"/>
      <c r="F284" s="1090"/>
      <c r="G284" s="1090"/>
      <c r="H284" s="1091"/>
      <c r="I284" s="129"/>
      <c r="J284" s="130"/>
      <c r="K284" s="469">
        <f t="shared" si="12"/>
        <v>0</v>
      </c>
      <c r="L284" s="546">
        <f t="shared" si="13"/>
        <v>0</v>
      </c>
      <c r="M284" s="534"/>
      <c r="N284" s="132"/>
      <c r="O284" s="132"/>
      <c r="P284" s="534"/>
      <c r="Q284" s="132"/>
      <c r="R284" s="132"/>
    </row>
    <row r="285" spans="2:18" x14ac:dyDescent="0.25">
      <c r="B285" s="1084" t="s">
        <v>243</v>
      </c>
      <c r="C285" s="1084"/>
      <c r="D285" s="1084"/>
      <c r="E285" s="1084"/>
      <c r="F285" s="1084"/>
      <c r="G285" s="1084"/>
      <c r="H285" s="1084"/>
      <c r="I285" s="1084"/>
      <c r="J285" s="1084"/>
      <c r="K285" s="1084"/>
      <c r="L285" s="1084"/>
      <c r="M285" s="541" t="s">
        <v>917</v>
      </c>
      <c r="N285" s="541" t="s">
        <v>926</v>
      </c>
      <c r="O285" s="541" t="s">
        <v>927</v>
      </c>
      <c r="P285" s="541" t="s">
        <v>943</v>
      </c>
      <c r="Q285" s="541" t="s">
        <v>944</v>
      </c>
      <c r="R285" s="541" t="s">
        <v>945</v>
      </c>
    </row>
    <row r="286" spans="2:18" x14ac:dyDescent="0.25">
      <c r="B286" s="1043" t="s">
        <v>235</v>
      </c>
      <c r="C286" s="1044"/>
      <c r="D286" s="1044"/>
      <c r="E286" s="1044"/>
      <c r="F286" s="1044"/>
      <c r="G286" s="1044"/>
      <c r="H286" s="1045"/>
      <c r="I286" s="498" t="s">
        <v>236</v>
      </c>
      <c r="J286" s="126" t="s">
        <v>237</v>
      </c>
      <c r="K286" s="126" t="s">
        <v>238</v>
      </c>
      <c r="L286" s="126" t="s">
        <v>916</v>
      </c>
      <c r="M286" s="328" t="s">
        <v>239</v>
      </c>
      <c r="N286" s="328" t="s">
        <v>239</v>
      </c>
      <c r="O286" s="328" t="s">
        <v>239</v>
      </c>
      <c r="P286" s="328" t="s">
        <v>239</v>
      </c>
      <c r="Q286" s="328" t="s">
        <v>239</v>
      </c>
      <c r="R286" s="328" t="s">
        <v>239</v>
      </c>
    </row>
    <row r="287" spans="2:18" x14ac:dyDescent="0.25">
      <c r="B287" s="128">
        <v>1</v>
      </c>
      <c r="C287" s="1087"/>
      <c r="D287" s="1047"/>
      <c r="E287" s="1047"/>
      <c r="F287" s="1047"/>
      <c r="G287" s="1047"/>
      <c r="H287" s="1048"/>
      <c r="I287" s="783"/>
      <c r="J287" s="784"/>
      <c r="K287" s="469">
        <f t="shared" ref="K287:K306" si="14">IF(OR(I287=0,J287=0),0,IF((((($L$4^2*I287^2)/$F$5^2)*J287)/((($L$4^2*I287^2)/$F$5^2)+J287))&lt;(($L$4^2*I287^2)/$F$5^2),ROUND((((($L$4^2*I287^2)/$F$5^2)*J287)/((($L$4^2*I287^2)/$F$5^2)+J287)),0),ROUND((($L$4^2*I287^2)/$F$5^2),0)))</f>
        <v>0</v>
      </c>
      <c r="L287" s="546">
        <f t="shared" ref="L287:L306" si="15">IFERROR(SMALL(M287:R287,1),0)</f>
        <v>0</v>
      </c>
      <c r="M287" s="534"/>
      <c r="N287" s="132"/>
      <c r="O287" s="132"/>
      <c r="P287" s="534"/>
      <c r="Q287" s="132"/>
      <c r="R287" s="132"/>
    </row>
    <row r="288" spans="2:18" x14ac:dyDescent="0.25">
      <c r="B288" s="128">
        <v>2</v>
      </c>
      <c r="C288" s="1090"/>
      <c r="D288" s="1090"/>
      <c r="E288" s="1090"/>
      <c r="F288" s="1090"/>
      <c r="G288" s="1090"/>
      <c r="H288" s="1091"/>
      <c r="I288" s="129"/>
      <c r="J288" s="336"/>
      <c r="K288" s="469">
        <f t="shared" si="14"/>
        <v>0</v>
      </c>
      <c r="L288" s="546">
        <f t="shared" si="15"/>
        <v>0</v>
      </c>
      <c r="M288" s="534"/>
      <c r="N288" s="132"/>
      <c r="O288" s="132"/>
      <c r="P288" s="534"/>
      <c r="Q288" s="132"/>
      <c r="R288" s="132"/>
    </row>
    <row r="289" spans="2:18" x14ac:dyDescent="0.25">
      <c r="B289" s="128">
        <v>3</v>
      </c>
      <c r="C289" s="1093"/>
      <c r="D289" s="1090"/>
      <c r="E289" s="1090"/>
      <c r="F289" s="1090"/>
      <c r="G289" s="1090"/>
      <c r="H289" s="1091"/>
      <c r="I289" s="129"/>
      <c r="J289" s="336"/>
      <c r="K289" s="469">
        <f t="shared" si="14"/>
        <v>0</v>
      </c>
      <c r="L289" s="546">
        <f t="shared" si="15"/>
        <v>0</v>
      </c>
      <c r="M289" s="534"/>
      <c r="N289" s="132"/>
      <c r="O289" s="132"/>
      <c r="P289" s="534"/>
      <c r="Q289" s="132"/>
      <c r="R289" s="132"/>
    </row>
    <row r="290" spans="2:18" x14ac:dyDescent="0.25">
      <c r="B290" s="128">
        <v>4</v>
      </c>
      <c r="C290" s="1090"/>
      <c r="D290" s="1090"/>
      <c r="E290" s="1090"/>
      <c r="F290" s="1090"/>
      <c r="G290" s="1090"/>
      <c r="H290" s="1091"/>
      <c r="I290" s="129"/>
      <c r="J290" s="336"/>
      <c r="K290" s="469">
        <f t="shared" si="14"/>
        <v>0</v>
      </c>
      <c r="L290" s="546">
        <f t="shared" si="15"/>
        <v>0</v>
      </c>
      <c r="M290" s="534"/>
      <c r="N290" s="132"/>
      <c r="O290" s="132"/>
      <c r="P290" s="534"/>
      <c r="Q290" s="132"/>
      <c r="R290" s="132"/>
    </row>
    <row r="291" spans="2:18" x14ac:dyDescent="0.25">
      <c r="B291" s="128">
        <v>5</v>
      </c>
      <c r="C291" s="1090"/>
      <c r="D291" s="1090"/>
      <c r="E291" s="1090"/>
      <c r="F291" s="1090"/>
      <c r="G291" s="1090"/>
      <c r="H291" s="1091"/>
      <c r="I291" s="129"/>
      <c r="J291" s="336"/>
      <c r="K291" s="469">
        <f t="shared" si="14"/>
        <v>0</v>
      </c>
      <c r="L291" s="546">
        <f t="shared" si="15"/>
        <v>0</v>
      </c>
      <c r="M291" s="534"/>
      <c r="N291" s="132"/>
      <c r="O291" s="132"/>
      <c r="P291" s="534"/>
      <c r="Q291" s="132"/>
      <c r="R291" s="132"/>
    </row>
    <row r="292" spans="2:18" x14ac:dyDescent="0.25">
      <c r="B292" s="128">
        <v>6</v>
      </c>
      <c r="C292" s="1090"/>
      <c r="D292" s="1090"/>
      <c r="E292" s="1090"/>
      <c r="F292" s="1090"/>
      <c r="G292" s="1090"/>
      <c r="H292" s="1091"/>
      <c r="I292" s="129"/>
      <c r="J292" s="336"/>
      <c r="K292" s="469">
        <f t="shared" si="14"/>
        <v>0</v>
      </c>
      <c r="L292" s="546">
        <f t="shared" si="15"/>
        <v>0</v>
      </c>
      <c r="M292" s="534"/>
      <c r="N292" s="132"/>
      <c r="O292" s="132"/>
      <c r="P292" s="534"/>
      <c r="Q292" s="132"/>
      <c r="R292" s="132"/>
    </row>
    <row r="293" spans="2:18" x14ac:dyDescent="0.25">
      <c r="B293" s="128">
        <v>7</v>
      </c>
      <c r="C293" s="1090"/>
      <c r="D293" s="1090"/>
      <c r="E293" s="1090"/>
      <c r="F293" s="1090"/>
      <c r="G293" s="1090"/>
      <c r="H293" s="1091"/>
      <c r="I293" s="129"/>
      <c r="J293" s="336"/>
      <c r="K293" s="469">
        <f t="shared" si="14"/>
        <v>0</v>
      </c>
      <c r="L293" s="546">
        <f t="shared" si="15"/>
        <v>0</v>
      </c>
      <c r="M293" s="534"/>
      <c r="N293" s="132"/>
      <c r="O293" s="132"/>
      <c r="P293" s="534"/>
      <c r="Q293" s="132"/>
      <c r="R293" s="132"/>
    </row>
    <row r="294" spans="2:18" x14ac:dyDescent="0.25">
      <c r="B294" s="128">
        <v>8</v>
      </c>
      <c r="C294" s="1090"/>
      <c r="D294" s="1090"/>
      <c r="E294" s="1090"/>
      <c r="F294" s="1090"/>
      <c r="G294" s="1090"/>
      <c r="H294" s="1091"/>
      <c r="I294" s="129"/>
      <c r="J294" s="336"/>
      <c r="K294" s="469">
        <f t="shared" si="14"/>
        <v>0</v>
      </c>
      <c r="L294" s="546">
        <f t="shared" si="15"/>
        <v>0</v>
      </c>
      <c r="M294" s="534"/>
      <c r="N294" s="132"/>
      <c r="O294" s="132"/>
      <c r="P294" s="534"/>
      <c r="Q294" s="132"/>
      <c r="R294" s="132"/>
    </row>
    <row r="295" spans="2:18" x14ac:dyDescent="0.25">
      <c r="B295" s="128">
        <v>9</v>
      </c>
      <c r="C295" s="1090"/>
      <c r="D295" s="1090"/>
      <c r="E295" s="1090"/>
      <c r="F295" s="1090"/>
      <c r="G295" s="1090"/>
      <c r="H295" s="1091"/>
      <c r="I295" s="129"/>
      <c r="J295" s="336"/>
      <c r="K295" s="469">
        <f t="shared" si="14"/>
        <v>0</v>
      </c>
      <c r="L295" s="546">
        <f t="shared" si="15"/>
        <v>0</v>
      </c>
      <c r="M295" s="534"/>
      <c r="N295" s="132"/>
      <c r="O295" s="132"/>
      <c r="P295" s="534"/>
      <c r="Q295" s="132"/>
      <c r="R295" s="132"/>
    </row>
    <row r="296" spans="2:18" x14ac:dyDescent="0.25">
      <c r="B296" s="128">
        <v>10</v>
      </c>
      <c r="C296" s="1090"/>
      <c r="D296" s="1090"/>
      <c r="E296" s="1090"/>
      <c r="F296" s="1090"/>
      <c r="G296" s="1090"/>
      <c r="H296" s="1091"/>
      <c r="I296" s="129"/>
      <c r="J296" s="336"/>
      <c r="K296" s="469">
        <f t="shared" si="14"/>
        <v>0</v>
      </c>
      <c r="L296" s="546">
        <f t="shared" si="15"/>
        <v>0</v>
      </c>
      <c r="M296" s="534"/>
      <c r="N296" s="132"/>
      <c r="O296" s="132"/>
      <c r="P296" s="534"/>
      <c r="Q296" s="132"/>
      <c r="R296" s="132"/>
    </row>
    <row r="297" spans="2:18" x14ac:dyDescent="0.25">
      <c r="B297" s="128">
        <v>11</v>
      </c>
      <c r="C297" s="1090"/>
      <c r="D297" s="1090"/>
      <c r="E297" s="1090"/>
      <c r="F297" s="1090"/>
      <c r="G297" s="1090"/>
      <c r="H297" s="1091"/>
      <c r="I297" s="129"/>
      <c r="J297" s="336"/>
      <c r="K297" s="469">
        <f t="shared" si="14"/>
        <v>0</v>
      </c>
      <c r="L297" s="546">
        <f t="shared" si="15"/>
        <v>0</v>
      </c>
      <c r="M297" s="534"/>
      <c r="N297" s="132"/>
      <c r="O297" s="132"/>
      <c r="P297" s="534"/>
      <c r="Q297" s="132"/>
      <c r="R297" s="132"/>
    </row>
    <row r="298" spans="2:18" x14ac:dyDescent="0.25">
      <c r="B298" s="128">
        <v>12</v>
      </c>
      <c r="C298" s="1090"/>
      <c r="D298" s="1090"/>
      <c r="E298" s="1090"/>
      <c r="F298" s="1090"/>
      <c r="G298" s="1090"/>
      <c r="H298" s="1091"/>
      <c r="I298" s="129"/>
      <c r="J298" s="130"/>
      <c r="K298" s="469">
        <f t="shared" si="14"/>
        <v>0</v>
      </c>
      <c r="L298" s="546">
        <f t="shared" si="15"/>
        <v>0</v>
      </c>
      <c r="M298" s="534"/>
      <c r="N298" s="132"/>
      <c r="O298" s="132"/>
      <c r="P298" s="534"/>
      <c r="Q298" s="132"/>
      <c r="R298" s="132"/>
    </row>
    <row r="299" spans="2:18" x14ac:dyDescent="0.25">
      <c r="B299" s="128">
        <v>13</v>
      </c>
      <c r="C299" s="1090"/>
      <c r="D299" s="1090"/>
      <c r="E299" s="1090"/>
      <c r="F299" s="1090"/>
      <c r="G299" s="1090"/>
      <c r="H299" s="1091"/>
      <c r="I299" s="129"/>
      <c r="J299" s="130"/>
      <c r="K299" s="469">
        <f t="shared" si="14"/>
        <v>0</v>
      </c>
      <c r="L299" s="546">
        <f t="shared" si="15"/>
        <v>0</v>
      </c>
      <c r="M299" s="534"/>
      <c r="N299" s="132"/>
      <c r="O299" s="132"/>
      <c r="P299" s="534"/>
      <c r="Q299" s="132"/>
      <c r="R299" s="132"/>
    </row>
    <row r="300" spans="2:18" x14ac:dyDescent="0.25">
      <c r="B300" s="128">
        <v>14</v>
      </c>
      <c r="C300" s="1090"/>
      <c r="D300" s="1090"/>
      <c r="E300" s="1090"/>
      <c r="F300" s="1090"/>
      <c r="G300" s="1090"/>
      <c r="H300" s="1091"/>
      <c r="I300" s="129"/>
      <c r="J300" s="130"/>
      <c r="K300" s="469">
        <f t="shared" si="14"/>
        <v>0</v>
      </c>
      <c r="L300" s="546">
        <f t="shared" si="15"/>
        <v>0</v>
      </c>
      <c r="M300" s="534"/>
      <c r="N300" s="132"/>
      <c r="O300" s="132"/>
      <c r="P300" s="534"/>
      <c r="Q300" s="132"/>
      <c r="R300" s="132"/>
    </row>
    <row r="301" spans="2:18" x14ac:dyDescent="0.25">
      <c r="B301" s="128">
        <v>15</v>
      </c>
      <c r="C301" s="1090"/>
      <c r="D301" s="1090"/>
      <c r="E301" s="1090"/>
      <c r="F301" s="1090"/>
      <c r="G301" s="1090"/>
      <c r="H301" s="1091"/>
      <c r="I301" s="129"/>
      <c r="J301" s="130"/>
      <c r="K301" s="469">
        <f t="shared" si="14"/>
        <v>0</v>
      </c>
      <c r="L301" s="546">
        <f t="shared" si="15"/>
        <v>0</v>
      </c>
      <c r="M301" s="534"/>
      <c r="N301" s="132"/>
      <c r="O301" s="132"/>
      <c r="P301" s="534"/>
      <c r="Q301" s="132"/>
      <c r="R301" s="132"/>
    </row>
    <row r="302" spans="2:18" x14ac:dyDescent="0.25">
      <c r="B302" s="128">
        <v>16</v>
      </c>
      <c r="C302" s="1090"/>
      <c r="D302" s="1090"/>
      <c r="E302" s="1090"/>
      <c r="F302" s="1090"/>
      <c r="G302" s="1090"/>
      <c r="H302" s="1091"/>
      <c r="I302" s="129"/>
      <c r="J302" s="130"/>
      <c r="K302" s="469">
        <f t="shared" si="14"/>
        <v>0</v>
      </c>
      <c r="L302" s="546">
        <f t="shared" si="15"/>
        <v>0</v>
      </c>
      <c r="M302" s="534"/>
      <c r="N302" s="132"/>
      <c r="O302" s="132"/>
      <c r="P302" s="534"/>
      <c r="Q302" s="132"/>
      <c r="R302" s="132"/>
    </row>
    <row r="303" spans="2:18" x14ac:dyDescent="0.25">
      <c r="B303" s="128">
        <v>17</v>
      </c>
      <c r="C303" s="1090"/>
      <c r="D303" s="1090"/>
      <c r="E303" s="1090"/>
      <c r="F303" s="1090"/>
      <c r="G303" s="1090"/>
      <c r="H303" s="1091"/>
      <c r="I303" s="129"/>
      <c r="J303" s="130"/>
      <c r="K303" s="469">
        <f t="shared" si="14"/>
        <v>0</v>
      </c>
      <c r="L303" s="546">
        <f t="shared" si="15"/>
        <v>0</v>
      </c>
      <c r="M303" s="534"/>
      <c r="N303" s="132"/>
      <c r="O303" s="132"/>
      <c r="P303" s="534"/>
      <c r="Q303" s="132"/>
      <c r="R303" s="132"/>
    </row>
    <row r="304" spans="2:18" x14ac:dyDescent="0.25">
      <c r="B304" s="128">
        <v>18</v>
      </c>
      <c r="C304" s="1090"/>
      <c r="D304" s="1090"/>
      <c r="E304" s="1090"/>
      <c r="F304" s="1090"/>
      <c r="G304" s="1090"/>
      <c r="H304" s="1091"/>
      <c r="I304" s="129"/>
      <c r="J304" s="130"/>
      <c r="K304" s="469">
        <f t="shared" si="14"/>
        <v>0</v>
      </c>
      <c r="L304" s="546">
        <f t="shared" si="15"/>
        <v>0</v>
      </c>
      <c r="M304" s="534"/>
      <c r="N304" s="132"/>
      <c r="O304" s="132"/>
      <c r="P304" s="534"/>
      <c r="Q304" s="132"/>
      <c r="R304" s="132"/>
    </row>
    <row r="305" spans="2:18" x14ac:dyDescent="0.25">
      <c r="B305" s="128">
        <v>19</v>
      </c>
      <c r="C305" s="1090"/>
      <c r="D305" s="1090"/>
      <c r="E305" s="1090"/>
      <c r="F305" s="1090"/>
      <c r="G305" s="1090"/>
      <c r="H305" s="1091"/>
      <c r="I305" s="129"/>
      <c r="J305" s="130"/>
      <c r="K305" s="469">
        <f t="shared" si="14"/>
        <v>0</v>
      </c>
      <c r="L305" s="546">
        <f t="shared" si="15"/>
        <v>0</v>
      </c>
      <c r="M305" s="534"/>
      <c r="N305" s="132"/>
      <c r="O305" s="132"/>
      <c r="P305" s="534"/>
      <c r="Q305" s="132"/>
      <c r="R305" s="132"/>
    </row>
    <row r="306" spans="2:18" x14ac:dyDescent="0.25">
      <c r="B306" s="128">
        <v>20</v>
      </c>
      <c r="C306" s="1090"/>
      <c r="D306" s="1090"/>
      <c r="E306" s="1090"/>
      <c r="F306" s="1090"/>
      <c r="G306" s="1090"/>
      <c r="H306" s="1091"/>
      <c r="I306" s="129"/>
      <c r="J306" s="130"/>
      <c r="K306" s="469">
        <f t="shared" si="14"/>
        <v>0</v>
      </c>
      <c r="L306" s="546">
        <f t="shared" si="15"/>
        <v>0</v>
      </c>
      <c r="M306" s="534"/>
      <c r="N306" s="132"/>
      <c r="O306" s="132"/>
      <c r="P306" s="534"/>
      <c r="Q306" s="132"/>
      <c r="R306" s="132"/>
    </row>
    <row r="307" spans="2:18" x14ac:dyDescent="0.25">
      <c r="B307" s="1083" t="s">
        <v>684</v>
      </c>
      <c r="C307" s="1083"/>
      <c r="D307" s="1083"/>
      <c r="E307" s="1083"/>
      <c r="F307" s="1083"/>
      <c r="G307" s="1083"/>
      <c r="H307" s="1083"/>
      <c r="I307" s="1083"/>
      <c r="J307" s="1083"/>
      <c r="K307" s="1083"/>
      <c r="L307" s="1083"/>
      <c r="M307" s="523"/>
      <c r="N307" s="523"/>
      <c r="O307" s="524"/>
      <c r="P307" s="523"/>
      <c r="Q307" s="523"/>
      <c r="R307" s="524"/>
    </row>
    <row r="308" spans="2:18" x14ac:dyDescent="0.25">
      <c r="B308" s="1084" t="s">
        <v>234</v>
      </c>
      <c r="C308" s="1084"/>
      <c r="D308" s="1084"/>
      <c r="E308" s="1084"/>
      <c r="F308" s="1084"/>
      <c r="G308" s="1084"/>
      <c r="H308" s="1084"/>
      <c r="I308" s="1084"/>
      <c r="J308" s="1084"/>
      <c r="K308" s="1084"/>
      <c r="L308" s="1084"/>
      <c r="M308" s="541" t="s">
        <v>917</v>
      </c>
      <c r="N308" s="541" t="s">
        <v>926</v>
      </c>
      <c r="O308" s="541" t="s">
        <v>927</v>
      </c>
      <c r="P308" s="541" t="s">
        <v>943</v>
      </c>
      <c r="Q308" s="541" t="s">
        <v>944</v>
      </c>
      <c r="R308" s="541" t="s">
        <v>945</v>
      </c>
    </row>
    <row r="309" spans="2:18" x14ac:dyDescent="0.25">
      <c r="B309" s="1043" t="s">
        <v>235</v>
      </c>
      <c r="C309" s="1044"/>
      <c r="D309" s="1044"/>
      <c r="E309" s="1044"/>
      <c r="F309" s="1044"/>
      <c r="G309" s="1044"/>
      <c r="H309" s="1045"/>
      <c r="I309" s="498" t="s">
        <v>236</v>
      </c>
      <c r="J309" s="126" t="s">
        <v>237</v>
      </c>
      <c r="K309" s="126" t="s">
        <v>238</v>
      </c>
      <c r="L309" s="126" t="s">
        <v>916</v>
      </c>
      <c r="M309" s="328" t="s">
        <v>239</v>
      </c>
      <c r="N309" s="328" t="s">
        <v>239</v>
      </c>
      <c r="O309" s="328" t="s">
        <v>239</v>
      </c>
      <c r="P309" s="328" t="s">
        <v>239</v>
      </c>
      <c r="Q309" s="328" t="s">
        <v>239</v>
      </c>
      <c r="R309" s="328" t="s">
        <v>239</v>
      </c>
    </row>
    <row r="310" spans="2:18" x14ac:dyDescent="0.25">
      <c r="B310" s="128">
        <v>1</v>
      </c>
      <c r="C310" s="1087"/>
      <c r="D310" s="1047"/>
      <c r="E310" s="1047"/>
      <c r="F310" s="1047"/>
      <c r="G310" s="1047"/>
      <c r="H310" s="1048"/>
      <c r="I310" s="783"/>
      <c r="J310" s="784"/>
      <c r="K310" s="469">
        <f t="shared" ref="K310:K319" si="16">IF(OR(I310=0,J310=0),0,IF((((($L$4^2*I310^2)/$F$5^2)*J310)/((($L$4^2*I310^2)/$F$5^2)+J310))&lt;(($L$4^2*I310^2)/$F$5^2),ROUND((((($L$4^2*I310^2)/$F$5^2)*J310)/((($L$4^2*I310^2)/$F$5^2)+J310)),0),ROUND((($L$4^2*I310^2)/$F$5^2),0)))</f>
        <v>0</v>
      </c>
      <c r="L310" s="546">
        <f t="shared" ref="L310:L319" si="17">IFERROR(SMALL(M310:R310,1),0)</f>
        <v>0</v>
      </c>
      <c r="M310" s="534"/>
      <c r="N310" s="132"/>
      <c r="O310" s="132"/>
      <c r="P310" s="534"/>
      <c r="Q310" s="132"/>
      <c r="R310" s="132"/>
    </row>
    <row r="311" spans="2:18" x14ac:dyDescent="0.25">
      <c r="B311" s="128">
        <v>2</v>
      </c>
      <c r="C311" s="1047"/>
      <c r="D311" s="1047"/>
      <c r="E311" s="1047"/>
      <c r="F311" s="1047"/>
      <c r="G311" s="1047"/>
      <c r="H311" s="1048"/>
      <c r="I311" s="545"/>
      <c r="J311" s="533"/>
      <c r="K311" s="469">
        <f t="shared" si="16"/>
        <v>0</v>
      </c>
      <c r="L311" s="546">
        <f t="shared" si="17"/>
        <v>0</v>
      </c>
      <c r="M311" s="534"/>
      <c r="N311" s="132"/>
      <c r="O311" s="132"/>
      <c r="P311" s="534"/>
      <c r="Q311" s="132"/>
      <c r="R311" s="132"/>
    </row>
    <row r="312" spans="2:18" x14ac:dyDescent="0.25">
      <c r="B312" s="128">
        <v>3</v>
      </c>
      <c r="C312" s="1047"/>
      <c r="D312" s="1047"/>
      <c r="E312" s="1047"/>
      <c r="F312" s="1047"/>
      <c r="G312" s="1047"/>
      <c r="H312" s="1048"/>
      <c r="I312" s="545"/>
      <c r="J312" s="533"/>
      <c r="K312" s="469">
        <f t="shared" si="16"/>
        <v>0</v>
      </c>
      <c r="L312" s="546">
        <f t="shared" si="17"/>
        <v>0</v>
      </c>
      <c r="M312" s="534"/>
      <c r="N312" s="132"/>
      <c r="O312" s="132"/>
      <c r="P312" s="534"/>
      <c r="Q312" s="132"/>
      <c r="R312" s="132"/>
    </row>
    <row r="313" spans="2:18" x14ac:dyDescent="0.25">
      <c r="B313" s="128">
        <v>4</v>
      </c>
      <c r="C313" s="1086"/>
      <c r="D313" s="1047"/>
      <c r="E313" s="1047"/>
      <c r="F313" s="1047"/>
      <c r="G313" s="1047"/>
      <c r="H313" s="1048"/>
      <c r="I313" s="545"/>
      <c r="J313" s="533"/>
      <c r="K313" s="469">
        <f t="shared" si="16"/>
        <v>0</v>
      </c>
      <c r="L313" s="546">
        <f t="shared" si="17"/>
        <v>0</v>
      </c>
      <c r="M313" s="534"/>
      <c r="N313" s="132"/>
      <c r="O313" s="132"/>
      <c r="P313" s="534"/>
      <c r="Q313" s="132"/>
      <c r="R313" s="132"/>
    </row>
    <row r="314" spans="2:18" x14ac:dyDescent="0.25">
      <c r="B314" s="128">
        <v>5</v>
      </c>
      <c r="C314" s="1047"/>
      <c r="D314" s="1047"/>
      <c r="E314" s="1047"/>
      <c r="F314" s="1047"/>
      <c r="G314" s="1047"/>
      <c r="H314" s="1048"/>
      <c r="I314" s="545"/>
      <c r="J314" s="533"/>
      <c r="K314" s="469">
        <f t="shared" si="16"/>
        <v>0</v>
      </c>
      <c r="L314" s="546">
        <f t="shared" si="17"/>
        <v>0</v>
      </c>
      <c r="M314" s="534"/>
      <c r="N314" s="132"/>
      <c r="O314" s="132"/>
      <c r="P314" s="534"/>
      <c r="Q314" s="132"/>
      <c r="R314" s="132"/>
    </row>
    <row r="315" spans="2:18" x14ac:dyDescent="0.25">
      <c r="B315" s="128">
        <v>6</v>
      </c>
      <c r="C315" s="1047"/>
      <c r="D315" s="1047"/>
      <c r="E315" s="1047"/>
      <c r="F315" s="1047"/>
      <c r="G315" s="1047"/>
      <c r="H315" s="1048"/>
      <c r="I315" s="545"/>
      <c r="J315" s="533"/>
      <c r="K315" s="469">
        <f t="shared" si="16"/>
        <v>0</v>
      </c>
      <c r="L315" s="546">
        <f t="shared" si="17"/>
        <v>0</v>
      </c>
      <c r="M315" s="534"/>
      <c r="N315" s="132"/>
      <c r="O315" s="132"/>
      <c r="P315" s="534"/>
      <c r="Q315" s="132"/>
      <c r="R315" s="132"/>
    </row>
    <row r="316" spans="2:18" x14ac:dyDescent="0.25">
      <c r="B316" s="128">
        <v>7</v>
      </c>
      <c r="C316" s="1047"/>
      <c r="D316" s="1047"/>
      <c r="E316" s="1047"/>
      <c r="F316" s="1047"/>
      <c r="G316" s="1047"/>
      <c r="H316" s="1048"/>
      <c r="I316" s="545"/>
      <c r="J316" s="533"/>
      <c r="K316" s="469">
        <f t="shared" si="16"/>
        <v>0</v>
      </c>
      <c r="L316" s="546">
        <f t="shared" si="17"/>
        <v>0</v>
      </c>
      <c r="M316" s="534"/>
      <c r="N316" s="132"/>
      <c r="O316" s="132"/>
      <c r="P316" s="534"/>
      <c r="Q316" s="132"/>
      <c r="R316" s="132"/>
    </row>
    <row r="317" spans="2:18" x14ac:dyDescent="0.25">
      <c r="B317" s="128">
        <v>8</v>
      </c>
      <c r="C317" s="1047"/>
      <c r="D317" s="1047"/>
      <c r="E317" s="1047"/>
      <c r="F317" s="1047"/>
      <c r="G317" s="1047"/>
      <c r="H317" s="1048"/>
      <c r="I317" s="545"/>
      <c r="J317" s="533"/>
      <c r="K317" s="469">
        <f t="shared" si="16"/>
        <v>0</v>
      </c>
      <c r="L317" s="546">
        <f t="shared" si="17"/>
        <v>0</v>
      </c>
      <c r="M317" s="534"/>
      <c r="N317" s="132"/>
      <c r="O317" s="132"/>
      <c r="P317" s="534"/>
      <c r="Q317" s="132"/>
      <c r="R317" s="132"/>
    </row>
    <row r="318" spans="2:18" x14ac:dyDescent="0.25">
      <c r="B318" s="128">
        <v>9</v>
      </c>
      <c r="C318" s="1047"/>
      <c r="D318" s="1047"/>
      <c r="E318" s="1047"/>
      <c r="F318" s="1047"/>
      <c r="G318" s="1047"/>
      <c r="H318" s="1048"/>
      <c r="I318" s="545"/>
      <c r="J318" s="533"/>
      <c r="K318" s="469">
        <f t="shared" si="16"/>
        <v>0</v>
      </c>
      <c r="L318" s="546">
        <f t="shared" si="17"/>
        <v>0</v>
      </c>
      <c r="M318" s="534"/>
      <c r="N318" s="132"/>
      <c r="O318" s="132"/>
      <c r="P318" s="534"/>
      <c r="Q318" s="132"/>
      <c r="R318" s="132"/>
    </row>
    <row r="319" spans="2:18" x14ac:dyDescent="0.25">
      <c r="B319" s="128">
        <v>10</v>
      </c>
      <c r="C319" s="1047"/>
      <c r="D319" s="1047"/>
      <c r="E319" s="1047"/>
      <c r="F319" s="1047"/>
      <c r="G319" s="1047"/>
      <c r="H319" s="1048"/>
      <c r="I319" s="545"/>
      <c r="J319" s="533"/>
      <c r="K319" s="469">
        <f t="shared" si="16"/>
        <v>0</v>
      </c>
      <c r="L319" s="546">
        <f t="shared" si="17"/>
        <v>0</v>
      </c>
      <c r="M319" s="534"/>
      <c r="N319" s="132"/>
      <c r="O319" s="132"/>
      <c r="P319" s="534"/>
      <c r="Q319" s="132"/>
      <c r="R319" s="132"/>
    </row>
    <row r="320" spans="2:18" x14ac:dyDescent="0.25">
      <c r="B320" s="1084" t="s">
        <v>243</v>
      </c>
      <c r="C320" s="1084"/>
      <c r="D320" s="1084"/>
      <c r="E320" s="1084"/>
      <c r="F320" s="1084"/>
      <c r="G320" s="1084"/>
      <c r="H320" s="1084"/>
      <c r="I320" s="1084"/>
      <c r="J320" s="1084"/>
      <c r="K320" s="1084"/>
      <c r="L320" s="1084"/>
      <c r="M320" s="541" t="s">
        <v>917</v>
      </c>
      <c r="N320" s="541" t="s">
        <v>926</v>
      </c>
      <c r="O320" s="541" t="s">
        <v>927</v>
      </c>
      <c r="P320" s="541" t="s">
        <v>943</v>
      </c>
      <c r="Q320" s="541" t="s">
        <v>944</v>
      </c>
      <c r="R320" s="541" t="s">
        <v>945</v>
      </c>
    </row>
    <row r="321" spans="2:18" x14ac:dyDescent="0.25">
      <c r="B321" s="1043" t="s">
        <v>235</v>
      </c>
      <c r="C321" s="1044"/>
      <c r="D321" s="1044"/>
      <c r="E321" s="1044"/>
      <c r="F321" s="1044"/>
      <c r="G321" s="1044"/>
      <c r="H321" s="1045"/>
      <c r="I321" s="498" t="s">
        <v>236</v>
      </c>
      <c r="J321" s="126" t="s">
        <v>237</v>
      </c>
      <c r="K321" s="126" t="s">
        <v>238</v>
      </c>
      <c r="L321" s="126" t="s">
        <v>916</v>
      </c>
      <c r="M321" s="328" t="s">
        <v>239</v>
      </c>
      <c r="N321" s="328" t="s">
        <v>239</v>
      </c>
      <c r="O321" s="328" t="s">
        <v>239</v>
      </c>
      <c r="P321" s="328" t="s">
        <v>239</v>
      </c>
      <c r="Q321" s="328" t="s">
        <v>239</v>
      </c>
      <c r="R321" s="328" t="s">
        <v>239</v>
      </c>
    </row>
    <row r="322" spans="2:18" x14ac:dyDescent="0.25">
      <c r="B322" s="128">
        <v>1</v>
      </c>
      <c r="C322" s="1087"/>
      <c r="D322" s="1047"/>
      <c r="E322" s="1047"/>
      <c r="F322" s="1047"/>
      <c r="G322" s="1047"/>
      <c r="H322" s="1048"/>
      <c r="I322" s="783"/>
      <c r="J322" s="784"/>
      <c r="K322" s="469">
        <f t="shared" ref="K322:K331" si="18">IF(OR(I322=0,J322=0),0,IF((((($L$4^2*I322^2)/$F$5^2)*J322)/((($L$4^2*I322^2)/$F$5^2)+J322))&lt;(($L$4^2*I322^2)/$F$5^2),ROUND((((($L$4^2*I322^2)/$F$5^2)*J322)/((($L$4^2*I322^2)/$F$5^2)+J322)),0),ROUND((($L$4^2*I322^2)/$F$5^2),0)))</f>
        <v>0</v>
      </c>
      <c r="L322" s="546">
        <f t="shared" ref="L322:L331" si="19">IFERROR(SMALL(M322:R322,1),0)</f>
        <v>0</v>
      </c>
      <c r="M322" s="534"/>
      <c r="N322" s="132"/>
      <c r="O322" s="132"/>
      <c r="P322" s="534"/>
      <c r="Q322" s="132"/>
      <c r="R322" s="132"/>
    </row>
    <row r="323" spans="2:18" x14ac:dyDescent="0.25">
      <c r="B323" s="128">
        <v>2</v>
      </c>
      <c r="C323" s="1047"/>
      <c r="D323" s="1047"/>
      <c r="E323" s="1047"/>
      <c r="F323" s="1047"/>
      <c r="G323" s="1047"/>
      <c r="H323" s="1048"/>
      <c r="I323" s="545"/>
      <c r="J323" s="533"/>
      <c r="K323" s="469">
        <f t="shared" si="18"/>
        <v>0</v>
      </c>
      <c r="L323" s="546">
        <f t="shared" si="19"/>
        <v>0</v>
      </c>
      <c r="M323" s="534"/>
      <c r="N323" s="132"/>
      <c r="O323" s="132"/>
      <c r="P323" s="534"/>
      <c r="Q323" s="132"/>
      <c r="R323" s="132"/>
    </row>
    <row r="324" spans="2:18" x14ac:dyDescent="0.25">
      <c r="B324" s="128">
        <v>3</v>
      </c>
      <c r="C324" s="1086"/>
      <c r="D324" s="1047"/>
      <c r="E324" s="1047"/>
      <c r="F324" s="1047"/>
      <c r="G324" s="1047"/>
      <c r="H324" s="1048"/>
      <c r="I324" s="545"/>
      <c r="J324" s="533"/>
      <c r="K324" s="469">
        <f t="shared" si="18"/>
        <v>0</v>
      </c>
      <c r="L324" s="546">
        <f t="shared" si="19"/>
        <v>0</v>
      </c>
      <c r="M324" s="534"/>
      <c r="N324" s="132"/>
      <c r="O324" s="132"/>
      <c r="P324" s="534"/>
      <c r="Q324" s="132"/>
      <c r="R324" s="132"/>
    </row>
    <row r="325" spans="2:18" x14ac:dyDescent="0.25">
      <c r="B325" s="128">
        <v>4</v>
      </c>
      <c r="C325" s="1047"/>
      <c r="D325" s="1047"/>
      <c r="E325" s="1047"/>
      <c r="F325" s="1047"/>
      <c r="G325" s="1047"/>
      <c r="H325" s="1048"/>
      <c r="I325" s="545"/>
      <c r="J325" s="533"/>
      <c r="K325" s="469">
        <f t="shared" si="18"/>
        <v>0</v>
      </c>
      <c r="L325" s="546">
        <f t="shared" si="19"/>
        <v>0</v>
      </c>
      <c r="M325" s="534"/>
      <c r="N325" s="132"/>
      <c r="O325" s="132"/>
      <c r="P325" s="534"/>
      <c r="Q325" s="132"/>
      <c r="R325" s="132"/>
    </row>
    <row r="326" spans="2:18" x14ac:dyDescent="0.25">
      <c r="B326" s="128">
        <v>5</v>
      </c>
      <c r="C326" s="1047"/>
      <c r="D326" s="1047"/>
      <c r="E326" s="1047"/>
      <c r="F326" s="1047"/>
      <c r="G326" s="1047"/>
      <c r="H326" s="1048"/>
      <c r="I326" s="545"/>
      <c r="J326" s="533"/>
      <c r="K326" s="469">
        <f t="shared" si="18"/>
        <v>0</v>
      </c>
      <c r="L326" s="546">
        <f t="shared" si="19"/>
        <v>0</v>
      </c>
      <c r="M326" s="534"/>
      <c r="N326" s="132"/>
      <c r="O326" s="132"/>
      <c r="P326" s="534"/>
      <c r="Q326" s="132"/>
      <c r="R326" s="132"/>
    </row>
    <row r="327" spans="2:18" x14ac:dyDescent="0.25">
      <c r="B327" s="128">
        <v>6</v>
      </c>
      <c r="C327" s="1047"/>
      <c r="D327" s="1047"/>
      <c r="E327" s="1047"/>
      <c r="F327" s="1047"/>
      <c r="G327" s="1047"/>
      <c r="H327" s="1048"/>
      <c r="I327" s="545"/>
      <c r="J327" s="533"/>
      <c r="K327" s="469">
        <f t="shared" si="18"/>
        <v>0</v>
      </c>
      <c r="L327" s="546">
        <f t="shared" si="19"/>
        <v>0</v>
      </c>
      <c r="M327" s="534"/>
      <c r="N327" s="132"/>
      <c r="O327" s="132"/>
      <c r="P327" s="534"/>
      <c r="Q327" s="132"/>
      <c r="R327" s="132"/>
    </row>
    <row r="328" spans="2:18" x14ac:dyDescent="0.25">
      <c r="B328" s="128">
        <v>7</v>
      </c>
      <c r="C328" s="1047"/>
      <c r="D328" s="1047"/>
      <c r="E328" s="1047"/>
      <c r="F328" s="1047"/>
      <c r="G328" s="1047"/>
      <c r="H328" s="1048"/>
      <c r="I328" s="545"/>
      <c r="J328" s="533"/>
      <c r="K328" s="469">
        <f t="shared" si="18"/>
        <v>0</v>
      </c>
      <c r="L328" s="546">
        <f t="shared" si="19"/>
        <v>0</v>
      </c>
      <c r="M328" s="534"/>
      <c r="N328" s="132"/>
      <c r="O328" s="132"/>
      <c r="P328" s="534"/>
      <c r="Q328" s="132"/>
      <c r="R328" s="132"/>
    </row>
    <row r="329" spans="2:18" x14ac:dyDescent="0.25">
      <c r="B329" s="128">
        <v>8</v>
      </c>
      <c r="C329" s="1047"/>
      <c r="D329" s="1047"/>
      <c r="E329" s="1047"/>
      <c r="F329" s="1047"/>
      <c r="G329" s="1047"/>
      <c r="H329" s="1048"/>
      <c r="I329" s="545"/>
      <c r="J329" s="533"/>
      <c r="K329" s="469">
        <f t="shared" si="18"/>
        <v>0</v>
      </c>
      <c r="L329" s="546">
        <f t="shared" si="19"/>
        <v>0</v>
      </c>
      <c r="M329" s="534"/>
      <c r="N329" s="132"/>
      <c r="O329" s="132"/>
      <c r="P329" s="534"/>
      <c r="Q329" s="132"/>
      <c r="R329" s="132"/>
    </row>
    <row r="330" spans="2:18" x14ac:dyDescent="0.25">
      <c r="B330" s="128">
        <v>9</v>
      </c>
      <c r="C330" s="1047"/>
      <c r="D330" s="1047"/>
      <c r="E330" s="1047"/>
      <c r="F330" s="1047"/>
      <c r="G330" s="1047"/>
      <c r="H330" s="1048"/>
      <c r="I330" s="545"/>
      <c r="J330" s="533"/>
      <c r="K330" s="469">
        <f t="shared" si="18"/>
        <v>0</v>
      </c>
      <c r="L330" s="546">
        <f t="shared" si="19"/>
        <v>0</v>
      </c>
      <c r="M330" s="534"/>
      <c r="N330" s="132"/>
      <c r="O330" s="132"/>
      <c r="P330" s="534"/>
      <c r="Q330" s="132"/>
      <c r="R330" s="132"/>
    </row>
    <row r="331" spans="2:18" x14ac:dyDescent="0.25">
      <c r="B331" s="128">
        <v>10</v>
      </c>
      <c r="C331" s="1047"/>
      <c r="D331" s="1047"/>
      <c r="E331" s="1047"/>
      <c r="F331" s="1047"/>
      <c r="G331" s="1047"/>
      <c r="H331" s="1048"/>
      <c r="I331" s="545"/>
      <c r="J331" s="533"/>
      <c r="K331" s="469">
        <f t="shared" si="18"/>
        <v>0</v>
      </c>
      <c r="L331" s="546">
        <f t="shared" si="19"/>
        <v>0</v>
      </c>
      <c r="M331" s="534"/>
      <c r="N331" s="132"/>
      <c r="O331" s="132"/>
      <c r="P331" s="534"/>
      <c r="Q331" s="132"/>
      <c r="R331" s="132"/>
    </row>
    <row r="332" spans="2:18" x14ac:dyDescent="0.25">
      <c r="B332" s="1083" t="s">
        <v>688</v>
      </c>
      <c r="C332" s="1083"/>
      <c r="D332" s="1083"/>
      <c r="E332" s="1083"/>
      <c r="F332" s="1083"/>
      <c r="G332" s="1083"/>
      <c r="H332" s="1083"/>
      <c r="I332" s="1083"/>
      <c r="J332" s="1083"/>
      <c r="K332" s="1083"/>
      <c r="L332" s="1083"/>
      <c r="M332" s="523"/>
      <c r="N332" s="523"/>
      <c r="O332" s="524"/>
      <c r="P332" s="523"/>
      <c r="Q332" s="523"/>
      <c r="R332" s="524"/>
    </row>
    <row r="333" spans="2:18" x14ac:dyDescent="0.25">
      <c r="B333" s="1084" t="s">
        <v>234</v>
      </c>
      <c r="C333" s="1084"/>
      <c r="D333" s="1084"/>
      <c r="E333" s="1084"/>
      <c r="F333" s="1084"/>
      <c r="G333" s="1084"/>
      <c r="H333" s="1084"/>
      <c r="I333" s="1084"/>
      <c r="J333" s="1084"/>
      <c r="K333" s="1084"/>
      <c r="L333" s="1084"/>
      <c r="M333" s="541" t="s">
        <v>917</v>
      </c>
      <c r="N333" s="541" t="s">
        <v>926</v>
      </c>
      <c r="O333" s="541" t="s">
        <v>927</v>
      </c>
      <c r="P333" s="541" t="s">
        <v>943</v>
      </c>
      <c r="Q333" s="541" t="s">
        <v>944</v>
      </c>
      <c r="R333" s="541" t="s">
        <v>945</v>
      </c>
    </row>
    <row r="334" spans="2:18" x14ac:dyDescent="0.25">
      <c r="B334" s="1043" t="s">
        <v>235</v>
      </c>
      <c r="C334" s="1044"/>
      <c r="D334" s="1044"/>
      <c r="E334" s="1044"/>
      <c r="F334" s="1044"/>
      <c r="G334" s="1044"/>
      <c r="H334" s="1045"/>
      <c r="I334" s="498" t="s">
        <v>236</v>
      </c>
      <c r="J334" s="126" t="s">
        <v>237</v>
      </c>
      <c r="K334" s="126" t="s">
        <v>238</v>
      </c>
      <c r="L334" s="126" t="s">
        <v>916</v>
      </c>
      <c r="M334" s="328" t="s">
        <v>239</v>
      </c>
      <c r="N334" s="328" t="s">
        <v>239</v>
      </c>
      <c r="O334" s="328" t="s">
        <v>239</v>
      </c>
      <c r="P334" s="328" t="s">
        <v>239</v>
      </c>
      <c r="Q334" s="328" t="s">
        <v>239</v>
      </c>
      <c r="R334" s="328" t="s">
        <v>239</v>
      </c>
    </row>
    <row r="335" spans="2:18" x14ac:dyDescent="0.25">
      <c r="B335" s="128">
        <v>1</v>
      </c>
      <c r="C335" s="1087"/>
      <c r="D335" s="1047"/>
      <c r="E335" s="1047"/>
      <c r="F335" s="1047"/>
      <c r="G335" s="1047"/>
      <c r="H335" s="1048"/>
      <c r="I335" s="783"/>
      <c r="J335" s="784"/>
      <c r="K335" s="469">
        <f t="shared" ref="K335:K354" si="20">IF(OR(I335=0,J335=0),0,IF((((($L$4^2*I335^2)/$F$5^2)*J335)/((($L$4^2*I335^2)/$F$5^2)+J335))&lt;(($L$4^2*I335^2)/$F$5^2),ROUND((((($L$4^2*I335^2)/$F$5^2)*J335)/((($L$4^2*I335^2)/$F$5^2)+J335)),0),ROUND((($L$4^2*I335^2)/$F$5^2),0)))</f>
        <v>0</v>
      </c>
      <c r="L335" s="546">
        <f t="shared" ref="L335:L354" si="21">IFERROR(SMALL(M335:R335,1),0)</f>
        <v>0</v>
      </c>
      <c r="M335" s="534"/>
      <c r="N335" s="132"/>
      <c r="O335" s="132"/>
      <c r="P335" s="534"/>
      <c r="Q335" s="132"/>
      <c r="R335" s="132"/>
    </row>
    <row r="336" spans="2:18" x14ac:dyDescent="0.25">
      <c r="B336" s="128">
        <v>2</v>
      </c>
      <c r="C336" s="1047"/>
      <c r="D336" s="1047"/>
      <c r="E336" s="1047"/>
      <c r="F336" s="1047"/>
      <c r="G336" s="1047"/>
      <c r="H336" s="1048"/>
      <c r="I336" s="545"/>
      <c r="J336" s="533"/>
      <c r="K336" s="469">
        <f t="shared" si="20"/>
        <v>0</v>
      </c>
      <c r="L336" s="546">
        <f t="shared" si="21"/>
        <v>0</v>
      </c>
      <c r="M336" s="534"/>
      <c r="N336" s="132"/>
      <c r="O336" s="132"/>
      <c r="P336" s="534"/>
      <c r="Q336" s="132"/>
      <c r="R336" s="132"/>
    </row>
    <row r="337" spans="2:18" x14ac:dyDescent="0.25">
      <c r="B337" s="128">
        <v>3</v>
      </c>
      <c r="C337" s="1047"/>
      <c r="D337" s="1047"/>
      <c r="E337" s="1047"/>
      <c r="F337" s="1047"/>
      <c r="G337" s="1047"/>
      <c r="H337" s="1048"/>
      <c r="I337" s="545"/>
      <c r="J337" s="533"/>
      <c r="K337" s="469">
        <f t="shared" si="20"/>
        <v>0</v>
      </c>
      <c r="L337" s="546">
        <f t="shared" si="21"/>
        <v>0</v>
      </c>
      <c r="M337" s="534"/>
      <c r="N337" s="132"/>
      <c r="O337" s="132"/>
      <c r="P337" s="534"/>
      <c r="Q337" s="132"/>
      <c r="R337" s="132"/>
    </row>
    <row r="338" spans="2:18" x14ac:dyDescent="0.25">
      <c r="B338" s="128">
        <v>4</v>
      </c>
      <c r="C338" s="1047"/>
      <c r="D338" s="1047"/>
      <c r="E338" s="1047"/>
      <c r="F338" s="1047"/>
      <c r="G338" s="1047"/>
      <c r="H338" s="1048"/>
      <c r="I338" s="545"/>
      <c r="J338" s="533"/>
      <c r="K338" s="469">
        <f t="shared" si="20"/>
        <v>0</v>
      </c>
      <c r="L338" s="546">
        <f t="shared" si="21"/>
        <v>0</v>
      </c>
      <c r="M338" s="534"/>
      <c r="N338" s="132"/>
      <c r="O338" s="132"/>
      <c r="P338" s="534"/>
      <c r="Q338" s="132"/>
      <c r="R338" s="132"/>
    </row>
    <row r="339" spans="2:18" x14ac:dyDescent="0.25">
      <c r="B339" s="128">
        <v>5</v>
      </c>
      <c r="C339" s="1047"/>
      <c r="D339" s="1047"/>
      <c r="E339" s="1047"/>
      <c r="F339" s="1047"/>
      <c r="G339" s="1047"/>
      <c r="H339" s="1048"/>
      <c r="I339" s="545"/>
      <c r="J339" s="533"/>
      <c r="K339" s="469">
        <f t="shared" si="20"/>
        <v>0</v>
      </c>
      <c r="L339" s="546">
        <f t="shared" si="21"/>
        <v>0</v>
      </c>
      <c r="M339" s="534"/>
      <c r="N339" s="132"/>
      <c r="O339" s="132"/>
      <c r="P339" s="534"/>
      <c r="Q339" s="132"/>
      <c r="R339" s="132"/>
    </row>
    <row r="340" spans="2:18" x14ac:dyDescent="0.25">
      <c r="B340" s="128">
        <v>6</v>
      </c>
      <c r="C340" s="1047"/>
      <c r="D340" s="1047"/>
      <c r="E340" s="1047"/>
      <c r="F340" s="1047"/>
      <c r="G340" s="1047"/>
      <c r="H340" s="1048"/>
      <c r="I340" s="545"/>
      <c r="J340" s="533"/>
      <c r="K340" s="469">
        <f t="shared" si="20"/>
        <v>0</v>
      </c>
      <c r="L340" s="546">
        <f t="shared" si="21"/>
        <v>0</v>
      </c>
      <c r="M340" s="534"/>
      <c r="N340" s="132"/>
      <c r="O340" s="132"/>
      <c r="P340" s="534"/>
      <c r="Q340" s="132"/>
      <c r="R340" s="132"/>
    </row>
    <row r="341" spans="2:18" x14ac:dyDescent="0.25">
      <c r="B341" s="128">
        <v>7</v>
      </c>
      <c r="C341" s="1047"/>
      <c r="D341" s="1047"/>
      <c r="E341" s="1047"/>
      <c r="F341" s="1047"/>
      <c r="G341" s="1047"/>
      <c r="H341" s="1048"/>
      <c r="I341" s="545"/>
      <c r="J341" s="533"/>
      <c r="K341" s="469">
        <f t="shared" si="20"/>
        <v>0</v>
      </c>
      <c r="L341" s="546">
        <f t="shared" si="21"/>
        <v>0</v>
      </c>
      <c r="M341" s="534"/>
      <c r="N341" s="132"/>
      <c r="O341" s="132"/>
      <c r="P341" s="534"/>
      <c r="Q341" s="132"/>
      <c r="R341" s="132"/>
    </row>
    <row r="342" spans="2:18" x14ac:dyDescent="0.25">
      <c r="B342" s="128">
        <v>8</v>
      </c>
      <c r="C342" s="1047"/>
      <c r="D342" s="1047"/>
      <c r="E342" s="1047"/>
      <c r="F342" s="1047"/>
      <c r="G342" s="1047"/>
      <c r="H342" s="1048"/>
      <c r="I342" s="545"/>
      <c r="J342" s="533"/>
      <c r="K342" s="469">
        <f t="shared" si="20"/>
        <v>0</v>
      </c>
      <c r="L342" s="546">
        <f t="shared" si="21"/>
        <v>0</v>
      </c>
      <c r="M342" s="534"/>
      <c r="N342" s="132"/>
      <c r="O342" s="132"/>
      <c r="P342" s="534"/>
      <c r="Q342" s="132"/>
      <c r="R342" s="132"/>
    </row>
    <row r="343" spans="2:18" x14ac:dyDescent="0.25">
      <c r="B343" s="128">
        <v>9</v>
      </c>
      <c r="C343" s="1047"/>
      <c r="D343" s="1047"/>
      <c r="E343" s="1047"/>
      <c r="F343" s="1047"/>
      <c r="G343" s="1047"/>
      <c r="H343" s="1048"/>
      <c r="I343" s="545"/>
      <c r="J343" s="533"/>
      <c r="K343" s="469">
        <f t="shared" si="20"/>
        <v>0</v>
      </c>
      <c r="L343" s="546">
        <f t="shared" si="21"/>
        <v>0</v>
      </c>
      <c r="M343" s="534"/>
      <c r="N343" s="132"/>
      <c r="O343" s="132"/>
      <c r="P343" s="534"/>
      <c r="Q343" s="132"/>
      <c r="R343" s="132"/>
    </row>
    <row r="344" spans="2:18" x14ac:dyDescent="0.25">
      <c r="B344" s="128">
        <v>10</v>
      </c>
      <c r="C344" s="1086"/>
      <c r="D344" s="1047"/>
      <c r="E344" s="1047"/>
      <c r="F344" s="1047"/>
      <c r="G344" s="1047"/>
      <c r="H344" s="1048"/>
      <c r="I344" s="545"/>
      <c r="J344" s="533"/>
      <c r="K344" s="469">
        <f t="shared" si="20"/>
        <v>0</v>
      </c>
      <c r="L344" s="546">
        <f t="shared" si="21"/>
        <v>0</v>
      </c>
      <c r="M344" s="534"/>
      <c r="N344" s="132"/>
      <c r="O344" s="132"/>
      <c r="P344" s="534"/>
      <c r="Q344" s="132"/>
      <c r="R344" s="132"/>
    </row>
    <row r="345" spans="2:18" x14ac:dyDescent="0.25">
      <c r="B345" s="128">
        <v>11</v>
      </c>
      <c r="C345" s="1047"/>
      <c r="D345" s="1047"/>
      <c r="E345" s="1047"/>
      <c r="F345" s="1047"/>
      <c r="G345" s="1047"/>
      <c r="H345" s="1048"/>
      <c r="I345" s="545"/>
      <c r="J345" s="533"/>
      <c r="K345" s="469">
        <f t="shared" si="20"/>
        <v>0</v>
      </c>
      <c r="L345" s="546">
        <f t="shared" si="21"/>
        <v>0</v>
      </c>
      <c r="M345" s="534"/>
      <c r="N345" s="132"/>
      <c r="O345" s="132"/>
      <c r="P345" s="534"/>
      <c r="Q345" s="132"/>
      <c r="R345" s="132"/>
    </row>
    <row r="346" spans="2:18" x14ac:dyDescent="0.25">
      <c r="B346" s="128">
        <v>12</v>
      </c>
      <c r="C346" s="1047"/>
      <c r="D346" s="1047"/>
      <c r="E346" s="1047"/>
      <c r="F346" s="1047"/>
      <c r="G346" s="1047"/>
      <c r="H346" s="1048"/>
      <c r="I346" s="545"/>
      <c r="J346" s="533"/>
      <c r="K346" s="469">
        <f t="shared" si="20"/>
        <v>0</v>
      </c>
      <c r="L346" s="546">
        <f t="shared" si="21"/>
        <v>0</v>
      </c>
      <c r="M346" s="534"/>
      <c r="N346" s="132"/>
      <c r="O346" s="132"/>
      <c r="P346" s="534"/>
      <c r="Q346" s="132"/>
      <c r="R346" s="132"/>
    </row>
    <row r="347" spans="2:18" x14ac:dyDescent="0.25">
      <c r="B347" s="128">
        <v>13</v>
      </c>
      <c r="C347" s="1047"/>
      <c r="D347" s="1047"/>
      <c r="E347" s="1047"/>
      <c r="F347" s="1047"/>
      <c r="G347" s="1047"/>
      <c r="H347" s="1048"/>
      <c r="I347" s="545"/>
      <c r="J347" s="533"/>
      <c r="K347" s="469">
        <f t="shared" si="20"/>
        <v>0</v>
      </c>
      <c r="L347" s="546">
        <f t="shared" si="21"/>
        <v>0</v>
      </c>
      <c r="M347" s="534"/>
      <c r="N347" s="132"/>
      <c r="O347" s="132"/>
      <c r="P347" s="534"/>
      <c r="Q347" s="132"/>
      <c r="R347" s="132"/>
    </row>
    <row r="348" spans="2:18" x14ac:dyDescent="0.25">
      <c r="B348" s="128">
        <v>14</v>
      </c>
      <c r="C348" s="1047"/>
      <c r="D348" s="1047"/>
      <c r="E348" s="1047"/>
      <c r="F348" s="1047"/>
      <c r="G348" s="1047"/>
      <c r="H348" s="1048"/>
      <c r="I348" s="545"/>
      <c r="J348" s="533"/>
      <c r="K348" s="469">
        <f t="shared" si="20"/>
        <v>0</v>
      </c>
      <c r="L348" s="546">
        <f t="shared" si="21"/>
        <v>0</v>
      </c>
      <c r="M348" s="534"/>
      <c r="N348" s="132"/>
      <c r="O348" s="132"/>
      <c r="P348" s="534"/>
      <c r="Q348" s="132"/>
      <c r="R348" s="132"/>
    </row>
    <row r="349" spans="2:18" x14ac:dyDescent="0.25">
      <c r="B349" s="128">
        <v>15</v>
      </c>
      <c r="C349" s="1047"/>
      <c r="D349" s="1047"/>
      <c r="E349" s="1047"/>
      <c r="F349" s="1047"/>
      <c r="G349" s="1047"/>
      <c r="H349" s="1048"/>
      <c r="I349" s="545"/>
      <c r="J349" s="533"/>
      <c r="K349" s="469">
        <f t="shared" si="20"/>
        <v>0</v>
      </c>
      <c r="L349" s="546">
        <f t="shared" si="21"/>
        <v>0</v>
      </c>
      <c r="M349" s="534"/>
      <c r="N349" s="132"/>
      <c r="O349" s="132"/>
      <c r="P349" s="534"/>
      <c r="Q349" s="132"/>
      <c r="R349" s="132"/>
    </row>
    <row r="350" spans="2:18" x14ac:dyDescent="0.25">
      <c r="B350" s="128">
        <v>16</v>
      </c>
      <c r="C350" s="1047"/>
      <c r="D350" s="1047"/>
      <c r="E350" s="1047"/>
      <c r="F350" s="1047"/>
      <c r="G350" s="1047"/>
      <c r="H350" s="1048"/>
      <c r="I350" s="545"/>
      <c r="J350" s="533"/>
      <c r="K350" s="469">
        <f t="shared" si="20"/>
        <v>0</v>
      </c>
      <c r="L350" s="546">
        <f t="shared" si="21"/>
        <v>0</v>
      </c>
      <c r="M350" s="534"/>
      <c r="N350" s="132"/>
      <c r="O350" s="132"/>
      <c r="P350" s="534"/>
      <c r="Q350" s="132"/>
      <c r="R350" s="132"/>
    </row>
    <row r="351" spans="2:18" x14ac:dyDescent="0.25">
      <c r="B351" s="128">
        <v>17</v>
      </c>
      <c r="C351" s="1047"/>
      <c r="D351" s="1047"/>
      <c r="E351" s="1047"/>
      <c r="F351" s="1047"/>
      <c r="G351" s="1047"/>
      <c r="H351" s="1048"/>
      <c r="I351" s="545"/>
      <c r="J351" s="533"/>
      <c r="K351" s="469">
        <f t="shared" si="20"/>
        <v>0</v>
      </c>
      <c r="L351" s="546">
        <f t="shared" si="21"/>
        <v>0</v>
      </c>
      <c r="M351" s="534"/>
      <c r="N351" s="132"/>
      <c r="O351" s="132"/>
      <c r="P351" s="534"/>
      <c r="Q351" s="132"/>
      <c r="R351" s="132"/>
    </row>
    <row r="352" spans="2:18" x14ac:dyDescent="0.25">
      <c r="B352" s="128">
        <v>18</v>
      </c>
      <c r="C352" s="1047"/>
      <c r="D352" s="1047"/>
      <c r="E352" s="1047"/>
      <c r="F352" s="1047"/>
      <c r="G352" s="1047"/>
      <c r="H352" s="1048"/>
      <c r="I352" s="545"/>
      <c r="J352" s="533"/>
      <c r="K352" s="469">
        <f t="shared" si="20"/>
        <v>0</v>
      </c>
      <c r="L352" s="546">
        <f t="shared" si="21"/>
        <v>0</v>
      </c>
      <c r="M352" s="534"/>
      <c r="N352" s="132"/>
      <c r="O352" s="132"/>
      <c r="P352" s="534"/>
      <c r="Q352" s="132"/>
      <c r="R352" s="132"/>
    </row>
    <row r="353" spans="2:18" x14ac:dyDescent="0.25">
      <c r="B353" s="128">
        <v>19</v>
      </c>
      <c r="C353" s="1047"/>
      <c r="D353" s="1047"/>
      <c r="E353" s="1047"/>
      <c r="F353" s="1047"/>
      <c r="G353" s="1047"/>
      <c r="H353" s="1048"/>
      <c r="I353" s="545"/>
      <c r="J353" s="533"/>
      <c r="K353" s="469">
        <f t="shared" si="20"/>
        <v>0</v>
      </c>
      <c r="L353" s="546">
        <f t="shared" si="21"/>
        <v>0</v>
      </c>
      <c r="M353" s="534"/>
      <c r="N353" s="132"/>
      <c r="O353" s="132"/>
      <c r="P353" s="534"/>
      <c r="Q353" s="132"/>
      <c r="R353" s="132"/>
    </row>
    <row r="354" spans="2:18" x14ac:dyDescent="0.25">
      <c r="B354" s="128">
        <v>20</v>
      </c>
      <c r="C354" s="1047"/>
      <c r="D354" s="1047"/>
      <c r="E354" s="1047"/>
      <c r="F354" s="1047"/>
      <c r="G354" s="1047"/>
      <c r="H354" s="1048"/>
      <c r="I354" s="545"/>
      <c r="J354" s="533"/>
      <c r="K354" s="469">
        <f t="shared" si="20"/>
        <v>0</v>
      </c>
      <c r="L354" s="546">
        <f t="shared" si="21"/>
        <v>0</v>
      </c>
      <c r="M354" s="534"/>
      <c r="N354" s="132"/>
      <c r="O354" s="132"/>
      <c r="P354" s="534"/>
      <c r="Q354" s="132"/>
      <c r="R354" s="132"/>
    </row>
    <row r="355" spans="2:18" x14ac:dyDescent="0.25">
      <c r="B355" s="1084" t="s">
        <v>243</v>
      </c>
      <c r="C355" s="1084"/>
      <c r="D355" s="1084"/>
      <c r="E355" s="1084"/>
      <c r="F355" s="1084"/>
      <c r="G355" s="1084"/>
      <c r="H355" s="1084"/>
      <c r="I355" s="1084"/>
      <c r="J355" s="1084"/>
      <c r="K355" s="1084"/>
      <c r="L355" s="1084"/>
      <c r="M355" s="541" t="s">
        <v>917</v>
      </c>
      <c r="N355" s="541" t="s">
        <v>926</v>
      </c>
      <c r="O355" s="541" t="s">
        <v>927</v>
      </c>
      <c r="P355" s="541" t="s">
        <v>943</v>
      </c>
      <c r="Q355" s="541" t="s">
        <v>944</v>
      </c>
      <c r="R355" s="541" t="s">
        <v>945</v>
      </c>
    </row>
    <row r="356" spans="2:18" x14ac:dyDescent="0.25">
      <c r="B356" s="1043" t="s">
        <v>235</v>
      </c>
      <c r="C356" s="1044"/>
      <c r="D356" s="1044"/>
      <c r="E356" s="1044"/>
      <c r="F356" s="1044"/>
      <c r="G356" s="1044"/>
      <c r="H356" s="1045"/>
      <c r="I356" s="498" t="s">
        <v>236</v>
      </c>
      <c r="J356" s="126" t="s">
        <v>237</v>
      </c>
      <c r="K356" s="126" t="s">
        <v>238</v>
      </c>
      <c r="L356" s="126" t="s">
        <v>916</v>
      </c>
      <c r="M356" s="328" t="s">
        <v>239</v>
      </c>
      <c r="N356" s="328" t="s">
        <v>239</v>
      </c>
      <c r="O356" s="328" t="s">
        <v>239</v>
      </c>
      <c r="P356" s="328" t="s">
        <v>239</v>
      </c>
      <c r="Q356" s="328" t="s">
        <v>239</v>
      </c>
      <c r="R356" s="328" t="s">
        <v>239</v>
      </c>
    </row>
    <row r="357" spans="2:18" x14ac:dyDescent="0.25">
      <c r="B357" s="128">
        <v>1</v>
      </c>
      <c r="C357" s="1087"/>
      <c r="D357" s="1047"/>
      <c r="E357" s="1047"/>
      <c r="F357" s="1047"/>
      <c r="G357" s="1047"/>
      <c r="H357" s="1048"/>
      <c r="I357" s="783"/>
      <c r="J357" s="784"/>
      <c r="K357" s="469">
        <f t="shared" ref="K357:K376" si="22">IF(OR(I357=0,J357=0),0,IF((((($L$4^2*I357^2)/$F$5^2)*J357)/((($L$4^2*I357^2)/$F$5^2)+J357))&lt;(($L$4^2*I357^2)/$F$5^2),ROUND((((($L$4^2*I357^2)/$F$5^2)*J357)/((($L$4^2*I357^2)/$F$5^2)+J357)),0),ROUND((($L$4^2*I357^2)/$F$5^2),0)))</f>
        <v>0</v>
      </c>
      <c r="L357" s="546">
        <f t="shared" ref="L357:L376" si="23">IFERROR(SMALL(M357:R357,1),0)</f>
        <v>0</v>
      </c>
      <c r="M357" s="534"/>
      <c r="N357" s="132"/>
      <c r="O357" s="132"/>
      <c r="P357" s="534"/>
      <c r="Q357" s="132"/>
      <c r="R357" s="132"/>
    </row>
    <row r="358" spans="2:18" x14ac:dyDescent="0.25">
      <c r="B358" s="128">
        <v>2</v>
      </c>
      <c r="C358" s="1047"/>
      <c r="D358" s="1047"/>
      <c r="E358" s="1047"/>
      <c r="F358" s="1047"/>
      <c r="G358" s="1047"/>
      <c r="H358" s="1048"/>
      <c r="I358" s="545"/>
      <c r="J358" s="533"/>
      <c r="K358" s="469">
        <f t="shared" si="22"/>
        <v>0</v>
      </c>
      <c r="L358" s="546">
        <f t="shared" si="23"/>
        <v>0</v>
      </c>
      <c r="M358" s="534"/>
      <c r="N358" s="132"/>
      <c r="O358" s="132"/>
      <c r="P358" s="534"/>
      <c r="Q358" s="132"/>
      <c r="R358" s="132"/>
    </row>
    <row r="359" spans="2:18" x14ac:dyDescent="0.25">
      <c r="B359" s="128">
        <v>3</v>
      </c>
      <c r="C359" s="1086"/>
      <c r="D359" s="1047"/>
      <c r="E359" s="1047"/>
      <c r="F359" s="1047"/>
      <c r="G359" s="1047"/>
      <c r="H359" s="1048"/>
      <c r="I359" s="545"/>
      <c r="J359" s="533"/>
      <c r="K359" s="469">
        <f t="shared" si="22"/>
        <v>0</v>
      </c>
      <c r="L359" s="546">
        <f t="shared" si="23"/>
        <v>0</v>
      </c>
      <c r="M359" s="534"/>
      <c r="N359" s="132"/>
      <c r="O359" s="132"/>
      <c r="P359" s="534"/>
      <c r="Q359" s="132"/>
      <c r="R359" s="132"/>
    </row>
    <row r="360" spans="2:18" x14ac:dyDescent="0.25">
      <c r="B360" s="128">
        <v>4</v>
      </c>
      <c r="C360" s="1047"/>
      <c r="D360" s="1047"/>
      <c r="E360" s="1047"/>
      <c r="F360" s="1047"/>
      <c r="G360" s="1047"/>
      <c r="H360" s="1048"/>
      <c r="I360" s="545"/>
      <c r="J360" s="533"/>
      <c r="K360" s="469">
        <f t="shared" si="22"/>
        <v>0</v>
      </c>
      <c r="L360" s="546">
        <f t="shared" si="23"/>
        <v>0</v>
      </c>
      <c r="M360" s="534"/>
      <c r="N360" s="132"/>
      <c r="O360" s="132"/>
      <c r="P360" s="534"/>
      <c r="Q360" s="132"/>
      <c r="R360" s="132"/>
    </row>
    <row r="361" spans="2:18" x14ac:dyDescent="0.25">
      <c r="B361" s="128">
        <v>5</v>
      </c>
      <c r="C361" s="1047"/>
      <c r="D361" s="1047"/>
      <c r="E361" s="1047"/>
      <c r="F361" s="1047"/>
      <c r="G361" s="1047"/>
      <c r="H361" s="1048"/>
      <c r="I361" s="545"/>
      <c r="J361" s="533"/>
      <c r="K361" s="469">
        <f t="shared" si="22"/>
        <v>0</v>
      </c>
      <c r="L361" s="546">
        <f t="shared" si="23"/>
        <v>0</v>
      </c>
      <c r="M361" s="534"/>
      <c r="N361" s="132"/>
      <c r="O361" s="132"/>
      <c r="P361" s="534"/>
      <c r="Q361" s="132"/>
      <c r="R361" s="132"/>
    </row>
    <row r="362" spans="2:18" x14ac:dyDescent="0.25">
      <c r="B362" s="128">
        <v>6</v>
      </c>
      <c r="C362" s="1047"/>
      <c r="D362" s="1047"/>
      <c r="E362" s="1047"/>
      <c r="F362" s="1047"/>
      <c r="G362" s="1047"/>
      <c r="H362" s="1048"/>
      <c r="I362" s="545"/>
      <c r="J362" s="533"/>
      <c r="K362" s="469">
        <f t="shared" si="22"/>
        <v>0</v>
      </c>
      <c r="L362" s="546">
        <f t="shared" si="23"/>
        <v>0</v>
      </c>
      <c r="M362" s="534"/>
      <c r="N362" s="132"/>
      <c r="O362" s="132"/>
      <c r="P362" s="534"/>
      <c r="Q362" s="132"/>
      <c r="R362" s="132"/>
    </row>
    <row r="363" spans="2:18" x14ac:dyDescent="0.25">
      <c r="B363" s="128">
        <v>7</v>
      </c>
      <c r="C363" s="1047"/>
      <c r="D363" s="1047"/>
      <c r="E363" s="1047"/>
      <c r="F363" s="1047"/>
      <c r="G363" s="1047"/>
      <c r="H363" s="1048"/>
      <c r="I363" s="545"/>
      <c r="J363" s="533"/>
      <c r="K363" s="469">
        <f t="shared" si="22"/>
        <v>0</v>
      </c>
      <c r="L363" s="546">
        <f t="shared" si="23"/>
        <v>0</v>
      </c>
      <c r="M363" s="534"/>
      <c r="N363" s="132"/>
      <c r="O363" s="132"/>
      <c r="P363" s="534"/>
      <c r="Q363" s="132"/>
      <c r="R363" s="132"/>
    </row>
    <row r="364" spans="2:18" x14ac:dyDescent="0.25">
      <c r="B364" s="128">
        <v>8</v>
      </c>
      <c r="C364" s="1047"/>
      <c r="D364" s="1047"/>
      <c r="E364" s="1047"/>
      <c r="F364" s="1047"/>
      <c r="G364" s="1047"/>
      <c r="H364" s="1048"/>
      <c r="I364" s="545"/>
      <c r="J364" s="533"/>
      <c r="K364" s="469">
        <f t="shared" si="22"/>
        <v>0</v>
      </c>
      <c r="L364" s="546">
        <f t="shared" si="23"/>
        <v>0</v>
      </c>
      <c r="M364" s="534"/>
      <c r="N364" s="132"/>
      <c r="O364" s="132"/>
      <c r="P364" s="534"/>
      <c r="Q364" s="132"/>
      <c r="R364" s="132"/>
    </row>
    <row r="365" spans="2:18" x14ac:dyDescent="0.25">
      <c r="B365" s="128">
        <v>9</v>
      </c>
      <c r="C365" s="1047"/>
      <c r="D365" s="1047"/>
      <c r="E365" s="1047"/>
      <c r="F365" s="1047"/>
      <c r="G365" s="1047"/>
      <c r="H365" s="1048"/>
      <c r="I365" s="545"/>
      <c r="J365" s="533"/>
      <c r="K365" s="469">
        <f t="shared" si="22"/>
        <v>0</v>
      </c>
      <c r="L365" s="546">
        <f t="shared" si="23"/>
        <v>0</v>
      </c>
      <c r="M365" s="534"/>
      <c r="N365" s="132"/>
      <c r="O365" s="132"/>
      <c r="P365" s="534"/>
      <c r="Q365" s="132"/>
      <c r="R365" s="132"/>
    </row>
    <row r="366" spans="2:18" x14ac:dyDescent="0.25">
      <c r="B366" s="128">
        <v>10</v>
      </c>
      <c r="C366" s="1047"/>
      <c r="D366" s="1047"/>
      <c r="E366" s="1047"/>
      <c r="F366" s="1047"/>
      <c r="G366" s="1047"/>
      <c r="H366" s="1048"/>
      <c r="I366" s="545"/>
      <c r="J366" s="533"/>
      <c r="K366" s="469">
        <f t="shared" si="22"/>
        <v>0</v>
      </c>
      <c r="L366" s="546">
        <f t="shared" si="23"/>
        <v>0</v>
      </c>
      <c r="M366" s="534"/>
      <c r="N366" s="132"/>
      <c r="O366" s="132"/>
      <c r="P366" s="534"/>
      <c r="Q366" s="132"/>
      <c r="R366" s="132"/>
    </row>
    <row r="367" spans="2:18" x14ac:dyDescent="0.25">
      <c r="B367" s="128">
        <v>11</v>
      </c>
      <c r="C367" s="1047"/>
      <c r="D367" s="1047"/>
      <c r="E367" s="1047"/>
      <c r="F367" s="1047"/>
      <c r="G367" s="1047"/>
      <c r="H367" s="1048"/>
      <c r="I367" s="545"/>
      <c r="J367" s="533"/>
      <c r="K367" s="469">
        <f t="shared" si="22"/>
        <v>0</v>
      </c>
      <c r="L367" s="546">
        <f t="shared" si="23"/>
        <v>0</v>
      </c>
      <c r="M367" s="534"/>
      <c r="N367" s="132"/>
      <c r="O367" s="132"/>
      <c r="P367" s="534"/>
      <c r="Q367" s="132"/>
      <c r="R367" s="132"/>
    </row>
    <row r="368" spans="2:18" x14ac:dyDescent="0.25">
      <c r="B368" s="128">
        <v>12</v>
      </c>
      <c r="C368" s="1047"/>
      <c r="D368" s="1047"/>
      <c r="E368" s="1047"/>
      <c r="F368" s="1047"/>
      <c r="G368" s="1047"/>
      <c r="H368" s="1048"/>
      <c r="I368" s="545"/>
      <c r="J368" s="533"/>
      <c r="K368" s="469">
        <f t="shared" si="22"/>
        <v>0</v>
      </c>
      <c r="L368" s="546">
        <f t="shared" si="23"/>
        <v>0</v>
      </c>
      <c r="M368" s="534"/>
      <c r="N368" s="132"/>
      <c r="O368" s="132"/>
      <c r="P368" s="534"/>
      <c r="Q368" s="132"/>
      <c r="R368" s="132"/>
    </row>
    <row r="369" spans="2:18" x14ac:dyDescent="0.25">
      <c r="B369" s="128">
        <v>13</v>
      </c>
      <c r="C369" s="1047"/>
      <c r="D369" s="1047"/>
      <c r="E369" s="1047"/>
      <c r="F369" s="1047"/>
      <c r="G369" s="1047"/>
      <c r="H369" s="1048"/>
      <c r="I369" s="545"/>
      <c r="J369" s="533"/>
      <c r="K369" s="469">
        <f t="shared" si="22"/>
        <v>0</v>
      </c>
      <c r="L369" s="546">
        <f t="shared" si="23"/>
        <v>0</v>
      </c>
      <c r="M369" s="534"/>
      <c r="N369" s="132"/>
      <c r="O369" s="132"/>
      <c r="P369" s="534"/>
      <c r="Q369" s="132"/>
      <c r="R369" s="132"/>
    </row>
    <row r="370" spans="2:18" x14ac:dyDescent="0.25">
      <c r="B370" s="128">
        <v>14</v>
      </c>
      <c r="C370" s="1047"/>
      <c r="D370" s="1047"/>
      <c r="E370" s="1047"/>
      <c r="F370" s="1047"/>
      <c r="G370" s="1047"/>
      <c r="H370" s="1048"/>
      <c r="I370" s="545"/>
      <c r="J370" s="533"/>
      <c r="K370" s="469">
        <f t="shared" si="22"/>
        <v>0</v>
      </c>
      <c r="L370" s="546">
        <f t="shared" si="23"/>
        <v>0</v>
      </c>
      <c r="M370" s="534"/>
      <c r="N370" s="132"/>
      <c r="O370" s="132"/>
      <c r="P370" s="534"/>
      <c r="Q370" s="132"/>
      <c r="R370" s="132"/>
    </row>
    <row r="371" spans="2:18" x14ac:dyDescent="0.25">
      <c r="B371" s="128">
        <v>15</v>
      </c>
      <c r="C371" s="1047"/>
      <c r="D371" s="1047"/>
      <c r="E371" s="1047"/>
      <c r="F371" s="1047"/>
      <c r="G371" s="1047"/>
      <c r="H371" s="1048"/>
      <c r="I371" s="545"/>
      <c r="J371" s="533"/>
      <c r="K371" s="469">
        <f t="shared" si="22"/>
        <v>0</v>
      </c>
      <c r="L371" s="546">
        <f t="shared" si="23"/>
        <v>0</v>
      </c>
      <c r="M371" s="534"/>
      <c r="N371" s="132"/>
      <c r="O371" s="132"/>
      <c r="P371" s="534"/>
      <c r="Q371" s="132"/>
      <c r="R371" s="132"/>
    </row>
    <row r="372" spans="2:18" x14ac:dyDescent="0.25">
      <c r="B372" s="128">
        <v>16</v>
      </c>
      <c r="C372" s="1047"/>
      <c r="D372" s="1047"/>
      <c r="E372" s="1047"/>
      <c r="F372" s="1047"/>
      <c r="G372" s="1047"/>
      <c r="H372" s="1048"/>
      <c r="I372" s="545"/>
      <c r="J372" s="533"/>
      <c r="K372" s="469">
        <f t="shared" si="22"/>
        <v>0</v>
      </c>
      <c r="L372" s="546">
        <f t="shared" si="23"/>
        <v>0</v>
      </c>
      <c r="M372" s="534"/>
      <c r="N372" s="132"/>
      <c r="O372" s="132"/>
      <c r="P372" s="534"/>
      <c r="Q372" s="132"/>
      <c r="R372" s="132"/>
    </row>
    <row r="373" spans="2:18" x14ac:dyDescent="0.25">
      <c r="B373" s="128">
        <v>17</v>
      </c>
      <c r="C373" s="1047"/>
      <c r="D373" s="1047"/>
      <c r="E373" s="1047"/>
      <c r="F373" s="1047"/>
      <c r="G373" s="1047"/>
      <c r="H373" s="1048"/>
      <c r="I373" s="545"/>
      <c r="J373" s="533"/>
      <c r="K373" s="469">
        <f t="shared" si="22"/>
        <v>0</v>
      </c>
      <c r="L373" s="546">
        <f t="shared" si="23"/>
        <v>0</v>
      </c>
      <c r="M373" s="534"/>
      <c r="N373" s="132"/>
      <c r="O373" s="132"/>
      <c r="P373" s="534"/>
      <c r="Q373" s="132"/>
      <c r="R373" s="132"/>
    </row>
    <row r="374" spans="2:18" x14ac:dyDescent="0.25">
      <c r="B374" s="128">
        <v>18</v>
      </c>
      <c r="C374" s="1047"/>
      <c r="D374" s="1047"/>
      <c r="E374" s="1047"/>
      <c r="F374" s="1047"/>
      <c r="G374" s="1047"/>
      <c r="H374" s="1048"/>
      <c r="I374" s="545"/>
      <c r="J374" s="533"/>
      <c r="K374" s="469">
        <f t="shared" si="22"/>
        <v>0</v>
      </c>
      <c r="L374" s="546">
        <f t="shared" si="23"/>
        <v>0</v>
      </c>
      <c r="M374" s="534"/>
      <c r="N374" s="132"/>
      <c r="O374" s="132"/>
      <c r="P374" s="534"/>
      <c r="Q374" s="132"/>
      <c r="R374" s="132"/>
    </row>
    <row r="375" spans="2:18" x14ac:dyDescent="0.25">
      <c r="B375" s="128">
        <v>19</v>
      </c>
      <c r="C375" s="1047"/>
      <c r="D375" s="1047"/>
      <c r="E375" s="1047"/>
      <c r="F375" s="1047"/>
      <c r="G375" s="1047"/>
      <c r="H375" s="1048"/>
      <c r="I375" s="545"/>
      <c r="J375" s="533"/>
      <c r="K375" s="469">
        <f t="shared" si="22"/>
        <v>0</v>
      </c>
      <c r="L375" s="546">
        <f t="shared" si="23"/>
        <v>0</v>
      </c>
      <c r="M375" s="534"/>
      <c r="N375" s="132"/>
      <c r="O375" s="132"/>
      <c r="P375" s="534"/>
      <c r="Q375" s="132"/>
      <c r="R375" s="132"/>
    </row>
    <row r="376" spans="2:18" x14ac:dyDescent="0.25">
      <c r="B376" s="128">
        <v>20</v>
      </c>
      <c r="C376" s="1047"/>
      <c r="D376" s="1047"/>
      <c r="E376" s="1047"/>
      <c r="F376" s="1047"/>
      <c r="G376" s="1047"/>
      <c r="H376" s="1048"/>
      <c r="I376" s="545"/>
      <c r="J376" s="533"/>
      <c r="K376" s="469">
        <f t="shared" si="22"/>
        <v>0</v>
      </c>
      <c r="L376" s="546">
        <f t="shared" si="23"/>
        <v>0</v>
      </c>
      <c r="M376" s="534"/>
      <c r="N376" s="132"/>
      <c r="O376" s="132"/>
      <c r="P376" s="534"/>
      <c r="Q376" s="132"/>
      <c r="R376" s="132"/>
    </row>
    <row r="377" spans="2:18" x14ac:dyDescent="0.25">
      <c r="B377" s="1083" t="s">
        <v>689</v>
      </c>
      <c r="C377" s="1083"/>
      <c r="D377" s="1083"/>
      <c r="E377" s="1083"/>
      <c r="F377" s="1083"/>
      <c r="G377" s="1083"/>
      <c r="H377" s="1083"/>
      <c r="I377" s="1083"/>
      <c r="J377" s="1083"/>
      <c r="K377" s="1083"/>
      <c r="L377" s="1083"/>
      <c r="M377" s="523"/>
      <c r="N377" s="523"/>
      <c r="O377" s="524"/>
      <c r="P377" s="523"/>
      <c r="Q377" s="523"/>
      <c r="R377" s="524"/>
    </row>
    <row r="378" spans="2:18" x14ac:dyDescent="0.25">
      <c r="B378" s="1084" t="s">
        <v>234</v>
      </c>
      <c r="C378" s="1084"/>
      <c r="D378" s="1084"/>
      <c r="E378" s="1084"/>
      <c r="F378" s="1084"/>
      <c r="G378" s="1084"/>
      <c r="H378" s="1084"/>
      <c r="I378" s="1084"/>
      <c r="J378" s="1084"/>
      <c r="K378" s="1084"/>
      <c r="L378" s="1084"/>
      <c r="M378" s="547" t="s">
        <v>917</v>
      </c>
      <c r="N378" s="541" t="s">
        <v>926</v>
      </c>
      <c r="O378" s="541" t="s">
        <v>927</v>
      </c>
      <c r="P378" s="547" t="s">
        <v>943</v>
      </c>
      <c r="Q378" s="541" t="s">
        <v>944</v>
      </c>
      <c r="R378" s="541" t="s">
        <v>945</v>
      </c>
    </row>
    <row r="379" spans="2:18" x14ac:dyDescent="0.25">
      <c r="B379" s="1043" t="s">
        <v>235</v>
      </c>
      <c r="C379" s="1044"/>
      <c r="D379" s="1044"/>
      <c r="E379" s="1044"/>
      <c r="F379" s="1044"/>
      <c r="G379" s="1044"/>
      <c r="H379" s="1045"/>
      <c r="I379" s="498" t="s">
        <v>236</v>
      </c>
      <c r="J379" s="126" t="s">
        <v>237</v>
      </c>
      <c r="K379" s="126" t="s">
        <v>238</v>
      </c>
      <c r="L379" s="126" t="s">
        <v>916</v>
      </c>
      <c r="M379" s="328" t="s">
        <v>239</v>
      </c>
      <c r="N379" s="328" t="s">
        <v>239</v>
      </c>
      <c r="O379" s="328" t="s">
        <v>239</v>
      </c>
      <c r="P379" s="328" t="s">
        <v>239</v>
      </c>
      <c r="Q379" s="328" t="s">
        <v>239</v>
      </c>
      <c r="R379" s="328" t="s">
        <v>239</v>
      </c>
    </row>
    <row r="380" spans="2:18" x14ac:dyDescent="0.25">
      <c r="B380" s="128">
        <v>1</v>
      </c>
      <c r="C380" s="1087"/>
      <c r="D380" s="1047"/>
      <c r="E380" s="1047"/>
      <c r="F380" s="1047"/>
      <c r="G380" s="1047"/>
      <c r="H380" s="1048"/>
      <c r="I380" s="783"/>
      <c r="J380" s="784"/>
      <c r="K380" s="469">
        <f t="shared" ref="K380:K399" si="24">IF(OR(I380=0,J380=0),0,IF((((($L$4^2*I380^2)/$F$5^2)*J380)/((($L$4^2*I380^2)/$F$5^2)+J380))&lt;(($L$4^2*I380^2)/$F$5^2),ROUND((((($L$4^2*I380^2)/$F$5^2)*J380)/((($L$4^2*I380^2)/$F$5^2)+J380)),0),ROUND((($L$4^2*I380^2)/$F$5^2),0)))</f>
        <v>0</v>
      </c>
      <c r="L380" s="546">
        <f t="shared" ref="L380:L399" si="25">IFERROR(SMALL(M380:R380,1),0)</f>
        <v>0</v>
      </c>
      <c r="M380" s="534"/>
      <c r="N380" s="132"/>
      <c r="O380" s="132"/>
      <c r="P380" s="534"/>
      <c r="Q380" s="132"/>
      <c r="R380" s="132"/>
    </row>
    <row r="381" spans="2:18" x14ac:dyDescent="0.25">
      <c r="B381" s="128">
        <v>2</v>
      </c>
      <c r="C381" s="1047"/>
      <c r="D381" s="1047"/>
      <c r="E381" s="1047"/>
      <c r="F381" s="1047"/>
      <c r="G381" s="1047"/>
      <c r="H381" s="1048"/>
      <c r="I381" s="545"/>
      <c r="J381" s="533"/>
      <c r="K381" s="469">
        <f t="shared" si="24"/>
        <v>0</v>
      </c>
      <c r="L381" s="546">
        <f t="shared" si="25"/>
        <v>0</v>
      </c>
      <c r="M381" s="534"/>
      <c r="N381" s="132"/>
      <c r="O381" s="132"/>
      <c r="P381" s="534"/>
      <c r="Q381" s="132"/>
      <c r="R381" s="132"/>
    </row>
    <row r="382" spans="2:18" x14ac:dyDescent="0.25">
      <c r="B382" s="128">
        <v>3</v>
      </c>
      <c r="C382" s="1047"/>
      <c r="D382" s="1047"/>
      <c r="E382" s="1047"/>
      <c r="F382" s="1047"/>
      <c r="G382" s="1047"/>
      <c r="H382" s="1048"/>
      <c r="I382" s="545"/>
      <c r="J382" s="533"/>
      <c r="K382" s="469">
        <f t="shared" si="24"/>
        <v>0</v>
      </c>
      <c r="L382" s="546">
        <f t="shared" si="25"/>
        <v>0</v>
      </c>
      <c r="M382" s="534"/>
      <c r="N382" s="132"/>
      <c r="O382" s="132"/>
      <c r="P382" s="534"/>
      <c r="Q382" s="132"/>
      <c r="R382" s="132"/>
    </row>
    <row r="383" spans="2:18" x14ac:dyDescent="0.25">
      <c r="B383" s="128">
        <v>4</v>
      </c>
      <c r="C383" s="1086"/>
      <c r="D383" s="1047"/>
      <c r="E383" s="1047"/>
      <c r="F383" s="1047"/>
      <c r="G383" s="1047"/>
      <c r="H383" s="1048"/>
      <c r="I383" s="545"/>
      <c r="J383" s="533"/>
      <c r="K383" s="469">
        <f t="shared" si="24"/>
        <v>0</v>
      </c>
      <c r="L383" s="546">
        <f t="shared" si="25"/>
        <v>0</v>
      </c>
      <c r="M383" s="534"/>
      <c r="N383" s="132"/>
      <c r="O383" s="132"/>
      <c r="P383" s="534"/>
      <c r="Q383" s="132"/>
      <c r="R383" s="132"/>
    </row>
    <row r="384" spans="2:18" x14ac:dyDescent="0.25">
      <c r="B384" s="128">
        <v>5</v>
      </c>
      <c r="C384" s="1047"/>
      <c r="D384" s="1047"/>
      <c r="E384" s="1047"/>
      <c r="F384" s="1047"/>
      <c r="G384" s="1047"/>
      <c r="H384" s="1048"/>
      <c r="I384" s="545"/>
      <c r="J384" s="533"/>
      <c r="K384" s="469">
        <f t="shared" si="24"/>
        <v>0</v>
      </c>
      <c r="L384" s="546">
        <f t="shared" si="25"/>
        <v>0</v>
      </c>
      <c r="M384" s="534"/>
      <c r="N384" s="132"/>
      <c r="O384" s="132"/>
      <c r="P384" s="534"/>
      <c r="Q384" s="132"/>
      <c r="R384" s="132"/>
    </row>
    <row r="385" spans="2:18" x14ac:dyDescent="0.25">
      <c r="B385" s="128">
        <v>6</v>
      </c>
      <c r="C385" s="1047"/>
      <c r="D385" s="1047"/>
      <c r="E385" s="1047"/>
      <c r="F385" s="1047"/>
      <c r="G385" s="1047"/>
      <c r="H385" s="1048"/>
      <c r="I385" s="545"/>
      <c r="J385" s="533"/>
      <c r="K385" s="469">
        <f t="shared" si="24"/>
        <v>0</v>
      </c>
      <c r="L385" s="546">
        <f t="shared" si="25"/>
        <v>0</v>
      </c>
      <c r="M385" s="534"/>
      <c r="N385" s="132"/>
      <c r="O385" s="132"/>
      <c r="P385" s="534"/>
      <c r="Q385" s="132"/>
      <c r="R385" s="132"/>
    </row>
    <row r="386" spans="2:18" x14ac:dyDescent="0.25">
      <c r="B386" s="128">
        <v>7</v>
      </c>
      <c r="C386" s="1047"/>
      <c r="D386" s="1047"/>
      <c r="E386" s="1047"/>
      <c r="F386" s="1047"/>
      <c r="G386" s="1047"/>
      <c r="H386" s="1048"/>
      <c r="I386" s="545"/>
      <c r="J386" s="533"/>
      <c r="K386" s="469">
        <f t="shared" si="24"/>
        <v>0</v>
      </c>
      <c r="L386" s="546">
        <f t="shared" si="25"/>
        <v>0</v>
      </c>
      <c r="M386" s="534"/>
      <c r="N386" s="132"/>
      <c r="O386" s="132"/>
      <c r="P386" s="534"/>
      <c r="Q386" s="132"/>
      <c r="R386" s="132"/>
    </row>
    <row r="387" spans="2:18" x14ac:dyDescent="0.25">
      <c r="B387" s="128">
        <v>8</v>
      </c>
      <c r="C387" s="1047"/>
      <c r="D387" s="1047"/>
      <c r="E387" s="1047"/>
      <c r="F387" s="1047"/>
      <c r="G387" s="1047"/>
      <c r="H387" s="1048"/>
      <c r="I387" s="545"/>
      <c r="J387" s="533"/>
      <c r="K387" s="469">
        <f t="shared" si="24"/>
        <v>0</v>
      </c>
      <c r="L387" s="546">
        <f t="shared" si="25"/>
        <v>0</v>
      </c>
      <c r="M387" s="534"/>
      <c r="N387" s="132"/>
      <c r="O387" s="132"/>
      <c r="P387" s="534"/>
      <c r="Q387" s="132"/>
      <c r="R387" s="132"/>
    </row>
    <row r="388" spans="2:18" x14ac:dyDescent="0.25">
      <c r="B388" s="128">
        <v>9</v>
      </c>
      <c r="C388" s="1047"/>
      <c r="D388" s="1047"/>
      <c r="E388" s="1047"/>
      <c r="F388" s="1047"/>
      <c r="G388" s="1047"/>
      <c r="H388" s="1048"/>
      <c r="I388" s="545"/>
      <c r="J388" s="533"/>
      <c r="K388" s="469">
        <f t="shared" si="24"/>
        <v>0</v>
      </c>
      <c r="L388" s="546">
        <f t="shared" si="25"/>
        <v>0</v>
      </c>
      <c r="M388" s="534"/>
      <c r="N388" s="132"/>
      <c r="O388" s="132"/>
      <c r="P388" s="534"/>
      <c r="Q388" s="132"/>
      <c r="R388" s="132"/>
    </row>
    <row r="389" spans="2:18" x14ac:dyDescent="0.25">
      <c r="B389" s="128">
        <v>10</v>
      </c>
      <c r="C389" s="1047"/>
      <c r="D389" s="1047"/>
      <c r="E389" s="1047"/>
      <c r="F389" s="1047"/>
      <c r="G389" s="1047"/>
      <c r="H389" s="1048"/>
      <c r="I389" s="545"/>
      <c r="J389" s="533"/>
      <c r="K389" s="469">
        <f t="shared" si="24"/>
        <v>0</v>
      </c>
      <c r="L389" s="546">
        <f t="shared" si="25"/>
        <v>0</v>
      </c>
      <c r="M389" s="534"/>
      <c r="N389" s="132"/>
      <c r="O389" s="132"/>
      <c r="P389" s="534"/>
      <c r="Q389" s="132"/>
      <c r="R389" s="132"/>
    </row>
    <row r="390" spans="2:18" x14ac:dyDescent="0.25">
      <c r="B390" s="128">
        <v>11</v>
      </c>
      <c r="C390" s="1047"/>
      <c r="D390" s="1047"/>
      <c r="E390" s="1047"/>
      <c r="F390" s="1047"/>
      <c r="G390" s="1047"/>
      <c r="H390" s="1048"/>
      <c r="I390" s="545"/>
      <c r="J390" s="533"/>
      <c r="K390" s="469">
        <f t="shared" si="24"/>
        <v>0</v>
      </c>
      <c r="L390" s="546">
        <f t="shared" si="25"/>
        <v>0</v>
      </c>
      <c r="M390" s="534"/>
      <c r="N390" s="132"/>
      <c r="O390" s="132"/>
      <c r="P390" s="534"/>
      <c r="Q390" s="132"/>
      <c r="R390" s="132"/>
    </row>
    <row r="391" spans="2:18" x14ac:dyDescent="0.25">
      <c r="B391" s="128">
        <v>12</v>
      </c>
      <c r="C391" s="1047"/>
      <c r="D391" s="1047"/>
      <c r="E391" s="1047"/>
      <c r="F391" s="1047"/>
      <c r="G391" s="1047"/>
      <c r="H391" s="1048"/>
      <c r="I391" s="545"/>
      <c r="J391" s="533"/>
      <c r="K391" s="469">
        <f t="shared" si="24"/>
        <v>0</v>
      </c>
      <c r="L391" s="546">
        <f t="shared" si="25"/>
        <v>0</v>
      </c>
      <c r="M391" s="534"/>
      <c r="N391" s="132"/>
      <c r="O391" s="132"/>
      <c r="P391" s="534"/>
      <c r="Q391" s="132"/>
      <c r="R391" s="132"/>
    </row>
    <row r="392" spans="2:18" x14ac:dyDescent="0.25">
      <c r="B392" s="128">
        <v>13</v>
      </c>
      <c r="C392" s="1047"/>
      <c r="D392" s="1047"/>
      <c r="E392" s="1047"/>
      <c r="F392" s="1047"/>
      <c r="G392" s="1047"/>
      <c r="H392" s="1048"/>
      <c r="I392" s="545"/>
      <c r="J392" s="533"/>
      <c r="K392" s="469">
        <f t="shared" si="24"/>
        <v>0</v>
      </c>
      <c r="L392" s="546">
        <f t="shared" si="25"/>
        <v>0</v>
      </c>
      <c r="M392" s="534"/>
      <c r="N392" s="132"/>
      <c r="O392" s="132"/>
      <c r="P392" s="534"/>
      <c r="Q392" s="132"/>
      <c r="R392" s="132"/>
    </row>
    <row r="393" spans="2:18" x14ac:dyDescent="0.25">
      <c r="B393" s="128">
        <v>14</v>
      </c>
      <c r="C393" s="1047"/>
      <c r="D393" s="1047"/>
      <c r="E393" s="1047"/>
      <c r="F393" s="1047"/>
      <c r="G393" s="1047"/>
      <c r="H393" s="1048"/>
      <c r="I393" s="545"/>
      <c r="J393" s="533"/>
      <c r="K393" s="469">
        <f t="shared" si="24"/>
        <v>0</v>
      </c>
      <c r="L393" s="546">
        <f t="shared" si="25"/>
        <v>0</v>
      </c>
      <c r="M393" s="534"/>
      <c r="N393" s="132"/>
      <c r="O393" s="132"/>
      <c r="P393" s="534"/>
      <c r="Q393" s="132"/>
      <c r="R393" s="132"/>
    </row>
    <row r="394" spans="2:18" x14ac:dyDescent="0.25">
      <c r="B394" s="128">
        <v>15</v>
      </c>
      <c r="C394" s="1047"/>
      <c r="D394" s="1047"/>
      <c r="E394" s="1047"/>
      <c r="F394" s="1047"/>
      <c r="G394" s="1047"/>
      <c r="H394" s="1048"/>
      <c r="I394" s="545"/>
      <c r="J394" s="533"/>
      <c r="K394" s="469">
        <f t="shared" si="24"/>
        <v>0</v>
      </c>
      <c r="L394" s="546">
        <f t="shared" si="25"/>
        <v>0</v>
      </c>
      <c r="M394" s="534"/>
      <c r="N394" s="132"/>
      <c r="O394" s="132"/>
      <c r="P394" s="534"/>
      <c r="Q394" s="132"/>
      <c r="R394" s="132"/>
    </row>
    <row r="395" spans="2:18" x14ac:dyDescent="0.25">
      <c r="B395" s="128">
        <v>16</v>
      </c>
      <c r="C395" s="1047"/>
      <c r="D395" s="1047"/>
      <c r="E395" s="1047"/>
      <c r="F395" s="1047"/>
      <c r="G395" s="1047"/>
      <c r="H395" s="1048"/>
      <c r="I395" s="545"/>
      <c r="J395" s="533"/>
      <c r="K395" s="469">
        <f t="shared" si="24"/>
        <v>0</v>
      </c>
      <c r="L395" s="546">
        <f t="shared" si="25"/>
        <v>0</v>
      </c>
      <c r="M395" s="534"/>
      <c r="N395" s="132"/>
      <c r="O395" s="132"/>
      <c r="P395" s="534"/>
      <c r="Q395" s="132"/>
      <c r="R395" s="132"/>
    </row>
    <row r="396" spans="2:18" x14ac:dyDescent="0.25">
      <c r="B396" s="128">
        <v>17</v>
      </c>
      <c r="C396" s="1047"/>
      <c r="D396" s="1047"/>
      <c r="E396" s="1047"/>
      <c r="F396" s="1047"/>
      <c r="G396" s="1047"/>
      <c r="H396" s="1048"/>
      <c r="I396" s="545"/>
      <c r="J396" s="533"/>
      <c r="K396" s="469">
        <f t="shared" si="24"/>
        <v>0</v>
      </c>
      <c r="L396" s="546">
        <f t="shared" si="25"/>
        <v>0</v>
      </c>
      <c r="M396" s="534"/>
      <c r="N396" s="132"/>
      <c r="O396" s="132"/>
      <c r="P396" s="534"/>
      <c r="Q396" s="132"/>
      <c r="R396" s="132"/>
    </row>
    <row r="397" spans="2:18" x14ac:dyDescent="0.25">
      <c r="B397" s="128">
        <v>18</v>
      </c>
      <c r="C397" s="1047"/>
      <c r="D397" s="1047"/>
      <c r="E397" s="1047"/>
      <c r="F397" s="1047"/>
      <c r="G397" s="1047"/>
      <c r="H397" s="1048"/>
      <c r="I397" s="545"/>
      <c r="J397" s="533"/>
      <c r="K397" s="469">
        <f t="shared" si="24"/>
        <v>0</v>
      </c>
      <c r="L397" s="546">
        <f t="shared" si="25"/>
        <v>0</v>
      </c>
      <c r="M397" s="534"/>
      <c r="N397" s="132"/>
      <c r="O397" s="132"/>
      <c r="P397" s="534"/>
      <c r="Q397" s="132"/>
      <c r="R397" s="132"/>
    </row>
    <row r="398" spans="2:18" x14ac:dyDescent="0.25">
      <c r="B398" s="128">
        <v>19</v>
      </c>
      <c r="C398" s="1047"/>
      <c r="D398" s="1047"/>
      <c r="E398" s="1047"/>
      <c r="F398" s="1047"/>
      <c r="G398" s="1047"/>
      <c r="H398" s="1048"/>
      <c r="I398" s="545"/>
      <c r="J398" s="533"/>
      <c r="K398" s="469">
        <f t="shared" si="24"/>
        <v>0</v>
      </c>
      <c r="L398" s="546">
        <f t="shared" si="25"/>
        <v>0</v>
      </c>
      <c r="M398" s="534"/>
      <c r="N398" s="132"/>
      <c r="O398" s="132"/>
      <c r="P398" s="534"/>
      <c r="Q398" s="132"/>
      <c r="R398" s="132"/>
    </row>
    <row r="399" spans="2:18" x14ac:dyDescent="0.25">
      <c r="B399" s="128">
        <v>20</v>
      </c>
      <c r="C399" s="1047"/>
      <c r="D399" s="1047"/>
      <c r="E399" s="1047"/>
      <c r="F399" s="1047"/>
      <c r="G399" s="1047"/>
      <c r="H399" s="1048"/>
      <c r="I399" s="545"/>
      <c r="J399" s="533"/>
      <c r="K399" s="469">
        <f t="shared" si="24"/>
        <v>0</v>
      </c>
      <c r="L399" s="546">
        <f t="shared" si="25"/>
        <v>0</v>
      </c>
      <c r="M399" s="534"/>
      <c r="N399" s="132"/>
      <c r="O399" s="132"/>
      <c r="P399" s="534"/>
      <c r="Q399" s="132"/>
      <c r="R399" s="132"/>
    </row>
    <row r="400" spans="2:18" x14ac:dyDescent="0.25">
      <c r="B400" s="1084" t="s">
        <v>243</v>
      </c>
      <c r="C400" s="1084"/>
      <c r="D400" s="1084"/>
      <c r="E400" s="1084"/>
      <c r="F400" s="1084"/>
      <c r="G400" s="1084"/>
      <c r="H400" s="1084"/>
      <c r="I400" s="1084"/>
      <c r="J400" s="1084"/>
      <c r="K400" s="1084"/>
      <c r="L400" s="1084"/>
      <c r="M400" s="550" t="s">
        <v>917</v>
      </c>
      <c r="N400" s="550" t="s">
        <v>926</v>
      </c>
      <c r="O400" s="550" t="s">
        <v>927</v>
      </c>
      <c r="P400" s="550" t="s">
        <v>943</v>
      </c>
      <c r="Q400" s="550" t="s">
        <v>944</v>
      </c>
      <c r="R400" s="550" t="s">
        <v>945</v>
      </c>
    </row>
    <row r="401" spans="2:18" x14ac:dyDescent="0.25">
      <c r="B401" s="1043" t="s">
        <v>235</v>
      </c>
      <c r="C401" s="1044"/>
      <c r="D401" s="1044"/>
      <c r="E401" s="1044"/>
      <c r="F401" s="1044"/>
      <c r="G401" s="1044"/>
      <c r="H401" s="1045"/>
      <c r="I401" s="498" t="s">
        <v>236</v>
      </c>
      <c r="J401" s="126" t="s">
        <v>237</v>
      </c>
      <c r="K401" s="126" t="s">
        <v>238</v>
      </c>
      <c r="L401" s="126" t="s">
        <v>916</v>
      </c>
      <c r="M401" s="529" t="s">
        <v>239</v>
      </c>
      <c r="N401" s="529" t="s">
        <v>239</v>
      </c>
      <c r="O401" s="529" t="s">
        <v>239</v>
      </c>
      <c r="P401" s="529" t="s">
        <v>239</v>
      </c>
      <c r="Q401" s="529" t="s">
        <v>239</v>
      </c>
      <c r="R401" s="529" t="s">
        <v>239</v>
      </c>
    </row>
    <row r="402" spans="2:18" x14ac:dyDescent="0.25">
      <c r="B402" s="128">
        <v>1</v>
      </c>
      <c r="C402" s="1087"/>
      <c r="D402" s="1047"/>
      <c r="E402" s="1047"/>
      <c r="F402" s="1047"/>
      <c r="G402" s="1047"/>
      <c r="H402" s="1048"/>
      <c r="I402" s="783"/>
      <c r="J402" s="784"/>
      <c r="K402" s="469">
        <f t="shared" ref="K402:K421" si="26">IF(OR(I402=0,J402=0),0,IF((((($L$4^2*I402^2)/$F$5^2)*J402)/((($L$4^2*I402^2)/$F$5^2)+J402))&lt;(($L$4^2*I402^2)/$F$5^2),ROUND((((($L$4^2*I402^2)/$F$5^2)*J402)/((($L$4^2*I402^2)/$F$5^2)+J402)),0),ROUND((($L$4^2*I402^2)/$F$5^2),0)))</f>
        <v>0</v>
      </c>
      <c r="L402" s="546">
        <f t="shared" ref="L402:L421" si="27">IFERROR(SMALL(M402:R402,1),0)</f>
        <v>0</v>
      </c>
      <c r="M402" s="534"/>
      <c r="N402" s="132"/>
      <c r="O402" s="132"/>
      <c r="P402" s="534"/>
      <c r="Q402" s="132"/>
      <c r="R402" s="132"/>
    </row>
    <row r="403" spans="2:18" x14ac:dyDescent="0.25">
      <c r="B403" s="128">
        <v>2</v>
      </c>
      <c r="C403" s="1047"/>
      <c r="D403" s="1047"/>
      <c r="E403" s="1047"/>
      <c r="F403" s="1047"/>
      <c r="G403" s="1047"/>
      <c r="H403" s="1048"/>
      <c r="I403" s="545"/>
      <c r="J403" s="533"/>
      <c r="K403" s="469">
        <f t="shared" si="26"/>
        <v>0</v>
      </c>
      <c r="L403" s="546">
        <f t="shared" si="27"/>
        <v>0</v>
      </c>
      <c r="M403" s="534"/>
      <c r="N403" s="132"/>
      <c r="O403" s="132"/>
      <c r="P403" s="534"/>
      <c r="Q403" s="132"/>
      <c r="R403" s="132"/>
    </row>
    <row r="404" spans="2:18" x14ac:dyDescent="0.25">
      <c r="B404" s="128">
        <v>3</v>
      </c>
      <c r="C404" s="1047"/>
      <c r="D404" s="1047"/>
      <c r="E404" s="1047"/>
      <c r="F404" s="1047"/>
      <c r="G404" s="1047"/>
      <c r="H404" s="1048"/>
      <c r="I404" s="545"/>
      <c r="J404" s="533"/>
      <c r="K404" s="469">
        <f t="shared" si="26"/>
        <v>0</v>
      </c>
      <c r="L404" s="546">
        <f t="shared" si="27"/>
        <v>0</v>
      </c>
      <c r="M404" s="534"/>
      <c r="N404" s="132"/>
      <c r="O404" s="132"/>
      <c r="P404" s="534"/>
      <c r="Q404" s="132"/>
      <c r="R404" s="132"/>
    </row>
    <row r="405" spans="2:18" x14ac:dyDescent="0.25">
      <c r="B405" s="128">
        <v>4</v>
      </c>
      <c r="C405" s="1086"/>
      <c r="D405" s="1047"/>
      <c r="E405" s="1047"/>
      <c r="F405" s="1047"/>
      <c r="G405" s="1047"/>
      <c r="H405" s="1048"/>
      <c r="I405" s="545"/>
      <c r="J405" s="533"/>
      <c r="K405" s="469">
        <f t="shared" si="26"/>
        <v>0</v>
      </c>
      <c r="L405" s="546">
        <f t="shared" si="27"/>
        <v>0</v>
      </c>
      <c r="M405" s="534"/>
      <c r="N405" s="132"/>
      <c r="O405" s="132"/>
      <c r="P405" s="534"/>
      <c r="Q405" s="132"/>
      <c r="R405" s="132"/>
    </row>
    <row r="406" spans="2:18" x14ac:dyDescent="0.25">
      <c r="B406" s="128">
        <v>5</v>
      </c>
      <c r="C406" s="1047"/>
      <c r="D406" s="1047"/>
      <c r="E406" s="1047"/>
      <c r="F406" s="1047"/>
      <c r="G406" s="1047"/>
      <c r="H406" s="1048"/>
      <c r="I406" s="545"/>
      <c r="J406" s="533"/>
      <c r="K406" s="469">
        <f t="shared" si="26"/>
        <v>0</v>
      </c>
      <c r="L406" s="546">
        <f t="shared" si="27"/>
        <v>0</v>
      </c>
      <c r="M406" s="534"/>
      <c r="N406" s="132"/>
      <c r="O406" s="132"/>
      <c r="P406" s="534"/>
      <c r="Q406" s="132"/>
      <c r="R406" s="132"/>
    </row>
    <row r="407" spans="2:18" x14ac:dyDescent="0.25">
      <c r="B407" s="128">
        <v>6</v>
      </c>
      <c r="C407" s="1047"/>
      <c r="D407" s="1047"/>
      <c r="E407" s="1047"/>
      <c r="F407" s="1047"/>
      <c r="G407" s="1047"/>
      <c r="H407" s="1048"/>
      <c r="I407" s="545"/>
      <c r="J407" s="533"/>
      <c r="K407" s="469">
        <f t="shared" si="26"/>
        <v>0</v>
      </c>
      <c r="L407" s="546">
        <f t="shared" si="27"/>
        <v>0</v>
      </c>
      <c r="M407" s="534"/>
      <c r="N407" s="132"/>
      <c r="O407" s="132"/>
      <c r="P407" s="534"/>
      <c r="Q407" s="132"/>
      <c r="R407" s="132"/>
    </row>
    <row r="408" spans="2:18" x14ac:dyDescent="0.25">
      <c r="B408" s="128">
        <v>7</v>
      </c>
      <c r="C408" s="1047"/>
      <c r="D408" s="1047"/>
      <c r="E408" s="1047"/>
      <c r="F408" s="1047"/>
      <c r="G408" s="1047"/>
      <c r="H408" s="1048"/>
      <c r="I408" s="545"/>
      <c r="J408" s="533"/>
      <c r="K408" s="469">
        <f t="shared" si="26"/>
        <v>0</v>
      </c>
      <c r="L408" s="546">
        <f t="shared" si="27"/>
        <v>0</v>
      </c>
      <c r="M408" s="534"/>
      <c r="N408" s="132"/>
      <c r="O408" s="132"/>
      <c r="P408" s="534"/>
      <c r="Q408" s="132"/>
      <c r="R408" s="132"/>
    </row>
    <row r="409" spans="2:18" x14ac:dyDescent="0.25">
      <c r="B409" s="128">
        <v>8</v>
      </c>
      <c r="C409" s="1047"/>
      <c r="D409" s="1047"/>
      <c r="E409" s="1047"/>
      <c r="F409" s="1047"/>
      <c r="G409" s="1047"/>
      <c r="H409" s="1048"/>
      <c r="I409" s="545"/>
      <c r="J409" s="533"/>
      <c r="K409" s="469">
        <f t="shared" si="26"/>
        <v>0</v>
      </c>
      <c r="L409" s="546">
        <f t="shared" si="27"/>
        <v>0</v>
      </c>
      <c r="M409" s="534"/>
      <c r="N409" s="132"/>
      <c r="O409" s="132"/>
      <c r="P409" s="534"/>
      <c r="Q409" s="132"/>
      <c r="R409" s="132"/>
    </row>
    <row r="410" spans="2:18" x14ac:dyDescent="0.25">
      <c r="B410" s="128">
        <v>9</v>
      </c>
      <c r="C410" s="1047"/>
      <c r="D410" s="1047"/>
      <c r="E410" s="1047"/>
      <c r="F410" s="1047"/>
      <c r="G410" s="1047"/>
      <c r="H410" s="1048"/>
      <c r="I410" s="545"/>
      <c r="J410" s="533"/>
      <c r="K410" s="469">
        <f t="shared" si="26"/>
        <v>0</v>
      </c>
      <c r="L410" s="546">
        <f t="shared" si="27"/>
        <v>0</v>
      </c>
      <c r="M410" s="534"/>
      <c r="N410" s="132"/>
      <c r="O410" s="132"/>
      <c r="P410" s="534"/>
      <c r="Q410" s="132"/>
      <c r="R410" s="132"/>
    </row>
    <row r="411" spans="2:18" x14ac:dyDescent="0.25">
      <c r="B411" s="128">
        <v>10</v>
      </c>
      <c r="C411" s="1047"/>
      <c r="D411" s="1047"/>
      <c r="E411" s="1047"/>
      <c r="F411" s="1047"/>
      <c r="G411" s="1047"/>
      <c r="H411" s="1048"/>
      <c r="I411" s="545"/>
      <c r="J411" s="533"/>
      <c r="K411" s="469">
        <f t="shared" si="26"/>
        <v>0</v>
      </c>
      <c r="L411" s="546">
        <f t="shared" si="27"/>
        <v>0</v>
      </c>
      <c r="M411" s="534"/>
      <c r="N411" s="132"/>
      <c r="O411" s="132"/>
      <c r="P411" s="534"/>
      <c r="Q411" s="132"/>
      <c r="R411" s="132"/>
    </row>
    <row r="412" spans="2:18" x14ac:dyDescent="0.25">
      <c r="B412" s="128">
        <v>11</v>
      </c>
      <c r="C412" s="1047"/>
      <c r="D412" s="1047"/>
      <c r="E412" s="1047"/>
      <c r="F412" s="1047"/>
      <c r="G412" s="1047"/>
      <c r="H412" s="1048"/>
      <c r="I412" s="545"/>
      <c r="J412" s="533"/>
      <c r="K412" s="469">
        <f t="shared" si="26"/>
        <v>0</v>
      </c>
      <c r="L412" s="546">
        <f t="shared" si="27"/>
        <v>0</v>
      </c>
      <c r="M412" s="534"/>
      <c r="N412" s="132"/>
      <c r="O412" s="132"/>
      <c r="P412" s="534"/>
      <c r="Q412" s="132"/>
      <c r="R412" s="132"/>
    </row>
    <row r="413" spans="2:18" x14ac:dyDescent="0.25">
      <c r="B413" s="128">
        <v>12</v>
      </c>
      <c r="C413" s="1047"/>
      <c r="D413" s="1047"/>
      <c r="E413" s="1047"/>
      <c r="F413" s="1047"/>
      <c r="G413" s="1047"/>
      <c r="H413" s="1048"/>
      <c r="I413" s="545"/>
      <c r="J413" s="533"/>
      <c r="K413" s="469">
        <f t="shared" si="26"/>
        <v>0</v>
      </c>
      <c r="L413" s="546">
        <f t="shared" si="27"/>
        <v>0</v>
      </c>
      <c r="M413" s="534"/>
      <c r="N413" s="132"/>
      <c r="O413" s="132"/>
      <c r="P413" s="534"/>
      <c r="Q413" s="132"/>
      <c r="R413" s="132"/>
    </row>
    <row r="414" spans="2:18" x14ac:dyDescent="0.25">
      <c r="B414" s="128">
        <v>13</v>
      </c>
      <c r="C414" s="1047"/>
      <c r="D414" s="1047"/>
      <c r="E414" s="1047"/>
      <c r="F414" s="1047"/>
      <c r="G414" s="1047"/>
      <c r="H414" s="1048"/>
      <c r="I414" s="545"/>
      <c r="J414" s="533"/>
      <c r="K414" s="469">
        <f t="shared" si="26"/>
        <v>0</v>
      </c>
      <c r="L414" s="546">
        <f t="shared" si="27"/>
        <v>0</v>
      </c>
      <c r="M414" s="534"/>
      <c r="N414" s="132"/>
      <c r="O414" s="132"/>
      <c r="P414" s="534"/>
      <c r="Q414" s="132"/>
      <c r="R414" s="132"/>
    </row>
    <row r="415" spans="2:18" x14ac:dyDescent="0.25">
      <c r="B415" s="128">
        <v>14</v>
      </c>
      <c r="C415" s="1047"/>
      <c r="D415" s="1047"/>
      <c r="E415" s="1047"/>
      <c r="F415" s="1047"/>
      <c r="G415" s="1047"/>
      <c r="H415" s="1048"/>
      <c r="I415" s="545"/>
      <c r="J415" s="533"/>
      <c r="K415" s="469">
        <f t="shared" si="26"/>
        <v>0</v>
      </c>
      <c r="L415" s="546">
        <f t="shared" si="27"/>
        <v>0</v>
      </c>
      <c r="M415" s="534"/>
      <c r="N415" s="132"/>
      <c r="O415" s="132"/>
      <c r="P415" s="534"/>
      <c r="Q415" s="132"/>
      <c r="R415" s="132"/>
    </row>
    <row r="416" spans="2:18" x14ac:dyDescent="0.25">
      <c r="B416" s="128">
        <v>15</v>
      </c>
      <c r="C416" s="1047"/>
      <c r="D416" s="1047"/>
      <c r="E416" s="1047"/>
      <c r="F416" s="1047"/>
      <c r="G416" s="1047"/>
      <c r="H416" s="1048"/>
      <c r="I416" s="545"/>
      <c r="J416" s="533"/>
      <c r="K416" s="469">
        <f t="shared" si="26"/>
        <v>0</v>
      </c>
      <c r="L416" s="546">
        <f t="shared" si="27"/>
        <v>0</v>
      </c>
      <c r="M416" s="534"/>
      <c r="N416" s="132"/>
      <c r="O416" s="132"/>
      <c r="P416" s="534"/>
      <c r="Q416" s="132"/>
      <c r="R416" s="132"/>
    </row>
    <row r="417" spans="2:18" x14ac:dyDescent="0.25">
      <c r="B417" s="128">
        <v>16</v>
      </c>
      <c r="C417" s="1047"/>
      <c r="D417" s="1047"/>
      <c r="E417" s="1047"/>
      <c r="F417" s="1047"/>
      <c r="G417" s="1047"/>
      <c r="H417" s="1048"/>
      <c r="I417" s="545"/>
      <c r="J417" s="533"/>
      <c r="K417" s="469">
        <f t="shared" si="26"/>
        <v>0</v>
      </c>
      <c r="L417" s="546">
        <f t="shared" si="27"/>
        <v>0</v>
      </c>
      <c r="M417" s="534"/>
      <c r="N417" s="132"/>
      <c r="O417" s="132"/>
      <c r="P417" s="534"/>
      <c r="Q417" s="132"/>
      <c r="R417" s="132"/>
    </row>
    <row r="418" spans="2:18" x14ac:dyDescent="0.25">
      <c r="B418" s="128">
        <v>17</v>
      </c>
      <c r="C418" s="1047"/>
      <c r="D418" s="1047"/>
      <c r="E418" s="1047"/>
      <c r="F418" s="1047"/>
      <c r="G418" s="1047"/>
      <c r="H418" s="1048"/>
      <c r="I418" s="545"/>
      <c r="J418" s="533"/>
      <c r="K418" s="469">
        <f t="shared" si="26"/>
        <v>0</v>
      </c>
      <c r="L418" s="546">
        <f t="shared" si="27"/>
        <v>0</v>
      </c>
      <c r="M418" s="534"/>
      <c r="N418" s="132"/>
      <c r="O418" s="132"/>
      <c r="P418" s="534"/>
      <c r="Q418" s="132"/>
      <c r="R418" s="132"/>
    </row>
    <row r="419" spans="2:18" x14ac:dyDescent="0.25">
      <c r="B419" s="128">
        <v>18</v>
      </c>
      <c r="C419" s="1047"/>
      <c r="D419" s="1047"/>
      <c r="E419" s="1047"/>
      <c r="F419" s="1047"/>
      <c r="G419" s="1047"/>
      <c r="H419" s="1048"/>
      <c r="I419" s="545"/>
      <c r="J419" s="533"/>
      <c r="K419" s="469">
        <f t="shared" si="26"/>
        <v>0</v>
      </c>
      <c r="L419" s="546">
        <f t="shared" si="27"/>
        <v>0</v>
      </c>
      <c r="M419" s="534"/>
      <c r="N419" s="132"/>
      <c r="O419" s="132"/>
      <c r="P419" s="534"/>
      <c r="Q419" s="132"/>
      <c r="R419" s="132"/>
    </row>
    <row r="420" spans="2:18" x14ac:dyDescent="0.25">
      <c r="B420" s="128">
        <v>19</v>
      </c>
      <c r="C420" s="1047"/>
      <c r="D420" s="1047"/>
      <c r="E420" s="1047"/>
      <c r="F420" s="1047"/>
      <c r="G420" s="1047"/>
      <c r="H420" s="1048"/>
      <c r="I420" s="545"/>
      <c r="J420" s="533"/>
      <c r="K420" s="469">
        <f t="shared" si="26"/>
        <v>0</v>
      </c>
      <c r="L420" s="546">
        <f t="shared" si="27"/>
        <v>0</v>
      </c>
      <c r="M420" s="534"/>
      <c r="N420" s="132"/>
      <c r="O420" s="132"/>
      <c r="P420" s="534"/>
      <c r="Q420" s="132"/>
      <c r="R420" s="132"/>
    </row>
    <row r="421" spans="2:18" x14ac:dyDescent="0.25">
      <c r="B421" s="128">
        <v>20</v>
      </c>
      <c r="C421" s="1047"/>
      <c r="D421" s="1047"/>
      <c r="E421" s="1047"/>
      <c r="F421" s="1047"/>
      <c r="G421" s="1047"/>
      <c r="H421" s="1048"/>
      <c r="I421" s="545"/>
      <c r="J421" s="533"/>
      <c r="K421" s="469">
        <f t="shared" si="26"/>
        <v>0</v>
      </c>
      <c r="L421" s="546">
        <f t="shared" si="27"/>
        <v>0</v>
      </c>
      <c r="M421" s="534"/>
      <c r="N421" s="132"/>
      <c r="O421" s="132"/>
      <c r="P421" s="534"/>
      <c r="Q421" s="132"/>
      <c r="R421" s="132"/>
    </row>
    <row r="422" spans="2:18" x14ac:dyDescent="0.25">
      <c r="B422" s="1083" t="s">
        <v>993</v>
      </c>
      <c r="C422" s="1083"/>
      <c r="D422" s="1083"/>
      <c r="E422" s="1083"/>
      <c r="F422" s="1083"/>
      <c r="G422" s="1083"/>
      <c r="H422" s="1083"/>
      <c r="I422" s="1083"/>
      <c r="J422" s="1083"/>
      <c r="K422" s="1083"/>
      <c r="L422" s="1083"/>
      <c r="M422" s="523"/>
      <c r="N422" s="523"/>
      <c r="O422" s="524"/>
      <c r="P422" s="523"/>
      <c r="Q422" s="523"/>
      <c r="R422" s="524"/>
    </row>
    <row r="423" spans="2:18" x14ac:dyDescent="0.25">
      <c r="B423" s="1084" t="s">
        <v>243</v>
      </c>
      <c r="C423" s="1084"/>
      <c r="D423" s="1084"/>
      <c r="E423" s="1084"/>
      <c r="F423" s="1084"/>
      <c r="G423" s="1084"/>
      <c r="H423" s="1084"/>
      <c r="I423" s="1084"/>
      <c r="J423" s="1084"/>
      <c r="K423" s="1084"/>
      <c r="L423" s="1084"/>
      <c r="M423" s="547" t="s">
        <v>917</v>
      </c>
      <c r="N423" s="541" t="s">
        <v>926</v>
      </c>
      <c r="O423" s="541" t="s">
        <v>927</v>
      </c>
      <c r="P423" s="547" t="s">
        <v>943</v>
      </c>
      <c r="Q423" s="541" t="s">
        <v>944</v>
      </c>
      <c r="R423" s="541" t="s">
        <v>945</v>
      </c>
    </row>
    <row r="424" spans="2:18" x14ac:dyDescent="0.25">
      <c r="B424" s="1043" t="s">
        <v>235</v>
      </c>
      <c r="C424" s="1044"/>
      <c r="D424" s="1044"/>
      <c r="E424" s="1044"/>
      <c r="F424" s="1044"/>
      <c r="G424" s="1044"/>
      <c r="H424" s="1045"/>
      <c r="I424" s="557" t="s">
        <v>236</v>
      </c>
      <c r="J424" s="126" t="s">
        <v>237</v>
      </c>
      <c r="K424" s="126" t="s">
        <v>238</v>
      </c>
      <c r="L424" s="126" t="s">
        <v>916</v>
      </c>
      <c r="M424" s="328" t="s">
        <v>239</v>
      </c>
      <c r="N424" s="328" t="s">
        <v>239</v>
      </c>
      <c r="O424" s="328" t="s">
        <v>239</v>
      </c>
      <c r="P424" s="328" t="s">
        <v>239</v>
      </c>
      <c r="Q424" s="328" t="s">
        <v>239</v>
      </c>
      <c r="R424" s="328" t="s">
        <v>239</v>
      </c>
    </row>
    <row r="425" spans="2:18" x14ac:dyDescent="0.25">
      <c r="B425" s="128">
        <v>1</v>
      </c>
      <c r="C425" s="1103" t="s">
        <v>1429</v>
      </c>
      <c r="D425" s="1047"/>
      <c r="E425" s="1047"/>
      <c r="F425" s="1047"/>
      <c r="G425" s="1047"/>
      <c r="H425" s="1048"/>
      <c r="I425" s="783">
        <v>1</v>
      </c>
      <c r="J425" s="784">
        <v>1</v>
      </c>
      <c r="K425" s="469">
        <f t="shared" ref="K425:K444" si="28">IF(OR(I425=0,J425=0),0,IF((((($L$4^2*I425^2)/$F$5^2)*J425)/((($L$4^2*I425^2)/$F$5^2)+J425))&lt;(($L$4^2*I425^2)/$F$5^2),ROUND((((($L$4^2*I425^2)/$F$5^2)*J425)/((($L$4^2*I425^2)/$F$5^2)+J425)),0),ROUND((($L$4^2*I425^2)/$F$5^2),0)))</f>
        <v>1</v>
      </c>
      <c r="L425" s="546">
        <f t="shared" ref="L425:L444" si="29">IFERROR(SMALL(M425:R425,1),0)</f>
        <v>2500</v>
      </c>
      <c r="M425" s="534">
        <v>2500</v>
      </c>
      <c r="N425" s="132"/>
      <c r="O425" s="132"/>
      <c r="P425" s="534"/>
      <c r="Q425" s="132"/>
      <c r="R425" s="132"/>
    </row>
    <row r="426" spans="2:18" x14ac:dyDescent="0.25">
      <c r="B426" s="128">
        <v>2</v>
      </c>
      <c r="C426" s="1086"/>
      <c r="D426" s="1047"/>
      <c r="E426" s="1047"/>
      <c r="F426" s="1047"/>
      <c r="G426" s="1047"/>
      <c r="H426" s="1048"/>
      <c r="I426" s="545"/>
      <c r="J426" s="533"/>
      <c r="K426" s="469">
        <f t="shared" si="28"/>
        <v>0</v>
      </c>
      <c r="L426" s="546">
        <f t="shared" si="29"/>
        <v>0</v>
      </c>
      <c r="M426" s="534"/>
      <c r="N426" s="132"/>
      <c r="O426" s="132"/>
      <c r="P426" s="534"/>
      <c r="Q426" s="132"/>
      <c r="R426" s="132"/>
    </row>
    <row r="427" spans="2:18" x14ac:dyDescent="0.25">
      <c r="B427" s="128">
        <v>3</v>
      </c>
      <c r="C427" s="1047"/>
      <c r="D427" s="1047"/>
      <c r="E427" s="1047"/>
      <c r="F427" s="1047"/>
      <c r="G427" s="1047"/>
      <c r="H427" s="1048"/>
      <c r="I427" s="545"/>
      <c r="J427" s="533"/>
      <c r="K427" s="469">
        <f t="shared" si="28"/>
        <v>0</v>
      </c>
      <c r="L427" s="546">
        <f t="shared" si="29"/>
        <v>0</v>
      </c>
      <c r="M427" s="534"/>
      <c r="N427" s="132"/>
      <c r="O427" s="132"/>
      <c r="P427" s="534"/>
      <c r="Q427" s="132"/>
      <c r="R427" s="132"/>
    </row>
    <row r="428" spans="2:18" x14ac:dyDescent="0.25">
      <c r="B428" s="128">
        <v>4</v>
      </c>
      <c r="C428" s="1047"/>
      <c r="D428" s="1047"/>
      <c r="E428" s="1047"/>
      <c r="F428" s="1047"/>
      <c r="G428" s="1047"/>
      <c r="H428" s="1048"/>
      <c r="I428" s="545"/>
      <c r="J428" s="533"/>
      <c r="K428" s="469">
        <f t="shared" si="28"/>
        <v>0</v>
      </c>
      <c r="L428" s="546">
        <f t="shared" si="29"/>
        <v>0</v>
      </c>
      <c r="M428" s="534"/>
      <c r="N428" s="132"/>
      <c r="O428" s="132"/>
      <c r="P428" s="534"/>
      <c r="Q428" s="132"/>
      <c r="R428" s="132"/>
    </row>
    <row r="429" spans="2:18" x14ac:dyDescent="0.25">
      <c r="B429" s="128">
        <v>5</v>
      </c>
      <c r="C429" s="1047"/>
      <c r="D429" s="1047"/>
      <c r="E429" s="1047"/>
      <c r="F429" s="1047"/>
      <c r="G429" s="1047"/>
      <c r="H429" s="1048"/>
      <c r="I429" s="545"/>
      <c r="J429" s="533"/>
      <c r="K429" s="469">
        <f t="shared" si="28"/>
        <v>0</v>
      </c>
      <c r="L429" s="546">
        <f t="shared" si="29"/>
        <v>0</v>
      </c>
      <c r="M429" s="534"/>
      <c r="N429" s="132"/>
      <c r="O429" s="132"/>
      <c r="P429" s="534"/>
      <c r="Q429" s="132"/>
      <c r="R429" s="132"/>
    </row>
    <row r="430" spans="2:18" x14ac:dyDescent="0.25">
      <c r="B430" s="128">
        <v>6</v>
      </c>
      <c r="C430" s="1047"/>
      <c r="D430" s="1047"/>
      <c r="E430" s="1047"/>
      <c r="F430" s="1047"/>
      <c r="G430" s="1047"/>
      <c r="H430" s="1048"/>
      <c r="I430" s="545"/>
      <c r="J430" s="533"/>
      <c r="K430" s="469">
        <f t="shared" si="28"/>
        <v>0</v>
      </c>
      <c r="L430" s="546">
        <f t="shared" si="29"/>
        <v>0</v>
      </c>
      <c r="M430" s="534"/>
      <c r="N430" s="132"/>
      <c r="O430" s="132"/>
      <c r="P430" s="534"/>
      <c r="Q430" s="132"/>
      <c r="R430" s="132"/>
    </row>
    <row r="431" spans="2:18" x14ac:dyDescent="0.25">
      <c r="B431" s="128">
        <v>7</v>
      </c>
      <c r="C431" s="1047"/>
      <c r="D431" s="1047"/>
      <c r="E431" s="1047"/>
      <c r="F431" s="1047"/>
      <c r="G431" s="1047"/>
      <c r="H431" s="1048"/>
      <c r="I431" s="545"/>
      <c r="J431" s="533"/>
      <c r="K431" s="469">
        <f t="shared" si="28"/>
        <v>0</v>
      </c>
      <c r="L431" s="546">
        <f t="shared" si="29"/>
        <v>0</v>
      </c>
      <c r="M431" s="534"/>
      <c r="N431" s="132"/>
      <c r="O431" s="132"/>
      <c r="P431" s="534"/>
      <c r="Q431" s="132"/>
      <c r="R431" s="132"/>
    </row>
    <row r="432" spans="2:18" x14ac:dyDescent="0.25">
      <c r="B432" s="128">
        <v>8</v>
      </c>
      <c r="C432" s="1047"/>
      <c r="D432" s="1047"/>
      <c r="E432" s="1047"/>
      <c r="F432" s="1047"/>
      <c r="G432" s="1047"/>
      <c r="H432" s="1048"/>
      <c r="I432" s="545"/>
      <c r="J432" s="533"/>
      <c r="K432" s="469">
        <f t="shared" si="28"/>
        <v>0</v>
      </c>
      <c r="L432" s="546">
        <f t="shared" si="29"/>
        <v>0</v>
      </c>
      <c r="M432" s="534"/>
      <c r="N432" s="132"/>
      <c r="O432" s="132"/>
      <c r="P432" s="534"/>
      <c r="Q432" s="132"/>
      <c r="R432" s="132"/>
    </row>
    <row r="433" spans="2:18" x14ac:dyDescent="0.25">
      <c r="B433" s="128">
        <v>9</v>
      </c>
      <c r="C433" s="1047"/>
      <c r="D433" s="1047"/>
      <c r="E433" s="1047"/>
      <c r="F433" s="1047"/>
      <c r="G433" s="1047"/>
      <c r="H433" s="1048"/>
      <c r="I433" s="545"/>
      <c r="J433" s="533"/>
      <c r="K433" s="469">
        <f t="shared" si="28"/>
        <v>0</v>
      </c>
      <c r="L433" s="546">
        <f t="shared" si="29"/>
        <v>0</v>
      </c>
      <c r="M433" s="534"/>
      <c r="N433" s="132"/>
      <c r="O433" s="132"/>
      <c r="P433" s="534"/>
      <c r="Q433" s="132"/>
      <c r="R433" s="132"/>
    </row>
    <row r="434" spans="2:18" x14ac:dyDescent="0.25">
      <c r="B434" s="128">
        <v>10</v>
      </c>
      <c r="C434" s="1047"/>
      <c r="D434" s="1047"/>
      <c r="E434" s="1047"/>
      <c r="F434" s="1047"/>
      <c r="G434" s="1047"/>
      <c r="H434" s="1048"/>
      <c r="I434" s="545"/>
      <c r="J434" s="533"/>
      <c r="K434" s="469">
        <f t="shared" si="28"/>
        <v>0</v>
      </c>
      <c r="L434" s="546">
        <f t="shared" si="29"/>
        <v>0</v>
      </c>
      <c r="M434" s="534"/>
      <c r="N434" s="132"/>
      <c r="O434" s="132"/>
      <c r="P434" s="534"/>
      <c r="Q434" s="132"/>
      <c r="R434" s="132"/>
    </row>
    <row r="435" spans="2:18" x14ac:dyDescent="0.25">
      <c r="B435" s="128">
        <v>11</v>
      </c>
      <c r="C435" s="1047"/>
      <c r="D435" s="1047"/>
      <c r="E435" s="1047"/>
      <c r="F435" s="1047"/>
      <c r="G435" s="1047"/>
      <c r="H435" s="1048"/>
      <c r="I435" s="545"/>
      <c r="J435" s="533"/>
      <c r="K435" s="469">
        <f t="shared" si="28"/>
        <v>0</v>
      </c>
      <c r="L435" s="546">
        <f t="shared" si="29"/>
        <v>0</v>
      </c>
      <c r="M435" s="534"/>
      <c r="N435" s="132"/>
      <c r="O435" s="132"/>
      <c r="P435" s="534"/>
      <c r="Q435" s="132"/>
      <c r="R435" s="132"/>
    </row>
    <row r="436" spans="2:18" x14ac:dyDescent="0.25">
      <c r="B436" s="128">
        <v>12</v>
      </c>
      <c r="C436" s="1047"/>
      <c r="D436" s="1047"/>
      <c r="E436" s="1047"/>
      <c r="F436" s="1047"/>
      <c r="G436" s="1047"/>
      <c r="H436" s="1048"/>
      <c r="I436" s="545"/>
      <c r="J436" s="533"/>
      <c r="K436" s="469">
        <f t="shared" si="28"/>
        <v>0</v>
      </c>
      <c r="L436" s="546">
        <f t="shared" si="29"/>
        <v>0</v>
      </c>
      <c r="M436" s="534"/>
      <c r="N436" s="132"/>
      <c r="O436" s="132"/>
      <c r="P436" s="534"/>
      <c r="Q436" s="132"/>
      <c r="R436" s="132"/>
    </row>
    <row r="437" spans="2:18" x14ac:dyDescent="0.25">
      <c r="B437" s="128">
        <v>13</v>
      </c>
      <c r="C437" s="1047"/>
      <c r="D437" s="1047"/>
      <c r="E437" s="1047"/>
      <c r="F437" s="1047"/>
      <c r="G437" s="1047"/>
      <c r="H437" s="1048"/>
      <c r="I437" s="545"/>
      <c r="J437" s="533"/>
      <c r="K437" s="469">
        <f t="shared" si="28"/>
        <v>0</v>
      </c>
      <c r="L437" s="546">
        <f t="shared" si="29"/>
        <v>0</v>
      </c>
      <c r="M437" s="534"/>
      <c r="N437" s="132"/>
      <c r="O437" s="132"/>
      <c r="P437" s="534"/>
      <c r="Q437" s="132"/>
      <c r="R437" s="132"/>
    </row>
    <row r="438" spans="2:18" x14ac:dyDescent="0.25">
      <c r="B438" s="128">
        <v>14</v>
      </c>
      <c r="C438" s="1047"/>
      <c r="D438" s="1047"/>
      <c r="E438" s="1047"/>
      <c r="F438" s="1047"/>
      <c r="G438" s="1047"/>
      <c r="H438" s="1048"/>
      <c r="I438" s="545"/>
      <c r="J438" s="533"/>
      <c r="K438" s="469">
        <f t="shared" si="28"/>
        <v>0</v>
      </c>
      <c r="L438" s="546">
        <f t="shared" si="29"/>
        <v>0</v>
      </c>
      <c r="M438" s="534"/>
      <c r="N438" s="132"/>
      <c r="O438" s="132"/>
      <c r="P438" s="534"/>
      <c r="Q438" s="132"/>
      <c r="R438" s="132"/>
    </row>
    <row r="439" spans="2:18" x14ac:dyDescent="0.25">
      <c r="B439" s="128">
        <v>15</v>
      </c>
      <c r="C439" s="1047"/>
      <c r="D439" s="1047"/>
      <c r="E439" s="1047"/>
      <c r="F439" s="1047"/>
      <c r="G439" s="1047"/>
      <c r="H439" s="1048"/>
      <c r="I439" s="545"/>
      <c r="J439" s="533"/>
      <c r="K439" s="469">
        <f t="shared" si="28"/>
        <v>0</v>
      </c>
      <c r="L439" s="546">
        <f t="shared" si="29"/>
        <v>0</v>
      </c>
      <c r="M439" s="534"/>
      <c r="N439" s="132"/>
      <c r="O439" s="132"/>
      <c r="P439" s="534"/>
      <c r="Q439" s="132"/>
      <c r="R439" s="132"/>
    </row>
    <row r="440" spans="2:18" x14ac:dyDescent="0.25">
      <c r="B440" s="128">
        <v>16</v>
      </c>
      <c r="C440" s="1047"/>
      <c r="D440" s="1047"/>
      <c r="E440" s="1047"/>
      <c r="F440" s="1047"/>
      <c r="G440" s="1047"/>
      <c r="H440" s="1048"/>
      <c r="I440" s="545"/>
      <c r="J440" s="533"/>
      <c r="K440" s="469">
        <f t="shared" si="28"/>
        <v>0</v>
      </c>
      <c r="L440" s="546">
        <f t="shared" si="29"/>
        <v>0</v>
      </c>
      <c r="M440" s="534"/>
      <c r="N440" s="132"/>
      <c r="O440" s="132"/>
      <c r="P440" s="534"/>
      <c r="Q440" s="132"/>
      <c r="R440" s="132"/>
    </row>
    <row r="441" spans="2:18" x14ac:dyDescent="0.25">
      <c r="B441" s="128">
        <v>17</v>
      </c>
      <c r="C441" s="1047"/>
      <c r="D441" s="1047"/>
      <c r="E441" s="1047"/>
      <c r="F441" s="1047"/>
      <c r="G441" s="1047"/>
      <c r="H441" s="1048"/>
      <c r="I441" s="545"/>
      <c r="J441" s="533"/>
      <c r="K441" s="469">
        <f t="shared" si="28"/>
        <v>0</v>
      </c>
      <c r="L441" s="546">
        <f t="shared" si="29"/>
        <v>0</v>
      </c>
      <c r="M441" s="534"/>
      <c r="N441" s="132"/>
      <c r="O441" s="132"/>
      <c r="P441" s="534"/>
      <c r="Q441" s="132"/>
      <c r="R441" s="132"/>
    </row>
    <row r="442" spans="2:18" x14ac:dyDescent="0.25">
      <c r="B442" s="128">
        <v>18</v>
      </c>
      <c r="C442" s="1047"/>
      <c r="D442" s="1047"/>
      <c r="E442" s="1047"/>
      <c r="F442" s="1047"/>
      <c r="G442" s="1047"/>
      <c r="H442" s="1048"/>
      <c r="I442" s="545"/>
      <c r="J442" s="533"/>
      <c r="K442" s="469">
        <f t="shared" si="28"/>
        <v>0</v>
      </c>
      <c r="L442" s="546">
        <f t="shared" si="29"/>
        <v>0</v>
      </c>
      <c r="M442" s="534"/>
      <c r="N442" s="132"/>
      <c r="O442" s="132"/>
      <c r="P442" s="534"/>
      <c r="Q442" s="132"/>
      <c r="R442" s="132"/>
    </row>
    <row r="443" spans="2:18" x14ac:dyDescent="0.25">
      <c r="B443" s="128">
        <v>19</v>
      </c>
      <c r="C443" s="1047"/>
      <c r="D443" s="1047"/>
      <c r="E443" s="1047"/>
      <c r="F443" s="1047"/>
      <c r="G443" s="1047"/>
      <c r="H443" s="1048"/>
      <c r="I443" s="545"/>
      <c r="J443" s="533"/>
      <c r="K443" s="469">
        <f t="shared" si="28"/>
        <v>0</v>
      </c>
      <c r="L443" s="546">
        <f t="shared" si="29"/>
        <v>0</v>
      </c>
      <c r="M443" s="534"/>
      <c r="N443" s="132"/>
      <c r="O443" s="132"/>
      <c r="P443" s="534"/>
      <c r="Q443" s="132"/>
      <c r="R443" s="132"/>
    </row>
    <row r="444" spans="2:18" x14ac:dyDescent="0.25">
      <c r="B444" s="128">
        <v>20</v>
      </c>
      <c r="C444" s="1047"/>
      <c r="D444" s="1047"/>
      <c r="E444" s="1047"/>
      <c r="F444" s="1047"/>
      <c r="G444" s="1047"/>
      <c r="H444" s="1048"/>
      <c r="I444" s="545"/>
      <c r="J444" s="533"/>
      <c r="K444" s="469">
        <f t="shared" si="28"/>
        <v>0</v>
      </c>
      <c r="L444" s="546">
        <f t="shared" si="29"/>
        <v>0</v>
      </c>
      <c r="M444" s="534"/>
      <c r="N444" s="132"/>
      <c r="O444" s="132"/>
      <c r="P444" s="534"/>
      <c r="Q444" s="132"/>
      <c r="R444" s="132"/>
    </row>
    <row r="445" spans="2:18" x14ac:dyDescent="0.25">
      <c r="B445" s="1098" t="s">
        <v>928</v>
      </c>
      <c r="C445" s="1007"/>
      <c r="D445" s="1007"/>
      <c r="E445" s="1007"/>
      <c r="F445" s="1007"/>
      <c r="G445" s="1007"/>
      <c r="H445" s="1007"/>
      <c r="I445" s="1007"/>
      <c r="J445" s="1007"/>
      <c r="K445" s="1007"/>
      <c r="L445" s="1099"/>
      <c r="M445" s="551" t="s">
        <v>917</v>
      </c>
      <c r="N445" s="551" t="s">
        <v>926</v>
      </c>
      <c r="O445" s="551" t="s">
        <v>927</v>
      </c>
      <c r="P445" s="551" t="s">
        <v>943</v>
      </c>
      <c r="Q445" s="551" t="s">
        <v>944</v>
      </c>
      <c r="R445" s="551" t="s">
        <v>945</v>
      </c>
    </row>
    <row r="446" spans="2:18" ht="15" customHeight="1" x14ac:dyDescent="0.25">
      <c r="B446" s="993" t="s">
        <v>918</v>
      </c>
      <c r="C446" s="994"/>
      <c r="D446" s="994"/>
      <c r="E446" s="994"/>
      <c r="F446" s="994"/>
      <c r="G446" s="994"/>
      <c r="H446" s="994"/>
      <c r="I446" s="994"/>
      <c r="J446" s="994"/>
      <c r="K446" s="994"/>
      <c r="L446" s="995"/>
      <c r="M446" s="810" t="s">
        <v>1420</v>
      </c>
      <c r="N446" s="536"/>
      <c r="O446" s="536"/>
      <c r="P446" s="536"/>
      <c r="Q446" s="536"/>
      <c r="R446" s="536"/>
    </row>
    <row r="447" spans="2:18" ht="15" customHeight="1" x14ac:dyDescent="0.25">
      <c r="B447" s="993" t="s">
        <v>919</v>
      </c>
      <c r="C447" s="994"/>
      <c r="D447" s="994"/>
      <c r="E447" s="994"/>
      <c r="F447" s="994"/>
      <c r="G447" s="994"/>
      <c r="H447" s="994"/>
      <c r="I447" s="994"/>
      <c r="J447" s="994"/>
      <c r="K447" s="994"/>
      <c r="L447" s="995"/>
      <c r="M447" s="810">
        <v>30849093000194</v>
      </c>
      <c r="N447" s="536"/>
      <c r="O447" s="536"/>
      <c r="P447" s="536"/>
      <c r="Q447" s="536"/>
      <c r="R447" s="536"/>
    </row>
    <row r="448" spans="2:18" ht="15" customHeight="1" x14ac:dyDescent="0.25">
      <c r="B448" s="993" t="s">
        <v>920</v>
      </c>
      <c r="C448" s="994"/>
      <c r="D448" s="994"/>
      <c r="E448" s="994"/>
      <c r="F448" s="994"/>
      <c r="G448" s="994"/>
      <c r="H448" s="994"/>
      <c r="I448" s="994"/>
      <c r="J448" s="994"/>
      <c r="K448" s="994"/>
      <c r="L448" s="995"/>
      <c r="M448" s="537">
        <v>44729</v>
      </c>
      <c r="N448" s="537"/>
      <c r="O448" s="537"/>
      <c r="P448" s="537"/>
      <c r="Q448" s="537"/>
      <c r="R448" s="537"/>
    </row>
    <row r="449" spans="2:18" ht="15" customHeight="1" x14ac:dyDescent="0.25">
      <c r="B449" s="993" t="s">
        <v>921</v>
      </c>
      <c r="C449" s="994"/>
      <c r="D449" s="994"/>
      <c r="E449" s="994"/>
      <c r="F449" s="994"/>
      <c r="G449" s="994"/>
      <c r="H449" s="994"/>
      <c r="I449" s="994"/>
      <c r="J449" s="994"/>
      <c r="K449" s="994"/>
      <c r="L449" s="995"/>
      <c r="M449" s="537">
        <v>44821</v>
      </c>
      <c r="N449" s="537"/>
      <c r="O449" s="537"/>
      <c r="P449" s="537"/>
      <c r="Q449" s="537"/>
      <c r="R449" s="537"/>
    </row>
    <row r="450" spans="2:18" ht="15" customHeight="1" x14ac:dyDescent="0.25">
      <c r="B450" s="993" t="s">
        <v>922</v>
      </c>
      <c r="C450" s="994"/>
      <c r="D450" s="994"/>
      <c r="E450" s="994"/>
      <c r="F450" s="994"/>
      <c r="G450" s="994"/>
      <c r="H450" s="994"/>
      <c r="I450" s="994"/>
      <c r="J450" s="994"/>
      <c r="K450" s="994"/>
      <c r="L450" s="995"/>
      <c r="M450" s="535" t="s">
        <v>1421</v>
      </c>
      <c r="N450" s="535"/>
      <c r="O450" s="535"/>
      <c r="P450" s="535"/>
      <c r="Q450" s="535"/>
      <c r="R450" s="535"/>
    </row>
    <row r="451" spans="2:18" ht="15" customHeight="1" x14ac:dyDescent="0.25">
      <c r="B451" s="993" t="s">
        <v>923</v>
      </c>
      <c r="C451" s="994"/>
      <c r="D451" s="994"/>
      <c r="E451" s="994"/>
      <c r="F451" s="994"/>
      <c r="G451" s="994"/>
      <c r="H451" s="994"/>
      <c r="I451" s="994"/>
      <c r="J451" s="994"/>
      <c r="K451" s="994"/>
      <c r="L451" s="995"/>
      <c r="M451" s="811" t="s">
        <v>1422</v>
      </c>
      <c r="N451" s="538"/>
      <c r="O451" s="538"/>
      <c r="P451" s="538"/>
      <c r="Q451" s="538"/>
      <c r="R451" s="538"/>
    </row>
    <row r="452" spans="2:18" ht="15" customHeight="1" x14ac:dyDescent="0.25">
      <c r="B452" s="993" t="s">
        <v>924</v>
      </c>
      <c r="C452" s="994"/>
      <c r="D452" s="994"/>
      <c r="E452" s="994"/>
      <c r="F452" s="994"/>
      <c r="G452" s="994"/>
      <c r="H452" s="994"/>
      <c r="I452" s="994"/>
      <c r="J452" s="994"/>
      <c r="K452" s="994"/>
      <c r="L452" s="995"/>
      <c r="M452" s="539" t="s">
        <v>1423</v>
      </c>
      <c r="N452" s="539"/>
      <c r="O452" s="539"/>
      <c r="P452" s="539"/>
      <c r="Q452" s="539"/>
      <c r="R452" s="539"/>
    </row>
    <row r="453" spans="2:18" ht="15" customHeight="1" x14ac:dyDescent="0.25">
      <c r="B453" s="1100" t="s">
        <v>925</v>
      </c>
      <c r="C453" s="1100"/>
      <c r="D453" s="1100"/>
      <c r="E453" s="1100"/>
      <c r="F453" s="1100"/>
      <c r="G453" s="1100"/>
      <c r="H453" s="1100"/>
      <c r="I453" s="1100"/>
      <c r="J453" s="1100"/>
      <c r="K453" s="1100"/>
      <c r="L453" s="1100"/>
      <c r="M453" s="1097" t="s">
        <v>915</v>
      </c>
      <c r="N453" s="1097"/>
      <c r="O453" s="1097"/>
      <c r="P453" s="1097" t="s">
        <v>915</v>
      </c>
      <c r="Q453" s="1097"/>
      <c r="R453" s="1097"/>
    </row>
  </sheetData>
  <sheetProtection algorithmName="SHA-512" hashValue="Y3O8u/Ppo+qCS4ACWigzvYrNHIYgUJQPh9IYlFJDHfVCfaqdl0QtL92+MWxt5e+wCF9Pl8pjsFZeEAfz2UtoxQ==" saltValue="H+Bw71khL+CsumUL57uwEg==" spinCount="100000" sheet="1" objects="1" scenarios="1"/>
  <protectedRanges>
    <protectedRange sqref="M425:R444" name="i31"/>
    <protectedRange sqref="M402:R421" name="i29"/>
    <protectedRange sqref="M380:R399" name="i27"/>
    <protectedRange sqref="M357:R376" name="i25"/>
    <protectedRange sqref="M335:R354" name="i23"/>
    <protectedRange sqref="M322:R331" name="i21"/>
    <protectedRange sqref="M310:R319" name="i19"/>
    <protectedRange sqref="M287:R306" name="i17"/>
    <protectedRange sqref="C287:J306" name="i15"/>
    <protectedRange sqref="C265:J284" name="i13"/>
    <protectedRange sqref="C212:J261" name="i11"/>
    <protectedRange sqref="C160:J209" name="i9"/>
    <protectedRange sqref="C137:J156" name="i7"/>
    <protectedRange sqref="C115:J134" name="i5"/>
    <protectedRange sqref="C62:J111" name="i3"/>
    <protectedRange sqref="C10:J59" name="i1"/>
    <protectedRange sqref="M10:R59" name="i2"/>
    <protectedRange sqref="M62:R111" name="i4"/>
    <protectedRange sqref="M115:R134" name="i6"/>
    <protectedRange sqref="M137:R156" name="i8"/>
    <protectedRange sqref="M160:R209" name="i10"/>
    <protectedRange sqref="M212:R261" name="i12"/>
    <protectedRange sqref="M265:R284" name="i14"/>
    <protectedRange sqref="C287:J306" name="i16"/>
    <protectedRange sqref="C310:J319" name="i18"/>
    <protectedRange sqref="C322:J331" name="i20"/>
    <protectedRange sqref="C335:J354" name="i22"/>
    <protectedRange sqref="C357:J376" name="i24"/>
    <protectedRange sqref="C380:J399" name="i26"/>
    <protectedRange sqref="C402:J421" name="i28"/>
    <protectedRange sqref="C425:J444" name="i30"/>
    <protectedRange sqref="M446:R452" name="i32"/>
  </protectedRanges>
  <mergeCells count="451">
    <mergeCell ref="P453:R453"/>
    <mergeCell ref="M3:R5"/>
    <mergeCell ref="B422:L422"/>
    <mergeCell ref="B423:L423"/>
    <mergeCell ref="B424:H424"/>
    <mergeCell ref="C425:H425"/>
    <mergeCell ref="C426:H426"/>
    <mergeCell ref="C427:H427"/>
    <mergeCell ref="C428:H428"/>
    <mergeCell ref="C429:H429"/>
    <mergeCell ref="C430:H430"/>
    <mergeCell ref="C431:H431"/>
    <mergeCell ref="C432:H432"/>
    <mergeCell ref="C433:H433"/>
    <mergeCell ref="C434:H434"/>
    <mergeCell ref="C435:H435"/>
    <mergeCell ref="C436:H436"/>
    <mergeCell ref="C437:H437"/>
    <mergeCell ref="C438:H438"/>
    <mergeCell ref="C439:H439"/>
    <mergeCell ref="C440:H440"/>
    <mergeCell ref="C441:H441"/>
    <mergeCell ref="C442:H442"/>
    <mergeCell ref="C443:H443"/>
    <mergeCell ref="M453:O453"/>
    <mergeCell ref="B445:L445"/>
    <mergeCell ref="B446:L446"/>
    <mergeCell ref="B447:L447"/>
    <mergeCell ref="B448:L448"/>
    <mergeCell ref="B449:L449"/>
    <mergeCell ref="B450:L450"/>
    <mergeCell ref="B451:L451"/>
    <mergeCell ref="B452:L452"/>
    <mergeCell ref="B453:L453"/>
    <mergeCell ref="C444:H444"/>
    <mergeCell ref="C406:H406"/>
    <mergeCell ref="C407:H407"/>
    <mergeCell ref="C408:H408"/>
    <mergeCell ref="C409:H409"/>
    <mergeCell ref="C410:H410"/>
    <mergeCell ref="C411:H411"/>
    <mergeCell ref="B401:H401"/>
    <mergeCell ref="C402:H402"/>
    <mergeCell ref="C403:H403"/>
    <mergeCell ref="C404:H404"/>
    <mergeCell ref="C405:H405"/>
    <mergeCell ref="C418:H418"/>
    <mergeCell ref="C419:H419"/>
    <mergeCell ref="C420:H420"/>
    <mergeCell ref="C421:H421"/>
    <mergeCell ref="C412:H412"/>
    <mergeCell ref="C413:H413"/>
    <mergeCell ref="C414:H414"/>
    <mergeCell ref="C415:H415"/>
    <mergeCell ref="C416:H416"/>
    <mergeCell ref="C417:H417"/>
    <mergeCell ref="C395:H395"/>
    <mergeCell ref="C396:H396"/>
    <mergeCell ref="C397:H397"/>
    <mergeCell ref="C398:H398"/>
    <mergeCell ref="C399:H399"/>
    <mergeCell ref="B400:L400"/>
    <mergeCell ref="C389:H389"/>
    <mergeCell ref="C390:H390"/>
    <mergeCell ref="C391:H391"/>
    <mergeCell ref="C392:H392"/>
    <mergeCell ref="C393:H393"/>
    <mergeCell ref="C394:H394"/>
    <mergeCell ref="C383:H383"/>
    <mergeCell ref="C384:H384"/>
    <mergeCell ref="C385:H385"/>
    <mergeCell ref="C386:H386"/>
    <mergeCell ref="C387:H387"/>
    <mergeCell ref="C388:H388"/>
    <mergeCell ref="B379:H379"/>
    <mergeCell ref="C380:H380"/>
    <mergeCell ref="C381:H381"/>
    <mergeCell ref="C382:H382"/>
    <mergeCell ref="C373:H373"/>
    <mergeCell ref="C374:H374"/>
    <mergeCell ref="C375:H375"/>
    <mergeCell ref="C376:H376"/>
    <mergeCell ref="B377:L377"/>
    <mergeCell ref="B378:L378"/>
    <mergeCell ref="C367:H367"/>
    <mergeCell ref="C368:H368"/>
    <mergeCell ref="C369:H369"/>
    <mergeCell ref="C370:H370"/>
    <mergeCell ref="C371:H371"/>
    <mergeCell ref="C372:H372"/>
    <mergeCell ref="C361:H361"/>
    <mergeCell ref="C362:H362"/>
    <mergeCell ref="C363:H363"/>
    <mergeCell ref="C364:H364"/>
    <mergeCell ref="C365:H365"/>
    <mergeCell ref="C366:H366"/>
    <mergeCell ref="B356:H356"/>
    <mergeCell ref="C357:H357"/>
    <mergeCell ref="C358:H358"/>
    <mergeCell ref="C359:H359"/>
    <mergeCell ref="C360:H360"/>
    <mergeCell ref="C350:H350"/>
    <mergeCell ref="C351:H351"/>
    <mergeCell ref="C352:H352"/>
    <mergeCell ref="C353:H353"/>
    <mergeCell ref="C354:H354"/>
    <mergeCell ref="B355:L355"/>
    <mergeCell ref="C344:H344"/>
    <mergeCell ref="C345:H345"/>
    <mergeCell ref="C346:H346"/>
    <mergeCell ref="C347:H347"/>
    <mergeCell ref="C348:H348"/>
    <mergeCell ref="C349:H349"/>
    <mergeCell ref="C338:H338"/>
    <mergeCell ref="C339:H339"/>
    <mergeCell ref="C340:H340"/>
    <mergeCell ref="C341:H341"/>
    <mergeCell ref="C342:H342"/>
    <mergeCell ref="C343:H343"/>
    <mergeCell ref="B334:H334"/>
    <mergeCell ref="C335:H335"/>
    <mergeCell ref="C336:H336"/>
    <mergeCell ref="C337:H337"/>
    <mergeCell ref="C328:H328"/>
    <mergeCell ref="C329:H329"/>
    <mergeCell ref="C330:H330"/>
    <mergeCell ref="C331:H331"/>
    <mergeCell ref="B332:L332"/>
    <mergeCell ref="B333:L333"/>
    <mergeCell ref="C322:H322"/>
    <mergeCell ref="C323:H323"/>
    <mergeCell ref="C324:H324"/>
    <mergeCell ref="C325:H325"/>
    <mergeCell ref="C326:H326"/>
    <mergeCell ref="C327:H327"/>
    <mergeCell ref="C317:H317"/>
    <mergeCell ref="C318:H318"/>
    <mergeCell ref="C319:H319"/>
    <mergeCell ref="B321:H321"/>
    <mergeCell ref="B320:L320"/>
    <mergeCell ref="C311:H311"/>
    <mergeCell ref="C312:H312"/>
    <mergeCell ref="C313:H313"/>
    <mergeCell ref="C314:H314"/>
    <mergeCell ref="C315:H315"/>
    <mergeCell ref="C316:H316"/>
    <mergeCell ref="B309:H309"/>
    <mergeCell ref="C310:H310"/>
    <mergeCell ref="B307:L307"/>
    <mergeCell ref="B308:L308"/>
    <mergeCell ref="C301:H301"/>
    <mergeCell ref="C302:H302"/>
    <mergeCell ref="C303:H303"/>
    <mergeCell ref="C304:H304"/>
    <mergeCell ref="C305:H305"/>
    <mergeCell ref="C306:H306"/>
    <mergeCell ref="C295:H295"/>
    <mergeCell ref="C296:H296"/>
    <mergeCell ref="C297:H297"/>
    <mergeCell ref="C298:H298"/>
    <mergeCell ref="C299:H299"/>
    <mergeCell ref="C300:H300"/>
    <mergeCell ref="C289:H289"/>
    <mergeCell ref="C290:H290"/>
    <mergeCell ref="C291:H291"/>
    <mergeCell ref="C292:H292"/>
    <mergeCell ref="C293:H293"/>
    <mergeCell ref="C294:H294"/>
    <mergeCell ref="C284:H284"/>
    <mergeCell ref="B286:H286"/>
    <mergeCell ref="C287:H287"/>
    <mergeCell ref="C288:H288"/>
    <mergeCell ref="B285:L285"/>
    <mergeCell ref="C278:H278"/>
    <mergeCell ref="C279:H279"/>
    <mergeCell ref="C280:H280"/>
    <mergeCell ref="C281:H281"/>
    <mergeCell ref="C282:H282"/>
    <mergeCell ref="C283:H283"/>
    <mergeCell ref="C272:H272"/>
    <mergeCell ref="C273:H273"/>
    <mergeCell ref="C274:H274"/>
    <mergeCell ref="C275:H275"/>
    <mergeCell ref="C276:H276"/>
    <mergeCell ref="C277:H277"/>
    <mergeCell ref="C266:H266"/>
    <mergeCell ref="C267:H267"/>
    <mergeCell ref="C268:H268"/>
    <mergeCell ref="C269:H269"/>
    <mergeCell ref="C270:H270"/>
    <mergeCell ref="C271:H271"/>
    <mergeCell ref="B264:H264"/>
    <mergeCell ref="C265:H265"/>
    <mergeCell ref="B262:L262"/>
    <mergeCell ref="B263:L263"/>
    <mergeCell ref="C256:H256"/>
    <mergeCell ref="C257:H257"/>
    <mergeCell ref="C258:H258"/>
    <mergeCell ref="C259:H259"/>
    <mergeCell ref="C260:H260"/>
    <mergeCell ref="C261:H261"/>
    <mergeCell ref="C250:H250"/>
    <mergeCell ref="C251:H251"/>
    <mergeCell ref="C252:H252"/>
    <mergeCell ref="C253:H253"/>
    <mergeCell ref="C254:H254"/>
    <mergeCell ref="C255:H255"/>
    <mergeCell ref="C244:H244"/>
    <mergeCell ref="C245:H245"/>
    <mergeCell ref="C246:H246"/>
    <mergeCell ref="C247:H247"/>
    <mergeCell ref="C248:H248"/>
    <mergeCell ref="C249:H249"/>
    <mergeCell ref="C238:H238"/>
    <mergeCell ref="C239:H239"/>
    <mergeCell ref="C240:H240"/>
    <mergeCell ref="C241:H241"/>
    <mergeCell ref="C242:H242"/>
    <mergeCell ref="C243:H243"/>
    <mergeCell ref="C232:H232"/>
    <mergeCell ref="C233:H233"/>
    <mergeCell ref="C234:H234"/>
    <mergeCell ref="C235:H235"/>
    <mergeCell ref="C236:H236"/>
    <mergeCell ref="C237:H237"/>
    <mergeCell ref="C226:H226"/>
    <mergeCell ref="C227:H227"/>
    <mergeCell ref="C228:H228"/>
    <mergeCell ref="C229:H229"/>
    <mergeCell ref="C230:H230"/>
    <mergeCell ref="C231:H231"/>
    <mergeCell ref="C220:H220"/>
    <mergeCell ref="C221:H221"/>
    <mergeCell ref="C222:H222"/>
    <mergeCell ref="C223:H223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09:H209"/>
    <mergeCell ref="B211:H211"/>
    <mergeCell ref="C212:H212"/>
    <mergeCell ref="C213:H213"/>
    <mergeCell ref="B210:L210"/>
    <mergeCell ref="C203:H203"/>
    <mergeCell ref="C204:H204"/>
    <mergeCell ref="C205:H205"/>
    <mergeCell ref="C206:H206"/>
    <mergeCell ref="C207:H207"/>
    <mergeCell ref="C208:H208"/>
    <mergeCell ref="C197:H197"/>
    <mergeCell ref="C198:H198"/>
    <mergeCell ref="C199:H199"/>
    <mergeCell ref="C200:H200"/>
    <mergeCell ref="C201:H201"/>
    <mergeCell ref="C202:H202"/>
    <mergeCell ref="C191:H191"/>
    <mergeCell ref="C192:H192"/>
    <mergeCell ref="C193:H193"/>
    <mergeCell ref="C194:H194"/>
    <mergeCell ref="C195:H195"/>
    <mergeCell ref="C196:H196"/>
    <mergeCell ref="C185:H185"/>
    <mergeCell ref="C186:H186"/>
    <mergeCell ref="C187:H187"/>
    <mergeCell ref="C188:H188"/>
    <mergeCell ref="C189:H189"/>
    <mergeCell ref="C190:H190"/>
    <mergeCell ref="C179:H179"/>
    <mergeCell ref="C180:H180"/>
    <mergeCell ref="C181:H181"/>
    <mergeCell ref="C182:H182"/>
    <mergeCell ref="C183:H183"/>
    <mergeCell ref="C184:H184"/>
    <mergeCell ref="C173:H173"/>
    <mergeCell ref="C174:H174"/>
    <mergeCell ref="C175:H175"/>
    <mergeCell ref="C176:H176"/>
    <mergeCell ref="C177:H177"/>
    <mergeCell ref="C178:H178"/>
    <mergeCell ref="C167:H167"/>
    <mergeCell ref="C168:H168"/>
    <mergeCell ref="C169:H169"/>
    <mergeCell ref="C170:H170"/>
    <mergeCell ref="C171:H171"/>
    <mergeCell ref="C172:H172"/>
    <mergeCell ref="C161:H161"/>
    <mergeCell ref="C162:H162"/>
    <mergeCell ref="C163:H163"/>
    <mergeCell ref="C164:H164"/>
    <mergeCell ref="C165:H165"/>
    <mergeCell ref="C166:H166"/>
    <mergeCell ref="B159:H159"/>
    <mergeCell ref="C160:H160"/>
    <mergeCell ref="B157:L157"/>
    <mergeCell ref="B158:L158"/>
    <mergeCell ref="C151:H151"/>
    <mergeCell ref="C152:H152"/>
    <mergeCell ref="C153:H153"/>
    <mergeCell ref="C154:H154"/>
    <mergeCell ref="C155:H155"/>
    <mergeCell ref="C156:H156"/>
    <mergeCell ref="C145:H145"/>
    <mergeCell ref="C146:H146"/>
    <mergeCell ref="C147:H147"/>
    <mergeCell ref="C148:H148"/>
    <mergeCell ref="C149:H149"/>
    <mergeCell ref="C150:H150"/>
    <mergeCell ref="C139:H139"/>
    <mergeCell ref="C140:H140"/>
    <mergeCell ref="C141:H141"/>
    <mergeCell ref="C142:H142"/>
    <mergeCell ref="C143:H143"/>
    <mergeCell ref="C144:H144"/>
    <mergeCell ref="C134:H134"/>
    <mergeCell ref="B136:H136"/>
    <mergeCell ref="C137:H137"/>
    <mergeCell ref="C138:H138"/>
    <mergeCell ref="B135:L135"/>
    <mergeCell ref="C128:H128"/>
    <mergeCell ref="C129:H129"/>
    <mergeCell ref="C130:H130"/>
    <mergeCell ref="C131:H131"/>
    <mergeCell ref="C132:H132"/>
    <mergeCell ref="C133:H133"/>
    <mergeCell ref="C122:H122"/>
    <mergeCell ref="C123:H123"/>
    <mergeCell ref="C124:H124"/>
    <mergeCell ref="C125:H125"/>
    <mergeCell ref="C126:H126"/>
    <mergeCell ref="C127:H127"/>
    <mergeCell ref="C116:H116"/>
    <mergeCell ref="C117:H117"/>
    <mergeCell ref="C118:H118"/>
    <mergeCell ref="C119:H119"/>
    <mergeCell ref="C120:H120"/>
    <mergeCell ref="C121:H121"/>
    <mergeCell ref="B114:H114"/>
    <mergeCell ref="C115:H115"/>
    <mergeCell ref="B113:L113"/>
    <mergeCell ref="C106:H106"/>
    <mergeCell ref="C107:H107"/>
    <mergeCell ref="C108:H108"/>
    <mergeCell ref="C109:H109"/>
    <mergeCell ref="C110:H110"/>
    <mergeCell ref="C111:H111"/>
    <mergeCell ref="B112:L112"/>
    <mergeCell ref="C100:H100"/>
    <mergeCell ref="C101:H101"/>
    <mergeCell ref="C102:H102"/>
    <mergeCell ref="C103:H103"/>
    <mergeCell ref="C104:H104"/>
    <mergeCell ref="C105:H105"/>
    <mergeCell ref="C94:H94"/>
    <mergeCell ref="C95:H95"/>
    <mergeCell ref="C96:H96"/>
    <mergeCell ref="C97:H97"/>
    <mergeCell ref="C98:H98"/>
    <mergeCell ref="C99:H99"/>
    <mergeCell ref="C88:H88"/>
    <mergeCell ref="C89:H89"/>
    <mergeCell ref="C90:H90"/>
    <mergeCell ref="C91:H91"/>
    <mergeCell ref="C92:H92"/>
    <mergeCell ref="C93:H93"/>
    <mergeCell ref="C82:H82"/>
    <mergeCell ref="C83:H83"/>
    <mergeCell ref="C84:H84"/>
    <mergeCell ref="C85:H85"/>
    <mergeCell ref="C86:H86"/>
    <mergeCell ref="C87:H87"/>
    <mergeCell ref="C76:H76"/>
    <mergeCell ref="C77:H77"/>
    <mergeCell ref="C78:H78"/>
    <mergeCell ref="C79:H79"/>
    <mergeCell ref="C80:H80"/>
    <mergeCell ref="C81:H81"/>
    <mergeCell ref="C70:H70"/>
    <mergeCell ref="C71:H71"/>
    <mergeCell ref="C72:H72"/>
    <mergeCell ref="C73:H73"/>
    <mergeCell ref="C74:H74"/>
    <mergeCell ref="C75:H75"/>
    <mergeCell ref="C64:H64"/>
    <mergeCell ref="C65:H65"/>
    <mergeCell ref="C53:H53"/>
    <mergeCell ref="C66:H66"/>
    <mergeCell ref="C67:H67"/>
    <mergeCell ref="C68:H68"/>
    <mergeCell ref="C69:H69"/>
    <mergeCell ref="C59:H59"/>
    <mergeCell ref="B61:H61"/>
    <mergeCell ref="C62:H62"/>
    <mergeCell ref="C63:H63"/>
    <mergeCell ref="B60:L60"/>
    <mergeCell ref="C54:H54"/>
    <mergeCell ref="C55:H55"/>
    <mergeCell ref="C56:H56"/>
    <mergeCell ref="C57:H57"/>
    <mergeCell ref="C58:H58"/>
    <mergeCell ref="C52:H52"/>
    <mergeCell ref="C45:H45"/>
    <mergeCell ref="C46:H46"/>
    <mergeCell ref="C29:H29"/>
    <mergeCell ref="C30:H30"/>
    <mergeCell ref="C31:H31"/>
    <mergeCell ref="C32:H32"/>
    <mergeCell ref="C33:H33"/>
    <mergeCell ref="C34:H34"/>
    <mergeCell ref="C41:H41"/>
    <mergeCell ref="C42:H42"/>
    <mergeCell ref="C43:H43"/>
    <mergeCell ref="C44:H44"/>
    <mergeCell ref="C47:H47"/>
    <mergeCell ref="C48:H48"/>
    <mergeCell ref="C49:H49"/>
    <mergeCell ref="C50:H50"/>
    <mergeCell ref="C51:H51"/>
    <mergeCell ref="C38:H38"/>
    <mergeCell ref="C39:H39"/>
    <mergeCell ref="C40:H40"/>
    <mergeCell ref="C35:H35"/>
    <mergeCell ref="C36:H36"/>
    <mergeCell ref="C37:H37"/>
    <mergeCell ref="E2:J2"/>
    <mergeCell ref="C23:H23"/>
    <mergeCell ref="C24:H24"/>
    <mergeCell ref="C25:H25"/>
    <mergeCell ref="C26:H26"/>
    <mergeCell ref="C27:H27"/>
    <mergeCell ref="C28:H28"/>
    <mergeCell ref="C17:H17"/>
    <mergeCell ref="C18:H18"/>
    <mergeCell ref="C19:H19"/>
    <mergeCell ref="C20:H20"/>
    <mergeCell ref="C21:H21"/>
    <mergeCell ref="C22:H22"/>
    <mergeCell ref="C11:H11"/>
    <mergeCell ref="C12:H12"/>
    <mergeCell ref="C13:H13"/>
    <mergeCell ref="C14:H14"/>
    <mergeCell ref="B7:L7"/>
    <mergeCell ref="B8:L8"/>
    <mergeCell ref="C16:H16"/>
    <mergeCell ref="B9:H9"/>
    <mergeCell ref="C10:H10"/>
    <mergeCell ref="C15:H15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0">
    <tabColor theme="7" tint="-0.499984740745262"/>
  </sheetPr>
  <dimension ref="B2:V467"/>
  <sheetViews>
    <sheetView showGridLines="0" zoomScale="90" zoomScaleNormal="90" workbookViewId="0">
      <pane ySplit="6" topLeftCell="A7" activePane="bottomLeft" state="frozen"/>
      <selection activeCell="H20" sqref="H20"/>
      <selection pane="bottomLeft" activeCell="K31" sqref="K31"/>
    </sheetView>
  </sheetViews>
  <sheetFormatPr defaultColWidth="9.140625" defaultRowHeight="15" x14ac:dyDescent="0.25"/>
  <cols>
    <col min="1" max="2" width="3.42578125" style="406" customWidth="1"/>
    <col min="3" max="9" width="9.140625" style="406"/>
    <col min="10" max="10" width="12.42578125" style="406" customWidth="1"/>
    <col min="11" max="11" width="12.42578125" style="470" customWidth="1"/>
    <col min="12" max="12" width="13.42578125" style="406" bestFit="1" customWidth="1"/>
    <col min="13" max="13" width="15.42578125" style="406" customWidth="1"/>
    <col min="14" max="15" width="14.42578125" style="406" customWidth="1"/>
    <col min="16" max="16" width="15.42578125" style="406" customWidth="1"/>
    <col min="17" max="16384" width="9.140625" style="406"/>
  </cols>
  <sheetData>
    <row r="2" spans="2:22" ht="22.5" customHeight="1" x14ac:dyDescent="0.25">
      <c r="B2" s="1055" t="s">
        <v>935</v>
      </c>
      <c r="C2" s="1056"/>
      <c r="D2" s="1056"/>
      <c r="E2" s="1056"/>
      <c r="F2" s="1056"/>
      <c r="G2" s="1056"/>
      <c r="H2" s="1056"/>
      <c r="I2" s="1056"/>
      <c r="J2" s="1056"/>
      <c r="K2" s="1056"/>
      <c r="L2" s="1056"/>
      <c r="M2" s="1056"/>
      <c r="N2" s="1056"/>
      <c r="O2" s="1056"/>
      <c r="P2" s="1065"/>
    </row>
    <row r="3" spans="2:22" x14ac:dyDescent="0.25">
      <c r="B3" s="112"/>
      <c r="C3" s="113"/>
      <c r="D3" s="113"/>
      <c r="E3" s="113"/>
      <c r="F3" s="113"/>
      <c r="G3" s="113"/>
      <c r="H3" s="113"/>
      <c r="I3" s="113"/>
      <c r="J3" s="113"/>
      <c r="K3" s="466"/>
      <c r="L3" s="113"/>
      <c r="M3" s="114"/>
      <c r="N3" s="1066" t="s">
        <v>214</v>
      </c>
      <c r="O3" s="1067"/>
      <c r="P3" s="1068"/>
      <c r="R3" s="918" t="s">
        <v>885</v>
      </c>
      <c r="S3" s="919"/>
      <c r="T3" s="920"/>
      <c r="U3" s="88" t="s">
        <v>143</v>
      </c>
      <c r="V3" s="89" t="s">
        <v>144</v>
      </c>
    </row>
    <row r="4" spans="2:22" x14ac:dyDescent="0.25">
      <c r="B4" s="115" t="s">
        <v>231</v>
      </c>
      <c r="C4" s="116"/>
      <c r="D4" s="116"/>
      <c r="E4" s="116"/>
      <c r="F4" s="117">
        <v>0.95</v>
      </c>
      <c r="G4" s="118"/>
      <c r="H4" s="116" t="s">
        <v>232</v>
      </c>
      <c r="I4" s="116"/>
      <c r="J4" s="116"/>
      <c r="K4" s="467"/>
      <c r="L4" s="119">
        <v>1.96</v>
      </c>
      <c r="M4" s="120"/>
      <c r="N4" s="1101"/>
      <c r="O4" s="1102"/>
      <c r="P4" s="1107"/>
      <c r="R4" s="945" t="s">
        <v>890</v>
      </c>
      <c r="S4" s="945"/>
      <c r="T4" s="945"/>
      <c r="U4" s="81">
        <f>'Custo Contábil'!E29</f>
        <v>0.05</v>
      </c>
      <c r="V4" s="82">
        <f>'Custo Contábil'!F29</f>
        <v>4.6820468204682039E-2</v>
      </c>
    </row>
    <row r="5" spans="2:22" x14ac:dyDescent="0.25">
      <c r="B5" s="115" t="s">
        <v>233</v>
      </c>
      <c r="C5" s="116"/>
      <c r="D5" s="116"/>
      <c r="E5" s="116"/>
      <c r="F5" s="117">
        <v>0.1</v>
      </c>
      <c r="G5" s="118"/>
      <c r="H5" s="116"/>
      <c r="I5" s="116"/>
      <c r="J5" s="116"/>
      <c r="K5" s="467"/>
      <c r="L5" s="121"/>
      <c r="M5" s="120"/>
      <c r="N5" s="1108"/>
      <c r="O5" s="1109"/>
      <c r="P5" s="1110"/>
      <c r="R5" s="375"/>
      <c r="S5" s="375"/>
      <c r="T5" s="375"/>
      <c r="U5" s="375"/>
      <c r="V5" s="375"/>
    </row>
    <row r="6" spans="2:22" x14ac:dyDescent="0.25">
      <c r="B6" s="122"/>
      <c r="C6" s="123"/>
      <c r="D6" s="123"/>
      <c r="E6" s="123"/>
      <c r="F6" s="123"/>
      <c r="G6" s="123"/>
      <c r="H6" s="123"/>
      <c r="I6" s="123"/>
      <c r="J6" s="123"/>
      <c r="K6" s="468"/>
      <c r="L6" s="123"/>
      <c r="M6" s="124"/>
      <c r="N6" s="328" t="s">
        <v>796</v>
      </c>
      <c r="O6" s="328" t="s">
        <v>240</v>
      </c>
      <c r="P6" s="329" t="s">
        <v>241</v>
      </c>
      <c r="R6" s="375"/>
      <c r="S6" s="375"/>
      <c r="T6" s="375"/>
      <c r="U6" s="375"/>
      <c r="V6" s="375"/>
    </row>
    <row r="7" spans="2:22" x14ac:dyDescent="0.25">
      <c r="B7" s="1060" t="s">
        <v>679</v>
      </c>
      <c r="C7" s="1061"/>
      <c r="D7" s="1061"/>
      <c r="E7" s="1061"/>
      <c r="F7" s="1061"/>
      <c r="G7" s="1061"/>
      <c r="H7" s="1061"/>
      <c r="I7" s="1061"/>
      <c r="J7" s="1061"/>
      <c r="K7" s="1061"/>
      <c r="L7" s="1061"/>
      <c r="M7" s="1061"/>
      <c r="N7" s="1061"/>
      <c r="O7" s="1061"/>
      <c r="P7" s="1062"/>
      <c r="R7" s="375"/>
      <c r="S7" s="375"/>
      <c r="T7" s="375"/>
      <c r="U7" s="375"/>
      <c r="V7" s="375"/>
    </row>
    <row r="8" spans="2:22" x14ac:dyDescent="0.25">
      <c r="B8" s="1104" t="s">
        <v>234</v>
      </c>
      <c r="C8" s="1105"/>
      <c r="D8" s="1105"/>
      <c r="E8" s="1105"/>
      <c r="F8" s="1105"/>
      <c r="G8" s="1105"/>
      <c r="H8" s="1105"/>
      <c r="I8" s="1105"/>
      <c r="J8" s="1105"/>
      <c r="K8" s="1105"/>
      <c r="L8" s="1105"/>
      <c r="M8" s="1105"/>
      <c r="N8" s="1105"/>
      <c r="O8" s="1105"/>
      <c r="P8" s="1106"/>
      <c r="R8" s="375"/>
      <c r="S8" s="375"/>
      <c r="T8" s="375"/>
      <c r="U8" s="375"/>
      <c r="V8" s="375"/>
    </row>
    <row r="9" spans="2:22" x14ac:dyDescent="0.25">
      <c r="B9" s="1043" t="s">
        <v>235</v>
      </c>
      <c r="C9" s="1044"/>
      <c r="D9" s="1044"/>
      <c r="E9" s="1044"/>
      <c r="F9" s="1044"/>
      <c r="G9" s="1044"/>
      <c r="H9" s="1045"/>
      <c r="I9" s="125" t="s">
        <v>236</v>
      </c>
      <c r="J9" s="126" t="s">
        <v>237</v>
      </c>
      <c r="K9" s="126" t="s">
        <v>238</v>
      </c>
      <c r="L9" s="126" t="s">
        <v>239</v>
      </c>
      <c r="M9" s="126" t="s">
        <v>0</v>
      </c>
      <c r="N9" s="328" t="s">
        <v>796</v>
      </c>
      <c r="O9" s="328" t="s">
        <v>240</v>
      </c>
      <c r="P9" s="329" t="s">
        <v>241</v>
      </c>
    </row>
    <row r="10" spans="2:22" x14ac:dyDescent="0.25">
      <c r="B10" s="128">
        <v>1</v>
      </c>
      <c r="C10" s="1075" t="str">
        <f>IF(ISBLANK('M&amp;V (ORÇ)'!C10)," ",'M&amp;V (ORÇ)'!C10)</f>
        <v>Fluorescente tubular 40W</v>
      </c>
      <c r="D10" s="1076"/>
      <c r="E10" s="1076"/>
      <c r="F10" s="1076"/>
      <c r="G10" s="1076"/>
      <c r="H10" s="1077"/>
      <c r="I10" s="542">
        <f>IF(ISBLANK('M&amp;V (ORÇ)'!I10)," ",'M&amp;V (ORÇ)'!I10)</f>
        <v>0.5</v>
      </c>
      <c r="J10" s="542">
        <f>IF(ISBLANK('M&amp;V (ORÇ)'!J10)," ",'M&amp;V (ORÇ)'!J10)</f>
        <v>160</v>
      </c>
      <c r="K10" s="544">
        <f>'M&amp;V (ORÇ)'!K10</f>
        <v>60</v>
      </c>
      <c r="L10" s="543">
        <f>'M&amp;V (ORÇ)'!L10</f>
        <v>13</v>
      </c>
      <c r="M10" s="131">
        <f>IF(J10="",0,K10*L10)</f>
        <v>780</v>
      </c>
      <c r="N10" s="133">
        <f t="shared" ref="N10:N41" si="0">M10-O10-P10</f>
        <v>780</v>
      </c>
      <c r="O10" s="132"/>
      <c r="P10" s="132"/>
    </row>
    <row r="11" spans="2:22" x14ac:dyDescent="0.25">
      <c r="B11" s="128">
        <v>2</v>
      </c>
      <c r="C11" s="1075" t="str">
        <f>IF(ISBLANK('M&amp;V (ORÇ)'!C11)," ",'M&amp;V (ORÇ)'!C11)</f>
        <v>Fluorescente tubular 40W</v>
      </c>
      <c r="D11" s="1076"/>
      <c r="E11" s="1076"/>
      <c r="F11" s="1076"/>
      <c r="G11" s="1076"/>
      <c r="H11" s="1077"/>
      <c r="I11" s="542">
        <f>IF(ISBLANK('M&amp;V (ORÇ)'!I11)," ",'M&amp;V (ORÇ)'!I11)</f>
        <v>0.5</v>
      </c>
      <c r="J11" s="542">
        <f>IF(ISBLANK('M&amp;V (ORÇ)'!J11)," ",'M&amp;V (ORÇ)'!J11)</f>
        <v>28</v>
      </c>
      <c r="K11" s="544">
        <f>'M&amp;V (ORÇ)'!K11</f>
        <v>22</v>
      </c>
      <c r="L11" s="543">
        <f>'M&amp;V (ORÇ)'!L11</f>
        <v>13</v>
      </c>
      <c r="M11" s="131">
        <f t="shared" ref="M11:M59" si="1">IF(J11="",0,K11*L11)</f>
        <v>286</v>
      </c>
      <c r="N11" s="133">
        <f t="shared" si="0"/>
        <v>286</v>
      </c>
      <c r="O11" s="132"/>
      <c r="P11" s="132"/>
    </row>
    <row r="12" spans="2:22" x14ac:dyDescent="0.25">
      <c r="B12" s="128">
        <v>3</v>
      </c>
      <c r="C12" s="1075" t="str">
        <f>IF(ISBLANK('M&amp;V (ORÇ)'!C12)," ",'M&amp;V (ORÇ)'!C12)</f>
        <v>Fluorescente tubular 40W</v>
      </c>
      <c r="D12" s="1076"/>
      <c r="E12" s="1076"/>
      <c r="F12" s="1076"/>
      <c r="G12" s="1076"/>
      <c r="H12" s="1077"/>
      <c r="I12" s="542">
        <f>IF(ISBLANK('M&amp;V (ORÇ)'!I12)," ",'M&amp;V (ORÇ)'!I12)</f>
        <v>0.5</v>
      </c>
      <c r="J12" s="542">
        <f>IF(ISBLANK('M&amp;V (ORÇ)'!J12)," ",'M&amp;V (ORÇ)'!J12)</f>
        <v>8</v>
      </c>
      <c r="K12" s="544">
        <f>'M&amp;V (ORÇ)'!K12</f>
        <v>7</v>
      </c>
      <c r="L12" s="543">
        <f>'M&amp;V (ORÇ)'!L12</f>
        <v>13</v>
      </c>
      <c r="M12" s="131">
        <f t="shared" si="1"/>
        <v>91</v>
      </c>
      <c r="N12" s="133">
        <f t="shared" si="0"/>
        <v>91</v>
      </c>
      <c r="O12" s="132"/>
      <c r="P12" s="132"/>
    </row>
    <row r="13" spans="2:22" x14ac:dyDescent="0.25">
      <c r="B13" s="128">
        <v>4</v>
      </c>
      <c r="C13" s="1075" t="str">
        <f>IF(ISBLANK('M&amp;V (ORÇ)'!C13)," ",'M&amp;V (ORÇ)'!C13)</f>
        <v>Fluorescente tubular 40W</v>
      </c>
      <c r="D13" s="1076"/>
      <c r="E13" s="1076"/>
      <c r="F13" s="1076"/>
      <c r="G13" s="1076"/>
      <c r="H13" s="1077"/>
      <c r="I13" s="542">
        <f>IF(ISBLANK('M&amp;V (ORÇ)'!I13)," ",'M&amp;V (ORÇ)'!I13)</f>
        <v>0.5</v>
      </c>
      <c r="J13" s="542">
        <f>IF(ISBLANK('M&amp;V (ORÇ)'!J13)," ",'M&amp;V (ORÇ)'!J13)</f>
        <v>64</v>
      </c>
      <c r="K13" s="544">
        <f>'M&amp;V (ORÇ)'!K13</f>
        <v>38</v>
      </c>
      <c r="L13" s="543">
        <f>'M&amp;V (ORÇ)'!L13</f>
        <v>13</v>
      </c>
      <c r="M13" s="131">
        <f t="shared" si="1"/>
        <v>494</v>
      </c>
      <c r="N13" s="133">
        <f t="shared" si="0"/>
        <v>494</v>
      </c>
      <c r="O13" s="132"/>
      <c r="P13" s="132"/>
    </row>
    <row r="14" spans="2:22" x14ac:dyDescent="0.25">
      <c r="B14" s="128">
        <v>5</v>
      </c>
      <c r="C14" s="1075" t="str">
        <f>IF(ISBLANK('M&amp;V (ORÇ)'!C14)," ",'M&amp;V (ORÇ)'!C14)</f>
        <v>fluorescente tubular 40W</v>
      </c>
      <c r="D14" s="1076"/>
      <c r="E14" s="1076"/>
      <c r="F14" s="1076"/>
      <c r="G14" s="1076"/>
      <c r="H14" s="1077"/>
      <c r="I14" s="542">
        <f>IF(ISBLANK('M&amp;V (ORÇ)'!I14)," ",'M&amp;V (ORÇ)'!I14)</f>
        <v>0.5</v>
      </c>
      <c r="J14" s="542">
        <f>IF(ISBLANK('M&amp;V (ORÇ)'!J14)," ",'M&amp;V (ORÇ)'!J14)</f>
        <v>30</v>
      </c>
      <c r="K14" s="544">
        <f>'M&amp;V (ORÇ)'!K14</f>
        <v>23</v>
      </c>
      <c r="L14" s="543">
        <f>'M&amp;V (ORÇ)'!L14</f>
        <v>13</v>
      </c>
      <c r="M14" s="131">
        <f t="shared" si="1"/>
        <v>299</v>
      </c>
      <c r="N14" s="133">
        <f t="shared" si="0"/>
        <v>299</v>
      </c>
      <c r="O14" s="132"/>
      <c r="P14" s="132"/>
    </row>
    <row r="15" spans="2:22" x14ac:dyDescent="0.25">
      <c r="B15" s="128">
        <v>6</v>
      </c>
      <c r="C15" s="1075" t="str">
        <f>IF(ISBLANK('M&amp;V (ORÇ)'!C15)," ",'M&amp;V (ORÇ)'!C15)</f>
        <v>fluorescente tubular 20W</v>
      </c>
      <c r="D15" s="1076"/>
      <c r="E15" s="1076"/>
      <c r="F15" s="1076"/>
      <c r="G15" s="1076"/>
      <c r="H15" s="1077"/>
      <c r="I15" s="542">
        <f>IF(ISBLANK('M&amp;V (ORÇ)'!I15)," ",'M&amp;V (ORÇ)'!I15)</f>
        <v>0.5</v>
      </c>
      <c r="J15" s="542">
        <f>IF(ISBLANK('M&amp;V (ORÇ)'!J15)," ",'M&amp;V (ORÇ)'!J15)</f>
        <v>8</v>
      </c>
      <c r="K15" s="544">
        <f>'M&amp;V (ORÇ)'!K15</f>
        <v>7</v>
      </c>
      <c r="L15" s="543">
        <f>'M&amp;V (ORÇ)'!L15</f>
        <v>13</v>
      </c>
      <c r="M15" s="131">
        <f t="shared" si="1"/>
        <v>91</v>
      </c>
      <c r="N15" s="133">
        <f t="shared" si="0"/>
        <v>91</v>
      </c>
      <c r="O15" s="132"/>
      <c r="P15" s="132"/>
    </row>
    <row r="16" spans="2:22" x14ac:dyDescent="0.25">
      <c r="B16" s="128">
        <v>7</v>
      </c>
      <c r="C16" s="1075" t="str">
        <f>IF(ISBLANK('M&amp;V (ORÇ)'!C16)," ",'M&amp;V (ORÇ)'!C16)</f>
        <v>fluorescente tubular 20W</v>
      </c>
      <c r="D16" s="1076"/>
      <c r="E16" s="1076"/>
      <c r="F16" s="1076"/>
      <c r="G16" s="1076"/>
      <c r="H16" s="1077"/>
      <c r="I16" s="542">
        <f>IF(ISBLANK('M&amp;V (ORÇ)'!I16)," ",'M&amp;V (ORÇ)'!I16)</f>
        <v>0.5</v>
      </c>
      <c r="J16" s="542">
        <f>IF(ISBLANK('M&amp;V (ORÇ)'!J16)," ",'M&amp;V (ORÇ)'!J16)</f>
        <v>8</v>
      </c>
      <c r="K16" s="544">
        <f>'M&amp;V (ORÇ)'!K16</f>
        <v>7</v>
      </c>
      <c r="L16" s="543">
        <f>'M&amp;V (ORÇ)'!L16</f>
        <v>13</v>
      </c>
      <c r="M16" s="131">
        <f t="shared" si="1"/>
        <v>91</v>
      </c>
      <c r="N16" s="133">
        <f t="shared" si="0"/>
        <v>91</v>
      </c>
      <c r="O16" s="132"/>
      <c r="P16" s="132"/>
    </row>
    <row r="17" spans="2:16" x14ac:dyDescent="0.25">
      <c r="B17" s="128">
        <v>8</v>
      </c>
      <c r="C17" s="1075" t="str">
        <f>IF(ISBLANK('M&amp;V (ORÇ)'!C17)," ",'M&amp;V (ORÇ)'!C17)</f>
        <v>fluorescente tubular  20W</v>
      </c>
      <c r="D17" s="1076"/>
      <c r="E17" s="1076"/>
      <c r="F17" s="1076"/>
      <c r="G17" s="1076"/>
      <c r="H17" s="1077"/>
      <c r="I17" s="542">
        <f>IF(ISBLANK('M&amp;V (ORÇ)'!I17)," ",'M&amp;V (ORÇ)'!I17)</f>
        <v>0.5</v>
      </c>
      <c r="J17" s="542">
        <f>IF(ISBLANK('M&amp;V (ORÇ)'!J17)," ",'M&amp;V (ORÇ)'!J17)</f>
        <v>102</v>
      </c>
      <c r="K17" s="544">
        <f>'M&amp;V (ORÇ)'!K17</f>
        <v>49</v>
      </c>
      <c r="L17" s="543">
        <f>'M&amp;V (ORÇ)'!L17</f>
        <v>13</v>
      </c>
      <c r="M17" s="131">
        <f t="shared" si="1"/>
        <v>637</v>
      </c>
      <c r="N17" s="133">
        <f t="shared" si="0"/>
        <v>637</v>
      </c>
      <c r="O17" s="132"/>
      <c r="P17" s="132"/>
    </row>
    <row r="18" spans="2:16" x14ac:dyDescent="0.25">
      <c r="B18" s="128">
        <v>9</v>
      </c>
      <c r="C18" s="1075" t="str">
        <f>IF(ISBLANK('M&amp;V (ORÇ)'!C18)," ",'M&amp;V (ORÇ)'!C18)</f>
        <v>PL 12W</v>
      </c>
      <c r="D18" s="1076"/>
      <c r="E18" s="1076"/>
      <c r="F18" s="1076"/>
      <c r="G18" s="1076"/>
      <c r="H18" s="1077"/>
      <c r="I18" s="542">
        <f>IF(ISBLANK('M&amp;V (ORÇ)'!I18)," ",'M&amp;V (ORÇ)'!I18)</f>
        <v>0.5</v>
      </c>
      <c r="J18" s="542">
        <f>IF(ISBLANK('M&amp;V (ORÇ)'!J18)," ",'M&amp;V (ORÇ)'!J18)</f>
        <v>12</v>
      </c>
      <c r="K18" s="544">
        <f>'M&amp;V (ORÇ)'!K18</f>
        <v>11</v>
      </c>
      <c r="L18" s="543">
        <f>'M&amp;V (ORÇ)'!L18</f>
        <v>13</v>
      </c>
      <c r="M18" s="131">
        <f t="shared" si="1"/>
        <v>143</v>
      </c>
      <c r="N18" s="133">
        <f t="shared" si="0"/>
        <v>143</v>
      </c>
      <c r="O18" s="132"/>
      <c r="P18" s="132"/>
    </row>
    <row r="19" spans="2:16" x14ac:dyDescent="0.25">
      <c r="B19" s="128">
        <v>10</v>
      </c>
      <c r="C19" s="1075" t="str">
        <f>IF(ISBLANK('M&amp;V (ORÇ)'!C19)," ",'M&amp;V (ORÇ)'!C19)</f>
        <v>PL 20W</v>
      </c>
      <c r="D19" s="1076"/>
      <c r="E19" s="1076"/>
      <c r="F19" s="1076"/>
      <c r="G19" s="1076"/>
      <c r="H19" s="1077"/>
      <c r="I19" s="542">
        <f>IF(ISBLANK('M&amp;V (ORÇ)'!I19)," ",'M&amp;V (ORÇ)'!I19)</f>
        <v>0.5</v>
      </c>
      <c r="J19" s="542">
        <f>IF(ISBLANK('M&amp;V (ORÇ)'!J19)," ",'M&amp;V (ORÇ)'!J19)</f>
        <v>46</v>
      </c>
      <c r="K19" s="544">
        <f>'M&amp;V (ORÇ)'!K19</f>
        <v>31</v>
      </c>
      <c r="L19" s="543">
        <f>'M&amp;V (ORÇ)'!L19</f>
        <v>13</v>
      </c>
      <c r="M19" s="131">
        <f t="shared" si="1"/>
        <v>403</v>
      </c>
      <c r="N19" s="133">
        <f t="shared" si="0"/>
        <v>403</v>
      </c>
      <c r="O19" s="132"/>
      <c r="P19" s="132"/>
    </row>
    <row r="20" spans="2:16" x14ac:dyDescent="0.25">
      <c r="B20" s="128">
        <v>11</v>
      </c>
      <c r="C20" s="1075" t="str">
        <f>IF(ISBLANK('M&amp;V (ORÇ)'!C20)," ",'M&amp;V (ORÇ)'!C20)</f>
        <v>PL 20W</v>
      </c>
      <c r="D20" s="1076"/>
      <c r="E20" s="1076"/>
      <c r="F20" s="1076"/>
      <c r="G20" s="1076"/>
      <c r="H20" s="1077"/>
      <c r="I20" s="542">
        <f>IF(ISBLANK('M&amp;V (ORÇ)'!I20)," ",'M&amp;V (ORÇ)'!I20)</f>
        <v>0.5</v>
      </c>
      <c r="J20" s="542">
        <f>IF(ISBLANK('M&amp;V (ORÇ)'!J20)," ",'M&amp;V (ORÇ)'!J20)</f>
        <v>9</v>
      </c>
      <c r="K20" s="544">
        <f>'M&amp;V (ORÇ)'!K20</f>
        <v>8</v>
      </c>
      <c r="L20" s="543">
        <f>'M&amp;V (ORÇ)'!L20</f>
        <v>13</v>
      </c>
      <c r="M20" s="131">
        <f t="shared" si="1"/>
        <v>104</v>
      </c>
      <c r="N20" s="133">
        <f t="shared" si="0"/>
        <v>104</v>
      </c>
      <c r="O20" s="132"/>
      <c r="P20" s="132"/>
    </row>
    <row r="21" spans="2:16" x14ac:dyDescent="0.25">
      <c r="B21" s="128">
        <v>12</v>
      </c>
      <c r="C21" s="1075" t="str">
        <f>IF(ISBLANK('M&amp;V (ORÇ)'!C21)," ",'M&amp;V (ORÇ)'!C21)</f>
        <v>PL 25W</v>
      </c>
      <c r="D21" s="1076"/>
      <c r="E21" s="1076"/>
      <c r="F21" s="1076"/>
      <c r="G21" s="1076"/>
      <c r="H21" s="1077"/>
      <c r="I21" s="542">
        <f>IF(ISBLANK('M&amp;V (ORÇ)'!I21)," ",'M&amp;V (ORÇ)'!I21)</f>
        <v>0.5</v>
      </c>
      <c r="J21" s="542">
        <f>IF(ISBLANK('M&amp;V (ORÇ)'!J21)," ",'M&amp;V (ORÇ)'!J21)</f>
        <v>1</v>
      </c>
      <c r="K21" s="544">
        <f>'M&amp;V (ORÇ)'!K21</f>
        <v>1</v>
      </c>
      <c r="L21" s="543">
        <f>'M&amp;V (ORÇ)'!L21</f>
        <v>13</v>
      </c>
      <c r="M21" s="131">
        <f t="shared" si="1"/>
        <v>13</v>
      </c>
      <c r="N21" s="133">
        <f t="shared" si="0"/>
        <v>13</v>
      </c>
      <c r="O21" s="132"/>
      <c r="P21" s="132"/>
    </row>
    <row r="22" spans="2:16" x14ac:dyDescent="0.25">
      <c r="B22" s="128">
        <v>13</v>
      </c>
      <c r="C22" s="1075" t="str">
        <f>IF(ISBLANK('M&amp;V (ORÇ)'!C22)," ",'M&amp;V (ORÇ)'!C22)</f>
        <v xml:space="preserve"> </v>
      </c>
      <c r="D22" s="1076"/>
      <c r="E22" s="1076"/>
      <c r="F22" s="1076"/>
      <c r="G22" s="1076"/>
      <c r="H22" s="1077"/>
      <c r="I22" s="542" t="str">
        <f>IF(ISBLANK('M&amp;V (ORÇ)'!I22)," ",'M&amp;V (ORÇ)'!I22)</f>
        <v xml:space="preserve"> </v>
      </c>
      <c r="J22" s="542" t="str">
        <f>IF(ISBLANK('M&amp;V (ORÇ)'!J22)," ",'M&amp;V (ORÇ)'!J22)</f>
        <v xml:space="preserve"> </v>
      </c>
      <c r="K22" s="544">
        <f>'M&amp;V (ORÇ)'!K22</f>
        <v>0</v>
      </c>
      <c r="L22" s="543">
        <f>'M&amp;V (ORÇ)'!L22</f>
        <v>0</v>
      </c>
      <c r="M22" s="131">
        <f t="shared" si="1"/>
        <v>0</v>
      </c>
      <c r="N22" s="133">
        <f t="shared" si="0"/>
        <v>0</v>
      </c>
      <c r="O22" s="132"/>
      <c r="P22" s="132"/>
    </row>
    <row r="23" spans="2:16" x14ac:dyDescent="0.25">
      <c r="B23" s="128">
        <v>14</v>
      </c>
      <c r="C23" s="1075" t="str">
        <f>IF(ISBLANK('M&amp;V (ORÇ)'!C23)," ",'M&amp;V (ORÇ)'!C23)</f>
        <v xml:space="preserve"> </v>
      </c>
      <c r="D23" s="1076"/>
      <c r="E23" s="1076"/>
      <c r="F23" s="1076"/>
      <c r="G23" s="1076"/>
      <c r="H23" s="1077"/>
      <c r="I23" s="542" t="str">
        <f>IF(ISBLANK('M&amp;V (ORÇ)'!I23)," ",'M&amp;V (ORÇ)'!I23)</f>
        <v xml:space="preserve"> </v>
      </c>
      <c r="J23" s="542" t="str">
        <f>IF(ISBLANK('M&amp;V (ORÇ)'!J23)," ",'M&amp;V (ORÇ)'!J23)</f>
        <v xml:space="preserve"> </v>
      </c>
      <c r="K23" s="544">
        <f>'M&amp;V (ORÇ)'!K23</f>
        <v>0</v>
      </c>
      <c r="L23" s="543">
        <f>'M&amp;V (ORÇ)'!L23</f>
        <v>0</v>
      </c>
      <c r="M23" s="131">
        <f t="shared" si="1"/>
        <v>0</v>
      </c>
      <c r="N23" s="133">
        <f t="shared" si="0"/>
        <v>0</v>
      </c>
      <c r="O23" s="132"/>
      <c r="P23" s="132"/>
    </row>
    <row r="24" spans="2:16" x14ac:dyDescent="0.25">
      <c r="B24" s="128">
        <v>15</v>
      </c>
      <c r="C24" s="1075" t="str">
        <f>IF(ISBLANK('M&amp;V (ORÇ)'!C24)," ",'M&amp;V (ORÇ)'!C24)</f>
        <v xml:space="preserve"> </v>
      </c>
      <c r="D24" s="1076"/>
      <c r="E24" s="1076"/>
      <c r="F24" s="1076"/>
      <c r="G24" s="1076"/>
      <c r="H24" s="1077"/>
      <c r="I24" s="542" t="str">
        <f>IF(ISBLANK('M&amp;V (ORÇ)'!I24)," ",'M&amp;V (ORÇ)'!I24)</f>
        <v xml:space="preserve"> </v>
      </c>
      <c r="J24" s="542" t="str">
        <f>IF(ISBLANK('M&amp;V (ORÇ)'!J24)," ",'M&amp;V (ORÇ)'!J24)</f>
        <v xml:space="preserve"> </v>
      </c>
      <c r="K24" s="544">
        <f>'M&amp;V (ORÇ)'!K24</f>
        <v>0</v>
      </c>
      <c r="L24" s="543">
        <f>'M&amp;V (ORÇ)'!L24</f>
        <v>0</v>
      </c>
      <c r="M24" s="131">
        <f t="shared" si="1"/>
        <v>0</v>
      </c>
      <c r="N24" s="133">
        <f t="shared" si="0"/>
        <v>0</v>
      </c>
      <c r="O24" s="132"/>
      <c r="P24" s="132"/>
    </row>
    <row r="25" spans="2:16" x14ac:dyDescent="0.25">
      <c r="B25" s="128">
        <v>16</v>
      </c>
      <c r="C25" s="1075" t="str">
        <f>IF(ISBLANK('M&amp;V (ORÇ)'!C25)," ",'M&amp;V (ORÇ)'!C25)</f>
        <v xml:space="preserve"> </v>
      </c>
      <c r="D25" s="1076"/>
      <c r="E25" s="1076"/>
      <c r="F25" s="1076"/>
      <c r="G25" s="1076"/>
      <c r="H25" s="1077"/>
      <c r="I25" s="542" t="str">
        <f>IF(ISBLANK('M&amp;V (ORÇ)'!I25)," ",'M&amp;V (ORÇ)'!I25)</f>
        <v xml:space="preserve"> </v>
      </c>
      <c r="J25" s="542" t="str">
        <f>IF(ISBLANK('M&amp;V (ORÇ)'!J25)," ",'M&amp;V (ORÇ)'!J25)</f>
        <v xml:space="preserve"> </v>
      </c>
      <c r="K25" s="544">
        <f>'M&amp;V (ORÇ)'!K25</f>
        <v>0</v>
      </c>
      <c r="L25" s="543">
        <f>'M&amp;V (ORÇ)'!L25</f>
        <v>0</v>
      </c>
      <c r="M25" s="131">
        <f t="shared" si="1"/>
        <v>0</v>
      </c>
      <c r="N25" s="133">
        <f t="shared" si="0"/>
        <v>0</v>
      </c>
      <c r="O25" s="132"/>
      <c r="P25" s="132"/>
    </row>
    <row r="26" spans="2:16" x14ac:dyDescent="0.25">
      <c r="B26" s="128">
        <v>17</v>
      </c>
      <c r="C26" s="1075" t="str">
        <f>IF(ISBLANK('M&amp;V (ORÇ)'!C26)," ",'M&amp;V (ORÇ)'!C26)</f>
        <v xml:space="preserve"> </v>
      </c>
      <c r="D26" s="1076"/>
      <c r="E26" s="1076"/>
      <c r="F26" s="1076"/>
      <c r="G26" s="1076"/>
      <c r="H26" s="1077"/>
      <c r="I26" s="542" t="str">
        <f>IF(ISBLANK('M&amp;V (ORÇ)'!I26)," ",'M&amp;V (ORÇ)'!I26)</f>
        <v xml:space="preserve"> </v>
      </c>
      <c r="J26" s="542" t="str">
        <f>IF(ISBLANK('M&amp;V (ORÇ)'!J26)," ",'M&amp;V (ORÇ)'!J26)</f>
        <v xml:space="preserve"> </v>
      </c>
      <c r="K26" s="544">
        <f>'M&amp;V (ORÇ)'!K26</f>
        <v>0</v>
      </c>
      <c r="L26" s="543">
        <f>'M&amp;V (ORÇ)'!L26</f>
        <v>0</v>
      </c>
      <c r="M26" s="131">
        <f t="shared" si="1"/>
        <v>0</v>
      </c>
      <c r="N26" s="133">
        <f t="shared" si="0"/>
        <v>0</v>
      </c>
      <c r="O26" s="132"/>
      <c r="P26" s="132"/>
    </row>
    <row r="27" spans="2:16" x14ac:dyDescent="0.25">
      <c r="B27" s="128">
        <v>18</v>
      </c>
      <c r="C27" s="1075" t="str">
        <f>IF(ISBLANK('M&amp;V (ORÇ)'!C27)," ",'M&amp;V (ORÇ)'!C27)</f>
        <v xml:space="preserve"> </v>
      </c>
      <c r="D27" s="1076"/>
      <c r="E27" s="1076"/>
      <c r="F27" s="1076"/>
      <c r="G27" s="1076"/>
      <c r="H27" s="1077"/>
      <c r="I27" s="542" t="str">
        <f>IF(ISBLANK('M&amp;V (ORÇ)'!I27)," ",'M&amp;V (ORÇ)'!I27)</f>
        <v xml:space="preserve"> </v>
      </c>
      <c r="J27" s="542" t="str">
        <f>IF(ISBLANK('M&amp;V (ORÇ)'!J27)," ",'M&amp;V (ORÇ)'!J27)</f>
        <v xml:space="preserve"> </v>
      </c>
      <c r="K27" s="544">
        <f>'M&amp;V (ORÇ)'!K27</f>
        <v>0</v>
      </c>
      <c r="L27" s="543">
        <f>'M&amp;V (ORÇ)'!L27</f>
        <v>0</v>
      </c>
      <c r="M27" s="131">
        <f t="shared" si="1"/>
        <v>0</v>
      </c>
      <c r="N27" s="133">
        <f t="shared" si="0"/>
        <v>0</v>
      </c>
      <c r="O27" s="132"/>
      <c r="P27" s="132"/>
    </row>
    <row r="28" spans="2:16" x14ac:dyDescent="0.25">
      <c r="B28" s="128">
        <v>19</v>
      </c>
      <c r="C28" s="1075" t="str">
        <f>IF(ISBLANK('M&amp;V (ORÇ)'!C28)," ",'M&amp;V (ORÇ)'!C28)</f>
        <v xml:space="preserve"> </v>
      </c>
      <c r="D28" s="1076"/>
      <c r="E28" s="1076"/>
      <c r="F28" s="1076"/>
      <c r="G28" s="1076"/>
      <c r="H28" s="1077"/>
      <c r="I28" s="542" t="str">
        <f>IF(ISBLANK('M&amp;V (ORÇ)'!I28)," ",'M&amp;V (ORÇ)'!I28)</f>
        <v xml:space="preserve"> </v>
      </c>
      <c r="J28" s="542" t="str">
        <f>IF(ISBLANK('M&amp;V (ORÇ)'!J28)," ",'M&amp;V (ORÇ)'!J28)</f>
        <v xml:space="preserve"> </v>
      </c>
      <c r="K28" s="544">
        <f>'M&amp;V (ORÇ)'!K28</f>
        <v>0</v>
      </c>
      <c r="L28" s="543">
        <f>'M&amp;V (ORÇ)'!L28</f>
        <v>0</v>
      </c>
      <c r="M28" s="131">
        <f t="shared" si="1"/>
        <v>0</v>
      </c>
      <c r="N28" s="133">
        <f t="shared" si="0"/>
        <v>0</v>
      </c>
      <c r="O28" s="132"/>
      <c r="P28" s="132"/>
    </row>
    <row r="29" spans="2:16" x14ac:dyDescent="0.25">
      <c r="B29" s="128">
        <v>20</v>
      </c>
      <c r="C29" s="1075" t="str">
        <f>IF(ISBLANK('M&amp;V (ORÇ)'!C29)," ",'M&amp;V (ORÇ)'!C29)</f>
        <v xml:space="preserve"> </v>
      </c>
      <c r="D29" s="1076"/>
      <c r="E29" s="1076"/>
      <c r="F29" s="1076"/>
      <c r="G29" s="1076"/>
      <c r="H29" s="1077"/>
      <c r="I29" s="542" t="str">
        <f>IF(ISBLANK('M&amp;V (ORÇ)'!I29)," ",'M&amp;V (ORÇ)'!I29)</f>
        <v xml:space="preserve"> </v>
      </c>
      <c r="J29" s="542" t="str">
        <f>IF(ISBLANK('M&amp;V (ORÇ)'!J29)," ",'M&amp;V (ORÇ)'!J29)</f>
        <v xml:space="preserve"> </v>
      </c>
      <c r="K29" s="544">
        <f>'M&amp;V (ORÇ)'!K29</f>
        <v>0</v>
      </c>
      <c r="L29" s="543">
        <f>'M&amp;V (ORÇ)'!L29</f>
        <v>0</v>
      </c>
      <c r="M29" s="131">
        <f t="shared" si="1"/>
        <v>0</v>
      </c>
      <c r="N29" s="133">
        <f t="shared" si="0"/>
        <v>0</v>
      </c>
      <c r="O29" s="132"/>
      <c r="P29" s="132"/>
    </row>
    <row r="30" spans="2:16" x14ac:dyDescent="0.25">
      <c r="B30" s="128">
        <v>21</v>
      </c>
      <c r="C30" s="1075" t="str">
        <f>IF(ISBLANK('M&amp;V (ORÇ)'!C30)," ",'M&amp;V (ORÇ)'!C30)</f>
        <v xml:space="preserve"> </v>
      </c>
      <c r="D30" s="1076"/>
      <c r="E30" s="1076"/>
      <c r="F30" s="1076"/>
      <c r="G30" s="1076"/>
      <c r="H30" s="1077"/>
      <c r="I30" s="542" t="str">
        <f>IF(ISBLANK('M&amp;V (ORÇ)'!I30)," ",'M&amp;V (ORÇ)'!I30)</f>
        <v xml:space="preserve"> </v>
      </c>
      <c r="J30" s="542" t="str">
        <f>IF(ISBLANK('M&amp;V (ORÇ)'!J30)," ",'M&amp;V (ORÇ)'!J30)</f>
        <v xml:space="preserve"> </v>
      </c>
      <c r="K30" s="544">
        <f>'M&amp;V (ORÇ)'!K30</f>
        <v>0</v>
      </c>
      <c r="L30" s="543">
        <f>'M&amp;V (ORÇ)'!L30</f>
        <v>0</v>
      </c>
      <c r="M30" s="131">
        <f t="shared" si="1"/>
        <v>0</v>
      </c>
      <c r="N30" s="133">
        <f t="shared" si="0"/>
        <v>0</v>
      </c>
      <c r="O30" s="132"/>
      <c r="P30" s="132"/>
    </row>
    <row r="31" spans="2:16" x14ac:dyDescent="0.25">
      <c r="B31" s="128">
        <v>22</v>
      </c>
      <c r="C31" s="1075" t="str">
        <f>IF(ISBLANK('M&amp;V (ORÇ)'!C31)," ",'M&amp;V (ORÇ)'!C31)</f>
        <v xml:space="preserve"> </v>
      </c>
      <c r="D31" s="1076"/>
      <c r="E31" s="1076"/>
      <c r="F31" s="1076"/>
      <c r="G31" s="1076"/>
      <c r="H31" s="1077"/>
      <c r="I31" s="542" t="str">
        <f>IF(ISBLANK('M&amp;V (ORÇ)'!I31)," ",'M&amp;V (ORÇ)'!I31)</f>
        <v xml:space="preserve"> </v>
      </c>
      <c r="J31" s="542" t="str">
        <f>IF(ISBLANK('M&amp;V (ORÇ)'!J31)," ",'M&amp;V (ORÇ)'!J31)</f>
        <v xml:space="preserve"> </v>
      </c>
      <c r="K31" s="544">
        <f>'M&amp;V (ORÇ)'!K31</f>
        <v>0</v>
      </c>
      <c r="L31" s="543">
        <f>'M&amp;V (ORÇ)'!L31</f>
        <v>0</v>
      </c>
      <c r="M31" s="131">
        <f t="shared" si="1"/>
        <v>0</v>
      </c>
      <c r="N31" s="133">
        <f t="shared" si="0"/>
        <v>0</v>
      </c>
      <c r="O31" s="132"/>
      <c r="P31" s="132"/>
    </row>
    <row r="32" spans="2:16" x14ac:dyDescent="0.25">
      <c r="B32" s="128">
        <v>23</v>
      </c>
      <c r="C32" s="1075" t="str">
        <f>IF(ISBLANK('M&amp;V (ORÇ)'!C32)," ",'M&amp;V (ORÇ)'!C32)</f>
        <v xml:space="preserve"> </v>
      </c>
      <c r="D32" s="1076"/>
      <c r="E32" s="1076"/>
      <c r="F32" s="1076"/>
      <c r="G32" s="1076"/>
      <c r="H32" s="1077"/>
      <c r="I32" s="542" t="str">
        <f>IF(ISBLANK('M&amp;V (ORÇ)'!I32)," ",'M&amp;V (ORÇ)'!I32)</f>
        <v xml:space="preserve"> </v>
      </c>
      <c r="J32" s="542" t="str">
        <f>IF(ISBLANK('M&amp;V (ORÇ)'!J32)," ",'M&amp;V (ORÇ)'!J32)</f>
        <v xml:space="preserve"> </v>
      </c>
      <c r="K32" s="544">
        <f>'M&amp;V (ORÇ)'!K32</f>
        <v>0</v>
      </c>
      <c r="L32" s="543">
        <f>'M&amp;V (ORÇ)'!L32</f>
        <v>0</v>
      </c>
      <c r="M32" s="131">
        <f t="shared" si="1"/>
        <v>0</v>
      </c>
      <c r="N32" s="133">
        <f t="shared" si="0"/>
        <v>0</v>
      </c>
      <c r="O32" s="132"/>
      <c r="P32" s="132"/>
    </row>
    <row r="33" spans="2:16" x14ac:dyDescent="0.25">
      <c r="B33" s="128">
        <v>24</v>
      </c>
      <c r="C33" s="1075" t="str">
        <f>IF(ISBLANK('M&amp;V (ORÇ)'!C33)," ",'M&amp;V (ORÇ)'!C33)</f>
        <v xml:space="preserve"> </v>
      </c>
      <c r="D33" s="1076"/>
      <c r="E33" s="1076"/>
      <c r="F33" s="1076"/>
      <c r="G33" s="1076"/>
      <c r="H33" s="1077"/>
      <c r="I33" s="542" t="str">
        <f>IF(ISBLANK('M&amp;V (ORÇ)'!I33)," ",'M&amp;V (ORÇ)'!I33)</f>
        <v xml:space="preserve"> </v>
      </c>
      <c r="J33" s="542" t="str">
        <f>IF(ISBLANK('M&amp;V (ORÇ)'!J33)," ",'M&amp;V (ORÇ)'!J33)</f>
        <v xml:space="preserve"> </v>
      </c>
      <c r="K33" s="544">
        <f>'M&amp;V (ORÇ)'!K33</f>
        <v>0</v>
      </c>
      <c r="L33" s="543">
        <f>'M&amp;V (ORÇ)'!L33</f>
        <v>0</v>
      </c>
      <c r="M33" s="131">
        <f t="shared" si="1"/>
        <v>0</v>
      </c>
      <c r="N33" s="133">
        <f t="shared" si="0"/>
        <v>0</v>
      </c>
      <c r="O33" s="132"/>
      <c r="P33" s="132"/>
    </row>
    <row r="34" spans="2:16" x14ac:dyDescent="0.25">
      <c r="B34" s="128">
        <v>25</v>
      </c>
      <c r="C34" s="1075" t="str">
        <f>IF(ISBLANK('M&amp;V (ORÇ)'!C34)," ",'M&amp;V (ORÇ)'!C34)</f>
        <v xml:space="preserve"> </v>
      </c>
      <c r="D34" s="1076"/>
      <c r="E34" s="1076"/>
      <c r="F34" s="1076"/>
      <c r="G34" s="1076"/>
      <c r="H34" s="1077"/>
      <c r="I34" s="542" t="str">
        <f>IF(ISBLANK('M&amp;V (ORÇ)'!I34)," ",'M&amp;V (ORÇ)'!I34)</f>
        <v xml:space="preserve"> </v>
      </c>
      <c r="J34" s="542" t="str">
        <f>IF(ISBLANK('M&amp;V (ORÇ)'!J34)," ",'M&amp;V (ORÇ)'!J34)</f>
        <v xml:space="preserve"> </v>
      </c>
      <c r="K34" s="544">
        <f>'M&amp;V (ORÇ)'!K34</f>
        <v>0</v>
      </c>
      <c r="L34" s="543">
        <f>'M&amp;V (ORÇ)'!L34</f>
        <v>0</v>
      </c>
      <c r="M34" s="131">
        <f t="shared" si="1"/>
        <v>0</v>
      </c>
      <c r="N34" s="133">
        <f t="shared" si="0"/>
        <v>0</v>
      </c>
      <c r="O34" s="132"/>
      <c r="P34" s="132"/>
    </row>
    <row r="35" spans="2:16" x14ac:dyDescent="0.25">
      <c r="B35" s="128">
        <v>26</v>
      </c>
      <c r="C35" s="1075" t="str">
        <f>IF(ISBLANK('M&amp;V (ORÇ)'!C35)," ",'M&amp;V (ORÇ)'!C35)</f>
        <v xml:space="preserve"> </v>
      </c>
      <c r="D35" s="1076"/>
      <c r="E35" s="1076"/>
      <c r="F35" s="1076"/>
      <c r="G35" s="1076"/>
      <c r="H35" s="1077"/>
      <c r="I35" s="542" t="str">
        <f>IF(ISBLANK('M&amp;V (ORÇ)'!I35)," ",'M&amp;V (ORÇ)'!I35)</f>
        <v xml:space="preserve"> </v>
      </c>
      <c r="J35" s="542" t="str">
        <f>IF(ISBLANK('M&amp;V (ORÇ)'!J35)," ",'M&amp;V (ORÇ)'!J35)</f>
        <v xml:space="preserve"> </v>
      </c>
      <c r="K35" s="544">
        <f>'M&amp;V (ORÇ)'!K35</f>
        <v>0</v>
      </c>
      <c r="L35" s="543">
        <f>'M&amp;V (ORÇ)'!L35</f>
        <v>0</v>
      </c>
      <c r="M35" s="131">
        <f t="shared" si="1"/>
        <v>0</v>
      </c>
      <c r="N35" s="133">
        <f t="shared" si="0"/>
        <v>0</v>
      </c>
      <c r="O35" s="132"/>
      <c r="P35" s="132"/>
    </row>
    <row r="36" spans="2:16" x14ac:dyDescent="0.25">
      <c r="B36" s="128">
        <v>27</v>
      </c>
      <c r="C36" s="1075" t="str">
        <f>IF(ISBLANK('M&amp;V (ORÇ)'!C36)," ",'M&amp;V (ORÇ)'!C36)</f>
        <v xml:space="preserve"> </v>
      </c>
      <c r="D36" s="1076"/>
      <c r="E36" s="1076"/>
      <c r="F36" s="1076"/>
      <c r="G36" s="1076"/>
      <c r="H36" s="1077"/>
      <c r="I36" s="542" t="str">
        <f>IF(ISBLANK('M&amp;V (ORÇ)'!I36)," ",'M&amp;V (ORÇ)'!I36)</f>
        <v xml:space="preserve"> </v>
      </c>
      <c r="J36" s="542" t="str">
        <f>IF(ISBLANK('M&amp;V (ORÇ)'!J36)," ",'M&amp;V (ORÇ)'!J36)</f>
        <v xml:space="preserve"> </v>
      </c>
      <c r="K36" s="544">
        <f>'M&amp;V (ORÇ)'!K36</f>
        <v>0</v>
      </c>
      <c r="L36" s="543">
        <f>'M&amp;V (ORÇ)'!L36</f>
        <v>0</v>
      </c>
      <c r="M36" s="131">
        <f t="shared" si="1"/>
        <v>0</v>
      </c>
      <c r="N36" s="133">
        <f t="shared" si="0"/>
        <v>0</v>
      </c>
      <c r="O36" s="132"/>
      <c r="P36" s="132"/>
    </row>
    <row r="37" spans="2:16" x14ac:dyDescent="0.25">
      <c r="B37" s="128">
        <v>28</v>
      </c>
      <c r="C37" s="1075" t="str">
        <f>IF(ISBLANK('M&amp;V (ORÇ)'!C37)," ",'M&amp;V (ORÇ)'!C37)</f>
        <v xml:space="preserve"> </v>
      </c>
      <c r="D37" s="1076"/>
      <c r="E37" s="1076"/>
      <c r="F37" s="1076"/>
      <c r="G37" s="1076"/>
      <c r="H37" s="1077"/>
      <c r="I37" s="542" t="str">
        <f>IF(ISBLANK('M&amp;V (ORÇ)'!I37)," ",'M&amp;V (ORÇ)'!I37)</f>
        <v xml:space="preserve"> </v>
      </c>
      <c r="J37" s="542" t="str">
        <f>IF(ISBLANK('M&amp;V (ORÇ)'!J37)," ",'M&amp;V (ORÇ)'!J37)</f>
        <v xml:space="preserve"> </v>
      </c>
      <c r="K37" s="544">
        <f>'M&amp;V (ORÇ)'!K37</f>
        <v>0</v>
      </c>
      <c r="L37" s="543">
        <f>'M&amp;V (ORÇ)'!L37</f>
        <v>0</v>
      </c>
      <c r="M37" s="131">
        <f t="shared" si="1"/>
        <v>0</v>
      </c>
      <c r="N37" s="133">
        <f t="shared" si="0"/>
        <v>0</v>
      </c>
      <c r="O37" s="132"/>
      <c r="P37" s="132"/>
    </row>
    <row r="38" spans="2:16" x14ac:dyDescent="0.25">
      <c r="B38" s="128">
        <v>29</v>
      </c>
      <c r="C38" s="1075" t="str">
        <f>IF(ISBLANK('M&amp;V (ORÇ)'!C38)," ",'M&amp;V (ORÇ)'!C38)</f>
        <v xml:space="preserve"> </v>
      </c>
      <c r="D38" s="1076"/>
      <c r="E38" s="1076"/>
      <c r="F38" s="1076"/>
      <c r="G38" s="1076"/>
      <c r="H38" s="1077"/>
      <c r="I38" s="542" t="str">
        <f>IF(ISBLANK('M&amp;V (ORÇ)'!I38)," ",'M&amp;V (ORÇ)'!I38)</f>
        <v xml:space="preserve"> </v>
      </c>
      <c r="J38" s="542" t="str">
        <f>IF(ISBLANK('M&amp;V (ORÇ)'!J38)," ",'M&amp;V (ORÇ)'!J38)</f>
        <v xml:space="preserve"> </v>
      </c>
      <c r="K38" s="544">
        <f>'M&amp;V (ORÇ)'!K38</f>
        <v>0</v>
      </c>
      <c r="L38" s="543">
        <f>'M&amp;V (ORÇ)'!L38</f>
        <v>0</v>
      </c>
      <c r="M38" s="131">
        <f t="shared" si="1"/>
        <v>0</v>
      </c>
      <c r="N38" s="133">
        <f t="shared" si="0"/>
        <v>0</v>
      </c>
      <c r="O38" s="132"/>
      <c r="P38" s="132"/>
    </row>
    <row r="39" spans="2:16" x14ac:dyDescent="0.25">
      <c r="B39" s="128">
        <v>30</v>
      </c>
      <c r="C39" s="1075" t="str">
        <f>IF(ISBLANK('M&amp;V (ORÇ)'!C39)," ",'M&amp;V (ORÇ)'!C39)</f>
        <v xml:space="preserve"> </v>
      </c>
      <c r="D39" s="1076"/>
      <c r="E39" s="1076"/>
      <c r="F39" s="1076"/>
      <c r="G39" s="1076"/>
      <c r="H39" s="1077"/>
      <c r="I39" s="542" t="str">
        <f>IF(ISBLANK('M&amp;V (ORÇ)'!I39)," ",'M&amp;V (ORÇ)'!I39)</f>
        <v xml:space="preserve"> </v>
      </c>
      <c r="J39" s="542" t="str">
        <f>IF(ISBLANK('M&amp;V (ORÇ)'!J39)," ",'M&amp;V (ORÇ)'!J39)</f>
        <v xml:space="preserve"> </v>
      </c>
      <c r="K39" s="544">
        <f>'M&amp;V (ORÇ)'!K39</f>
        <v>0</v>
      </c>
      <c r="L39" s="543">
        <f>'M&amp;V (ORÇ)'!L39</f>
        <v>0</v>
      </c>
      <c r="M39" s="131">
        <f t="shared" si="1"/>
        <v>0</v>
      </c>
      <c r="N39" s="133">
        <f t="shared" si="0"/>
        <v>0</v>
      </c>
      <c r="O39" s="132"/>
      <c r="P39" s="132"/>
    </row>
    <row r="40" spans="2:16" x14ac:dyDescent="0.25">
      <c r="B40" s="128">
        <v>31</v>
      </c>
      <c r="C40" s="1075" t="str">
        <f>IF(ISBLANK('M&amp;V (ORÇ)'!C40)," ",'M&amp;V (ORÇ)'!C40)</f>
        <v xml:space="preserve"> </v>
      </c>
      <c r="D40" s="1076"/>
      <c r="E40" s="1076"/>
      <c r="F40" s="1076"/>
      <c r="G40" s="1076"/>
      <c r="H40" s="1077"/>
      <c r="I40" s="542" t="str">
        <f>IF(ISBLANK('M&amp;V (ORÇ)'!I40)," ",'M&amp;V (ORÇ)'!I40)</f>
        <v xml:space="preserve"> </v>
      </c>
      <c r="J40" s="542" t="str">
        <f>IF(ISBLANK('M&amp;V (ORÇ)'!J40)," ",'M&amp;V (ORÇ)'!J40)</f>
        <v xml:space="preserve"> </v>
      </c>
      <c r="K40" s="544">
        <f>'M&amp;V (ORÇ)'!K40</f>
        <v>0</v>
      </c>
      <c r="L40" s="543">
        <f>'M&amp;V (ORÇ)'!L40</f>
        <v>0</v>
      </c>
      <c r="M40" s="131">
        <f t="shared" si="1"/>
        <v>0</v>
      </c>
      <c r="N40" s="133">
        <f t="shared" si="0"/>
        <v>0</v>
      </c>
      <c r="O40" s="132"/>
      <c r="P40" s="132"/>
    </row>
    <row r="41" spans="2:16" x14ac:dyDescent="0.25">
      <c r="B41" s="128">
        <v>32</v>
      </c>
      <c r="C41" s="1075" t="str">
        <f>IF(ISBLANK('M&amp;V (ORÇ)'!C41)," ",'M&amp;V (ORÇ)'!C41)</f>
        <v xml:space="preserve"> </v>
      </c>
      <c r="D41" s="1076"/>
      <c r="E41" s="1076"/>
      <c r="F41" s="1076"/>
      <c r="G41" s="1076"/>
      <c r="H41" s="1077"/>
      <c r="I41" s="542" t="str">
        <f>IF(ISBLANK('M&amp;V (ORÇ)'!I41)," ",'M&amp;V (ORÇ)'!I41)</f>
        <v xml:space="preserve"> </v>
      </c>
      <c r="J41" s="542" t="str">
        <f>IF(ISBLANK('M&amp;V (ORÇ)'!J41)," ",'M&amp;V (ORÇ)'!J41)</f>
        <v xml:space="preserve"> </v>
      </c>
      <c r="K41" s="544">
        <f>'M&amp;V (ORÇ)'!K41</f>
        <v>0</v>
      </c>
      <c r="L41" s="543">
        <f>'M&amp;V (ORÇ)'!L41</f>
        <v>0</v>
      </c>
      <c r="M41" s="131">
        <f t="shared" si="1"/>
        <v>0</v>
      </c>
      <c r="N41" s="133">
        <f t="shared" si="0"/>
        <v>0</v>
      </c>
      <c r="O41" s="132"/>
      <c r="P41" s="132"/>
    </row>
    <row r="42" spans="2:16" x14ac:dyDescent="0.25">
      <c r="B42" s="128">
        <v>33</v>
      </c>
      <c r="C42" s="1075" t="str">
        <f>IF(ISBLANK('M&amp;V (ORÇ)'!C42)," ",'M&amp;V (ORÇ)'!C42)</f>
        <v xml:space="preserve"> </v>
      </c>
      <c r="D42" s="1076"/>
      <c r="E42" s="1076"/>
      <c r="F42" s="1076"/>
      <c r="G42" s="1076"/>
      <c r="H42" s="1077"/>
      <c r="I42" s="542" t="str">
        <f>IF(ISBLANK('M&amp;V (ORÇ)'!I42)," ",'M&amp;V (ORÇ)'!I42)</f>
        <v xml:space="preserve"> </v>
      </c>
      <c r="J42" s="542" t="str">
        <f>IF(ISBLANK('M&amp;V (ORÇ)'!J42)," ",'M&amp;V (ORÇ)'!J42)</f>
        <v xml:space="preserve"> </v>
      </c>
      <c r="K42" s="544">
        <f>'M&amp;V (ORÇ)'!K42</f>
        <v>0</v>
      </c>
      <c r="L42" s="543">
        <f>'M&amp;V (ORÇ)'!L42</f>
        <v>0</v>
      </c>
      <c r="M42" s="131">
        <f t="shared" si="1"/>
        <v>0</v>
      </c>
      <c r="N42" s="133">
        <f t="shared" ref="N42:N59" si="2">M42-O42-P42</f>
        <v>0</v>
      </c>
      <c r="O42" s="132"/>
      <c r="P42" s="132"/>
    </row>
    <row r="43" spans="2:16" x14ac:dyDescent="0.25">
      <c r="B43" s="128">
        <v>34</v>
      </c>
      <c r="C43" s="1075" t="str">
        <f>IF(ISBLANK('M&amp;V (ORÇ)'!C43)," ",'M&amp;V (ORÇ)'!C43)</f>
        <v xml:space="preserve"> </v>
      </c>
      <c r="D43" s="1076"/>
      <c r="E43" s="1076"/>
      <c r="F43" s="1076"/>
      <c r="G43" s="1076"/>
      <c r="H43" s="1077"/>
      <c r="I43" s="542" t="str">
        <f>IF(ISBLANK('M&amp;V (ORÇ)'!I43)," ",'M&amp;V (ORÇ)'!I43)</f>
        <v xml:space="preserve"> </v>
      </c>
      <c r="J43" s="542" t="str">
        <f>IF(ISBLANK('M&amp;V (ORÇ)'!J43)," ",'M&amp;V (ORÇ)'!J43)</f>
        <v xml:space="preserve"> </v>
      </c>
      <c r="K43" s="544">
        <f>'M&amp;V (ORÇ)'!K43</f>
        <v>0</v>
      </c>
      <c r="L43" s="543">
        <f>'M&amp;V (ORÇ)'!L43</f>
        <v>0</v>
      </c>
      <c r="M43" s="131">
        <f t="shared" si="1"/>
        <v>0</v>
      </c>
      <c r="N43" s="133">
        <f t="shared" si="2"/>
        <v>0</v>
      </c>
      <c r="O43" s="132"/>
      <c r="P43" s="132"/>
    </row>
    <row r="44" spans="2:16" x14ac:dyDescent="0.25">
      <c r="B44" s="128">
        <v>35</v>
      </c>
      <c r="C44" s="1075" t="str">
        <f>IF(ISBLANK('M&amp;V (ORÇ)'!C44)," ",'M&amp;V (ORÇ)'!C44)</f>
        <v xml:space="preserve"> </v>
      </c>
      <c r="D44" s="1076"/>
      <c r="E44" s="1076"/>
      <c r="F44" s="1076"/>
      <c r="G44" s="1076"/>
      <c r="H44" s="1077"/>
      <c r="I44" s="542" t="str">
        <f>IF(ISBLANK('M&amp;V (ORÇ)'!I44)," ",'M&amp;V (ORÇ)'!I44)</f>
        <v xml:space="preserve"> </v>
      </c>
      <c r="J44" s="542" t="str">
        <f>IF(ISBLANK('M&amp;V (ORÇ)'!J44)," ",'M&amp;V (ORÇ)'!J44)</f>
        <v xml:space="preserve"> </v>
      </c>
      <c r="K44" s="544">
        <f>'M&amp;V (ORÇ)'!K44</f>
        <v>0</v>
      </c>
      <c r="L44" s="543">
        <f>'M&amp;V (ORÇ)'!L44</f>
        <v>0</v>
      </c>
      <c r="M44" s="131">
        <f t="shared" si="1"/>
        <v>0</v>
      </c>
      <c r="N44" s="133">
        <f t="shared" si="2"/>
        <v>0</v>
      </c>
      <c r="O44" s="132"/>
      <c r="P44" s="132"/>
    </row>
    <row r="45" spans="2:16" x14ac:dyDescent="0.25">
      <c r="B45" s="128">
        <v>36</v>
      </c>
      <c r="C45" s="1075" t="str">
        <f>IF(ISBLANK('M&amp;V (ORÇ)'!C45)," ",'M&amp;V (ORÇ)'!C45)</f>
        <v xml:space="preserve"> </v>
      </c>
      <c r="D45" s="1076"/>
      <c r="E45" s="1076"/>
      <c r="F45" s="1076"/>
      <c r="G45" s="1076"/>
      <c r="H45" s="1077"/>
      <c r="I45" s="542" t="str">
        <f>IF(ISBLANK('M&amp;V (ORÇ)'!I45)," ",'M&amp;V (ORÇ)'!I45)</f>
        <v xml:space="preserve"> </v>
      </c>
      <c r="J45" s="542" t="str">
        <f>IF(ISBLANK('M&amp;V (ORÇ)'!J45)," ",'M&amp;V (ORÇ)'!J45)</f>
        <v xml:space="preserve"> </v>
      </c>
      <c r="K45" s="544">
        <f>'M&amp;V (ORÇ)'!K45</f>
        <v>0</v>
      </c>
      <c r="L45" s="543">
        <f>'M&amp;V (ORÇ)'!L45</f>
        <v>0</v>
      </c>
      <c r="M45" s="131">
        <f t="shared" si="1"/>
        <v>0</v>
      </c>
      <c r="N45" s="133">
        <f t="shared" si="2"/>
        <v>0</v>
      </c>
      <c r="O45" s="132"/>
      <c r="P45" s="132"/>
    </row>
    <row r="46" spans="2:16" x14ac:dyDescent="0.25">
      <c r="B46" s="128">
        <v>37</v>
      </c>
      <c r="C46" s="1075" t="str">
        <f>IF(ISBLANK('M&amp;V (ORÇ)'!C46)," ",'M&amp;V (ORÇ)'!C46)</f>
        <v xml:space="preserve"> </v>
      </c>
      <c r="D46" s="1076"/>
      <c r="E46" s="1076"/>
      <c r="F46" s="1076"/>
      <c r="G46" s="1076"/>
      <c r="H46" s="1077"/>
      <c r="I46" s="542" t="str">
        <f>IF(ISBLANK('M&amp;V (ORÇ)'!I46)," ",'M&amp;V (ORÇ)'!I46)</f>
        <v xml:space="preserve"> </v>
      </c>
      <c r="J46" s="542" t="str">
        <f>IF(ISBLANK('M&amp;V (ORÇ)'!J46)," ",'M&amp;V (ORÇ)'!J46)</f>
        <v xml:space="preserve"> </v>
      </c>
      <c r="K46" s="544">
        <f>'M&amp;V (ORÇ)'!K46</f>
        <v>0</v>
      </c>
      <c r="L46" s="543">
        <f>'M&amp;V (ORÇ)'!L46</f>
        <v>0</v>
      </c>
      <c r="M46" s="131">
        <f t="shared" si="1"/>
        <v>0</v>
      </c>
      <c r="N46" s="133">
        <f t="shared" si="2"/>
        <v>0</v>
      </c>
      <c r="O46" s="132"/>
      <c r="P46" s="132"/>
    </row>
    <row r="47" spans="2:16" x14ac:dyDescent="0.25">
      <c r="B47" s="128">
        <v>38</v>
      </c>
      <c r="C47" s="1075" t="str">
        <f>IF(ISBLANK('M&amp;V (ORÇ)'!C47)," ",'M&amp;V (ORÇ)'!C47)</f>
        <v xml:space="preserve"> </v>
      </c>
      <c r="D47" s="1076"/>
      <c r="E47" s="1076"/>
      <c r="F47" s="1076"/>
      <c r="G47" s="1076"/>
      <c r="H47" s="1077"/>
      <c r="I47" s="542" t="str">
        <f>IF(ISBLANK('M&amp;V (ORÇ)'!I47)," ",'M&amp;V (ORÇ)'!I47)</f>
        <v xml:space="preserve"> </v>
      </c>
      <c r="J47" s="542" t="str">
        <f>IF(ISBLANK('M&amp;V (ORÇ)'!J47)," ",'M&amp;V (ORÇ)'!J47)</f>
        <v xml:space="preserve"> </v>
      </c>
      <c r="K47" s="544">
        <f>'M&amp;V (ORÇ)'!K47</f>
        <v>0</v>
      </c>
      <c r="L47" s="543">
        <f>'M&amp;V (ORÇ)'!L47</f>
        <v>0</v>
      </c>
      <c r="M47" s="131">
        <f t="shared" si="1"/>
        <v>0</v>
      </c>
      <c r="N47" s="133">
        <f t="shared" si="2"/>
        <v>0</v>
      </c>
      <c r="O47" s="132"/>
      <c r="P47" s="132"/>
    </row>
    <row r="48" spans="2:16" x14ac:dyDescent="0.25">
      <c r="B48" s="128">
        <v>39</v>
      </c>
      <c r="C48" s="1075" t="str">
        <f>IF(ISBLANK('M&amp;V (ORÇ)'!C48)," ",'M&amp;V (ORÇ)'!C48)</f>
        <v xml:space="preserve"> </v>
      </c>
      <c r="D48" s="1076"/>
      <c r="E48" s="1076"/>
      <c r="F48" s="1076"/>
      <c r="G48" s="1076"/>
      <c r="H48" s="1077"/>
      <c r="I48" s="542" t="str">
        <f>IF(ISBLANK('M&amp;V (ORÇ)'!I48)," ",'M&amp;V (ORÇ)'!I48)</f>
        <v xml:space="preserve"> </v>
      </c>
      <c r="J48" s="542" t="str">
        <f>IF(ISBLANK('M&amp;V (ORÇ)'!J48)," ",'M&amp;V (ORÇ)'!J48)</f>
        <v xml:space="preserve"> </v>
      </c>
      <c r="K48" s="544">
        <f>'M&amp;V (ORÇ)'!K48</f>
        <v>0</v>
      </c>
      <c r="L48" s="543">
        <f>'M&amp;V (ORÇ)'!L48</f>
        <v>0</v>
      </c>
      <c r="M48" s="131">
        <f t="shared" si="1"/>
        <v>0</v>
      </c>
      <c r="N48" s="133">
        <f t="shared" si="2"/>
        <v>0</v>
      </c>
      <c r="O48" s="132"/>
      <c r="P48" s="132"/>
    </row>
    <row r="49" spans="2:16" x14ac:dyDescent="0.25">
      <c r="B49" s="128">
        <v>40</v>
      </c>
      <c r="C49" s="1075" t="str">
        <f>IF(ISBLANK('M&amp;V (ORÇ)'!C49)," ",'M&amp;V (ORÇ)'!C49)</f>
        <v xml:space="preserve"> </v>
      </c>
      <c r="D49" s="1076"/>
      <c r="E49" s="1076"/>
      <c r="F49" s="1076"/>
      <c r="G49" s="1076"/>
      <c r="H49" s="1077"/>
      <c r="I49" s="542" t="str">
        <f>IF(ISBLANK('M&amp;V (ORÇ)'!I49)," ",'M&amp;V (ORÇ)'!I49)</f>
        <v xml:space="preserve"> </v>
      </c>
      <c r="J49" s="542" t="str">
        <f>IF(ISBLANK('M&amp;V (ORÇ)'!J49)," ",'M&amp;V (ORÇ)'!J49)</f>
        <v xml:space="preserve"> </v>
      </c>
      <c r="K49" s="544">
        <f>'M&amp;V (ORÇ)'!K49</f>
        <v>0</v>
      </c>
      <c r="L49" s="543">
        <f>'M&amp;V (ORÇ)'!L49</f>
        <v>0</v>
      </c>
      <c r="M49" s="131">
        <f t="shared" si="1"/>
        <v>0</v>
      </c>
      <c r="N49" s="133">
        <f t="shared" si="2"/>
        <v>0</v>
      </c>
      <c r="O49" s="132"/>
      <c r="P49" s="132"/>
    </row>
    <row r="50" spans="2:16" x14ac:dyDescent="0.25">
      <c r="B50" s="128">
        <v>41</v>
      </c>
      <c r="C50" s="1075" t="str">
        <f>IF(ISBLANK('M&amp;V (ORÇ)'!C50)," ",'M&amp;V (ORÇ)'!C50)</f>
        <v xml:space="preserve"> </v>
      </c>
      <c r="D50" s="1076"/>
      <c r="E50" s="1076"/>
      <c r="F50" s="1076"/>
      <c r="G50" s="1076"/>
      <c r="H50" s="1077"/>
      <c r="I50" s="542" t="str">
        <f>IF(ISBLANK('M&amp;V (ORÇ)'!I50)," ",'M&amp;V (ORÇ)'!I50)</f>
        <v xml:space="preserve"> </v>
      </c>
      <c r="J50" s="542" t="str">
        <f>IF(ISBLANK('M&amp;V (ORÇ)'!J50)," ",'M&amp;V (ORÇ)'!J50)</f>
        <v xml:space="preserve"> </v>
      </c>
      <c r="K50" s="544">
        <f>'M&amp;V (ORÇ)'!K50</f>
        <v>0</v>
      </c>
      <c r="L50" s="543">
        <f>'M&amp;V (ORÇ)'!L50</f>
        <v>0</v>
      </c>
      <c r="M50" s="131">
        <f t="shared" si="1"/>
        <v>0</v>
      </c>
      <c r="N50" s="133">
        <f t="shared" si="2"/>
        <v>0</v>
      </c>
      <c r="O50" s="132"/>
      <c r="P50" s="132"/>
    </row>
    <row r="51" spans="2:16" x14ac:dyDescent="0.25">
      <c r="B51" s="128">
        <v>42</v>
      </c>
      <c r="C51" s="1075" t="str">
        <f>IF(ISBLANK('M&amp;V (ORÇ)'!C51)," ",'M&amp;V (ORÇ)'!C51)</f>
        <v xml:space="preserve"> </v>
      </c>
      <c r="D51" s="1076"/>
      <c r="E51" s="1076"/>
      <c r="F51" s="1076"/>
      <c r="G51" s="1076"/>
      <c r="H51" s="1077"/>
      <c r="I51" s="542" t="str">
        <f>IF(ISBLANK('M&amp;V (ORÇ)'!I51)," ",'M&amp;V (ORÇ)'!I51)</f>
        <v xml:space="preserve"> </v>
      </c>
      <c r="J51" s="542" t="str">
        <f>IF(ISBLANK('M&amp;V (ORÇ)'!J51)," ",'M&amp;V (ORÇ)'!J51)</f>
        <v xml:space="preserve"> </v>
      </c>
      <c r="K51" s="544">
        <f>'M&amp;V (ORÇ)'!K51</f>
        <v>0</v>
      </c>
      <c r="L51" s="543">
        <f>'M&amp;V (ORÇ)'!L51</f>
        <v>0</v>
      </c>
      <c r="M51" s="131">
        <f t="shared" si="1"/>
        <v>0</v>
      </c>
      <c r="N51" s="133">
        <f t="shared" si="2"/>
        <v>0</v>
      </c>
      <c r="O51" s="132"/>
      <c r="P51" s="132"/>
    </row>
    <row r="52" spans="2:16" x14ac:dyDescent="0.25">
      <c r="B52" s="128">
        <v>43</v>
      </c>
      <c r="C52" s="1075" t="str">
        <f>IF(ISBLANK('M&amp;V (ORÇ)'!C52)," ",'M&amp;V (ORÇ)'!C52)</f>
        <v xml:space="preserve"> </v>
      </c>
      <c r="D52" s="1076"/>
      <c r="E52" s="1076"/>
      <c r="F52" s="1076"/>
      <c r="G52" s="1076"/>
      <c r="H52" s="1077"/>
      <c r="I52" s="542" t="str">
        <f>IF(ISBLANK('M&amp;V (ORÇ)'!I52)," ",'M&amp;V (ORÇ)'!I52)</f>
        <v xml:space="preserve"> </v>
      </c>
      <c r="J52" s="542" t="str">
        <f>IF(ISBLANK('M&amp;V (ORÇ)'!J52)," ",'M&amp;V (ORÇ)'!J52)</f>
        <v xml:space="preserve"> </v>
      </c>
      <c r="K52" s="544">
        <f>'M&amp;V (ORÇ)'!K52</f>
        <v>0</v>
      </c>
      <c r="L52" s="543">
        <f>'M&amp;V (ORÇ)'!L52</f>
        <v>0</v>
      </c>
      <c r="M52" s="131">
        <f t="shared" si="1"/>
        <v>0</v>
      </c>
      <c r="N52" s="133">
        <f t="shared" si="2"/>
        <v>0</v>
      </c>
      <c r="O52" s="132"/>
      <c r="P52" s="132"/>
    </row>
    <row r="53" spans="2:16" x14ac:dyDescent="0.25">
      <c r="B53" s="128">
        <v>44</v>
      </c>
      <c r="C53" s="1075" t="str">
        <f>IF(ISBLANK('M&amp;V (ORÇ)'!C53)," ",'M&amp;V (ORÇ)'!C53)</f>
        <v xml:space="preserve"> </v>
      </c>
      <c r="D53" s="1076"/>
      <c r="E53" s="1076"/>
      <c r="F53" s="1076"/>
      <c r="G53" s="1076"/>
      <c r="H53" s="1077"/>
      <c r="I53" s="542" t="str">
        <f>IF(ISBLANK('M&amp;V (ORÇ)'!I53)," ",'M&amp;V (ORÇ)'!I53)</f>
        <v xml:space="preserve"> </v>
      </c>
      <c r="J53" s="542" t="str">
        <f>IF(ISBLANK('M&amp;V (ORÇ)'!J53)," ",'M&amp;V (ORÇ)'!J53)</f>
        <v xml:space="preserve"> </v>
      </c>
      <c r="K53" s="544">
        <f>'M&amp;V (ORÇ)'!K53</f>
        <v>0</v>
      </c>
      <c r="L53" s="543">
        <f>'M&amp;V (ORÇ)'!L53</f>
        <v>0</v>
      </c>
      <c r="M53" s="131">
        <f t="shared" si="1"/>
        <v>0</v>
      </c>
      <c r="N53" s="133">
        <f t="shared" si="2"/>
        <v>0</v>
      </c>
      <c r="O53" s="132"/>
      <c r="P53" s="132"/>
    </row>
    <row r="54" spans="2:16" x14ac:dyDescent="0.25">
      <c r="B54" s="128">
        <v>45</v>
      </c>
      <c r="C54" s="1075" t="str">
        <f>IF(ISBLANK('M&amp;V (ORÇ)'!C54)," ",'M&amp;V (ORÇ)'!C54)</f>
        <v xml:space="preserve"> </v>
      </c>
      <c r="D54" s="1076"/>
      <c r="E54" s="1076"/>
      <c r="F54" s="1076"/>
      <c r="G54" s="1076"/>
      <c r="H54" s="1077"/>
      <c r="I54" s="542" t="str">
        <f>IF(ISBLANK('M&amp;V (ORÇ)'!I54)," ",'M&amp;V (ORÇ)'!I54)</f>
        <v xml:space="preserve"> </v>
      </c>
      <c r="J54" s="542" t="str">
        <f>IF(ISBLANK('M&amp;V (ORÇ)'!J54)," ",'M&amp;V (ORÇ)'!J54)</f>
        <v xml:space="preserve"> </v>
      </c>
      <c r="K54" s="544">
        <f>'M&amp;V (ORÇ)'!K54</f>
        <v>0</v>
      </c>
      <c r="L54" s="543">
        <f>'M&amp;V (ORÇ)'!L54</f>
        <v>0</v>
      </c>
      <c r="M54" s="131">
        <f t="shared" si="1"/>
        <v>0</v>
      </c>
      <c r="N54" s="133">
        <f t="shared" si="2"/>
        <v>0</v>
      </c>
      <c r="O54" s="132"/>
      <c r="P54" s="132"/>
    </row>
    <row r="55" spans="2:16" x14ac:dyDescent="0.25">
      <c r="B55" s="128">
        <v>46</v>
      </c>
      <c r="C55" s="1075" t="str">
        <f>IF(ISBLANK('M&amp;V (ORÇ)'!C55)," ",'M&amp;V (ORÇ)'!C55)</f>
        <v xml:space="preserve"> </v>
      </c>
      <c r="D55" s="1076"/>
      <c r="E55" s="1076"/>
      <c r="F55" s="1076"/>
      <c r="G55" s="1076"/>
      <c r="H55" s="1077"/>
      <c r="I55" s="542" t="str">
        <f>IF(ISBLANK('M&amp;V (ORÇ)'!I55)," ",'M&amp;V (ORÇ)'!I55)</f>
        <v xml:space="preserve"> </v>
      </c>
      <c r="J55" s="542" t="str">
        <f>IF(ISBLANK('M&amp;V (ORÇ)'!J55)," ",'M&amp;V (ORÇ)'!J55)</f>
        <v xml:space="preserve"> </v>
      </c>
      <c r="K55" s="544">
        <f>'M&amp;V (ORÇ)'!K55</f>
        <v>0</v>
      </c>
      <c r="L55" s="543">
        <f>'M&amp;V (ORÇ)'!L55</f>
        <v>0</v>
      </c>
      <c r="M55" s="131">
        <f t="shared" si="1"/>
        <v>0</v>
      </c>
      <c r="N55" s="133">
        <f t="shared" si="2"/>
        <v>0</v>
      </c>
      <c r="O55" s="132"/>
      <c r="P55" s="132"/>
    </row>
    <row r="56" spans="2:16" x14ac:dyDescent="0.25">
      <c r="B56" s="128">
        <v>47</v>
      </c>
      <c r="C56" s="1075" t="str">
        <f>IF(ISBLANK('M&amp;V (ORÇ)'!C56)," ",'M&amp;V (ORÇ)'!C56)</f>
        <v xml:space="preserve"> </v>
      </c>
      <c r="D56" s="1076"/>
      <c r="E56" s="1076"/>
      <c r="F56" s="1076"/>
      <c r="G56" s="1076"/>
      <c r="H56" s="1077"/>
      <c r="I56" s="542" t="str">
        <f>IF(ISBLANK('M&amp;V (ORÇ)'!I56)," ",'M&amp;V (ORÇ)'!I56)</f>
        <v xml:space="preserve"> </v>
      </c>
      <c r="J56" s="542" t="str">
        <f>IF(ISBLANK('M&amp;V (ORÇ)'!J56)," ",'M&amp;V (ORÇ)'!J56)</f>
        <v xml:space="preserve"> </v>
      </c>
      <c r="K56" s="544">
        <f>'M&amp;V (ORÇ)'!K56</f>
        <v>0</v>
      </c>
      <c r="L56" s="543">
        <f>'M&amp;V (ORÇ)'!L56</f>
        <v>0</v>
      </c>
      <c r="M56" s="131">
        <f t="shared" si="1"/>
        <v>0</v>
      </c>
      <c r="N56" s="133">
        <f t="shared" si="2"/>
        <v>0</v>
      </c>
      <c r="O56" s="132"/>
      <c r="P56" s="132"/>
    </row>
    <row r="57" spans="2:16" x14ac:dyDescent="0.25">
      <c r="B57" s="128">
        <v>48</v>
      </c>
      <c r="C57" s="1075" t="str">
        <f>IF(ISBLANK('M&amp;V (ORÇ)'!C57)," ",'M&amp;V (ORÇ)'!C57)</f>
        <v xml:space="preserve"> </v>
      </c>
      <c r="D57" s="1076"/>
      <c r="E57" s="1076"/>
      <c r="F57" s="1076"/>
      <c r="G57" s="1076"/>
      <c r="H57" s="1077"/>
      <c r="I57" s="542" t="str">
        <f>IF(ISBLANK('M&amp;V (ORÇ)'!I57)," ",'M&amp;V (ORÇ)'!I57)</f>
        <v xml:space="preserve"> </v>
      </c>
      <c r="J57" s="542" t="str">
        <f>IF(ISBLANK('M&amp;V (ORÇ)'!J57)," ",'M&amp;V (ORÇ)'!J57)</f>
        <v xml:space="preserve"> </v>
      </c>
      <c r="K57" s="544">
        <f>'M&amp;V (ORÇ)'!K57</f>
        <v>0</v>
      </c>
      <c r="L57" s="543">
        <f>'M&amp;V (ORÇ)'!L57</f>
        <v>0</v>
      </c>
      <c r="M57" s="131">
        <f t="shared" si="1"/>
        <v>0</v>
      </c>
      <c r="N57" s="133">
        <f t="shared" si="2"/>
        <v>0</v>
      </c>
      <c r="O57" s="132"/>
      <c r="P57" s="132"/>
    </row>
    <row r="58" spans="2:16" x14ac:dyDescent="0.25">
      <c r="B58" s="128">
        <v>49</v>
      </c>
      <c r="C58" s="1075" t="str">
        <f>IF(ISBLANK('M&amp;V (ORÇ)'!C58)," ",'M&amp;V (ORÇ)'!C58)</f>
        <v xml:space="preserve"> </v>
      </c>
      <c r="D58" s="1076"/>
      <c r="E58" s="1076"/>
      <c r="F58" s="1076"/>
      <c r="G58" s="1076"/>
      <c r="H58" s="1077"/>
      <c r="I58" s="542" t="str">
        <f>IF(ISBLANK('M&amp;V (ORÇ)'!I58)," ",'M&amp;V (ORÇ)'!I58)</f>
        <v xml:space="preserve"> </v>
      </c>
      <c r="J58" s="542" t="str">
        <f>IF(ISBLANK('M&amp;V (ORÇ)'!J58)," ",'M&amp;V (ORÇ)'!J58)</f>
        <v xml:space="preserve"> </v>
      </c>
      <c r="K58" s="544">
        <f>'M&amp;V (ORÇ)'!K58</f>
        <v>0</v>
      </c>
      <c r="L58" s="543">
        <f>'M&amp;V (ORÇ)'!L58</f>
        <v>0</v>
      </c>
      <c r="M58" s="131">
        <f t="shared" si="1"/>
        <v>0</v>
      </c>
      <c r="N58" s="133">
        <f t="shared" si="2"/>
        <v>0</v>
      </c>
      <c r="O58" s="132"/>
      <c r="P58" s="132"/>
    </row>
    <row r="59" spans="2:16" x14ac:dyDescent="0.25">
      <c r="B59" s="128">
        <v>50</v>
      </c>
      <c r="C59" s="1075" t="str">
        <f>IF(ISBLANK('M&amp;V (ORÇ)'!C59)," ",'M&amp;V (ORÇ)'!C59)</f>
        <v xml:space="preserve"> </v>
      </c>
      <c r="D59" s="1076"/>
      <c r="E59" s="1076"/>
      <c r="F59" s="1076"/>
      <c r="G59" s="1076"/>
      <c r="H59" s="1077"/>
      <c r="I59" s="542" t="str">
        <f>IF(ISBLANK('M&amp;V (ORÇ)'!I59)," ",'M&amp;V (ORÇ)'!I59)</f>
        <v xml:space="preserve"> </v>
      </c>
      <c r="J59" s="542" t="str">
        <f>IF(ISBLANK('M&amp;V (ORÇ)'!J59)," ",'M&amp;V (ORÇ)'!J59)</f>
        <v xml:space="preserve"> </v>
      </c>
      <c r="K59" s="544">
        <f>'M&amp;V (ORÇ)'!K59</f>
        <v>0</v>
      </c>
      <c r="L59" s="543">
        <f>'M&amp;V (ORÇ)'!L59</f>
        <v>0</v>
      </c>
      <c r="M59" s="131">
        <f t="shared" si="1"/>
        <v>0</v>
      </c>
      <c r="N59" s="133">
        <f t="shared" si="2"/>
        <v>0</v>
      </c>
      <c r="O59" s="132"/>
      <c r="P59" s="132"/>
    </row>
    <row r="60" spans="2:16" x14ac:dyDescent="0.25">
      <c r="B60" s="134"/>
      <c r="C60" s="1078" t="s">
        <v>242</v>
      </c>
      <c r="D60" s="1078"/>
      <c r="E60" s="1078"/>
      <c r="F60" s="1078"/>
      <c r="G60" s="1078"/>
      <c r="H60" s="1078"/>
      <c r="I60" s="1078"/>
      <c r="J60" s="1078"/>
      <c r="K60" s="1078"/>
      <c r="L60" s="1079"/>
      <c r="M60" s="135">
        <f>SUM(M10:M59)</f>
        <v>3432</v>
      </c>
      <c r="N60" s="136">
        <f>SUM(N10:N59)</f>
        <v>3432</v>
      </c>
      <c r="O60" s="136">
        <f>SUM(O10:O59)</f>
        <v>0</v>
      </c>
      <c r="P60" s="136">
        <f>SUM(P10:P59)</f>
        <v>0</v>
      </c>
    </row>
    <row r="61" spans="2:16" x14ac:dyDescent="0.25">
      <c r="B61" s="1104" t="s">
        <v>243</v>
      </c>
      <c r="C61" s="1105"/>
      <c r="D61" s="1105"/>
      <c r="E61" s="1105"/>
      <c r="F61" s="1105"/>
      <c r="G61" s="1105"/>
      <c r="H61" s="1105"/>
      <c r="I61" s="1105"/>
      <c r="J61" s="1105"/>
      <c r="K61" s="1105"/>
      <c r="L61" s="1105"/>
      <c r="M61" s="1105"/>
      <c r="N61" s="1105"/>
      <c r="O61" s="1105" t="str">
        <f>B61</f>
        <v>PERÍODO PÓS-RETROFIT</v>
      </c>
      <c r="P61" s="1106"/>
    </row>
    <row r="62" spans="2:16" x14ac:dyDescent="0.25">
      <c r="B62" s="1043" t="s">
        <v>235</v>
      </c>
      <c r="C62" s="1044"/>
      <c r="D62" s="1044"/>
      <c r="E62" s="1044"/>
      <c r="F62" s="1044"/>
      <c r="G62" s="1044"/>
      <c r="H62" s="1045"/>
      <c r="I62" s="125" t="s">
        <v>236</v>
      </c>
      <c r="J62" s="126" t="s">
        <v>237</v>
      </c>
      <c r="K62" s="126" t="s">
        <v>238</v>
      </c>
      <c r="L62" s="126" t="s">
        <v>239</v>
      </c>
      <c r="M62" s="126" t="s">
        <v>0</v>
      </c>
      <c r="N62" s="328" t="s">
        <v>796</v>
      </c>
      <c r="O62" s="328" t="s">
        <v>240</v>
      </c>
      <c r="P62" s="329" t="s">
        <v>241</v>
      </c>
    </row>
    <row r="63" spans="2:16" x14ac:dyDescent="0.25">
      <c r="B63" s="128">
        <v>1</v>
      </c>
      <c r="C63" s="1075" t="str">
        <f>IF(ISBLANK('M&amp;V (ORÇ)'!C62)," ",'M&amp;V (ORÇ)'!C62)</f>
        <v>led tubular 16 W</v>
      </c>
      <c r="D63" s="1076"/>
      <c r="E63" s="1076"/>
      <c r="F63" s="1076"/>
      <c r="G63" s="1076"/>
      <c r="H63" s="1077"/>
      <c r="I63" s="542">
        <f>IF(ISBLANK('M&amp;V (ORÇ)'!I62)," ",'M&amp;V (ORÇ)'!I62)</f>
        <v>0.5</v>
      </c>
      <c r="J63" s="542">
        <f>IF(ISBLANK('M&amp;V (ORÇ)'!J62)," ",'M&amp;V (ORÇ)'!J62)</f>
        <v>160</v>
      </c>
      <c r="K63" s="544">
        <f>'M&amp;V (ORÇ)'!K62</f>
        <v>60</v>
      </c>
      <c r="L63" s="543">
        <f>'M&amp;V (ORÇ)'!L62</f>
        <v>13</v>
      </c>
      <c r="M63" s="131">
        <f t="shared" ref="M63:M112" si="3">IF(J63="",0,K63*L63)</f>
        <v>780</v>
      </c>
      <c r="N63" s="133">
        <f t="shared" ref="N63:N94" si="4">M63-O63-P63</f>
        <v>780</v>
      </c>
      <c r="O63" s="132"/>
      <c r="P63" s="132"/>
    </row>
    <row r="64" spans="2:16" x14ac:dyDescent="0.25">
      <c r="B64" s="128">
        <v>2</v>
      </c>
      <c r="C64" s="1075" t="str">
        <f>IF(ISBLANK('M&amp;V (ORÇ)'!C63)," ",'M&amp;V (ORÇ)'!C63)</f>
        <v>led tubular 16 W</v>
      </c>
      <c r="D64" s="1076"/>
      <c r="E64" s="1076"/>
      <c r="F64" s="1076"/>
      <c r="G64" s="1076"/>
      <c r="H64" s="1077"/>
      <c r="I64" s="542">
        <f>IF(ISBLANK('M&amp;V (ORÇ)'!I63)," ",'M&amp;V (ORÇ)'!I63)</f>
        <v>0.5</v>
      </c>
      <c r="J64" s="542">
        <f>IF(ISBLANK('M&amp;V (ORÇ)'!J63)," ",'M&amp;V (ORÇ)'!J63)</f>
        <v>28</v>
      </c>
      <c r="K64" s="544">
        <f>'M&amp;V (ORÇ)'!K63</f>
        <v>22</v>
      </c>
      <c r="L64" s="543">
        <f>'M&amp;V (ORÇ)'!L63</f>
        <v>13</v>
      </c>
      <c r="M64" s="131">
        <f t="shared" si="3"/>
        <v>286</v>
      </c>
      <c r="N64" s="133">
        <f t="shared" si="4"/>
        <v>286</v>
      </c>
      <c r="O64" s="132"/>
      <c r="P64" s="132"/>
    </row>
    <row r="65" spans="2:16" x14ac:dyDescent="0.25">
      <c r="B65" s="128">
        <v>3</v>
      </c>
      <c r="C65" s="1075" t="str">
        <f>IF(ISBLANK('M&amp;V (ORÇ)'!C64)," ",'M&amp;V (ORÇ)'!C64)</f>
        <v>led tubular 16 W</v>
      </c>
      <c r="D65" s="1076"/>
      <c r="E65" s="1076"/>
      <c r="F65" s="1076"/>
      <c r="G65" s="1076"/>
      <c r="H65" s="1077"/>
      <c r="I65" s="542">
        <f>IF(ISBLANK('M&amp;V (ORÇ)'!I64)," ",'M&amp;V (ORÇ)'!I64)</f>
        <v>0.5</v>
      </c>
      <c r="J65" s="542">
        <f>IF(ISBLANK('M&amp;V (ORÇ)'!J64)," ",'M&amp;V (ORÇ)'!J64)</f>
        <v>8</v>
      </c>
      <c r="K65" s="544">
        <f>'M&amp;V (ORÇ)'!K64</f>
        <v>7</v>
      </c>
      <c r="L65" s="543">
        <f>'M&amp;V (ORÇ)'!L64</f>
        <v>13</v>
      </c>
      <c r="M65" s="131">
        <f t="shared" si="3"/>
        <v>91</v>
      </c>
      <c r="N65" s="133">
        <f t="shared" si="4"/>
        <v>91</v>
      </c>
      <c r="O65" s="132"/>
      <c r="P65" s="132"/>
    </row>
    <row r="66" spans="2:16" x14ac:dyDescent="0.25">
      <c r="B66" s="128">
        <v>4</v>
      </c>
      <c r="C66" s="1075" t="str">
        <f>IF(ISBLANK('M&amp;V (ORÇ)'!C65)," ",'M&amp;V (ORÇ)'!C65)</f>
        <v>Led tubular 16 W</v>
      </c>
      <c r="D66" s="1076"/>
      <c r="E66" s="1076"/>
      <c r="F66" s="1076"/>
      <c r="G66" s="1076"/>
      <c r="H66" s="1077"/>
      <c r="I66" s="542">
        <f>IF(ISBLANK('M&amp;V (ORÇ)'!I65)," ",'M&amp;V (ORÇ)'!I65)</f>
        <v>0.5</v>
      </c>
      <c r="J66" s="542">
        <f>IF(ISBLANK('M&amp;V (ORÇ)'!J65)," ",'M&amp;V (ORÇ)'!J65)</f>
        <v>64</v>
      </c>
      <c r="K66" s="544">
        <f>'M&amp;V (ORÇ)'!K65</f>
        <v>38</v>
      </c>
      <c r="L66" s="543">
        <f>'M&amp;V (ORÇ)'!L65</f>
        <v>13</v>
      </c>
      <c r="M66" s="131">
        <f t="shared" si="3"/>
        <v>494</v>
      </c>
      <c r="N66" s="133">
        <f t="shared" si="4"/>
        <v>494</v>
      </c>
      <c r="O66" s="132"/>
      <c r="P66" s="132"/>
    </row>
    <row r="67" spans="2:16" x14ac:dyDescent="0.25">
      <c r="B67" s="128">
        <v>5</v>
      </c>
      <c r="C67" s="1075" t="str">
        <f>IF(ISBLANK('M&amp;V (ORÇ)'!C66)," ",'M&amp;V (ORÇ)'!C66)</f>
        <v>Led tubular 16W</v>
      </c>
      <c r="D67" s="1076"/>
      <c r="E67" s="1076"/>
      <c r="F67" s="1076"/>
      <c r="G67" s="1076"/>
      <c r="H67" s="1077"/>
      <c r="I67" s="542">
        <f>IF(ISBLANK('M&amp;V (ORÇ)'!I66)," ",'M&amp;V (ORÇ)'!I66)</f>
        <v>0.5</v>
      </c>
      <c r="J67" s="542">
        <f>IF(ISBLANK('M&amp;V (ORÇ)'!J66)," ",'M&amp;V (ORÇ)'!J66)</f>
        <v>30</v>
      </c>
      <c r="K67" s="544">
        <f>'M&amp;V (ORÇ)'!K66</f>
        <v>23</v>
      </c>
      <c r="L67" s="543">
        <f>'M&amp;V (ORÇ)'!L66</f>
        <v>13</v>
      </c>
      <c r="M67" s="131">
        <f t="shared" si="3"/>
        <v>299</v>
      </c>
      <c r="N67" s="133">
        <f t="shared" si="4"/>
        <v>299</v>
      </c>
      <c r="O67" s="132"/>
      <c r="P67" s="132"/>
    </row>
    <row r="68" spans="2:16" x14ac:dyDescent="0.25">
      <c r="B68" s="128">
        <v>6</v>
      </c>
      <c r="C68" s="1075" t="str">
        <f>IF(ISBLANK('M&amp;V (ORÇ)'!C67)," ",'M&amp;V (ORÇ)'!C67)</f>
        <v>Led tubular 8W</v>
      </c>
      <c r="D68" s="1076"/>
      <c r="E68" s="1076"/>
      <c r="F68" s="1076"/>
      <c r="G68" s="1076"/>
      <c r="H68" s="1077"/>
      <c r="I68" s="542">
        <f>IF(ISBLANK('M&amp;V (ORÇ)'!I67)," ",'M&amp;V (ORÇ)'!I67)</f>
        <v>0.5</v>
      </c>
      <c r="J68" s="542">
        <f>IF(ISBLANK('M&amp;V (ORÇ)'!J67)," ",'M&amp;V (ORÇ)'!J67)</f>
        <v>8</v>
      </c>
      <c r="K68" s="544">
        <f>'M&amp;V (ORÇ)'!K67</f>
        <v>7</v>
      </c>
      <c r="L68" s="543">
        <f>'M&amp;V (ORÇ)'!L67</f>
        <v>13</v>
      </c>
      <c r="M68" s="131">
        <f t="shared" si="3"/>
        <v>91</v>
      </c>
      <c r="N68" s="133">
        <f t="shared" si="4"/>
        <v>91</v>
      </c>
      <c r="O68" s="132"/>
      <c r="P68" s="132"/>
    </row>
    <row r="69" spans="2:16" x14ac:dyDescent="0.25">
      <c r="B69" s="128">
        <v>7</v>
      </c>
      <c r="C69" s="1075" t="str">
        <f>IF(ISBLANK('M&amp;V (ORÇ)'!C68)," ",'M&amp;V (ORÇ)'!C68)</f>
        <v>Led tubular 8W</v>
      </c>
      <c r="D69" s="1076"/>
      <c r="E69" s="1076"/>
      <c r="F69" s="1076"/>
      <c r="G69" s="1076"/>
      <c r="H69" s="1077"/>
      <c r="I69" s="542">
        <f>IF(ISBLANK('M&amp;V (ORÇ)'!I68)," ",'M&amp;V (ORÇ)'!I68)</f>
        <v>0.5</v>
      </c>
      <c r="J69" s="542">
        <f>IF(ISBLANK('M&amp;V (ORÇ)'!J68)," ",'M&amp;V (ORÇ)'!J68)</f>
        <v>8</v>
      </c>
      <c r="K69" s="544">
        <f>'M&amp;V (ORÇ)'!K68</f>
        <v>7</v>
      </c>
      <c r="L69" s="543">
        <f>'M&amp;V (ORÇ)'!L68</f>
        <v>13</v>
      </c>
      <c r="M69" s="131">
        <f t="shared" si="3"/>
        <v>91</v>
      </c>
      <c r="N69" s="133">
        <f t="shared" si="4"/>
        <v>91</v>
      </c>
      <c r="O69" s="132"/>
      <c r="P69" s="132"/>
    </row>
    <row r="70" spans="2:16" x14ac:dyDescent="0.25">
      <c r="B70" s="128">
        <v>8</v>
      </c>
      <c r="C70" s="1075" t="str">
        <f>IF(ISBLANK('M&amp;V (ORÇ)'!C69)," ",'M&amp;V (ORÇ)'!C69)</f>
        <v>Led tubular 8W</v>
      </c>
      <c r="D70" s="1076"/>
      <c r="E70" s="1076"/>
      <c r="F70" s="1076"/>
      <c r="G70" s="1076"/>
      <c r="H70" s="1077"/>
      <c r="I70" s="542">
        <f>IF(ISBLANK('M&amp;V (ORÇ)'!I69)," ",'M&amp;V (ORÇ)'!I69)</f>
        <v>0.5</v>
      </c>
      <c r="J70" s="542">
        <f>IF(ISBLANK('M&amp;V (ORÇ)'!J69)," ",'M&amp;V (ORÇ)'!J69)</f>
        <v>102</v>
      </c>
      <c r="K70" s="544">
        <f>'M&amp;V (ORÇ)'!K69</f>
        <v>49</v>
      </c>
      <c r="L70" s="543">
        <f>'M&amp;V (ORÇ)'!L69</f>
        <v>13</v>
      </c>
      <c r="M70" s="131">
        <f t="shared" si="3"/>
        <v>637</v>
      </c>
      <c r="N70" s="133">
        <f t="shared" si="4"/>
        <v>637</v>
      </c>
      <c r="O70" s="132"/>
      <c r="P70" s="132"/>
    </row>
    <row r="71" spans="2:16" x14ac:dyDescent="0.25">
      <c r="B71" s="128">
        <v>9</v>
      </c>
      <c r="C71" s="1075" t="str">
        <f>IF(ISBLANK('M&amp;V (ORÇ)'!C70)," ",'M&amp;V (ORÇ)'!C70)</f>
        <v>Led bulbo 8W</v>
      </c>
      <c r="D71" s="1076"/>
      <c r="E71" s="1076"/>
      <c r="F71" s="1076"/>
      <c r="G71" s="1076"/>
      <c r="H71" s="1077"/>
      <c r="I71" s="542">
        <f>IF(ISBLANK('M&amp;V (ORÇ)'!I70)," ",'M&amp;V (ORÇ)'!I70)</f>
        <v>0.5</v>
      </c>
      <c r="J71" s="542">
        <f>IF(ISBLANK('M&amp;V (ORÇ)'!J70)," ",'M&amp;V (ORÇ)'!J70)</f>
        <v>12</v>
      </c>
      <c r="K71" s="544">
        <f>'M&amp;V (ORÇ)'!K70</f>
        <v>11</v>
      </c>
      <c r="L71" s="543">
        <f>'M&amp;V (ORÇ)'!L70</f>
        <v>13</v>
      </c>
      <c r="M71" s="131">
        <f t="shared" si="3"/>
        <v>143</v>
      </c>
      <c r="N71" s="133">
        <f t="shared" si="4"/>
        <v>143</v>
      </c>
      <c r="O71" s="132"/>
      <c r="P71" s="132"/>
    </row>
    <row r="72" spans="2:16" x14ac:dyDescent="0.25">
      <c r="B72" s="128">
        <v>10</v>
      </c>
      <c r="C72" s="1075" t="str">
        <f>IF(ISBLANK('M&amp;V (ORÇ)'!C71)," ",'M&amp;V (ORÇ)'!C71)</f>
        <v>Led Bulbo 8W</v>
      </c>
      <c r="D72" s="1076"/>
      <c r="E72" s="1076"/>
      <c r="F72" s="1076"/>
      <c r="G72" s="1076"/>
      <c r="H72" s="1077"/>
      <c r="I72" s="542">
        <f>IF(ISBLANK('M&amp;V (ORÇ)'!I71)," ",'M&amp;V (ORÇ)'!I71)</f>
        <v>0.5</v>
      </c>
      <c r="J72" s="542">
        <f>IF(ISBLANK('M&amp;V (ORÇ)'!J71)," ",'M&amp;V (ORÇ)'!J71)</f>
        <v>46</v>
      </c>
      <c r="K72" s="544">
        <f>'M&amp;V (ORÇ)'!K71</f>
        <v>31</v>
      </c>
      <c r="L72" s="543">
        <f>'M&amp;V (ORÇ)'!L71</f>
        <v>13</v>
      </c>
      <c r="M72" s="131">
        <f t="shared" si="3"/>
        <v>403</v>
      </c>
      <c r="N72" s="133">
        <f t="shared" si="4"/>
        <v>403</v>
      </c>
      <c r="O72" s="132"/>
      <c r="P72" s="132"/>
    </row>
    <row r="73" spans="2:16" x14ac:dyDescent="0.25">
      <c r="B73" s="128">
        <v>11</v>
      </c>
      <c r="C73" s="1075" t="str">
        <f>IF(ISBLANK('M&amp;V (ORÇ)'!C72)," ",'M&amp;V (ORÇ)'!C72)</f>
        <v>Led bulbo 8W</v>
      </c>
      <c r="D73" s="1076"/>
      <c r="E73" s="1076"/>
      <c r="F73" s="1076"/>
      <c r="G73" s="1076"/>
      <c r="H73" s="1077"/>
      <c r="I73" s="542">
        <f>IF(ISBLANK('M&amp;V (ORÇ)'!I72)," ",'M&amp;V (ORÇ)'!I72)</f>
        <v>0.5</v>
      </c>
      <c r="J73" s="542">
        <f>IF(ISBLANK('M&amp;V (ORÇ)'!J72)," ",'M&amp;V (ORÇ)'!J72)</f>
        <v>9</v>
      </c>
      <c r="K73" s="544">
        <f>'M&amp;V (ORÇ)'!K72</f>
        <v>8</v>
      </c>
      <c r="L73" s="543">
        <f>'M&amp;V (ORÇ)'!L72</f>
        <v>13</v>
      </c>
      <c r="M73" s="131">
        <f t="shared" si="3"/>
        <v>104</v>
      </c>
      <c r="N73" s="133">
        <f t="shared" si="4"/>
        <v>104</v>
      </c>
      <c r="O73" s="132"/>
      <c r="P73" s="132"/>
    </row>
    <row r="74" spans="2:16" x14ac:dyDescent="0.25">
      <c r="B74" s="128">
        <v>12</v>
      </c>
      <c r="C74" s="1075" t="str">
        <f>IF(ISBLANK('M&amp;V (ORÇ)'!C73)," ",'M&amp;V (ORÇ)'!C73)</f>
        <v>Led bulbo 8W</v>
      </c>
      <c r="D74" s="1076"/>
      <c r="E74" s="1076"/>
      <c r="F74" s="1076"/>
      <c r="G74" s="1076"/>
      <c r="H74" s="1077"/>
      <c r="I74" s="542">
        <f>IF(ISBLANK('M&amp;V (ORÇ)'!I73)," ",'M&amp;V (ORÇ)'!I73)</f>
        <v>0.5</v>
      </c>
      <c r="J74" s="542">
        <f>IF(ISBLANK('M&amp;V (ORÇ)'!J73)," ",'M&amp;V (ORÇ)'!J73)</f>
        <v>1</v>
      </c>
      <c r="K74" s="544">
        <f>'M&amp;V (ORÇ)'!K73</f>
        <v>1</v>
      </c>
      <c r="L74" s="543">
        <f>'M&amp;V (ORÇ)'!L73</f>
        <v>13</v>
      </c>
      <c r="M74" s="131">
        <f t="shared" si="3"/>
        <v>13</v>
      </c>
      <c r="N74" s="133">
        <f t="shared" si="4"/>
        <v>13</v>
      </c>
      <c r="O74" s="132"/>
      <c r="P74" s="132"/>
    </row>
    <row r="75" spans="2:16" x14ac:dyDescent="0.25">
      <c r="B75" s="128">
        <v>13</v>
      </c>
      <c r="C75" s="1075" t="str">
        <f>IF(ISBLANK('M&amp;V (ORÇ)'!C74)," ",'M&amp;V (ORÇ)'!C74)</f>
        <v xml:space="preserve"> </v>
      </c>
      <c r="D75" s="1076"/>
      <c r="E75" s="1076"/>
      <c r="F75" s="1076"/>
      <c r="G75" s="1076"/>
      <c r="H75" s="1077"/>
      <c r="I75" s="542" t="str">
        <f>IF(ISBLANK('M&amp;V (ORÇ)'!I74)," ",'M&amp;V (ORÇ)'!I74)</f>
        <v xml:space="preserve"> </v>
      </c>
      <c r="J75" s="542" t="str">
        <f>IF(ISBLANK('M&amp;V (ORÇ)'!J74)," ",'M&amp;V (ORÇ)'!J74)</f>
        <v xml:space="preserve"> </v>
      </c>
      <c r="K75" s="544">
        <f>'M&amp;V (ORÇ)'!K74</f>
        <v>0</v>
      </c>
      <c r="L75" s="543">
        <f>'M&amp;V (ORÇ)'!L74</f>
        <v>0</v>
      </c>
      <c r="M75" s="131">
        <f t="shared" si="3"/>
        <v>0</v>
      </c>
      <c r="N75" s="133">
        <f t="shared" si="4"/>
        <v>0</v>
      </c>
      <c r="O75" s="132"/>
      <c r="P75" s="132"/>
    </row>
    <row r="76" spans="2:16" x14ac:dyDescent="0.25">
      <c r="B76" s="128">
        <v>14</v>
      </c>
      <c r="C76" s="1075" t="str">
        <f>IF(ISBLANK('M&amp;V (ORÇ)'!C75)," ",'M&amp;V (ORÇ)'!C75)</f>
        <v xml:space="preserve"> </v>
      </c>
      <c r="D76" s="1076"/>
      <c r="E76" s="1076"/>
      <c r="F76" s="1076"/>
      <c r="G76" s="1076"/>
      <c r="H76" s="1077"/>
      <c r="I76" s="542" t="str">
        <f>IF(ISBLANK('M&amp;V (ORÇ)'!I75)," ",'M&amp;V (ORÇ)'!I75)</f>
        <v xml:space="preserve"> </v>
      </c>
      <c r="J76" s="542" t="str">
        <f>IF(ISBLANK('M&amp;V (ORÇ)'!J75)," ",'M&amp;V (ORÇ)'!J75)</f>
        <v xml:space="preserve"> </v>
      </c>
      <c r="K76" s="544">
        <f>'M&amp;V (ORÇ)'!K75</f>
        <v>0</v>
      </c>
      <c r="L76" s="543">
        <f>'M&amp;V (ORÇ)'!L75</f>
        <v>0</v>
      </c>
      <c r="M76" s="131">
        <f t="shared" si="3"/>
        <v>0</v>
      </c>
      <c r="N76" s="133">
        <f t="shared" si="4"/>
        <v>0</v>
      </c>
      <c r="O76" s="132"/>
      <c r="P76" s="132"/>
    </row>
    <row r="77" spans="2:16" x14ac:dyDescent="0.25">
      <c r="B77" s="128">
        <v>15</v>
      </c>
      <c r="C77" s="1075" t="str">
        <f>IF(ISBLANK('M&amp;V (ORÇ)'!C76)," ",'M&amp;V (ORÇ)'!C76)</f>
        <v xml:space="preserve"> </v>
      </c>
      <c r="D77" s="1076"/>
      <c r="E77" s="1076"/>
      <c r="F77" s="1076"/>
      <c r="G77" s="1076"/>
      <c r="H77" s="1077"/>
      <c r="I77" s="542" t="str">
        <f>IF(ISBLANK('M&amp;V (ORÇ)'!I76)," ",'M&amp;V (ORÇ)'!I76)</f>
        <v xml:space="preserve"> </v>
      </c>
      <c r="J77" s="542" t="str">
        <f>IF(ISBLANK('M&amp;V (ORÇ)'!J76)," ",'M&amp;V (ORÇ)'!J76)</f>
        <v xml:space="preserve"> </v>
      </c>
      <c r="K77" s="544">
        <f>'M&amp;V (ORÇ)'!K76</f>
        <v>0</v>
      </c>
      <c r="L77" s="543">
        <f>'M&amp;V (ORÇ)'!L76</f>
        <v>0</v>
      </c>
      <c r="M77" s="131">
        <f t="shared" si="3"/>
        <v>0</v>
      </c>
      <c r="N77" s="133">
        <f t="shared" si="4"/>
        <v>0</v>
      </c>
      <c r="O77" s="132"/>
      <c r="P77" s="132"/>
    </row>
    <row r="78" spans="2:16" x14ac:dyDescent="0.25">
      <c r="B78" s="128">
        <v>16</v>
      </c>
      <c r="C78" s="1075" t="str">
        <f>IF(ISBLANK('M&amp;V (ORÇ)'!C77)," ",'M&amp;V (ORÇ)'!C77)</f>
        <v xml:space="preserve"> </v>
      </c>
      <c r="D78" s="1076"/>
      <c r="E78" s="1076"/>
      <c r="F78" s="1076"/>
      <c r="G78" s="1076"/>
      <c r="H78" s="1077"/>
      <c r="I78" s="542" t="str">
        <f>IF(ISBLANK('M&amp;V (ORÇ)'!I77)," ",'M&amp;V (ORÇ)'!I77)</f>
        <v xml:space="preserve"> </v>
      </c>
      <c r="J78" s="542" t="str">
        <f>IF(ISBLANK('M&amp;V (ORÇ)'!J77)," ",'M&amp;V (ORÇ)'!J77)</f>
        <v xml:space="preserve"> </v>
      </c>
      <c r="K78" s="544">
        <f>'M&amp;V (ORÇ)'!K77</f>
        <v>0</v>
      </c>
      <c r="L78" s="543">
        <f>'M&amp;V (ORÇ)'!L77</f>
        <v>0</v>
      </c>
      <c r="M78" s="131">
        <f t="shared" si="3"/>
        <v>0</v>
      </c>
      <c r="N78" s="133">
        <f t="shared" si="4"/>
        <v>0</v>
      </c>
      <c r="O78" s="132"/>
      <c r="P78" s="132"/>
    </row>
    <row r="79" spans="2:16" x14ac:dyDescent="0.25">
      <c r="B79" s="128">
        <v>17</v>
      </c>
      <c r="C79" s="1075" t="str">
        <f>IF(ISBLANK('M&amp;V (ORÇ)'!C78)," ",'M&amp;V (ORÇ)'!C78)</f>
        <v xml:space="preserve"> </v>
      </c>
      <c r="D79" s="1076"/>
      <c r="E79" s="1076"/>
      <c r="F79" s="1076"/>
      <c r="G79" s="1076"/>
      <c r="H79" s="1077"/>
      <c r="I79" s="542" t="str">
        <f>IF(ISBLANK('M&amp;V (ORÇ)'!I78)," ",'M&amp;V (ORÇ)'!I78)</f>
        <v xml:space="preserve"> </v>
      </c>
      <c r="J79" s="542" t="str">
        <f>IF(ISBLANK('M&amp;V (ORÇ)'!J78)," ",'M&amp;V (ORÇ)'!J78)</f>
        <v xml:space="preserve"> </v>
      </c>
      <c r="K79" s="544">
        <f>'M&amp;V (ORÇ)'!K78</f>
        <v>0</v>
      </c>
      <c r="L79" s="543">
        <f>'M&amp;V (ORÇ)'!L78</f>
        <v>0</v>
      </c>
      <c r="M79" s="131">
        <f t="shared" si="3"/>
        <v>0</v>
      </c>
      <c r="N79" s="133">
        <f t="shared" si="4"/>
        <v>0</v>
      </c>
      <c r="O79" s="132"/>
      <c r="P79" s="132"/>
    </row>
    <row r="80" spans="2:16" x14ac:dyDescent="0.25">
      <c r="B80" s="128">
        <v>18</v>
      </c>
      <c r="C80" s="1075" t="str">
        <f>IF(ISBLANK('M&amp;V (ORÇ)'!C79)," ",'M&amp;V (ORÇ)'!C79)</f>
        <v xml:space="preserve"> </v>
      </c>
      <c r="D80" s="1076"/>
      <c r="E80" s="1076"/>
      <c r="F80" s="1076"/>
      <c r="G80" s="1076"/>
      <c r="H80" s="1077"/>
      <c r="I80" s="542" t="str">
        <f>IF(ISBLANK('M&amp;V (ORÇ)'!I79)," ",'M&amp;V (ORÇ)'!I79)</f>
        <v xml:space="preserve"> </v>
      </c>
      <c r="J80" s="542" t="str">
        <f>IF(ISBLANK('M&amp;V (ORÇ)'!J79)," ",'M&amp;V (ORÇ)'!J79)</f>
        <v xml:space="preserve"> </v>
      </c>
      <c r="K80" s="544">
        <f>'M&amp;V (ORÇ)'!K79</f>
        <v>0</v>
      </c>
      <c r="L80" s="543">
        <f>'M&amp;V (ORÇ)'!L79</f>
        <v>0</v>
      </c>
      <c r="M80" s="131">
        <f t="shared" si="3"/>
        <v>0</v>
      </c>
      <c r="N80" s="133">
        <f t="shared" si="4"/>
        <v>0</v>
      </c>
      <c r="O80" s="132"/>
      <c r="P80" s="132"/>
    </row>
    <row r="81" spans="2:16" x14ac:dyDescent="0.25">
      <c r="B81" s="128">
        <v>19</v>
      </c>
      <c r="C81" s="1075" t="str">
        <f>IF(ISBLANK('M&amp;V (ORÇ)'!C80)," ",'M&amp;V (ORÇ)'!C80)</f>
        <v xml:space="preserve"> </v>
      </c>
      <c r="D81" s="1076"/>
      <c r="E81" s="1076"/>
      <c r="F81" s="1076"/>
      <c r="G81" s="1076"/>
      <c r="H81" s="1077"/>
      <c r="I81" s="542" t="str">
        <f>IF(ISBLANK('M&amp;V (ORÇ)'!I80)," ",'M&amp;V (ORÇ)'!I80)</f>
        <v xml:space="preserve"> </v>
      </c>
      <c r="J81" s="542" t="str">
        <f>IF(ISBLANK('M&amp;V (ORÇ)'!J80)," ",'M&amp;V (ORÇ)'!J80)</f>
        <v xml:space="preserve"> </v>
      </c>
      <c r="K81" s="544">
        <f>'M&amp;V (ORÇ)'!K80</f>
        <v>0</v>
      </c>
      <c r="L81" s="543">
        <f>'M&amp;V (ORÇ)'!L80</f>
        <v>0</v>
      </c>
      <c r="M81" s="131">
        <f t="shared" si="3"/>
        <v>0</v>
      </c>
      <c r="N81" s="133">
        <f t="shared" si="4"/>
        <v>0</v>
      </c>
      <c r="O81" s="132"/>
      <c r="P81" s="132"/>
    </row>
    <row r="82" spans="2:16" x14ac:dyDescent="0.25">
      <c r="B82" s="128">
        <v>20</v>
      </c>
      <c r="C82" s="1075" t="str">
        <f>IF(ISBLANK('M&amp;V (ORÇ)'!C81)," ",'M&amp;V (ORÇ)'!C81)</f>
        <v xml:space="preserve"> </v>
      </c>
      <c r="D82" s="1076"/>
      <c r="E82" s="1076"/>
      <c r="F82" s="1076"/>
      <c r="G82" s="1076"/>
      <c r="H82" s="1077"/>
      <c r="I82" s="542" t="str">
        <f>IF(ISBLANK('M&amp;V (ORÇ)'!I81)," ",'M&amp;V (ORÇ)'!I81)</f>
        <v xml:space="preserve"> </v>
      </c>
      <c r="J82" s="542" t="str">
        <f>IF(ISBLANK('M&amp;V (ORÇ)'!J81)," ",'M&amp;V (ORÇ)'!J81)</f>
        <v xml:space="preserve"> </v>
      </c>
      <c r="K82" s="544">
        <f>'M&amp;V (ORÇ)'!K81</f>
        <v>0</v>
      </c>
      <c r="L82" s="543">
        <f>'M&amp;V (ORÇ)'!L81</f>
        <v>0</v>
      </c>
      <c r="M82" s="131">
        <f t="shared" si="3"/>
        <v>0</v>
      </c>
      <c r="N82" s="133">
        <f t="shared" si="4"/>
        <v>0</v>
      </c>
      <c r="O82" s="132"/>
      <c r="P82" s="132"/>
    </row>
    <row r="83" spans="2:16" x14ac:dyDescent="0.25">
      <c r="B83" s="128">
        <v>21</v>
      </c>
      <c r="C83" s="1075" t="str">
        <f>IF(ISBLANK('M&amp;V (ORÇ)'!C82)," ",'M&amp;V (ORÇ)'!C82)</f>
        <v xml:space="preserve"> </v>
      </c>
      <c r="D83" s="1076"/>
      <c r="E83" s="1076"/>
      <c r="F83" s="1076"/>
      <c r="G83" s="1076"/>
      <c r="H83" s="1077"/>
      <c r="I83" s="542" t="str">
        <f>IF(ISBLANK('M&amp;V (ORÇ)'!I82)," ",'M&amp;V (ORÇ)'!I82)</f>
        <v xml:space="preserve"> </v>
      </c>
      <c r="J83" s="542" t="str">
        <f>IF(ISBLANK('M&amp;V (ORÇ)'!J82)," ",'M&amp;V (ORÇ)'!J82)</f>
        <v xml:space="preserve"> </v>
      </c>
      <c r="K83" s="544">
        <f>'M&amp;V (ORÇ)'!K82</f>
        <v>0</v>
      </c>
      <c r="L83" s="543">
        <f>'M&amp;V (ORÇ)'!L82</f>
        <v>0</v>
      </c>
      <c r="M83" s="131">
        <f t="shared" si="3"/>
        <v>0</v>
      </c>
      <c r="N83" s="133">
        <f t="shared" si="4"/>
        <v>0</v>
      </c>
      <c r="O83" s="132"/>
      <c r="P83" s="132"/>
    </row>
    <row r="84" spans="2:16" x14ac:dyDescent="0.25">
      <c r="B84" s="128">
        <v>22</v>
      </c>
      <c r="C84" s="1075" t="str">
        <f>IF(ISBLANK('M&amp;V (ORÇ)'!C83)," ",'M&amp;V (ORÇ)'!C83)</f>
        <v xml:space="preserve"> </v>
      </c>
      <c r="D84" s="1076"/>
      <c r="E84" s="1076"/>
      <c r="F84" s="1076"/>
      <c r="G84" s="1076"/>
      <c r="H84" s="1077"/>
      <c r="I84" s="542" t="str">
        <f>IF(ISBLANK('M&amp;V (ORÇ)'!I83)," ",'M&amp;V (ORÇ)'!I83)</f>
        <v xml:space="preserve"> </v>
      </c>
      <c r="J84" s="542" t="str">
        <f>IF(ISBLANK('M&amp;V (ORÇ)'!J83)," ",'M&amp;V (ORÇ)'!J83)</f>
        <v xml:space="preserve"> </v>
      </c>
      <c r="K84" s="544">
        <f>'M&amp;V (ORÇ)'!K83</f>
        <v>0</v>
      </c>
      <c r="L84" s="543">
        <f>'M&amp;V (ORÇ)'!L83</f>
        <v>0</v>
      </c>
      <c r="M84" s="131">
        <f t="shared" si="3"/>
        <v>0</v>
      </c>
      <c r="N84" s="133">
        <f t="shared" si="4"/>
        <v>0</v>
      </c>
      <c r="O84" s="132"/>
      <c r="P84" s="132"/>
    </row>
    <row r="85" spans="2:16" x14ac:dyDescent="0.25">
      <c r="B85" s="128">
        <v>23</v>
      </c>
      <c r="C85" s="1075" t="str">
        <f>IF(ISBLANK('M&amp;V (ORÇ)'!C84)," ",'M&amp;V (ORÇ)'!C84)</f>
        <v xml:space="preserve"> </v>
      </c>
      <c r="D85" s="1076"/>
      <c r="E85" s="1076"/>
      <c r="F85" s="1076"/>
      <c r="G85" s="1076"/>
      <c r="H85" s="1077"/>
      <c r="I85" s="542" t="str">
        <f>IF(ISBLANK('M&amp;V (ORÇ)'!I84)," ",'M&amp;V (ORÇ)'!I84)</f>
        <v xml:space="preserve"> </v>
      </c>
      <c r="J85" s="542" t="str">
        <f>IF(ISBLANK('M&amp;V (ORÇ)'!J84)," ",'M&amp;V (ORÇ)'!J84)</f>
        <v xml:space="preserve"> </v>
      </c>
      <c r="K85" s="544">
        <f>'M&amp;V (ORÇ)'!K84</f>
        <v>0</v>
      </c>
      <c r="L85" s="543">
        <f>'M&amp;V (ORÇ)'!L84</f>
        <v>0</v>
      </c>
      <c r="M85" s="131">
        <f t="shared" si="3"/>
        <v>0</v>
      </c>
      <c r="N85" s="133">
        <f t="shared" si="4"/>
        <v>0</v>
      </c>
      <c r="O85" s="132"/>
      <c r="P85" s="132"/>
    </row>
    <row r="86" spans="2:16" x14ac:dyDescent="0.25">
      <c r="B86" s="128">
        <v>24</v>
      </c>
      <c r="C86" s="1075" t="str">
        <f>IF(ISBLANK('M&amp;V (ORÇ)'!C85)," ",'M&amp;V (ORÇ)'!C85)</f>
        <v xml:space="preserve"> </v>
      </c>
      <c r="D86" s="1076"/>
      <c r="E86" s="1076"/>
      <c r="F86" s="1076"/>
      <c r="G86" s="1076"/>
      <c r="H86" s="1077"/>
      <c r="I86" s="542" t="str">
        <f>IF(ISBLANK('M&amp;V (ORÇ)'!I85)," ",'M&amp;V (ORÇ)'!I85)</f>
        <v xml:space="preserve"> </v>
      </c>
      <c r="J86" s="542" t="str">
        <f>IF(ISBLANK('M&amp;V (ORÇ)'!J85)," ",'M&amp;V (ORÇ)'!J85)</f>
        <v xml:space="preserve"> </v>
      </c>
      <c r="K86" s="544">
        <f>'M&amp;V (ORÇ)'!K85</f>
        <v>0</v>
      </c>
      <c r="L86" s="543">
        <f>'M&amp;V (ORÇ)'!L85</f>
        <v>0</v>
      </c>
      <c r="M86" s="131">
        <f t="shared" si="3"/>
        <v>0</v>
      </c>
      <c r="N86" s="133">
        <f t="shared" si="4"/>
        <v>0</v>
      </c>
      <c r="O86" s="132"/>
      <c r="P86" s="132"/>
    </row>
    <row r="87" spans="2:16" x14ac:dyDescent="0.25">
      <c r="B87" s="128">
        <v>25</v>
      </c>
      <c r="C87" s="1075" t="str">
        <f>IF(ISBLANK('M&amp;V (ORÇ)'!C86)," ",'M&amp;V (ORÇ)'!C86)</f>
        <v xml:space="preserve"> </v>
      </c>
      <c r="D87" s="1076"/>
      <c r="E87" s="1076"/>
      <c r="F87" s="1076"/>
      <c r="G87" s="1076"/>
      <c r="H87" s="1077"/>
      <c r="I87" s="542" t="str">
        <f>IF(ISBLANK('M&amp;V (ORÇ)'!I86)," ",'M&amp;V (ORÇ)'!I86)</f>
        <v xml:space="preserve"> </v>
      </c>
      <c r="J87" s="542" t="str">
        <f>IF(ISBLANK('M&amp;V (ORÇ)'!J86)," ",'M&amp;V (ORÇ)'!J86)</f>
        <v xml:space="preserve"> </v>
      </c>
      <c r="K87" s="544">
        <f>'M&amp;V (ORÇ)'!K86</f>
        <v>0</v>
      </c>
      <c r="L87" s="543">
        <f>'M&amp;V (ORÇ)'!L86</f>
        <v>0</v>
      </c>
      <c r="M87" s="131">
        <f t="shared" si="3"/>
        <v>0</v>
      </c>
      <c r="N87" s="133">
        <f t="shared" si="4"/>
        <v>0</v>
      </c>
      <c r="O87" s="132"/>
      <c r="P87" s="132"/>
    </row>
    <row r="88" spans="2:16" x14ac:dyDescent="0.25">
      <c r="B88" s="128">
        <v>26</v>
      </c>
      <c r="C88" s="1075" t="str">
        <f>IF(ISBLANK('M&amp;V (ORÇ)'!C87)," ",'M&amp;V (ORÇ)'!C87)</f>
        <v xml:space="preserve"> </v>
      </c>
      <c r="D88" s="1076"/>
      <c r="E88" s="1076"/>
      <c r="F88" s="1076"/>
      <c r="G88" s="1076"/>
      <c r="H88" s="1077"/>
      <c r="I88" s="542" t="str">
        <f>IF(ISBLANK('M&amp;V (ORÇ)'!I87)," ",'M&amp;V (ORÇ)'!I87)</f>
        <v xml:space="preserve"> </v>
      </c>
      <c r="J88" s="542" t="str">
        <f>IF(ISBLANK('M&amp;V (ORÇ)'!J87)," ",'M&amp;V (ORÇ)'!J87)</f>
        <v xml:space="preserve"> </v>
      </c>
      <c r="K88" s="544">
        <f>'M&amp;V (ORÇ)'!K87</f>
        <v>0</v>
      </c>
      <c r="L88" s="543">
        <f>'M&amp;V (ORÇ)'!L87</f>
        <v>0</v>
      </c>
      <c r="M88" s="131">
        <f t="shared" si="3"/>
        <v>0</v>
      </c>
      <c r="N88" s="133">
        <f t="shared" si="4"/>
        <v>0</v>
      </c>
      <c r="O88" s="132"/>
      <c r="P88" s="132"/>
    </row>
    <row r="89" spans="2:16" x14ac:dyDescent="0.25">
      <c r="B89" s="128">
        <v>27</v>
      </c>
      <c r="C89" s="1075" t="str">
        <f>IF(ISBLANK('M&amp;V (ORÇ)'!C88)," ",'M&amp;V (ORÇ)'!C88)</f>
        <v xml:space="preserve"> </v>
      </c>
      <c r="D89" s="1076"/>
      <c r="E89" s="1076"/>
      <c r="F89" s="1076"/>
      <c r="G89" s="1076"/>
      <c r="H89" s="1077"/>
      <c r="I89" s="542" t="str">
        <f>IF(ISBLANK('M&amp;V (ORÇ)'!I88)," ",'M&amp;V (ORÇ)'!I88)</f>
        <v xml:space="preserve"> </v>
      </c>
      <c r="J89" s="542" t="str">
        <f>IF(ISBLANK('M&amp;V (ORÇ)'!J88)," ",'M&amp;V (ORÇ)'!J88)</f>
        <v xml:space="preserve"> </v>
      </c>
      <c r="K89" s="544">
        <f>'M&amp;V (ORÇ)'!K88</f>
        <v>0</v>
      </c>
      <c r="L89" s="543">
        <f>'M&amp;V (ORÇ)'!L88</f>
        <v>0</v>
      </c>
      <c r="M89" s="131">
        <f t="shared" si="3"/>
        <v>0</v>
      </c>
      <c r="N89" s="133">
        <f t="shared" si="4"/>
        <v>0</v>
      </c>
      <c r="O89" s="132"/>
      <c r="P89" s="132"/>
    </row>
    <row r="90" spans="2:16" x14ac:dyDescent="0.25">
      <c r="B90" s="128">
        <v>28</v>
      </c>
      <c r="C90" s="1075" t="str">
        <f>IF(ISBLANK('M&amp;V (ORÇ)'!C89)," ",'M&amp;V (ORÇ)'!C89)</f>
        <v xml:space="preserve"> </v>
      </c>
      <c r="D90" s="1076"/>
      <c r="E90" s="1076"/>
      <c r="F90" s="1076"/>
      <c r="G90" s="1076"/>
      <c r="H90" s="1077"/>
      <c r="I90" s="542" t="str">
        <f>IF(ISBLANK('M&amp;V (ORÇ)'!I89)," ",'M&amp;V (ORÇ)'!I89)</f>
        <v xml:space="preserve"> </v>
      </c>
      <c r="J90" s="542" t="str">
        <f>IF(ISBLANK('M&amp;V (ORÇ)'!J89)," ",'M&amp;V (ORÇ)'!J89)</f>
        <v xml:space="preserve"> </v>
      </c>
      <c r="K90" s="544">
        <f>'M&amp;V (ORÇ)'!K89</f>
        <v>0</v>
      </c>
      <c r="L90" s="543">
        <f>'M&amp;V (ORÇ)'!L89</f>
        <v>0</v>
      </c>
      <c r="M90" s="131">
        <f t="shared" si="3"/>
        <v>0</v>
      </c>
      <c r="N90" s="133">
        <f t="shared" si="4"/>
        <v>0</v>
      </c>
      <c r="O90" s="132"/>
      <c r="P90" s="132"/>
    </row>
    <row r="91" spans="2:16" x14ac:dyDescent="0.25">
      <c r="B91" s="128">
        <v>29</v>
      </c>
      <c r="C91" s="1075" t="str">
        <f>IF(ISBLANK('M&amp;V (ORÇ)'!C90)," ",'M&amp;V (ORÇ)'!C90)</f>
        <v xml:space="preserve"> </v>
      </c>
      <c r="D91" s="1076"/>
      <c r="E91" s="1076"/>
      <c r="F91" s="1076"/>
      <c r="G91" s="1076"/>
      <c r="H91" s="1077"/>
      <c r="I91" s="542" t="str">
        <f>IF(ISBLANK('M&amp;V (ORÇ)'!I90)," ",'M&amp;V (ORÇ)'!I90)</f>
        <v xml:space="preserve"> </v>
      </c>
      <c r="J91" s="542" t="str">
        <f>IF(ISBLANK('M&amp;V (ORÇ)'!J90)," ",'M&amp;V (ORÇ)'!J90)</f>
        <v xml:space="preserve"> </v>
      </c>
      <c r="K91" s="544">
        <f>'M&amp;V (ORÇ)'!K90</f>
        <v>0</v>
      </c>
      <c r="L91" s="543">
        <f>'M&amp;V (ORÇ)'!L90</f>
        <v>0</v>
      </c>
      <c r="M91" s="131">
        <f t="shared" si="3"/>
        <v>0</v>
      </c>
      <c r="N91" s="133">
        <f t="shared" si="4"/>
        <v>0</v>
      </c>
      <c r="O91" s="132"/>
      <c r="P91" s="132"/>
    </row>
    <row r="92" spans="2:16" x14ac:dyDescent="0.25">
      <c r="B92" s="128">
        <v>30</v>
      </c>
      <c r="C92" s="1075" t="str">
        <f>IF(ISBLANK('M&amp;V (ORÇ)'!C91)," ",'M&amp;V (ORÇ)'!C91)</f>
        <v xml:space="preserve"> </v>
      </c>
      <c r="D92" s="1076"/>
      <c r="E92" s="1076"/>
      <c r="F92" s="1076"/>
      <c r="G92" s="1076"/>
      <c r="H92" s="1077"/>
      <c r="I92" s="542" t="str">
        <f>IF(ISBLANK('M&amp;V (ORÇ)'!I91)," ",'M&amp;V (ORÇ)'!I91)</f>
        <v xml:space="preserve"> </v>
      </c>
      <c r="J92" s="542" t="str">
        <f>IF(ISBLANK('M&amp;V (ORÇ)'!J91)," ",'M&amp;V (ORÇ)'!J91)</f>
        <v xml:space="preserve"> </v>
      </c>
      <c r="K92" s="544">
        <f>'M&amp;V (ORÇ)'!K91</f>
        <v>0</v>
      </c>
      <c r="L92" s="543">
        <f>'M&amp;V (ORÇ)'!L91</f>
        <v>0</v>
      </c>
      <c r="M92" s="131">
        <f t="shared" si="3"/>
        <v>0</v>
      </c>
      <c r="N92" s="133">
        <f t="shared" si="4"/>
        <v>0</v>
      </c>
      <c r="O92" s="132"/>
      <c r="P92" s="132"/>
    </row>
    <row r="93" spans="2:16" x14ac:dyDescent="0.25">
      <c r="B93" s="128">
        <v>31</v>
      </c>
      <c r="C93" s="1075" t="str">
        <f>IF(ISBLANK('M&amp;V (ORÇ)'!C92)," ",'M&amp;V (ORÇ)'!C92)</f>
        <v xml:space="preserve"> </v>
      </c>
      <c r="D93" s="1076"/>
      <c r="E93" s="1076"/>
      <c r="F93" s="1076"/>
      <c r="G93" s="1076"/>
      <c r="H93" s="1077"/>
      <c r="I93" s="542" t="str">
        <f>IF(ISBLANK('M&amp;V (ORÇ)'!I92)," ",'M&amp;V (ORÇ)'!I92)</f>
        <v xml:space="preserve"> </v>
      </c>
      <c r="J93" s="542" t="str">
        <f>IF(ISBLANK('M&amp;V (ORÇ)'!J92)," ",'M&amp;V (ORÇ)'!J92)</f>
        <v xml:space="preserve"> </v>
      </c>
      <c r="K93" s="544">
        <f>'M&amp;V (ORÇ)'!K92</f>
        <v>0</v>
      </c>
      <c r="L93" s="543">
        <f>'M&amp;V (ORÇ)'!L92</f>
        <v>0</v>
      </c>
      <c r="M93" s="131">
        <f t="shared" si="3"/>
        <v>0</v>
      </c>
      <c r="N93" s="133">
        <f t="shared" si="4"/>
        <v>0</v>
      </c>
      <c r="O93" s="132"/>
      <c r="P93" s="132"/>
    </row>
    <row r="94" spans="2:16" x14ac:dyDescent="0.25">
      <c r="B94" s="128">
        <v>32</v>
      </c>
      <c r="C94" s="1075" t="str">
        <f>IF(ISBLANK('M&amp;V (ORÇ)'!C93)," ",'M&amp;V (ORÇ)'!C93)</f>
        <v xml:space="preserve"> </v>
      </c>
      <c r="D94" s="1076"/>
      <c r="E94" s="1076"/>
      <c r="F94" s="1076"/>
      <c r="G94" s="1076"/>
      <c r="H94" s="1077"/>
      <c r="I94" s="542" t="str">
        <f>IF(ISBLANK('M&amp;V (ORÇ)'!I93)," ",'M&amp;V (ORÇ)'!I93)</f>
        <v xml:space="preserve"> </v>
      </c>
      <c r="J94" s="542" t="str">
        <f>IF(ISBLANK('M&amp;V (ORÇ)'!J93)," ",'M&amp;V (ORÇ)'!J93)</f>
        <v xml:space="preserve"> </v>
      </c>
      <c r="K94" s="544">
        <f>'M&amp;V (ORÇ)'!K93</f>
        <v>0</v>
      </c>
      <c r="L94" s="543">
        <f>'M&amp;V (ORÇ)'!L93</f>
        <v>0</v>
      </c>
      <c r="M94" s="131">
        <f t="shared" si="3"/>
        <v>0</v>
      </c>
      <c r="N94" s="133">
        <f t="shared" si="4"/>
        <v>0</v>
      </c>
      <c r="O94" s="132"/>
      <c r="P94" s="132"/>
    </row>
    <row r="95" spans="2:16" x14ac:dyDescent="0.25">
      <c r="B95" s="128">
        <v>33</v>
      </c>
      <c r="C95" s="1075" t="str">
        <f>IF(ISBLANK('M&amp;V (ORÇ)'!C94)," ",'M&amp;V (ORÇ)'!C94)</f>
        <v xml:space="preserve"> </v>
      </c>
      <c r="D95" s="1076"/>
      <c r="E95" s="1076"/>
      <c r="F95" s="1076"/>
      <c r="G95" s="1076"/>
      <c r="H95" s="1077"/>
      <c r="I95" s="542" t="str">
        <f>IF(ISBLANK('M&amp;V (ORÇ)'!I94)," ",'M&amp;V (ORÇ)'!I94)</f>
        <v xml:space="preserve"> </v>
      </c>
      <c r="J95" s="542" t="str">
        <f>IF(ISBLANK('M&amp;V (ORÇ)'!J94)," ",'M&amp;V (ORÇ)'!J94)</f>
        <v xml:space="preserve"> </v>
      </c>
      <c r="K95" s="544">
        <f>'M&amp;V (ORÇ)'!K94</f>
        <v>0</v>
      </c>
      <c r="L95" s="543">
        <f>'M&amp;V (ORÇ)'!L94</f>
        <v>0</v>
      </c>
      <c r="M95" s="131">
        <f t="shared" si="3"/>
        <v>0</v>
      </c>
      <c r="N95" s="133">
        <f t="shared" ref="N95:N112" si="5">M95-O95-P95</f>
        <v>0</v>
      </c>
      <c r="O95" s="132"/>
      <c r="P95" s="132"/>
    </row>
    <row r="96" spans="2:16" x14ac:dyDescent="0.25">
      <c r="B96" s="128">
        <v>34</v>
      </c>
      <c r="C96" s="1075" t="str">
        <f>IF(ISBLANK('M&amp;V (ORÇ)'!C95)," ",'M&amp;V (ORÇ)'!C95)</f>
        <v xml:space="preserve"> </v>
      </c>
      <c r="D96" s="1076"/>
      <c r="E96" s="1076"/>
      <c r="F96" s="1076"/>
      <c r="G96" s="1076"/>
      <c r="H96" s="1077"/>
      <c r="I96" s="542" t="str">
        <f>IF(ISBLANK('M&amp;V (ORÇ)'!I95)," ",'M&amp;V (ORÇ)'!I95)</f>
        <v xml:space="preserve"> </v>
      </c>
      <c r="J96" s="542" t="str">
        <f>IF(ISBLANK('M&amp;V (ORÇ)'!J95)," ",'M&amp;V (ORÇ)'!J95)</f>
        <v xml:space="preserve"> </v>
      </c>
      <c r="K96" s="544">
        <f>'M&amp;V (ORÇ)'!K95</f>
        <v>0</v>
      </c>
      <c r="L96" s="543">
        <f>'M&amp;V (ORÇ)'!L95</f>
        <v>0</v>
      </c>
      <c r="M96" s="131">
        <f t="shared" si="3"/>
        <v>0</v>
      </c>
      <c r="N96" s="133">
        <f t="shared" si="5"/>
        <v>0</v>
      </c>
      <c r="O96" s="132"/>
      <c r="P96" s="132"/>
    </row>
    <row r="97" spans="2:16" x14ac:dyDescent="0.25">
      <c r="B97" s="128">
        <v>35</v>
      </c>
      <c r="C97" s="1075" t="str">
        <f>IF(ISBLANK('M&amp;V (ORÇ)'!C96)," ",'M&amp;V (ORÇ)'!C96)</f>
        <v xml:space="preserve"> </v>
      </c>
      <c r="D97" s="1076"/>
      <c r="E97" s="1076"/>
      <c r="F97" s="1076"/>
      <c r="G97" s="1076"/>
      <c r="H97" s="1077"/>
      <c r="I97" s="542" t="str">
        <f>IF(ISBLANK('M&amp;V (ORÇ)'!I96)," ",'M&amp;V (ORÇ)'!I96)</f>
        <v xml:space="preserve"> </v>
      </c>
      <c r="J97" s="542" t="str">
        <f>IF(ISBLANK('M&amp;V (ORÇ)'!J96)," ",'M&amp;V (ORÇ)'!J96)</f>
        <v xml:space="preserve"> </v>
      </c>
      <c r="K97" s="544">
        <f>'M&amp;V (ORÇ)'!K96</f>
        <v>0</v>
      </c>
      <c r="L97" s="543">
        <f>'M&amp;V (ORÇ)'!L96</f>
        <v>0</v>
      </c>
      <c r="M97" s="131">
        <f t="shared" si="3"/>
        <v>0</v>
      </c>
      <c r="N97" s="133">
        <f t="shared" si="5"/>
        <v>0</v>
      </c>
      <c r="O97" s="132"/>
      <c r="P97" s="132"/>
    </row>
    <row r="98" spans="2:16" x14ac:dyDescent="0.25">
      <c r="B98" s="128">
        <v>36</v>
      </c>
      <c r="C98" s="1075" t="str">
        <f>IF(ISBLANK('M&amp;V (ORÇ)'!C97)," ",'M&amp;V (ORÇ)'!C97)</f>
        <v xml:space="preserve"> </v>
      </c>
      <c r="D98" s="1076"/>
      <c r="E98" s="1076"/>
      <c r="F98" s="1076"/>
      <c r="G98" s="1076"/>
      <c r="H98" s="1077"/>
      <c r="I98" s="542" t="str">
        <f>IF(ISBLANK('M&amp;V (ORÇ)'!I97)," ",'M&amp;V (ORÇ)'!I97)</f>
        <v xml:space="preserve"> </v>
      </c>
      <c r="J98" s="542" t="str">
        <f>IF(ISBLANK('M&amp;V (ORÇ)'!J97)," ",'M&amp;V (ORÇ)'!J97)</f>
        <v xml:space="preserve"> </v>
      </c>
      <c r="K98" s="544">
        <f>'M&amp;V (ORÇ)'!K97</f>
        <v>0</v>
      </c>
      <c r="L98" s="543">
        <f>'M&amp;V (ORÇ)'!L97</f>
        <v>0</v>
      </c>
      <c r="M98" s="131">
        <f t="shared" si="3"/>
        <v>0</v>
      </c>
      <c r="N98" s="133">
        <f t="shared" si="5"/>
        <v>0</v>
      </c>
      <c r="O98" s="132"/>
      <c r="P98" s="132"/>
    </row>
    <row r="99" spans="2:16" x14ac:dyDescent="0.25">
      <c r="B99" s="128">
        <v>37</v>
      </c>
      <c r="C99" s="1075" t="str">
        <f>IF(ISBLANK('M&amp;V (ORÇ)'!C98)," ",'M&amp;V (ORÇ)'!C98)</f>
        <v xml:space="preserve"> </v>
      </c>
      <c r="D99" s="1076"/>
      <c r="E99" s="1076"/>
      <c r="F99" s="1076"/>
      <c r="G99" s="1076"/>
      <c r="H99" s="1077"/>
      <c r="I99" s="542" t="str">
        <f>IF(ISBLANK('M&amp;V (ORÇ)'!I98)," ",'M&amp;V (ORÇ)'!I98)</f>
        <v xml:space="preserve"> </v>
      </c>
      <c r="J99" s="542" t="str">
        <f>IF(ISBLANK('M&amp;V (ORÇ)'!J98)," ",'M&amp;V (ORÇ)'!J98)</f>
        <v xml:space="preserve"> </v>
      </c>
      <c r="K99" s="544">
        <f>'M&amp;V (ORÇ)'!K98</f>
        <v>0</v>
      </c>
      <c r="L99" s="543">
        <f>'M&amp;V (ORÇ)'!L98</f>
        <v>0</v>
      </c>
      <c r="M99" s="131">
        <f t="shared" si="3"/>
        <v>0</v>
      </c>
      <c r="N99" s="133">
        <f t="shared" si="5"/>
        <v>0</v>
      </c>
      <c r="O99" s="132"/>
      <c r="P99" s="132"/>
    </row>
    <row r="100" spans="2:16" x14ac:dyDescent="0.25">
      <c r="B100" s="128">
        <v>38</v>
      </c>
      <c r="C100" s="1075" t="str">
        <f>IF(ISBLANK('M&amp;V (ORÇ)'!C99)," ",'M&amp;V (ORÇ)'!C99)</f>
        <v xml:space="preserve"> </v>
      </c>
      <c r="D100" s="1076"/>
      <c r="E100" s="1076"/>
      <c r="F100" s="1076"/>
      <c r="G100" s="1076"/>
      <c r="H100" s="1077"/>
      <c r="I100" s="542" t="str">
        <f>IF(ISBLANK('M&amp;V (ORÇ)'!I99)," ",'M&amp;V (ORÇ)'!I99)</f>
        <v xml:space="preserve"> </v>
      </c>
      <c r="J100" s="542" t="str">
        <f>IF(ISBLANK('M&amp;V (ORÇ)'!J99)," ",'M&amp;V (ORÇ)'!J99)</f>
        <v xml:space="preserve"> </v>
      </c>
      <c r="K100" s="544">
        <f>'M&amp;V (ORÇ)'!K99</f>
        <v>0</v>
      </c>
      <c r="L100" s="543">
        <f>'M&amp;V (ORÇ)'!L99</f>
        <v>0</v>
      </c>
      <c r="M100" s="131">
        <f t="shared" si="3"/>
        <v>0</v>
      </c>
      <c r="N100" s="133">
        <f t="shared" si="5"/>
        <v>0</v>
      </c>
      <c r="O100" s="132"/>
      <c r="P100" s="132"/>
    </row>
    <row r="101" spans="2:16" x14ac:dyDescent="0.25">
      <c r="B101" s="128">
        <v>39</v>
      </c>
      <c r="C101" s="1075" t="str">
        <f>IF(ISBLANK('M&amp;V (ORÇ)'!C100)," ",'M&amp;V (ORÇ)'!C100)</f>
        <v xml:space="preserve"> </v>
      </c>
      <c r="D101" s="1076"/>
      <c r="E101" s="1076"/>
      <c r="F101" s="1076"/>
      <c r="G101" s="1076"/>
      <c r="H101" s="1077"/>
      <c r="I101" s="542" t="str">
        <f>IF(ISBLANK('M&amp;V (ORÇ)'!I100)," ",'M&amp;V (ORÇ)'!I100)</f>
        <v xml:space="preserve"> </v>
      </c>
      <c r="J101" s="542" t="str">
        <f>IF(ISBLANK('M&amp;V (ORÇ)'!J100)," ",'M&amp;V (ORÇ)'!J100)</f>
        <v xml:space="preserve"> </v>
      </c>
      <c r="K101" s="544">
        <f>'M&amp;V (ORÇ)'!K100</f>
        <v>0</v>
      </c>
      <c r="L101" s="543">
        <f>'M&amp;V (ORÇ)'!L100</f>
        <v>0</v>
      </c>
      <c r="M101" s="131">
        <f t="shared" si="3"/>
        <v>0</v>
      </c>
      <c r="N101" s="133">
        <f t="shared" si="5"/>
        <v>0</v>
      </c>
      <c r="O101" s="132"/>
      <c r="P101" s="132"/>
    </row>
    <row r="102" spans="2:16" x14ac:dyDescent="0.25">
      <c r="B102" s="128">
        <v>40</v>
      </c>
      <c r="C102" s="1075" t="str">
        <f>IF(ISBLANK('M&amp;V (ORÇ)'!C101)," ",'M&amp;V (ORÇ)'!C101)</f>
        <v xml:space="preserve"> </v>
      </c>
      <c r="D102" s="1076"/>
      <c r="E102" s="1076"/>
      <c r="F102" s="1076"/>
      <c r="G102" s="1076"/>
      <c r="H102" s="1077"/>
      <c r="I102" s="542" t="str">
        <f>IF(ISBLANK('M&amp;V (ORÇ)'!I101)," ",'M&amp;V (ORÇ)'!I101)</f>
        <v xml:space="preserve"> </v>
      </c>
      <c r="J102" s="542" t="str">
        <f>IF(ISBLANK('M&amp;V (ORÇ)'!J101)," ",'M&amp;V (ORÇ)'!J101)</f>
        <v xml:space="preserve"> </v>
      </c>
      <c r="K102" s="544">
        <f>'M&amp;V (ORÇ)'!K101</f>
        <v>0</v>
      </c>
      <c r="L102" s="543">
        <f>'M&amp;V (ORÇ)'!L101</f>
        <v>0</v>
      </c>
      <c r="M102" s="131">
        <f t="shared" si="3"/>
        <v>0</v>
      </c>
      <c r="N102" s="133">
        <f t="shared" si="5"/>
        <v>0</v>
      </c>
      <c r="O102" s="132"/>
      <c r="P102" s="132"/>
    </row>
    <row r="103" spans="2:16" x14ac:dyDescent="0.25">
      <c r="B103" s="128">
        <v>41</v>
      </c>
      <c r="C103" s="1075" t="str">
        <f>IF(ISBLANK('M&amp;V (ORÇ)'!C102)," ",'M&amp;V (ORÇ)'!C102)</f>
        <v xml:space="preserve"> </v>
      </c>
      <c r="D103" s="1076"/>
      <c r="E103" s="1076"/>
      <c r="F103" s="1076"/>
      <c r="G103" s="1076"/>
      <c r="H103" s="1077"/>
      <c r="I103" s="542" t="str">
        <f>IF(ISBLANK('M&amp;V (ORÇ)'!I102)," ",'M&amp;V (ORÇ)'!I102)</f>
        <v xml:space="preserve"> </v>
      </c>
      <c r="J103" s="542" t="str">
        <f>IF(ISBLANK('M&amp;V (ORÇ)'!J102)," ",'M&amp;V (ORÇ)'!J102)</f>
        <v xml:space="preserve"> </v>
      </c>
      <c r="K103" s="544">
        <f>'M&amp;V (ORÇ)'!K102</f>
        <v>0</v>
      </c>
      <c r="L103" s="543">
        <f>'M&amp;V (ORÇ)'!L102</f>
        <v>0</v>
      </c>
      <c r="M103" s="131">
        <f t="shared" si="3"/>
        <v>0</v>
      </c>
      <c r="N103" s="133">
        <f t="shared" si="5"/>
        <v>0</v>
      </c>
      <c r="O103" s="132"/>
      <c r="P103" s="132"/>
    </row>
    <row r="104" spans="2:16" x14ac:dyDescent="0.25">
      <c r="B104" s="128">
        <v>42</v>
      </c>
      <c r="C104" s="1075" t="str">
        <f>IF(ISBLANK('M&amp;V (ORÇ)'!C103)," ",'M&amp;V (ORÇ)'!C103)</f>
        <v xml:space="preserve"> </v>
      </c>
      <c r="D104" s="1076"/>
      <c r="E104" s="1076"/>
      <c r="F104" s="1076"/>
      <c r="G104" s="1076"/>
      <c r="H104" s="1077"/>
      <c r="I104" s="542" t="str">
        <f>IF(ISBLANK('M&amp;V (ORÇ)'!I103)," ",'M&amp;V (ORÇ)'!I103)</f>
        <v xml:space="preserve"> </v>
      </c>
      <c r="J104" s="542" t="str">
        <f>IF(ISBLANK('M&amp;V (ORÇ)'!J103)," ",'M&amp;V (ORÇ)'!J103)</f>
        <v xml:space="preserve"> </v>
      </c>
      <c r="K104" s="544">
        <f>'M&amp;V (ORÇ)'!K103</f>
        <v>0</v>
      </c>
      <c r="L104" s="543">
        <f>'M&amp;V (ORÇ)'!L103</f>
        <v>0</v>
      </c>
      <c r="M104" s="131">
        <f t="shared" si="3"/>
        <v>0</v>
      </c>
      <c r="N104" s="133">
        <f t="shared" si="5"/>
        <v>0</v>
      </c>
      <c r="O104" s="132"/>
      <c r="P104" s="132"/>
    </row>
    <row r="105" spans="2:16" x14ac:dyDescent="0.25">
      <c r="B105" s="128">
        <v>43</v>
      </c>
      <c r="C105" s="1075" t="str">
        <f>IF(ISBLANK('M&amp;V (ORÇ)'!C104)," ",'M&amp;V (ORÇ)'!C104)</f>
        <v xml:space="preserve"> </v>
      </c>
      <c r="D105" s="1076"/>
      <c r="E105" s="1076"/>
      <c r="F105" s="1076"/>
      <c r="G105" s="1076"/>
      <c r="H105" s="1077"/>
      <c r="I105" s="542" t="str">
        <f>IF(ISBLANK('M&amp;V (ORÇ)'!I104)," ",'M&amp;V (ORÇ)'!I104)</f>
        <v xml:space="preserve"> </v>
      </c>
      <c r="J105" s="542" t="str">
        <f>IF(ISBLANK('M&amp;V (ORÇ)'!J104)," ",'M&amp;V (ORÇ)'!J104)</f>
        <v xml:space="preserve"> </v>
      </c>
      <c r="K105" s="544">
        <f>'M&amp;V (ORÇ)'!K104</f>
        <v>0</v>
      </c>
      <c r="L105" s="543">
        <f>'M&amp;V (ORÇ)'!L104</f>
        <v>0</v>
      </c>
      <c r="M105" s="131">
        <f t="shared" si="3"/>
        <v>0</v>
      </c>
      <c r="N105" s="133">
        <f t="shared" si="5"/>
        <v>0</v>
      </c>
      <c r="O105" s="132"/>
      <c r="P105" s="132"/>
    </row>
    <row r="106" spans="2:16" x14ac:dyDescent="0.25">
      <c r="B106" s="128">
        <v>44</v>
      </c>
      <c r="C106" s="1075" t="str">
        <f>IF(ISBLANK('M&amp;V (ORÇ)'!C105)," ",'M&amp;V (ORÇ)'!C105)</f>
        <v xml:space="preserve"> </v>
      </c>
      <c r="D106" s="1076"/>
      <c r="E106" s="1076"/>
      <c r="F106" s="1076"/>
      <c r="G106" s="1076"/>
      <c r="H106" s="1077"/>
      <c r="I106" s="542" t="str">
        <f>IF(ISBLANK('M&amp;V (ORÇ)'!I105)," ",'M&amp;V (ORÇ)'!I105)</f>
        <v xml:space="preserve"> </v>
      </c>
      <c r="J106" s="542" t="str">
        <f>IF(ISBLANK('M&amp;V (ORÇ)'!J105)," ",'M&amp;V (ORÇ)'!J105)</f>
        <v xml:space="preserve"> </v>
      </c>
      <c r="K106" s="544">
        <f>'M&amp;V (ORÇ)'!K105</f>
        <v>0</v>
      </c>
      <c r="L106" s="543">
        <f>'M&amp;V (ORÇ)'!L105</f>
        <v>0</v>
      </c>
      <c r="M106" s="131">
        <f t="shared" si="3"/>
        <v>0</v>
      </c>
      <c r="N106" s="133">
        <f t="shared" si="5"/>
        <v>0</v>
      </c>
      <c r="O106" s="132"/>
      <c r="P106" s="132"/>
    </row>
    <row r="107" spans="2:16" x14ac:dyDescent="0.25">
      <c r="B107" s="128">
        <v>45</v>
      </c>
      <c r="C107" s="1075" t="str">
        <f>IF(ISBLANK('M&amp;V (ORÇ)'!C106)," ",'M&amp;V (ORÇ)'!C106)</f>
        <v xml:space="preserve"> </v>
      </c>
      <c r="D107" s="1076"/>
      <c r="E107" s="1076"/>
      <c r="F107" s="1076"/>
      <c r="G107" s="1076"/>
      <c r="H107" s="1077"/>
      <c r="I107" s="542" t="str">
        <f>IF(ISBLANK('M&amp;V (ORÇ)'!I106)," ",'M&amp;V (ORÇ)'!I106)</f>
        <v xml:space="preserve"> </v>
      </c>
      <c r="J107" s="542" t="str">
        <f>IF(ISBLANK('M&amp;V (ORÇ)'!J106)," ",'M&amp;V (ORÇ)'!J106)</f>
        <v xml:space="preserve"> </v>
      </c>
      <c r="K107" s="544">
        <f>'M&amp;V (ORÇ)'!K106</f>
        <v>0</v>
      </c>
      <c r="L107" s="543">
        <f>'M&amp;V (ORÇ)'!L106</f>
        <v>0</v>
      </c>
      <c r="M107" s="131">
        <f t="shared" si="3"/>
        <v>0</v>
      </c>
      <c r="N107" s="133">
        <f t="shared" si="5"/>
        <v>0</v>
      </c>
      <c r="O107" s="132"/>
      <c r="P107" s="132"/>
    </row>
    <row r="108" spans="2:16" x14ac:dyDescent="0.25">
      <c r="B108" s="128">
        <v>46</v>
      </c>
      <c r="C108" s="1075" t="str">
        <f>IF(ISBLANK('M&amp;V (ORÇ)'!C107)," ",'M&amp;V (ORÇ)'!C107)</f>
        <v xml:space="preserve"> </v>
      </c>
      <c r="D108" s="1076"/>
      <c r="E108" s="1076"/>
      <c r="F108" s="1076"/>
      <c r="G108" s="1076"/>
      <c r="H108" s="1077"/>
      <c r="I108" s="542" t="str">
        <f>IF(ISBLANK('M&amp;V (ORÇ)'!I107)," ",'M&amp;V (ORÇ)'!I107)</f>
        <v xml:space="preserve"> </v>
      </c>
      <c r="J108" s="542" t="str">
        <f>IF(ISBLANK('M&amp;V (ORÇ)'!J107)," ",'M&amp;V (ORÇ)'!J107)</f>
        <v xml:space="preserve"> </v>
      </c>
      <c r="K108" s="544">
        <f>'M&amp;V (ORÇ)'!K107</f>
        <v>0</v>
      </c>
      <c r="L108" s="543">
        <f>'M&amp;V (ORÇ)'!L107</f>
        <v>0</v>
      </c>
      <c r="M108" s="131">
        <f t="shared" si="3"/>
        <v>0</v>
      </c>
      <c r="N108" s="133">
        <f t="shared" si="5"/>
        <v>0</v>
      </c>
      <c r="O108" s="132"/>
      <c r="P108" s="132"/>
    </row>
    <row r="109" spans="2:16" x14ac:dyDescent="0.25">
      <c r="B109" s="128">
        <v>47</v>
      </c>
      <c r="C109" s="1075" t="str">
        <f>IF(ISBLANK('M&amp;V (ORÇ)'!C108)," ",'M&amp;V (ORÇ)'!C108)</f>
        <v xml:space="preserve"> </v>
      </c>
      <c r="D109" s="1076"/>
      <c r="E109" s="1076"/>
      <c r="F109" s="1076"/>
      <c r="G109" s="1076"/>
      <c r="H109" s="1077"/>
      <c r="I109" s="542" t="str">
        <f>IF(ISBLANK('M&amp;V (ORÇ)'!I108)," ",'M&amp;V (ORÇ)'!I108)</f>
        <v xml:space="preserve"> </v>
      </c>
      <c r="J109" s="542" t="str">
        <f>IF(ISBLANK('M&amp;V (ORÇ)'!J108)," ",'M&amp;V (ORÇ)'!J108)</f>
        <v xml:space="preserve"> </v>
      </c>
      <c r="K109" s="544">
        <f>'M&amp;V (ORÇ)'!K108</f>
        <v>0</v>
      </c>
      <c r="L109" s="543">
        <f>'M&amp;V (ORÇ)'!L108</f>
        <v>0</v>
      </c>
      <c r="M109" s="131">
        <f t="shared" si="3"/>
        <v>0</v>
      </c>
      <c r="N109" s="133">
        <f t="shared" si="5"/>
        <v>0</v>
      </c>
      <c r="O109" s="132"/>
      <c r="P109" s="132"/>
    </row>
    <row r="110" spans="2:16" x14ac:dyDescent="0.25">
      <c r="B110" s="128">
        <v>48</v>
      </c>
      <c r="C110" s="1075" t="str">
        <f>IF(ISBLANK('M&amp;V (ORÇ)'!C109)," ",'M&amp;V (ORÇ)'!C109)</f>
        <v xml:space="preserve"> </v>
      </c>
      <c r="D110" s="1076"/>
      <c r="E110" s="1076"/>
      <c r="F110" s="1076"/>
      <c r="G110" s="1076"/>
      <c r="H110" s="1077"/>
      <c r="I110" s="542" t="str">
        <f>IF(ISBLANK('M&amp;V (ORÇ)'!I109)," ",'M&amp;V (ORÇ)'!I109)</f>
        <v xml:space="preserve"> </v>
      </c>
      <c r="J110" s="542" t="str">
        <f>IF(ISBLANK('M&amp;V (ORÇ)'!J109)," ",'M&amp;V (ORÇ)'!J109)</f>
        <v xml:space="preserve"> </v>
      </c>
      <c r="K110" s="544">
        <f>'M&amp;V (ORÇ)'!K109</f>
        <v>0</v>
      </c>
      <c r="L110" s="543">
        <f>'M&amp;V (ORÇ)'!L109</f>
        <v>0</v>
      </c>
      <c r="M110" s="131">
        <f t="shared" si="3"/>
        <v>0</v>
      </c>
      <c r="N110" s="133">
        <f t="shared" si="5"/>
        <v>0</v>
      </c>
      <c r="O110" s="132"/>
      <c r="P110" s="132"/>
    </row>
    <row r="111" spans="2:16" x14ac:dyDescent="0.25">
      <c r="B111" s="128">
        <v>49</v>
      </c>
      <c r="C111" s="1075" t="str">
        <f>IF(ISBLANK('M&amp;V (ORÇ)'!C110)," ",'M&amp;V (ORÇ)'!C110)</f>
        <v xml:space="preserve"> </v>
      </c>
      <c r="D111" s="1076"/>
      <c r="E111" s="1076"/>
      <c r="F111" s="1076"/>
      <c r="G111" s="1076"/>
      <c r="H111" s="1077"/>
      <c r="I111" s="542" t="str">
        <f>IF(ISBLANK('M&amp;V (ORÇ)'!I110)," ",'M&amp;V (ORÇ)'!I110)</f>
        <v xml:space="preserve"> </v>
      </c>
      <c r="J111" s="542" t="str">
        <f>IF(ISBLANK('M&amp;V (ORÇ)'!J110)," ",'M&amp;V (ORÇ)'!J110)</f>
        <v xml:space="preserve"> </v>
      </c>
      <c r="K111" s="544">
        <f>'M&amp;V (ORÇ)'!K110</f>
        <v>0</v>
      </c>
      <c r="L111" s="543">
        <f>'M&amp;V (ORÇ)'!L110</f>
        <v>0</v>
      </c>
      <c r="M111" s="131">
        <f t="shared" si="3"/>
        <v>0</v>
      </c>
      <c r="N111" s="133">
        <f t="shared" si="5"/>
        <v>0</v>
      </c>
      <c r="O111" s="132"/>
      <c r="P111" s="132"/>
    </row>
    <row r="112" spans="2:16" x14ac:dyDescent="0.25">
      <c r="B112" s="128">
        <v>50</v>
      </c>
      <c r="C112" s="1075" t="str">
        <f>IF(ISBLANK('M&amp;V (ORÇ)'!C111)," ",'M&amp;V (ORÇ)'!C111)</f>
        <v xml:space="preserve"> </v>
      </c>
      <c r="D112" s="1076"/>
      <c r="E112" s="1076"/>
      <c r="F112" s="1076"/>
      <c r="G112" s="1076"/>
      <c r="H112" s="1077"/>
      <c r="I112" s="542" t="str">
        <f>IF(ISBLANK('M&amp;V (ORÇ)'!I111)," ",'M&amp;V (ORÇ)'!I111)</f>
        <v xml:space="preserve"> </v>
      </c>
      <c r="J112" s="542" t="str">
        <f>IF(ISBLANK('M&amp;V (ORÇ)'!J111)," ",'M&amp;V (ORÇ)'!J111)</f>
        <v xml:space="preserve"> </v>
      </c>
      <c r="K112" s="544">
        <f>'M&amp;V (ORÇ)'!K111</f>
        <v>0</v>
      </c>
      <c r="L112" s="543">
        <f>'M&amp;V (ORÇ)'!L111</f>
        <v>0</v>
      </c>
      <c r="M112" s="131">
        <f t="shared" si="3"/>
        <v>0</v>
      </c>
      <c r="N112" s="133">
        <f t="shared" si="5"/>
        <v>0</v>
      </c>
      <c r="O112" s="132"/>
      <c r="P112" s="132"/>
    </row>
    <row r="113" spans="2:16" x14ac:dyDescent="0.25">
      <c r="B113" s="134"/>
      <c r="C113" s="1078" t="s">
        <v>244</v>
      </c>
      <c r="D113" s="1078"/>
      <c r="E113" s="1078"/>
      <c r="F113" s="1078"/>
      <c r="G113" s="1078"/>
      <c r="H113" s="1078"/>
      <c r="I113" s="1078"/>
      <c r="J113" s="1078"/>
      <c r="K113" s="1078"/>
      <c r="L113" s="1079"/>
      <c r="M113" s="135">
        <f>SUM(M63:M112)</f>
        <v>3432</v>
      </c>
      <c r="N113" s="135">
        <f>SUM(N63:N112)</f>
        <v>3432</v>
      </c>
      <c r="O113" s="135">
        <f>SUM(O63:O112)</f>
        <v>0</v>
      </c>
      <c r="P113" s="135">
        <f>SUM(P63:P112)</f>
        <v>0</v>
      </c>
    </row>
    <row r="114" spans="2:16" x14ac:dyDescent="0.25">
      <c r="B114" s="137"/>
      <c r="C114" s="1111" t="s">
        <v>245</v>
      </c>
      <c r="D114" s="1111"/>
      <c r="E114" s="1111"/>
      <c r="F114" s="1111"/>
      <c r="G114" s="1111"/>
      <c r="H114" s="1111"/>
      <c r="I114" s="1111"/>
      <c r="J114" s="1111"/>
      <c r="K114" s="1111"/>
      <c r="L114" s="1112"/>
      <c r="M114" s="138">
        <f>SUM(M60,M113)</f>
        <v>6864</v>
      </c>
      <c r="N114" s="139">
        <f>SUM(N60,N113)</f>
        <v>6864</v>
      </c>
      <c r="O114" s="139">
        <f>SUM(O60,O113)</f>
        <v>0</v>
      </c>
      <c r="P114" s="139">
        <f>SUM(P60,P113)</f>
        <v>0</v>
      </c>
    </row>
    <row r="115" spans="2:16" x14ac:dyDescent="0.25">
      <c r="B115" s="1060" t="s">
        <v>681</v>
      </c>
      <c r="C115" s="1061"/>
      <c r="D115" s="1061"/>
      <c r="E115" s="1061"/>
      <c r="F115" s="1061"/>
      <c r="G115" s="1061"/>
      <c r="H115" s="1061"/>
      <c r="I115" s="1061"/>
      <c r="J115" s="1061"/>
      <c r="K115" s="1061"/>
      <c r="L115" s="1061"/>
      <c r="M115" s="1061"/>
      <c r="N115" s="1061"/>
      <c r="O115" s="1061"/>
      <c r="P115" s="1062"/>
    </row>
    <row r="116" spans="2:16" x14ac:dyDescent="0.25">
      <c r="B116" s="1104" t="s">
        <v>234</v>
      </c>
      <c r="C116" s="1105"/>
      <c r="D116" s="1105"/>
      <c r="E116" s="1105"/>
      <c r="F116" s="1105"/>
      <c r="G116" s="1105"/>
      <c r="H116" s="1105"/>
      <c r="I116" s="1105"/>
      <c r="J116" s="1105"/>
      <c r="K116" s="1105"/>
      <c r="L116" s="1105"/>
      <c r="M116" s="1105"/>
      <c r="N116" s="1105"/>
      <c r="O116" s="1105" t="str">
        <f>B116</f>
        <v>PERÍODO DE REFERÊNCIA</v>
      </c>
      <c r="P116" s="1106"/>
    </row>
    <row r="117" spans="2:16" x14ac:dyDescent="0.25">
      <c r="B117" s="1043" t="s">
        <v>235</v>
      </c>
      <c r="C117" s="1044"/>
      <c r="D117" s="1044"/>
      <c r="E117" s="1044"/>
      <c r="F117" s="1044"/>
      <c r="G117" s="1044"/>
      <c r="H117" s="1045"/>
      <c r="I117" s="125" t="s">
        <v>236</v>
      </c>
      <c r="J117" s="126" t="s">
        <v>237</v>
      </c>
      <c r="K117" s="126" t="s">
        <v>238</v>
      </c>
      <c r="L117" s="126" t="s">
        <v>239</v>
      </c>
      <c r="M117" s="126" t="s">
        <v>0</v>
      </c>
      <c r="N117" s="328" t="s">
        <v>796</v>
      </c>
      <c r="O117" s="328" t="s">
        <v>240</v>
      </c>
      <c r="P117" s="329" t="s">
        <v>241</v>
      </c>
    </row>
    <row r="118" spans="2:16" x14ac:dyDescent="0.25">
      <c r="B118" s="128">
        <v>1</v>
      </c>
      <c r="C118" s="1075" t="str">
        <f>IF(ISBLANK('M&amp;V (ORÇ)'!C115)," ",'M&amp;V (ORÇ)'!C115)</f>
        <v xml:space="preserve"> </v>
      </c>
      <c r="D118" s="1076"/>
      <c r="E118" s="1076"/>
      <c r="F118" s="1076"/>
      <c r="G118" s="1076"/>
      <c r="H118" s="1077"/>
      <c r="I118" s="542" t="str">
        <f>IF(ISBLANK('M&amp;V (ORÇ)'!I115)," ",'M&amp;V (ORÇ)'!I115)</f>
        <v xml:space="preserve"> </v>
      </c>
      <c r="J118" s="542" t="str">
        <f>IF(ISBLANK('M&amp;V (ORÇ)'!J115)," ",'M&amp;V (ORÇ)'!J115)</f>
        <v xml:space="preserve"> </v>
      </c>
      <c r="K118" s="544">
        <f>'M&amp;V (ORÇ)'!K115</f>
        <v>0</v>
      </c>
      <c r="L118" s="543">
        <f>'M&amp;V (ORÇ)'!L115</f>
        <v>0</v>
      </c>
      <c r="M118" s="131">
        <f t="shared" ref="M118:M137" si="6">IF(J118="",0,K118*L118)</f>
        <v>0</v>
      </c>
      <c r="N118" s="133">
        <f t="shared" ref="N118:N137" si="7">M118-O118-P118</f>
        <v>0</v>
      </c>
      <c r="O118" s="132"/>
      <c r="P118" s="132"/>
    </row>
    <row r="119" spans="2:16" x14ac:dyDescent="0.25">
      <c r="B119" s="128">
        <v>2</v>
      </c>
      <c r="C119" s="1075" t="str">
        <f>IF(ISBLANK('M&amp;V (ORÇ)'!C116)," ",'M&amp;V (ORÇ)'!C116)</f>
        <v xml:space="preserve"> </v>
      </c>
      <c r="D119" s="1076"/>
      <c r="E119" s="1076"/>
      <c r="F119" s="1076"/>
      <c r="G119" s="1076"/>
      <c r="H119" s="1077"/>
      <c r="I119" s="542" t="str">
        <f>IF(ISBLANK('M&amp;V (ORÇ)'!I116)," ",'M&amp;V (ORÇ)'!I116)</f>
        <v xml:space="preserve"> </v>
      </c>
      <c r="J119" s="542" t="str">
        <f>IF(ISBLANK('M&amp;V (ORÇ)'!J116)," ",'M&amp;V (ORÇ)'!J116)</f>
        <v xml:space="preserve"> </v>
      </c>
      <c r="K119" s="544">
        <f>'M&amp;V (ORÇ)'!K116</f>
        <v>0</v>
      </c>
      <c r="L119" s="543">
        <f>'M&amp;V (ORÇ)'!L116</f>
        <v>0</v>
      </c>
      <c r="M119" s="131">
        <f t="shared" si="6"/>
        <v>0</v>
      </c>
      <c r="N119" s="133">
        <f t="shared" si="7"/>
        <v>0</v>
      </c>
      <c r="O119" s="132"/>
      <c r="P119" s="132"/>
    </row>
    <row r="120" spans="2:16" x14ac:dyDescent="0.25">
      <c r="B120" s="128">
        <v>3</v>
      </c>
      <c r="C120" s="1075" t="str">
        <f>IF(ISBLANK('M&amp;V (ORÇ)'!C117)," ",'M&amp;V (ORÇ)'!C117)</f>
        <v xml:space="preserve"> </v>
      </c>
      <c r="D120" s="1076"/>
      <c r="E120" s="1076"/>
      <c r="F120" s="1076"/>
      <c r="G120" s="1076"/>
      <c r="H120" s="1077"/>
      <c r="I120" s="542" t="str">
        <f>IF(ISBLANK('M&amp;V (ORÇ)'!I117)," ",'M&amp;V (ORÇ)'!I117)</f>
        <v xml:space="preserve"> </v>
      </c>
      <c r="J120" s="542" t="str">
        <f>IF(ISBLANK('M&amp;V (ORÇ)'!J117)," ",'M&amp;V (ORÇ)'!J117)</f>
        <v xml:space="preserve"> </v>
      </c>
      <c r="K120" s="544">
        <f>'M&amp;V (ORÇ)'!K117</f>
        <v>0</v>
      </c>
      <c r="L120" s="543">
        <f>'M&amp;V (ORÇ)'!L117</f>
        <v>0</v>
      </c>
      <c r="M120" s="131">
        <f t="shared" si="6"/>
        <v>0</v>
      </c>
      <c r="N120" s="133">
        <f t="shared" si="7"/>
        <v>0</v>
      </c>
      <c r="O120" s="132"/>
      <c r="P120" s="132"/>
    </row>
    <row r="121" spans="2:16" x14ac:dyDescent="0.25">
      <c r="B121" s="128">
        <v>4</v>
      </c>
      <c r="C121" s="1075" t="str">
        <f>IF(ISBLANK('M&amp;V (ORÇ)'!C118)," ",'M&amp;V (ORÇ)'!C118)</f>
        <v xml:space="preserve"> </v>
      </c>
      <c r="D121" s="1076"/>
      <c r="E121" s="1076"/>
      <c r="F121" s="1076"/>
      <c r="G121" s="1076"/>
      <c r="H121" s="1077"/>
      <c r="I121" s="542" t="str">
        <f>IF(ISBLANK('M&amp;V (ORÇ)'!I118)," ",'M&amp;V (ORÇ)'!I118)</f>
        <v xml:space="preserve"> </v>
      </c>
      <c r="J121" s="542" t="str">
        <f>IF(ISBLANK('M&amp;V (ORÇ)'!J118)," ",'M&amp;V (ORÇ)'!J118)</f>
        <v xml:space="preserve"> </v>
      </c>
      <c r="K121" s="544">
        <f>'M&amp;V (ORÇ)'!K118</f>
        <v>0</v>
      </c>
      <c r="L121" s="543">
        <f>'M&amp;V (ORÇ)'!L118</f>
        <v>0</v>
      </c>
      <c r="M121" s="131">
        <f t="shared" si="6"/>
        <v>0</v>
      </c>
      <c r="N121" s="133">
        <f t="shared" si="7"/>
        <v>0</v>
      </c>
      <c r="O121" s="132"/>
      <c r="P121" s="132"/>
    </row>
    <row r="122" spans="2:16" x14ac:dyDescent="0.25">
      <c r="B122" s="128">
        <v>5</v>
      </c>
      <c r="C122" s="1075" t="str">
        <f>IF(ISBLANK('M&amp;V (ORÇ)'!C119)," ",'M&amp;V (ORÇ)'!C119)</f>
        <v xml:space="preserve"> </v>
      </c>
      <c r="D122" s="1076"/>
      <c r="E122" s="1076"/>
      <c r="F122" s="1076"/>
      <c r="G122" s="1076"/>
      <c r="H122" s="1077"/>
      <c r="I122" s="542" t="str">
        <f>IF(ISBLANK('M&amp;V (ORÇ)'!I119)," ",'M&amp;V (ORÇ)'!I119)</f>
        <v xml:space="preserve"> </v>
      </c>
      <c r="J122" s="542" t="str">
        <f>IF(ISBLANK('M&amp;V (ORÇ)'!J119)," ",'M&amp;V (ORÇ)'!J119)</f>
        <v xml:space="preserve"> </v>
      </c>
      <c r="K122" s="544">
        <f>'M&amp;V (ORÇ)'!K119</f>
        <v>0</v>
      </c>
      <c r="L122" s="543">
        <f>'M&amp;V (ORÇ)'!L119</f>
        <v>0</v>
      </c>
      <c r="M122" s="131">
        <f t="shared" si="6"/>
        <v>0</v>
      </c>
      <c r="N122" s="133">
        <f t="shared" si="7"/>
        <v>0</v>
      </c>
      <c r="O122" s="132"/>
      <c r="P122" s="132"/>
    </row>
    <row r="123" spans="2:16" x14ac:dyDescent="0.25">
      <c r="B123" s="128">
        <v>6</v>
      </c>
      <c r="C123" s="1075" t="str">
        <f>IF(ISBLANK('M&amp;V (ORÇ)'!C120)," ",'M&amp;V (ORÇ)'!C120)</f>
        <v xml:space="preserve"> </v>
      </c>
      <c r="D123" s="1076"/>
      <c r="E123" s="1076"/>
      <c r="F123" s="1076"/>
      <c r="G123" s="1076"/>
      <c r="H123" s="1077"/>
      <c r="I123" s="542" t="str">
        <f>IF(ISBLANK('M&amp;V (ORÇ)'!I120)," ",'M&amp;V (ORÇ)'!I120)</f>
        <v xml:space="preserve"> </v>
      </c>
      <c r="J123" s="542" t="str">
        <f>IF(ISBLANK('M&amp;V (ORÇ)'!J120)," ",'M&amp;V (ORÇ)'!J120)</f>
        <v xml:space="preserve"> </v>
      </c>
      <c r="K123" s="544">
        <f>'M&amp;V (ORÇ)'!K120</f>
        <v>0</v>
      </c>
      <c r="L123" s="543">
        <f>'M&amp;V (ORÇ)'!L120</f>
        <v>0</v>
      </c>
      <c r="M123" s="131">
        <f t="shared" si="6"/>
        <v>0</v>
      </c>
      <c r="N123" s="133">
        <f t="shared" si="7"/>
        <v>0</v>
      </c>
      <c r="O123" s="132"/>
      <c r="P123" s="132"/>
    </row>
    <row r="124" spans="2:16" x14ac:dyDescent="0.25">
      <c r="B124" s="128">
        <v>7</v>
      </c>
      <c r="C124" s="1075" t="str">
        <f>IF(ISBLANK('M&amp;V (ORÇ)'!C121)," ",'M&amp;V (ORÇ)'!C121)</f>
        <v xml:space="preserve"> </v>
      </c>
      <c r="D124" s="1076"/>
      <c r="E124" s="1076"/>
      <c r="F124" s="1076"/>
      <c r="G124" s="1076"/>
      <c r="H124" s="1077"/>
      <c r="I124" s="542" t="str">
        <f>IF(ISBLANK('M&amp;V (ORÇ)'!I121)," ",'M&amp;V (ORÇ)'!I121)</f>
        <v xml:space="preserve"> </v>
      </c>
      <c r="J124" s="542" t="str">
        <f>IF(ISBLANK('M&amp;V (ORÇ)'!J121)," ",'M&amp;V (ORÇ)'!J121)</f>
        <v xml:space="preserve"> </v>
      </c>
      <c r="K124" s="544">
        <f>'M&amp;V (ORÇ)'!K121</f>
        <v>0</v>
      </c>
      <c r="L124" s="543">
        <f>'M&amp;V (ORÇ)'!L121</f>
        <v>0</v>
      </c>
      <c r="M124" s="131">
        <f t="shared" si="6"/>
        <v>0</v>
      </c>
      <c r="N124" s="133">
        <f t="shared" si="7"/>
        <v>0</v>
      </c>
      <c r="O124" s="132"/>
      <c r="P124" s="132"/>
    </row>
    <row r="125" spans="2:16" x14ac:dyDescent="0.25">
      <c r="B125" s="128">
        <v>8</v>
      </c>
      <c r="C125" s="1075" t="str">
        <f>IF(ISBLANK('M&amp;V (ORÇ)'!C122)," ",'M&amp;V (ORÇ)'!C122)</f>
        <v xml:space="preserve"> </v>
      </c>
      <c r="D125" s="1076"/>
      <c r="E125" s="1076"/>
      <c r="F125" s="1076"/>
      <c r="G125" s="1076"/>
      <c r="H125" s="1077"/>
      <c r="I125" s="542" t="str">
        <f>IF(ISBLANK('M&amp;V (ORÇ)'!I122)," ",'M&amp;V (ORÇ)'!I122)</f>
        <v xml:space="preserve"> </v>
      </c>
      <c r="J125" s="542" t="str">
        <f>IF(ISBLANK('M&amp;V (ORÇ)'!J122)," ",'M&amp;V (ORÇ)'!J122)</f>
        <v xml:space="preserve"> </v>
      </c>
      <c r="K125" s="544">
        <f>'M&amp;V (ORÇ)'!K122</f>
        <v>0</v>
      </c>
      <c r="L125" s="543">
        <f>'M&amp;V (ORÇ)'!L122</f>
        <v>0</v>
      </c>
      <c r="M125" s="131">
        <f t="shared" si="6"/>
        <v>0</v>
      </c>
      <c r="N125" s="133">
        <f t="shared" si="7"/>
        <v>0</v>
      </c>
      <c r="O125" s="132"/>
      <c r="P125" s="132"/>
    </row>
    <row r="126" spans="2:16" x14ac:dyDescent="0.25">
      <c r="B126" s="128">
        <v>9</v>
      </c>
      <c r="C126" s="1075" t="str">
        <f>IF(ISBLANK('M&amp;V (ORÇ)'!C123)," ",'M&amp;V (ORÇ)'!C123)</f>
        <v xml:space="preserve"> </v>
      </c>
      <c r="D126" s="1076"/>
      <c r="E126" s="1076"/>
      <c r="F126" s="1076"/>
      <c r="G126" s="1076"/>
      <c r="H126" s="1077"/>
      <c r="I126" s="542" t="str">
        <f>IF(ISBLANK('M&amp;V (ORÇ)'!I123)," ",'M&amp;V (ORÇ)'!I123)</f>
        <v xml:space="preserve"> </v>
      </c>
      <c r="J126" s="542" t="str">
        <f>IF(ISBLANK('M&amp;V (ORÇ)'!J123)," ",'M&amp;V (ORÇ)'!J123)</f>
        <v xml:space="preserve"> </v>
      </c>
      <c r="K126" s="544">
        <f>'M&amp;V (ORÇ)'!K123</f>
        <v>0</v>
      </c>
      <c r="L126" s="543">
        <f>'M&amp;V (ORÇ)'!L123</f>
        <v>0</v>
      </c>
      <c r="M126" s="131">
        <f t="shared" si="6"/>
        <v>0</v>
      </c>
      <c r="N126" s="133">
        <f t="shared" si="7"/>
        <v>0</v>
      </c>
      <c r="O126" s="132"/>
      <c r="P126" s="132"/>
    </row>
    <row r="127" spans="2:16" x14ac:dyDescent="0.25">
      <c r="B127" s="128">
        <v>10</v>
      </c>
      <c r="C127" s="1075" t="str">
        <f>IF(ISBLANK('M&amp;V (ORÇ)'!C124)," ",'M&amp;V (ORÇ)'!C124)</f>
        <v xml:space="preserve"> </v>
      </c>
      <c r="D127" s="1076"/>
      <c r="E127" s="1076"/>
      <c r="F127" s="1076"/>
      <c r="G127" s="1076"/>
      <c r="H127" s="1077"/>
      <c r="I127" s="542" t="str">
        <f>IF(ISBLANK('M&amp;V (ORÇ)'!I124)," ",'M&amp;V (ORÇ)'!I124)</f>
        <v xml:space="preserve"> </v>
      </c>
      <c r="J127" s="542" t="str">
        <f>IF(ISBLANK('M&amp;V (ORÇ)'!J124)," ",'M&amp;V (ORÇ)'!J124)</f>
        <v xml:space="preserve"> </v>
      </c>
      <c r="K127" s="544">
        <f>'M&amp;V (ORÇ)'!K124</f>
        <v>0</v>
      </c>
      <c r="L127" s="543">
        <f>'M&amp;V (ORÇ)'!L124</f>
        <v>0</v>
      </c>
      <c r="M127" s="131">
        <f t="shared" si="6"/>
        <v>0</v>
      </c>
      <c r="N127" s="133">
        <f t="shared" si="7"/>
        <v>0</v>
      </c>
      <c r="O127" s="132"/>
      <c r="P127" s="132"/>
    </row>
    <row r="128" spans="2:16" x14ac:dyDescent="0.25">
      <c r="B128" s="128">
        <v>11</v>
      </c>
      <c r="C128" s="1075" t="str">
        <f>IF(ISBLANK('M&amp;V (ORÇ)'!C125)," ",'M&amp;V (ORÇ)'!C125)</f>
        <v xml:space="preserve"> </v>
      </c>
      <c r="D128" s="1076"/>
      <c r="E128" s="1076"/>
      <c r="F128" s="1076"/>
      <c r="G128" s="1076"/>
      <c r="H128" s="1077"/>
      <c r="I128" s="542" t="str">
        <f>IF(ISBLANK('M&amp;V (ORÇ)'!I125)," ",'M&amp;V (ORÇ)'!I125)</f>
        <v xml:space="preserve"> </v>
      </c>
      <c r="J128" s="542" t="str">
        <f>IF(ISBLANK('M&amp;V (ORÇ)'!J125)," ",'M&amp;V (ORÇ)'!J125)</f>
        <v xml:space="preserve"> </v>
      </c>
      <c r="K128" s="544">
        <f>'M&amp;V (ORÇ)'!K125</f>
        <v>0</v>
      </c>
      <c r="L128" s="543">
        <f>'M&amp;V (ORÇ)'!L125</f>
        <v>0</v>
      </c>
      <c r="M128" s="131">
        <f t="shared" si="6"/>
        <v>0</v>
      </c>
      <c r="N128" s="133">
        <f t="shared" si="7"/>
        <v>0</v>
      </c>
      <c r="O128" s="132"/>
      <c r="P128" s="132"/>
    </row>
    <row r="129" spans="2:16" x14ac:dyDescent="0.25">
      <c r="B129" s="128">
        <v>12</v>
      </c>
      <c r="C129" s="1075" t="str">
        <f>IF(ISBLANK('M&amp;V (ORÇ)'!C126)," ",'M&amp;V (ORÇ)'!C126)</f>
        <v xml:space="preserve"> </v>
      </c>
      <c r="D129" s="1076"/>
      <c r="E129" s="1076"/>
      <c r="F129" s="1076"/>
      <c r="G129" s="1076"/>
      <c r="H129" s="1077"/>
      <c r="I129" s="542" t="str">
        <f>IF(ISBLANK('M&amp;V (ORÇ)'!I126)," ",'M&amp;V (ORÇ)'!I126)</f>
        <v xml:space="preserve"> </v>
      </c>
      <c r="J129" s="542" t="str">
        <f>IF(ISBLANK('M&amp;V (ORÇ)'!J126)," ",'M&amp;V (ORÇ)'!J126)</f>
        <v xml:space="preserve"> </v>
      </c>
      <c r="K129" s="544">
        <f>'M&amp;V (ORÇ)'!K126</f>
        <v>0</v>
      </c>
      <c r="L129" s="543">
        <f>'M&amp;V (ORÇ)'!L126</f>
        <v>0</v>
      </c>
      <c r="M129" s="131">
        <f t="shared" si="6"/>
        <v>0</v>
      </c>
      <c r="N129" s="133">
        <f t="shared" si="7"/>
        <v>0</v>
      </c>
      <c r="O129" s="132"/>
      <c r="P129" s="132"/>
    </row>
    <row r="130" spans="2:16" x14ac:dyDescent="0.25">
      <c r="B130" s="128">
        <v>13</v>
      </c>
      <c r="C130" s="1075" t="str">
        <f>IF(ISBLANK('M&amp;V (ORÇ)'!C127)," ",'M&amp;V (ORÇ)'!C127)</f>
        <v xml:space="preserve"> </v>
      </c>
      <c r="D130" s="1076"/>
      <c r="E130" s="1076"/>
      <c r="F130" s="1076"/>
      <c r="G130" s="1076"/>
      <c r="H130" s="1077"/>
      <c r="I130" s="542" t="str">
        <f>IF(ISBLANK('M&amp;V (ORÇ)'!I127)," ",'M&amp;V (ORÇ)'!I127)</f>
        <v xml:space="preserve"> </v>
      </c>
      <c r="J130" s="542" t="str">
        <f>IF(ISBLANK('M&amp;V (ORÇ)'!J127)," ",'M&amp;V (ORÇ)'!J127)</f>
        <v xml:space="preserve"> </v>
      </c>
      <c r="K130" s="544">
        <f>'M&amp;V (ORÇ)'!K127</f>
        <v>0</v>
      </c>
      <c r="L130" s="543">
        <f>'M&amp;V (ORÇ)'!L127</f>
        <v>0</v>
      </c>
      <c r="M130" s="131">
        <f t="shared" si="6"/>
        <v>0</v>
      </c>
      <c r="N130" s="133">
        <f t="shared" si="7"/>
        <v>0</v>
      </c>
      <c r="O130" s="132"/>
      <c r="P130" s="132"/>
    </row>
    <row r="131" spans="2:16" x14ac:dyDescent="0.25">
      <c r="B131" s="128">
        <v>14</v>
      </c>
      <c r="C131" s="1075" t="str">
        <f>IF(ISBLANK('M&amp;V (ORÇ)'!C128)," ",'M&amp;V (ORÇ)'!C128)</f>
        <v xml:space="preserve"> </v>
      </c>
      <c r="D131" s="1076"/>
      <c r="E131" s="1076"/>
      <c r="F131" s="1076"/>
      <c r="G131" s="1076"/>
      <c r="H131" s="1077"/>
      <c r="I131" s="542" t="str">
        <f>IF(ISBLANK('M&amp;V (ORÇ)'!I128)," ",'M&amp;V (ORÇ)'!I128)</f>
        <v xml:space="preserve"> </v>
      </c>
      <c r="J131" s="542" t="str">
        <f>IF(ISBLANK('M&amp;V (ORÇ)'!J128)," ",'M&amp;V (ORÇ)'!J128)</f>
        <v xml:space="preserve"> </v>
      </c>
      <c r="K131" s="544">
        <f>'M&amp;V (ORÇ)'!K128</f>
        <v>0</v>
      </c>
      <c r="L131" s="543">
        <f>'M&amp;V (ORÇ)'!L128</f>
        <v>0</v>
      </c>
      <c r="M131" s="131">
        <f t="shared" si="6"/>
        <v>0</v>
      </c>
      <c r="N131" s="133">
        <f t="shared" si="7"/>
        <v>0</v>
      </c>
      <c r="O131" s="132"/>
      <c r="P131" s="132"/>
    </row>
    <row r="132" spans="2:16" x14ac:dyDescent="0.25">
      <c r="B132" s="128">
        <v>15</v>
      </c>
      <c r="C132" s="1075" t="str">
        <f>IF(ISBLANK('M&amp;V (ORÇ)'!C129)," ",'M&amp;V (ORÇ)'!C129)</f>
        <v xml:space="preserve"> </v>
      </c>
      <c r="D132" s="1076"/>
      <c r="E132" s="1076"/>
      <c r="F132" s="1076"/>
      <c r="G132" s="1076"/>
      <c r="H132" s="1077"/>
      <c r="I132" s="542" t="str">
        <f>IF(ISBLANK('M&amp;V (ORÇ)'!I129)," ",'M&amp;V (ORÇ)'!I129)</f>
        <v xml:space="preserve"> </v>
      </c>
      <c r="J132" s="542" t="str">
        <f>IF(ISBLANK('M&amp;V (ORÇ)'!J129)," ",'M&amp;V (ORÇ)'!J129)</f>
        <v xml:space="preserve"> </v>
      </c>
      <c r="K132" s="544">
        <f>'M&amp;V (ORÇ)'!K129</f>
        <v>0</v>
      </c>
      <c r="L132" s="543">
        <f>'M&amp;V (ORÇ)'!L129</f>
        <v>0</v>
      </c>
      <c r="M132" s="131">
        <f t="shared" si="6"/>
        <v>0</v>
      </c>
      <c r="N132" s="133">
        <f t="shared" si="7"/>
        <v>0</v>
      </c>
      <c r="O132" s="132"/>
      <c r="P132" s="132"/>
    </row>
    <row r="133" spans="2:16" x14ac:dyDescent="0.25">
      <c r="B133" s="128">
        <v>16</v>
      </c>
      <c r="C133" s="1075" t="str">
        <f>IF(ISBLANK('M&amp;V (ORÇ)'!C130)," ",'M&amp;V (ORÇ)'!C130)</f>
        <v xml:space="preserve"> </v>
      </c>
      <c r="D133" s="1076"/>
      <c r="E133" s="1076"/>
      <c r="F133" s="1076"/>
      <c r="G133" s="1076"/>
      <c r="H133" s="1077"/>
      <c r="I133" s="542" t="str">
        <f>IF(ISBLANK('M&amp;V (ORÇ)'!I130)," ",'M&amp;V (ORÇ)'!I130)</f>
        <v xml:space="preserve"> </v>
      </c>
      <c r="J133" s="542" t="str">
        <f>IF(ISBLANK('M&amp;V (ORÇ)'!J130)," ",'M&amp;V (ORÇ)'!J130)</f>
        <v xml:space="preserve"> </v>
      </c>
      <c r="K133" s="544">
        <f>'M&amp;V (ORÇ)'!K130</f>
        <v>0</v>
      </c>
      <c r="L133" s="543">
        <f>'M&amp;V (ORÇ)'!L130</f>
        <v>0</v>
      </c>
      <c r="M133" s="131">
        <f t="shared" si="6"/>
        <v>0</v>
      </c>
      <c r="N133" s="133">
        <f t="shared" si="7"/>
        <v>0</v>
      </c>
      <c r="O133" s="132"/>
      <c r="P133" s="132"/>
    </row>
    <row r="134" spans="2:16" x14ac:dyDescent="0.25">
      <c r="B134" s="128">
        <v>17</v>
      </c>
      <c r="C134" s="1075" t="str">
        <f>IF(ISBLANK('M&amp;V (ORÇ)'!C131)," ",'M&amp;V (ORÇ)'!C131)</f>
        <v xml:space="preserve"> </v>
      </c>
      <c r="D134" s="1076"/>
      <c r="E134" s="1076"/>
      <c r="F134" s="1076"/>
      <c r="G134" s="1076"/>
      <c r="H134" s="1077"/>
      <c r="I134" s="542" t="str">
        <f>IF(ISBLANK('M&amp;V (ORÇ)'!I131)," ",'M&amp;V (ORÇ)'!I131)</f>
        <v xml:space="preserve"> </v>
      </c>
      <c r="J134" s="542" t="str">
        <f>IF(ISBLANK('M&amp;V (ORÇ)'!J131)," ",'M&amp;V (ORÇ)'!J131)</f>
        <v xml:space="preserve"> </v>
      </c>
      <c r="K134" s="544">
        <f>'M&amp;V (ORÇ)'!K131</f>
        <v>0</v>
      </c>
      <c r="L134" s="543">
        <f>'M&amp;V (ORÇ)'!L131</f>
        <v>0</v>
      </c>
      <c r="M134" s="131">
        <f t="shared" si="6"/>
        <v>0</v>
      </c>
      <c r="N134" s="133">
        <f t="shared" si="7"/>
        <v>0</v>
      </c>
      <c r="O134" s="132"/>
      <c r="P134" s="132"/>
    </row>
    <row r="135" spans="2:16" x14ac:dyDescent="0.25">
      <c r="B135" s="128">
        <v>18</v>
      </c>
      <c r="C135" s="1075" t="str">
        <f>IF(ISBLANK('M&amp;V (ORÇ)'!C132)," ",'M&amp;V (ORÇ)'!C132)</f>
        <v xml:space="preserve"> </v>
      </c>
      <c r="D135" s="1076"/>
      <c r="E135" s="1076"/>
      <c r="F135" s="1076"/>
      <c r="G135" s="1076"/>
      <c r="H135" s="1077"/>
      <c r="I135" s="542" t="str">
        <f>IF(ISBLANK('M&amp;V (ORÇ)'!I132)," ",'M&amp;V (ORÇ)'!I132)</f>
        <v xml:space="preserve"> </v>
      </c>
      <c r="J135" s="542" t="str">
        <f>IF(ISBLANK('M&amp;V (ORÇ)'!J132)," ",'M&amp;V (ORÇ)'!J132)</f>
        <v xml:space="preserve"> </v>
      </c>
      <c r="K135" s="544">
        <f>'M&amp;V (ORÇ)'!K132</f>
        <v>0</v>
      </c>
      <c r="L135" s="543">
        <f>'M&amp;V (ORÇ)'!L132</f>
        <v>0</v>
      </c>
      <c r="M135" s="131">
        <f t="shared" si="6"/>
        <v>0</v>
      </c>
      <c r="N135" s="133">
        <f t="shared" si="7"/>
        <v>0</v>
      </c>
      <c r="O135" s="132"/>
      <c r="P135" s="132"/>
    </row>
    <row r="136" spans="2:16" x14ac:dyDescent="0.25">
      <c r="B136" s="128">
        <v>19</v>
      </c>
      <c r="C136" s="1075" t="str">
        <f>IF(ISBLANK('M&amp;V (ORÇ)'!C133)," ",'M&amp;V (ORÇ)'!C133)</f>
        <v xml:space="preserve"> </v>
      </c>
      <c r="D136" s="1076"/>
      <c r="E136" s="1076"/>
      <c r="F136" s="1076"/>
      <c r="G136" s="1076"/>
      <c r="H136" s="1077"/>
      <c r="I136" s="542" t="str">
        <f>IF(ISBLANK('M&amp;V (ORÇ)'!I133)," ",'M&amp;V (ORÇ)'!I133)</f>
        <v xml:space="preserve"> </v>
      </c>
      <c r="J136" s="542" t="str">
        <f>IF(ISBLANK('M&amp;V (ORÇ)'!J133)," ",'M&amp;V (ORÇ)'!J133)</f>
        <v xml:space="preserve"> </v>
      </c>
      <c r="K136" s="544">
        <f>'M&amp;V (ORÇ)'!K133</f>
        <v>0</v>
      </c>
      <c r="L136" s="543">
        <f>'M&amp;V (ORÇ)'!L133</f>
        <v>0</v>
      </c>
      <c r="M136" s="131">
        <f t="shared" si="6"/>
        <v>0</v>
      </c>
      <c r="N136" s="133">
        <f t="shared" si="7"/>
        <v>0</v>
      </c>
      <c r="O136" s="132"/>
      <c r="P136" s="132"/>
    </row>
    <row r="137" spans="2:16" x14ac:dyDescent="0.25">
      <c r="B137" s="128">
        <v>20</v>
      </c>
      <c r="C137" s="1075" t="str">
        <f>IF(ISBLANK('M&amp;V (ORÇ)'!C134)," ",'M&amp;V (ORÇ)'!C134)</f>
        <v xml:space="preserve"> </v>
      </c>
      <c r="D137" s="1076"/>
      <c r="E137" s="1076"/>
      <c r="F137" s="1076"/>
      <c r="G137" s="1076"/>
      <c r="H137" s="1077"/>
      <c r="I137" s="542" t="str">
        <f>IF(ISBLANK('M&amp;V (ORÇ)'!I134)," ",'M&amp;V (ORÇ)'!I134)</f>
        <v xml:space="preserve"> </v>
      </c>
      <c r="J137" s="542" t="str">
        <f>IF(ISBLANK('M&amp;V (ORÇ)'!J134)," ",'M&amp;V (ORÇ)'!J134)</f>
        <v xml:space="preserve"> </v>
      </c>
      <c r="K137" s="544">
        <f>'M&amp;V (ORÇ)'!K134</f>
        <v>0</v>
      </c>
      <c r="L137" s="543">
        <f>'M&amp;V (ORÇ)'!L134</f>
        <v>0</v>
      </c>
      <c r="M137" s="131">
        <f t="shared" si="6"/>
        <v>0</v>
      </c>
      <c r="N137" s="133">
        <f t="shared" si="7"/>
        <v>0</v>
      </c>
      <c r="O137" s="132"/>
      <c r="P137" s="132"/>
    </row>
    <row r="138" spans="2:16" x14ac:dyDescent="0.25">
      <c r="B138" s="134"/>
      <c r="C138" s="1078" t="s">
        <v>246</v>
      </c>
      <c r="D138" s="1078"/>
      <c r="E138" s="1078"/>
      <c r="F138" s="1078"/>
      <c r="G138" s="1078"/>
      <c r="H138" s="1078"/>
      <c r="I138" s="1078"/>
      <c r="J138" s="1078"/>
      <c r="K138" s="1078"/>
      <c r="L138" s="1079"/>
      <c r="M138" s="135">
        <f>SUM(M118:M137)</f>
        <v>0</v>
      </c>
      <c r="N138" s="135">
        <f>SUM(N118:N137)</f>
        <v>0</v>
      </c>
      <c r="O138" s="135">
        <f>SUM(O118:O137)</f>
        <v>0</v>
      </c>
      <c r="P138" s="135">
        <f>SUM(P118:P137)</f>
        <v>0</v>
      </c>
    </row>
    <row r="139" spans="2:16" x14ac:dyDescent="0.25">
      <c r="B139" s="1104" t="s">
        <v>243</v>
      </c>
      <c r="C139" s="1105"/>
      <c r="D139" s="1105"/>
      <c r="E139" s="1105"/>
      <c r="F139" s="1105"/>
      <c r="G139" s="1105"/>
      <c r="H139" s="1105"/>
      <c r="I139" s="1105"/>
      <c r="J139" s="1105"/>
      <c r="K139" s="1105"/>
      <c r="L139" s="1105"/>
      <c r="M139" s="1105"/>
      <c r="N139" s="1105"/>
      <c r="O139" s="1105" t="str">
        <f>B139</f>
        <v>PERÍODO PÓS-RETROFIT</v>
      </c>
      <c r="P139" s="1106"/>
    </row>
    <row r="140" spans="2:16" x14ac:dyDescent="0.25">
      <c r="B140" s="1043" t="s">
        <v>235</v>
      </c>
      <c r="C140" s="1044"/>
      <c r="D140" s="1044"/>
      <c r="E140" s="1044"/>
      <c r="F140" s="1044"/>
      <c r="G140" s="1044"/>
      <c r="H140" s="1045"/>
      <c r="I140" s="125" t="s">
        <v>236</v>
      </c>
      <c r="J140" s="126" t="s">
        <v>237</v>
      </c>
      <c r="K140" s="126" t="s">
        <v>238</v>
      </c>
      <c r="L140" s="126" t="s">
        <v>239</v>
      </c>
      <c r="M140" s="126" t="s">
        <v>0</v>
      </c>
      <c r="N140" s="328" t="s">
        <v>796</v>
      </c>
      <c r="O140" s="328" t="s">
        <v>240</v>
      </c>
      <c r="P140" s="329" t="s">
        <v>241</v>
      </c>
    </row>
    <row r="141" spans="2:16" x14ac:dyDescent="0.25">
      <c r="B141" s="128">
        <v>1</v>
      </c>
      <c r="C141" s="1075" t="str">
        <f>IF(ISBLANK('M&amp;V (ORÇ)'!C137)," ",'M&amp;V (ORÇ)'!C137)</f>
        <v xml:space="preserve"> </v>
      </c>
      <c r="D141" s="1076"/>
      <c r="E141" s="1076"/>
      <c r="F141" s="1076"/>
      <c r="G141" s="1076"/>
      <c r="H141" s="1077"/>
      <c r="I141" s="542" t="str">
        <f>IF(ISBLANK('M&amp;V (ORÇ)'!I137)," ",'M&amp;V (ORÇ)'!I137)</f>
        <v xml:space="preserve"> </v>
      </c>
      <c r="J141" s="542" t="str">
        <f>IF(ISBLANK('M&amp;V (ORÇ)'!J137)," ",'M&amp;V (ORÇ)'!J137)</f>
        <v xml:space="preserve"> </v>
      </c>
      <c r="K141" s="544">
        <f>'M&amp;V (ORÇ)'!K137</f>
        <v>0</v>
      </c>
      <c r="L141" s="543">
        <f>'M&amp;V (ORÇ)'!L137</f>
        <v>0</v>
      </c>
      <c r="M141" s="131">
        <f t="shared" ref="M141:M160" si="8">IF(J141="",0,K141*L141)</f>
        <v>0</v>
      </c>
      <c r="N141" s="133">
        <f t="shared" ref="N141:N160" si="9">M141-O141-P141</f>
        <v>0</v>
      </c>
      <c r="O141" s="132"/>
      <c r="P141" s="132"/>
    </row>
    <row r="142" spans="2:16" x14ac:dyDescent="0.25">
      <c r="B142" s="128">
        <v>2</v>
      </c>
      <c r="C142" s="1075" t="str">
        <f>IF(ISBLANK('M&amp;V (ORÇ)'!C138)," ",'M&amp;V (ORÇ)'!C138)</f>
        <v xml:space="preserve"> </v>
      </c>
      <c r="D142" s="1076"/>
      <c r="E142" s="1076"/>
      <c r="F142" s="1076"/>
      <c r="G142" s="1076"/>
      <c r="H142" s="1077"/>
      <c r="I142" s="542" t="str">
        <f>IF(ISBLANK('M&amp;V (ORÇ)'!I138)," ",'M&amp;V (ORÇ)'!I138)</f>
        <v xml:space="preserve"> </v>
      </c>
      <c r="J142" s="542" t="str">
        <f>IF(ISBLANK('M&amp;V (ORÇ)'!J138)," ",'M&amp;V (ORÇ)'!J138)</f>
        <v xml:space="preserve"> </v>
      </c>
      <c r="K142" s="544">
        <f>'M&amp;V (ORÇ)'!K138</f>
        <v>0</v>
      </c>
      <c r="L142" s="543">
        <f>'M&amp;V (ORÇ)'!L138</f>
        <v>0</v>
      </c>
      <c r="M142" s="131">
        <f t="shared" si="8"/>
        <v>0</v>
      </c>
      <c r="N142" s="133">
        <f t="shared" si="9"/>
        <v>0</v>
      </c>
      <c r="O142" s="132"/>
      <c r="P142" s="132"/>
    </row>
    <row r="143" spans="2:16" x14ac:dyDescent="0.25">
      <c r="B143" s="128">
        <v>3</v>
      </c>
      <c r="C143" s="1075" t="str">
        <f>IF(ISBLANK('M&amp;V (ORÇ)'!C139)," ",'M&amp;V (ORÇ)'!C139)</f>
        <v xml:space="preserve"> </v>
      </c>
      <c r="D143" s="1076"/>
      <c r="E143" s="1076"/>
      <c r="F143" s="1076"/>
      <c r="G143" s="1076"/>
      <c r="H143" s="1077"/>
      <c r="I143" s="542" t="str">
        <f>IF(ISBLANK('M&amp;V (ORÇ)'!I139)," ",'M&amp;V (ORÇ)'!I139)</f>
        <v xml:space="preserve"> </v>
      </c>
      <c r="J143" s="542" t="str">
        <f>IF(ISBLANK('M&amp;V (ORÇ)'!J139)," ",'M&amp;V (ORÇ)'!J139)</f>
        <v xml:space="preserve"> </v>
      </c>
      <c r="K143" s="544">
        <f>'M&amp;V (ORÇ)'!K139</f>
        <v>0</v>
      </c>
      <c r="L143" s="543">
        <f>'M&amp;V (ORÇ)'!L139</f>
        <v>0</v>
      </c>
      <c r="M143" s="131">
        <f t="shared" si="8"/>
        <v>0</v>
      </c>
      <c r="N143" s="133">
        <f t="shared" si="9"/>
        <v>0</v>
      </c>
      <c r="O143" s="132"/>
      <c r="P143" s="132"/>
    </row>
    <row r="144" spans="2:16" x14ac:dyDescent="0.25">
      <c r="B144" s="128">
        <v>4</v>
      </c>
      <c r="C144" s="1075" t="str">
        <f>IF(ISBLANK('M&amp;V (ORÇ)'!C140)," ",'M&amp;V (ORÇ)'!C140)</f>
        <v xml:space="preserve"> </v>
      </c>
      <c r="D144" s="1076"/>
      <c r="E144" s="1076"/>
      <c r="F144" s="1076"/>
      <c r="G144" s="1076"/>
      <c r="H144" s="1077"/>
      <c r="I144" s="542" t="str">
        <f>IF(ISBLANK('M&amp;V (ORÇ)'!I140)," ",'M&amp;V (ORÇ)'!I140)</f>
        <v xml:space="preserve"> </v>
      </c>
      <c r="J144" s="542" t="str">
        <f>IF(ISBLANK('M&amp;V (ORÇ)'!J140)," ",'M&amp;V (ORÇ)'!J140)</f>
        <v xml:space="preserve"> </v>
      </c>
      <c r="K144" s="544">
        <f>'M&amp;V (ORÇ)'!K140</f>
        <v>0</v>
      </c>
      <c r="L144" s="543">
        <f>'M&amp;V (ORÇ)'!L140</f>
        <v>0</v>
      </c>
      <c r="M144" s="131">
        <f t="shared" si="8"/>
        <v>0</v>
      </c>
      <c r="N144" s="133">
        <f t="shared" si="9"/>
        <v>0</v>
      </c>
      <c r="O144" s="132"/>
      <c r="P144" s="132"/>
    </row>
    <row r="145" spans="2:16" x14ac:dyDescent="0.25">
      <c r="B145" s="128">
        <v>5</v>
      </c>
      <c r="C145" s="1075" t="str">
        <f>IF(ISBLANK('M&amp;V (ORÇ)'!C141)," ",'M&amp;V (ORÇ)'!C141)</f>
        <v xml:space="preserve"> </v>
      </c>
      <c r="D145" s="1076"/>
      <c r="E145" s="1076"/>
      <c r="F145" s="1076"/>
      <c r="G145" s="1076"/>
      <c r="H145" s="1077"/>
      <c r="I145" s="542" t="str">
        <f>IF(ISBLANK('M&amp;V (ORÇ)'!I141)," ",'M&amp;V (ORÇ)'!I141)</f>
        <v xml:space="preserve"> </v>
      </c>
      <c r="J145" s="542" t="str">
        <f>IF(ISBLANK('M&amp;V (ORÇ)'!J141)," ",'M&amp;V (ORÇ)'!J141)</f>
        <v xml:space="preserve"> </v>
      </c>
      <c r="K145" s="544">
        <f>'M&amp;V (ORÇ)'!K141</f>
        <v>0</v>
      </c>
      <c r="L145" s="543">
        <f>'M&amp;V (ORÇ)'!L141</f>
        <v>0</v>
      </c>
      <c r="M145" s="131">
        <f t="shared" si="8"/>
        <v>0</v>
      </c>
      <c r="N145" s="133">
        <f t="shared" si="9"/>
        <v>0</v>
      </c>
      <c r="O145" s="132"/>
      <c r="P145" s="132"/>
    </row>
    <row r="146" spans="2:16" x14ac:dyDescent="0.25">
      <c r="B146" s="128">
        <v>6</v>
      </c>
      <c r="C146" s="1075" t="str">
        <f>IF(ISBLANK('M&amp;V (ORÇ)'!C142)," ",'M&amp;V (ORÇ)'!C142)</f>
        <v xml:space="preserve"> </v>
      </c>
      <c r="D146" s="1076"/>
      <c r="E146" s="1076"/>
      <c r="F146" s="1076"/>
      <c r="G146" s="1076"/>
      <c r="H146" s="1077"/>
      <c r="I146" s="542" t="str">
        <f>IF(ISBLANK('M&amp;V (ORÇ)'!I142)," ",'M&amp;V (ORÇ)'!I142)</f>
        <v xml:space="preserve"> </v>
      </c>
      <c r="J146" s="542" t="str">
        <f>IF(ISBLANK('M&amp;V (ORÇ)'!J142)," ",'M&amp;V (ORÇ)'!J142)</f>
        <v xml:space="preserve"> </v>
      </c>
      <c r="K146" s="544">
        <f>'M&amp;V (ORÇ)'!K142</f>
        <v>0</v>
      </c>
      <c r="L146" s="543">
        <f>'M&amp;V (ORÇ)'!L142</f>
        <v>0</v>
      </c>
      <c r="M146" s="131">
        <f t="shared" si="8"/>
        <v>0</v>
      </c>
      <c r="N146" s="133">
        <f t="shared" si="9"/>
        <v>0</v>
      </c>
      <c r="O146" s="132"/>
      <c r="P146" s="132"/>
    </row>
    <row r="147" spans="2:16" x14ac:dyDescent="0.25">
      <c r="B147" s="128">
        <v>7</v>
      </c>
      <c r="C147" s="1075" t="str">
        <f>IF(ISBLANK('M&amp;V (ORÇ)'!C143)," ",'M&amp;V (ORÇ)'!C143)</f>
        <v xml:space="preserve"> </v>
      </c>
      <c r="D147" s="1076"/>
      <c r="E147" s="1076"/>
      <c r="F147" s="1076"/>
      <c r="G147" s="1076"/>
      <c r="H147" s="1077"/>
      <c r="I147" s="542" t="str">
        <f>IF(ISBLANK('M&amp;V (ORÇ)'!I143)," ",'M&amp;V (ORÇ)'!I143)</f>
        <v xml:space="preserve"> </v>
      </c>
      <c r="J147" s="542" t="str">
        <f>IF(ISBLANK('M&amp;V (ORÇ)'!J143)," ",'M&amp;V (ORÇ)'!J143)</f>
        <v xml:space="preserve"> </v>
      </c>
      <c r="K147" s="544">
        <f>'M&amp;V (ORÇ)'!K143</f>
        <v>0</v>
      </c>
      <c r="L147" s="543">
        <f>'M&amp;V (ORÇ)'!L143</f>
        <v>0</v>
      </c>
      <c r="M147" s="131">
        <f t="shared" si="8"/>
        <v>0</v>
      </c>
      <c r="N147" s="133">
        <f t="shared" si="9"/>
        <v>0</v>
      </c>
      <c r="O147" s="132"/>
      <c r="P147" s="132"/>
    </row>
    <row r="148" spans="2:16" x14ac:dyDescent="0.25">
      <c r="B148" s="128">
        <v>8</v>
      </c>
      <c r="C148" s="1075" t="str">
        <f>IF(ISBLANK('M&amp;V (ORÇ)'!C144)," ",'M&amp;V (ORÇ)'!C144)</f>
        <v xml:space="preserve"> </v>
      </c>
      <c r="D148" s="1076"/>
      <c r="E148" s="1076"/>
      <c r="F148" s="1076"/>
      <c r="G148" s="1076"/>
      <c r="H148" s="1077"/>
      <c r="I148" s="542" t="str">
        <f>IF(ISBLANK('M&amp;V (ORÇ)'!I144)," ",'M&amp;V (ORÇ)'!I144)</f>
        <v xml:space="preserve"> </v>
      </c>
      <c r="J148" s="542" t="str">
        <f>IF(ISBLANK('M&amp;V (ORÇ)'!J144)," ",'M&amp;V (ORÇ)'!J144)</f>
        <v xml:space="preserve"> </v>
      </c>
      <c r="K148" s="544">
        <f>'M&amp;V (ORÇ)'!K144</f>
        <v>0</v>
      </c>
      <c r="L148" s="543">
        <f>'M&amp;V (ORÇ)'!L144</f>
        <v>0</v>
      </c>
      <c r="M148" s="131">
        <f t="shared" si="8"/>
        <v>0</v>
      </c>
      <c r="N148" s="133">
        <f t="shared" si="9"/>
        <v>0</v>
      </c>
      <c r="O148" s="132"/>
      <c r="P148" s="132"/>
    </row>
    <row r="149" spans="2:16" x14ac:dyDescent="0.25">
      <c r="B149" s="128">
        <v>9</v>
      </c>
      <c r="C149" s="1075" t="str">
        <f>IF(ISBLANK('M&amp;V (ORÇ)'!C145)," ",'M&amp;V (ORÇ)'!C145)</f>
        <v xml:space="preserve"> </v>
      </c>
      <c r="D149" s="1076"/>
      <c r="E149" s="1076"/>
      <c r="F149" s="1076"/>
      <c r="G149" s="1076"/>
      <c r="H149" s="1077"/>
      <c r="I149" s="542" t="str">
        <f>IF(ISBLANK('M&amp;V (ORÇ)'!I145)," ",'M&amp;V (ORÇ)'!I145)</f>
        <v xml:space="preserve"> </v>
      </c>
      <c r="J149" s="542" t="str">
        <f>IF(ISBLANK('M&amp;V (ORÇ)'!J145)," ",'M&amp;V (ORÇ)'!J145)</f>
        <v xml:space="preserve"> </v>
      </c>
      <c r="K149" s="544">
        <f>'M&amp;V (ORÇ)'!K145</f>
        <v>0</v>
      </c>
      <c r="L149" s="543">
        <f>'M&amp;V (ORÇ)'!L145</f>
        <v>0</v>
      </c>
      <c r="M149" s="131">
        <f t="shared" si="8"/>
        <v>0</v>
      </c>
      <c r="N149" s="133">
        <f t="shared" si="9"/>
        <v>0</v>
      </c>
      <c r="O149" s="132"/>
      <c r="P149" s="132"/>
    </row>
    <row r="150" spans="2:16" x14ac:dyDescent="0.25">
      <c r="B150" s="128">
        <v>10</v>
      </c>
      <c r="C150" s="1075" t="str">
        <f>IF(ISBLANK('M&amp;V (ORÇ)'!C146)," ",'M&amp;V (ORÇ)'!C146)</f>
        <v xml:space="preserve"> </v>
      </c>
      <c r="D150" s="1076"/>
      <c r="E150" s="1076"/>
      <c r="F150" s="1076"/>
      <c r="G150" s="1076"/>
      <c r="H150" s="1077"/>
      <c r="I150" s="542" t="str">
        <f>IF(ISBLANK('M&amp;V (ORÇ)'!I146)," ",'M&amp;V (ORÇ)'!I146)</f>
        <v xml:space="preserve"> </v>
      </c>
      <c r="J150" s="542" t="str">
        <f>IF(ISBLANK('M&amp;V (ORÇ)'!J146)," ",'M&amp;V (ORÇ)'!J146)</f>
        <v xml:space="preserve"> </v>
      </c>
      <c r="K150" s="544">
        <f>'M&amp;V (ORÇ)'!K146</f>
        <v>0</v>
      </c>
      <c r="L150" s="543">
        <f>'M&amp;V (ORÇ)'!L146</f>
        <v>0</v>
      </c>
      <c r="M150" s="131">
        <f t="shared" si="8"/>
        <v>0</v>
      </c>
      <c r="N150" s="133">
        <f t="shared" si="9"/>
        <v>0</v>
      </c>
      <c r="O150" s="132"/>
      <c r="P150" s="132"/>
    </row>
    <row r="151" spans="2:16" x14ac:dyDescent="0.25">
      <c r="B151" s="128">
        <v>11</v>
      </c>
      <c r="C151" s="1075" t="str">
        <f>IF(ISBLANK('M&amp;V (ORÇ)'!C147)," ",'M&amp;V (ORÇ)'!C147)</f>
        <v xml:space="preserve"> </v>
      </c>
      <c r="D151" s="1076"/>
      <c r="E151" s="1076"/>
      <c r="F151" s="1076"/>
      <c r="G151" s="1076"/>
      <c r="H151" s="1077"/>
      <c r="I151" s="542" t="str">
        <f>IF(ISBLANK('M&amp;V (ORÇ)'!I147)," ",'M&amp;V (ORÇ)'!I147)</f>
        <v xml:space="preserve"> </v>
      </c>
      <c r="J151" s="542" t="str">
        <f>IF(ISBLANK('M&amp;V (ORÇ)'!J147)," ",'M&amp;V (ORÇ)'!J147)</f>
        <v xml:space="preserve"> </v>
      </c>
      <c r="K151" s="544">
        <f>'M&amp;V (ORÇ)'!K147</f>
        <v>0</v>
      </c>
      <c r="L151" s="543">
        <f>'M&amp;V (ORÇ)'!L147</f>
        <v>0</v>
      </c>
      <c r="M151" s="131">
        <f t="shared" si="8"/>
        <v>0</v>
      </c>
      <c r="N151" s="133">
        <f t="shared" si="9"/>
        <v>0</v>
      </c>
      <c r="O151" s="132"/>
      <c r="P151" s="132"/>
    </row>
    <row r="152" spans="2:16" x14ac:dyDescent="0.25">
      <c r="B152" s="128">
        <v>12</v>
      </c>
      <c r="C152" s="1075" t="str">
        <f>IF(ISBLANK('M&amp;V (ORÇ)'!C148)," ",'M&amp;V (ORÇ)'!C148)</f>
        <v xml:space="preserve"> </v>
      </c>
      <c r="D152" s="1076"/>
      <c r="E152" s="1076"/>
      <c r="F152" s="1076"/>
      <c r="G152" s="1076"/>
      <c r="H152" s="1077"/>
      <c r="I152" s="542" t="str">
        <f>IF(ISBLANK('M&amp;V (ORÇ)'!I148)," ",'M&amp;V (ORÇ)'!I148)</f>
        <v xml:space="preserve"> </v>
      </c>
      <c r="J152" s="542" t="str">
        <f>IF(ISBLANK('M&amp;V (ORÇ)'!J148)," ",'M&amp;V (ORÇ)'!J148)</f>
        <v xml:space="preserve"> </v>
      </c>
      <c r="K152" s="544">
        <f>'M&amp;V (ORÇ)'!K148</f>
        <v>0</v>
      </c>
      <c r="L152" s="543">
        <f>'M&amp;V (ORÇ)'!L148</f>
        <v>0</v>
      </c>
      <c r="M152" s="131">
        <f t="shared" si="8"/>
        <v>0</v>
      </c>
      <c r="N152" s="133">
        <f t="shared" si="9"/>
        <v>0</v>
      </c>
      <c r="O152" s="132"/>
      <c r="P152" s="132"/>
    </row>
    <row r="153" spans="2:16" x14ac:dyDescent="0.25">
      <c r="B153" s="128">
        <v>13</v>
      </c>
      <c r="C153" s="1075" t="str">
        <f>IF(ISBLANK('M&amp;V (ORÇ)'!C149)," ",'M&amp;V (ORÇ)'!C149)</f>
        <v xml:space="preserve"> </v>
      </c>
      <c r="D153" s="1076"/>
      <c r="E153" s="1076"/>
      <c r="F153" s="1076"/>
      <c r="G153" s="1076"/>
      <c r="H153" s="1077"/>
      <c r="I153" s="542" t="str">
        <f>IF(ISBLANK('M&amp;V (ORÇ)'!I149)," ",'M&amp;V (ORÇ)'!I149)</f>
        <v xml:space="preserve"> </v>
      </c>
      <c r="J153" s="542" t="str">
        <f>IF(ISBLANK('M&amp;V (ORÇ)'!J149)," ",'M&amp;V (ORÇ)'!J149)</f>
        <v xml:space="preserve"> </v>
      </c>
      <c r="K153" s="544">
        <f>'M&amp;V (ORÇ)'!K149</f>
        <v>0</v>
      </c>
      <c r="L153" s="543">
        <f>'M&amp;V (ORÇ)'!L149</f>
        <v>0</v>
      </c>
      <c r="M153" s="131">
        <f t="shared" si="8"/>
        <v>0</v>
      </c>
      <c r="N153" s="133">
        <f t="shared" si="9"/>
        <v>0</v>
      </c>
      <c r="O153" s="132"/>
      <c r="P153" s="132"/>
    </row>
    <row r="154" spans="2:16" x14ac:dyDescent="0.25">
      <c r="B154" s="128">
        <v>14</v>
      </c>
      <c r="C154" s="1075" t="str">
        <f>IF(ISBLANK('M&amp;V (ORÇ)'!C150)," ",'M&amp;V (ORÇ)'!C150)</f>
        <v xml:space="preserve"> </v>
      </c>
      <c r="D154" s="1076"/>
      <c r="E154" s="1076"/>
      <c r="F154" s="1076"/>
      <c r="G154" s="1076"/>
      <c r="H154" s="1077"/>
      <c r="I154" s="542" t="str">
        <f>IF(ISBLANK('M&amp;V (ORÇ)'!I150)," ",'M&amp;V (ORÇ)'!I150)</f>
        <v xml:space="preserve"> </v>
      </c>
      <c r="J154" s="542" t="str">
        <f>IF(ISBLANK('M&amp;V (ORÇ)'!J150)," ",'M&amp;V (ORÇ)'!J150)</f>
        <v xml:space="preserve"> </v>
      </c>
      <c r="K154" s="544">
        <f>'M&amp;V (ORÇ)'!K150</f>
        <v>0</v>
      </c>
      <c r="L154" s="543">
        <f>'M&amp;V (ORÇ)'!L150</f>
        <v>0</v>
      </c>
      <c r="M154" s="131">
        <f t="shared" si="8"/>
        <v>0</v>
      </c>
      <c r="N154" s="133">
        <f t="shared" si="9"/>
        <v>0</v>
      </c>
      <c r="O154" s="132"/>
      <c r="P154" s="132"/>
    </row>
    <row r="155" spans="2:16" x14ac:dyDescent="0.25">
      <c r="B155" s="128">
        <v>15</v>
      </c>
      <c r="C155" s="1075" t="str">
        <f>IF(ISBLANK('M&amp;V (ORÇ)'!C151)," ",'M&amp;V (ORÇ)'!C151)</f>
        <v xml:space="preserve"> </v>
      </c>
      <c r="D155" s="1076"/>
      <c r="E155" s="1076"/>
      <c r="F155" s="1076"/>
      <c r="G155" s="1076"/>
      <c r="H155" s="1077"/>
      <c r="I155" s="542" t="str">
        <f>IF(ISBLANK('M&amp;V (ORÇ)'!I151)," ",'M&amp;V (ORÇ)'!I151)</f>
        <v xml:space="preserve"> </v>
      </c>
      <c r="J155" s="542" t="str">
        <f>IF(ISBLANK('M&amp;V (ORÇ)'!J151)," ",'M&amp;V (ORÇ)'!J151)</f>
        <v xml:space="preserve"> </v>
      </c>
      <c r="K155" s="544">
        <f>'M&amp;V (ORÇ)'!K151</f>
        <v>0</v>
      </c>
      <c r="L155" s="543">
        <f>'M&amp;V (ORÇ)'!L151</f>
        <v>0</v>
      </c>
      <c r="M155" s="131">
        <f t="shared" si="8"/>
        <v>0</v>
      </c>
      <c r="N155" s="133">
        <f t="shared" si="9"/>
        <v>0</v>
      </c>
      <c r="O155" s="132"/>
      <c r="P155" s="132"/>
    </row>
    <row r="156" spans="2:16" x14ac:dyDescent="0.25">
      <c r="B156" s="128">
        <v>16</v>
      </c>
      <c r="C156" s="1075" t="str">
        <f>IF(ISBLANK('M&amp;V (ORÇ)'!C152)," ",'M&amp;V (ORÇ)'!C152)</f>
        <v xml:space="preserve"> </v>
      </c>
      <c r="D156" s="1076"/>
      <c r="E156" s="1076"/>
      <c r="F156" s="1076"/>
      <c r="G156" s="1076"/>
      <c r="H156" s="1077"/>
      <c r="I156" s="542" t="str">
        <f>IF(ISBLANK('M&amp;V (ORÇ)'!I152)," ",'M&amp;V (ORÇ)'!I152)</f>
        <v xml:space="preserve"> </v>
      </c>
      <c r="J156" s="542" t="str">
        <f>IF(ISBLANK('M&amp;V (ORÇ)'!J152)," ",'M&amp;V (ORÇ)'!J152)</f>
        <v xml:space="preserve"> </v>
      </c>
      <c r="K156" s="544">
        <f>'M&amp;V (ORÇ)'!K152</f>
        <v>0</v>
      </c>
      <c r="L156" s="543">
        <f>'M&amp;V (ORÇ)'!L152</f>
        <v>0</v>
      </c>
      <c r="M156" s="131">
        <f t="shared" si="8"/>
        <v>0</v>
      </c>
      <c r="N156" s="133">
        <f t="shared" si="9"/>
        <v>0</v>
      </c>
      <c r="O156" s="132"/>
      <c r="P156" s="132"/>
    </row>
    <row r="157" spans="2:16" x14ac:dyDescent="0.25">
      <c r="B157" s="128">
        <v>17</v>
      </c>
      <c r="C157" s="1075" t="str">
        <f>IF(ISBLANK('M&amp;V (ORÇ)'!C153)," ",'M&amp;V (ORÇ)'!C153)</f>
        <v xml:space="preserve"> </v>
      </c>
      <c r="D157" s="1076"/>
      <c r="E157" s="1076"/>
      <c r="F157" s="1076"/>
      <c r="G157" s="1076"/>
      <c r="H157" s="1077"/>
      <c r="I157" s="542" t="str">
        <f>IF(ISBLANK('M&amp;V (ORÇ)'!I153)," ",'M&amp;V (ORÇ)'!I153)</f>
        <v xml:space="preserve"> </v>
      </c>
      <c r="J157" s="542" t="str">
        <f>IF(ISBLANK('M&amp;V (ORÇ)'!J153)," ",'M&amp;V (ORÇ)'!J153)</f>
        <v xml:space="preserve"> </v>
      </c>
      <c r="K157" s="544">
        <f>'M&amp;V (ORÇ)'!K153</f>
        <v>0</v>
      </c>
      <c r="L157" s="543">
        <f>'M&amp;V (ORÇ)'!L153</f>
        <v>0</v>
      </c>
      <c r="M157" s="131">
        <f t="shared" si="8"/>
        <v>0</v>
      </c>
      <c r="N157" s="133">
        <f t="shared" si="9"/>
        <v>0</v>
      </c>
      <c r="O157" s="132"/>
      <c r="P157" s="132"/>
    </row>
    <row r="158" spans="2:16" x14ac:dyDescent="0.25">
      <c r="B158" s="128">
        <v>18</v>
      </c>
      <c r="C158" s="1075" t="str">
        <f>IF(ISBLANK('M&amp;V (ORÇ)'!C154)," ",'M&amp;V (ORÇ)'!C154)</f>
        <v xml:space="preserve"> </v>
      </c>
      <c r="D158" s="1076"/>
      <c r="E158" s="1076"/>
      <c r="F158" s="1076"/>
      <c r="G158" s="1076"/>
      <c r="H158" s="1077"/>
      <c r="I158" s="542" t="str">
        <f>IF(ISBLANK('M&amp;V (ORÇ)'!I154)," ",'M&amp;V (ORÇ)'!I154)</f>
        <v xml:space="preserve"> </v>
      </c>
      <c r="J158" s="542" t="str">
        <f>IF(ISBLANK('M&amp;V (ORÇ)'!J154)," ",'M&amp;V (ORÇ)'!J154)</f>
        <v xml:space="preserve"> </v>
      </c>
      <c r="K158" s="544">
        <f>'M&amp;V (ORÇ)'!K154</f>
        <v>0</v>
      </c>
      <c r="L158" s="543">
        <f>'M&amp;V (ORÇ)'!L154</f>
        <v>0</v>
      </c>
      <c r="M158" s="131">
        <f t="shared" si="8"/>
        <v>0</v>
      </c>
      <c r="N158" s="133">
        <f t="shared" si="9"/>
        <v>0</v>
      </c>
      <c r="O158" s="132"/>
      <c r="P158" s="132"/>
    </row>
    <row r="159" spans="2:16" x14ac:dyDescent="0.25">
      <c r="B159" s="128">
        <v>19</v>
      </c>
      <c r="C159" s="1075" t="str">
        <f>IF(ISBLANK('M&amp;V (ORÇ)'!C155)," ",'M&amp;V (ORÇ)'!C155)</f>
        <v xml:space="preserve"> </v>
      </c>
      <c r="D159" s="1076"/>
      <c r="E159" s="1076"/>
      <c r="F159" s="1076"/>
      <c r="G159" s="1076"/>
      <c r="H159" s="1077"/>
      <c r="I159" s="542" t="str">
        <f>IF(ISBLANK('M&amp;V (ORÇ)'!I155)," ",'M&amp;V (ORÇ)'!I155)</f>
        <v xml:space="preserve"> </v>
      </c>
      <c r="J159" s="542" t="str">
        <f>IF(ISBLANK('M&amp;V (ORÇ)'!J155)," ",'M&amp;V (ORÇ)'!J155)</f>
        <v xml:space="preserve"> </v>
      </c>
      <c r="K159" s="544">
        <f>'M&amp;V (ORÇ)'!K155</f>
        <v>0</v>
      </c>
      <c r="L159" s="543">
        <f>'M&amp;V (ORÇ)'!L155</f>
        <v>0</v>
      </c>
      <c r="M159" s="131">
        <f t="shared" si="8"/>
        <v>0</v>
      </c>
      <c r="N159" s="133">
        <f t="shared" si="9"/>
        <v>0</v>
      </c>
      <c r="O159" s="132"/>
      <c r="P159" s="132"/>
    </row>
    <row r="160" spans="2:16" x14ac:dyDescent="0.25">
      <c r="B160" s="128">
        <v>20</v>
      </c>
      <c r="C160" s="1075" t="str">
        <f>IF(ISBLANK('M&amp;V (ORÇ)'!C156)," ",'M&amp;V (ORÇ)'!C156)</f>
        <v xml:space="preserve"> </v>
      </c>
      <c r="D160" s="1076"/>
      <c r="E160" s="1076"/>
      <c r="F160" s="1076"/>
      <c r="G160" s="1076"/>
      <c r="H160" s="1077"/>
      <c r="I160" s="542" t="str">
        <f>IF(ISBLANK('M&amp;V (ORÇ)'!I156)," ",'M&amp;V (ORÇ)'!I156)</f>
        <v xml:space="preserve"> </v>
      </c>
      <c r="J160" s="542" t="str">
        <f>IF(ISBLANK('M&amp;V (ORÇ)'!J156)," ",'M&amp;V (ORÇ)'!J156)</f>
        <v xml:space="preserve"> </v>
      </c>
      <c r="K160" s="544">
        <f>'M&amp;V (ORÇ)'!K156</f>
        <v>0</v>
      </c>
      <c r="L160" s="543">
        <f>'M&amp;V (ORÇ)'!L156</f>
        <v>0</v>
      </c>
      <c r="M160" s="131">
        <f t="shared" si="8"/>
        <v>0</v>
      </c>
      <c r="N160" s="133">
        <f t="shared" si="9"/>
        <v>0</v>
      </c>
      <c r="O160" s="132"/>
      <c r="P160" s="132"/>
    </row>
    <row r="161" spans="2:16" x14ac:dyDescent="0.25">
      <c r="B161" s="134"/>
      <c r="C161" s="1078" t="s">
        <v>247</v>
      </c>
      <c r="D161" s="1078"/>
      <c r="E161" s="1078"/>
      <c r="F161" s="1078"/>
      <c r="G161" s="1078"/>
      <c r="H161" s="1078"/>
      <c r="I161" s="1078"/>
      <c r="J161" s="1078"/>
      <c r="K161" s="1078"/>
      <c r="L161" s="1079"/>
      <c r="M161" s="135">
        <f>SUM(M141:M160)</f>
        <v>0</v>
      </c>
      <c r="N161" s="135">
        <f>SUM(N141:N160)</f>
        <v>0</v>
      </c>
      <c r="O161" s="135">
        <f>SUM(O141:O160)</f>
        <v>0</v>
      </c>
      <c r="P161" s="135">
        <f>SUM(P141:P160)</f>
        <v>0</v>
      </c>
    </row>
    <row r="162" spans="2:16" x14ac:dyDescent="0.25">
      <c r="B162" s="137"/>
      <c r="C162" s="1111" t="s">
        <v>248</v>
      </c>
      <c r="D162" s="1111"/>
      <c r="E162" s="1111"/>
      <c r="F162" s="1111"/>
      <c r="G162" s="1111"/>
      <c r="H162" s="1111"/>
      <c r="I162" s="1111"/>
      <c r="J162" s="1111"/>
      <c r="K162" s="1111"/>
      <c r="L162" s="1112"/>
      <c r="M162" s="138">
        <f>SUM(M138,M161)</f>
        <v>0</v>
      </c>
      <c r="N162" s="139">
        <f>SUM(N138,N161)</f>
        <v>0</v>
      </c>
      <c r="O162" s="139">
        <f>SUM(O138,O161)</f>
        <v>0</v>
      </c>
      <c r="P162" s="139">
        <f>SUM(P138,P161)</f>
        <v>0</v>
      </c>
    </row>
    <row r="163" spans="2:16" x14ac:dyDescent="0.25">
      <c r="B163" s="1060" t="s">
        <v>682</v>
      </c>
      <c r="C163" s="1061"/>
      <c r="D163" s="1061"/>
      <c r="E163" s="1061"/>
      <c r="F163" s="1061"/>
      <c r="G163" s="1061"/>
      <c r="H163" s="1061"/>
      <c r="I163" s="1061"/>
      <c r="J163" s="1061"/>
      <c r="K163" s="1061"/>
      <c r="L163" s="1061"/>
      <c r="M163" s="1061"/>
      <c r="N163" s="1061"/>
      <c r="O163" s="1061"/>
      <c r="P163" s="1062"/>
    </row>
    <row r="164" spans="2:16" x14ac:dyDescent="0.25">
      <c r="B164" s="1104" t="s">
        <v>234</v>
      </c>
      <c r="C164" s="1105"/>
      <c r="D164" s="1105"/>
      <c r="E164" s="1105"/>
      <c r="F164" s="1105"/>
      <c r="G164" s="1105"/>
      <c r="H164" s="1105"/>
      <c r="I164" s="1105"/>
      <c r="J164" s="1105"/>
      <c r="K164" s="1105"/>
      <c r="L164" s="1105"/>
      <c r="M164" s="1105"/>
      <c r="N164" s="1105"/>
      <c r="O164" s="1105" t="str">
        <f>B164</f>
        <v>PERÍODO DE REFERÊNCIA</v>
      </c>
      <c r="P164" s="1106"/>
    </row>
    <row r="165" spans="2:16" x14ac:dyDescent="0.25">
      <c r="B165" s="1043" t="s">
        <v>235</v>
      </c>
      <c r="C165" s="1044"/>
      <c r="D165" s="1044"/>
      <c r="E165" s="1044"/>
      <c r="F165" s="1044"/>
      <c r="G165" s="1044"/>
      <c r="H165" s="1045"/>
      <c r="I165" s="125" t="s">
        <v>236</v>
      </c>
      <c r="J165" s="126" t="s">
        <v>237</v>
      </c>
      <c r="K165" s="126" t="s">
        <v>238</v>
      </c>
      <c r="L165" s="126" t="s">
        <v>239</v>
      </c>
      <c r="M165" s="126" t="s">
        <v>0</v>
      </c>
      <c r="N165" s="328" t="s">
        <v>796</v>
      </c>
      <c r="O165" s="328" t="s">
        <v>240</v>
      </c>
      <c r="P165" s="329" t="s">
        <v>241</v>
      </c>
    </row>
    <row r="166" spans="2:16" x14ac:dyDescent="0.25">
      <c r="B166" s="128">
        <v>1</v>
      </c>
      <c r="C166" s="1075" t="str">
        <f>IF(ISBLANK('M&amp;V (ORÇ)'!C160)," ",'M&amp;V (ORÇ)'!C160)</f>
        <v xml:space="preserve"> </v>
      </c>
      <c r="D166" s="1076"/>
      <c r="E166" s="1076"/>
      <c r="F166" s="1076"/>
      <c r="G166" s="1076"/>
      <c r="H166" s="1077"/>
      <c r="I166" s="542" t="str">
        <f>IF(ISBLANK('M&amp;V (ORÇ)'!I160)," ",'M&amp;V (ORÇ)'!I160)</f>
        <v xml:space="preserve"> </v>
      </c>
      <c r="J166" s="542" t="str">
        <f>IF(ISBLANK('M&amp;V (ORÇ)'!J160)," ",'M&amp;V (ORÇ)'!J160)</f>
        <v xml:space="preserve"> </v>
      </c>
      <c r="K166" s="544">
        <f>'M&amp;V (ORÇ)'!K160</f>
        <v>0</v>
      </c>
      <c r="L166" s="543">
        <f>'M&amp;V (ORÇ)'!L160</f>
        <v>0</v>
      </c>
      <c r="M166" s="131">
        <f t="shared" ref="M166:M215" si="10">IF(J166="",0,K166*L166)</f>
        <v>0</v>
      </c>
      <c r="N166" s="133">
        <f t="shared" ref="N166:N197" si="11">M166-O166-P166</f>
        <v>0</v>
      </c>
      <c r="O166" s="132"/>
      <c r="P166" s="132"/>
    </row>
    <row r="167" spans="2:16" x14ac:dyDescent="0.25">
      <c r="B167" s="128">
        <v>2</v>
      </c>
      <c r="C167" s="1075" t="str">
        <f>IF(ISBLANK('M&amp;V (ORÇ)'!C161)," ",'M&amp;V (ORÇ)'!C161)</f>
        <v xml:space="preserve"> </v>
      </c>
      <c r="D167" s="1076"/>
      <c r="E167" s="1076"/>
      <c r="F167" s="1076"/>
      <c r="G167" s="1076"/>
      <c r="H167" s="1077"/>
      <c r="I167" s="542" t="str">
        <f>IF(ISBLANK('M&amp;V (ORÇ)'!I161)," ",'M&amp;V (ORÇ)'!I161)</f>
        <v xml:space="preserve"> </v>
      </c>
      <c r="J167" s="542" t="str">
        <f>IF(ISBLANK('M&amp;V (ORÇ)'!J161)," ",'M&amp;V (ORÇ)'!J161)</f>
        <v xml:space="preserve"> </v>
      </c>
      <c r="K167" s="544">
        <f>'M&amp;V (ORÇ)'!K161</f>
        <v>0</v>
      </c>
      <c r="L167" s="543">
        <f>'M&amp;V (ORÇ)'!L161</f>
        <v>0</v>
      </c>
      <c r="M167" s="131">
        <f t="shared" si="10"/>
        <v>0</v>
      </c>
      <c r="N167" s="133">
        <f t="shared" si="11"/>
        <v>0</v>
      </c>
      <c r="O167" s="132"/>
      <c r="P167" s="132"/>
    </row>
    <row r="168" spans="2:16" x14ac:dyDescent="0.25">
      <c r="B168" s="128">
        <v>3</v>
      </c>
      <c r="C168" s="1075" t="str">
        <f>IF(ISBLANK('M&amp;V (ORÇ)'!C162)," ",'M&amp;V (ORÇ)'!C162)</f>
        <v xml:space="preserve"> </v>
      </c>
      <c r="D168" s="1076"/>
      <c r="E168" s="1076"/>
      <c r="F168" s="1076"/>
      <c r="G168" s="1076"/>
      <c r="H168" s="1077"/>
      <c r="I168" s="542" t="str">
        <f>IF(ISBLANK('M&amp;V (ORÇ)'!I162)," ",'M&amp;V (ORÇ)'!I162)</f>
        <v xml:space="preserve"> </v>
      </c>
      <c r="J168" s="542" t="str">
        <f>IF(ISBLANK('M&amp;V (ORÇ)'!J162)," ",'M&amp;V (ORÇ)'!J162)</f>
        <v xml:space="preserve"> </v>
      </c>
      <c r="K168" s="544">
        <f>'M&amp;V (ORÇ)'!K162</f>
        <v>0</v>
      </c>
      <c r="L168" s="543">
        <f>'M&amp;V (ORÇ)'!L162</f>
        <v>0</v>
      </c>
      <c r="M168" s="131">
        <f t="shared" si="10"/>
        <v>0</v>
      </c>
      <c r="N168" s="133">
        <f t="shared" si="11"/>
        <v>0</v>
      </c>
      <c r="O168" s="132"/>
      <c r="P168" s="132"/>
    </row>
    <row r="169" spans="2:16" x14ac:dyDescent="0.25">
      <c r="B169" s="128">
        <v>4</v>
      </c>
      <c r="C169" s="1075" t="str">
        <f>IF(ISBLANK('M&amp;V (ORÇ)'!C163)," ",'M&amp;V (ORÇ)'!C163)</f>
        <v xml:space="preserve"> </v>
      </c>
      <c r="D169" s="1076"/>
      <c r="E169" s="1076"/>
      <c r="F169" s="1076"/>
      <c r="G169" s="1076"/>
      <c r="H169" s="1077"/>
      <c r="I169" s="542" t="str">
        <f>IF(ISBLANK('M&amp;V (ORÇ)'!I163)," ",'M&amp;V (ORÇ)'!I163)</f>
        <v xml:space="preserve"> </v>
      </c>
      <c r="J169" s="542" t="str">
        <f>IF(ISBLANK('M&amp;V (ORÇ)'!J163)," ",'M&amp;V (ORÇ)'!J163)</f>
        <v xml:space="preserve"> </v>
      </c>
      <c r="K169" s="544">
        <f>'M&amp;V (ORÇ)'!K163</f>
        <v>0</v>
      </c>
      <c r="L169" s="543">
        <f>'M&amp;V (ORÇ)'!L163</f>
        <v>0</v>
      </c>
      <c r="M169" s="131">
        <f t="shared" si="10"/>
        <v>0</v>
      </c>
      <c r="N169" s="133">
        <f t="shared" si="11"/>
        <v>0</v>
      </c>
      <c r="O169" s="132"/>
      <c r="P169" s="132"/>
    </row>
    <row r="170" spans="2:16" x14ac:dyDescent="0.25">
      <c r="B170" s="128">
        <v>5</v>
      </c>
      <c r="C170" s="1075" t="str">
        <f>IF(ISBLANK('M&amp;V (ORÇ)'!C164)," ",'M&amp;V (ORÇ)'!C164)</f>
        <v xml:space="preserve"> </v>
      </c>
      <c r="D170" s="1076"/>
      <c r="E170" s="1076"/>
      <c r="F170" s="1076"/>
      <c r="G170" s="1076"/>
      <c r="H170" s="1077"/>
      <c r="I170" s="542" t="str">
        <f>IF(ISBLANK('M&amp;V (ORÇ)'!I164)," ",'M&amp;V (ORÇ)'!I164)</f>
        <v xml:space="preserve"> </v>
      </c>
      <c r="J170" s="542" t="str">
        <f>IF(ISBLANK('M&amp;V (ORÇ)'!J164)," ",'M&amp;V (ORÇ)'!J164)</f>
        <v xml:space="preserve"> </v>
      </c>
      <c r="K170" s="544">
        <f>'M&amp;V (ORÇ)'!K164</f>
        <v>0</v>
      </c>
      <c r="L170" s="543">
        <f>'M&amp;V (ORÇ)'!L164</f>
        <v>0</v>
      </c>
      <c r="M170" s="131">
        <f t="shared" si="10"/>
        <v>0</v>
      </c>
      <c r="N170" s="133">
        <f t="shared" si="11"/>
        <v>0</v>
      </c>
      <c r="O170" s="132"/>
      <c r="P170" s="132"/>
    </row>
    <row r="171" spans="2:16" x14ac:dyDescent="0.25">
      <c r="B171" s="128">
        <v>6</v>
      </c>
      <c r="C171" s="1075" t="str">
        <f>IF(ISBLANK('M&amp;V (ORÇ)'!C165)," ",'M&amp;V (ORÇ)'!C165)</f>
        <v xml:space="preserve"> </v>
      </c>
      <c r="D171" s="1076"/>
      <c r="E171" s="1076"/>
      <c r="F171" s="1076"/>
      <c r="G171" s="1076"/>
      <c r="H171" s="1077"/>
      <c r="I171" s="542" t="str">
        <f>IF(ISBLANK('M&amp;V (ORÇ)'!I165)," ",'M&amp;V (ORÇ)'!I165)</f>
        <v xml:space="preserve"> </v>
      </c>
      <c r="J171" s="542" t="str">
        <f>IF(ISBLANK('M&amp;V (ORÇ)'!J165)," ",'M&amp;V (ORÇ)'!J165)</f>
        <v xml:space="preserve"> </v>
      </c>
      <c r="K171" s="544">
        <f>'M&amp;V (ORÇ)'!K165</f>
        <v>0</v>
      </c>
      <c r="L171" s="543">
        <f>'M&amp;V (ORÇ)'!L165</f>
        <v>0</v>
      </c>
      <c r="M171" s="131">
        <f t="shared" si="10"/>
        <v>0</v>
      </c>
      <c r="N171" s="133">
        <f t="shared" si="11"/>
        <v>0</v>
      </c>
      <c r="O171" s="132"/>
      <c r="P171" s="132"/>
    </row>
    <row r="172" spans="2:16" x14ac:dyDescent="0.25">
      <c r="B172" s="128">
        <v>7</v>
      </c>
      <c r="C172" s="1075" t="str">
        <f>IF(ISBLANK('M&amp;V (ORÇ)'!C166)," ",'M&amp;V (ORÇ)'!C166)</f>
        <v xml:space="preserve"> </v>
      </c>
      <c r="D172" s="1076"/>
      <c r="E172" s="1076"/>
      <c r="F172" s="1076"/>
      <c r="G172" s="1076"/>
      <c r="H172" s="1077"/>
      <c r="I172" s="542" t="str">
        <f>IF(ISBLANK('M&amp;V (ORÇ)'!I166)," ",'M&amp;V (ORÇ)'!I166)</f>
        <v xml:space="preserve"> </v>
      </c>
      <c r="J172" s="542" t="str">
        <f>IF(ISBLANK('M&amp;V (ORÇ)'!J166)," ",'M&amp;V (ORÇ)'!J166)</f>
        <v xml:space="preserve"> </v>
      </c>
      <c r="K172" s="544">
        <f>'M&amp;V (ORÇ)'!K166</f>
        <v>0</v>
      </c>
      <c r="L172" s="543">
        <f>'M&amp;V (ORÇ)'!L166</f>
        <v>0</v>
      </c>
      <c r="M172" s="131">
        <f t="shared" si="10"/>
        <v>0</v>
      </c>
      <c r="N172" s="133">
        <f t="shared" si="11"/>
        <v>0</v>
      </c>
      <c r="O172" s="132"/>
      <c r="P172" s="132"/>
    </row>
    <row r="173" spans="2:16" x14ac:dyDescent="0.25">
      <c r="B173" s="128">
        <v>8</v>
      </c>
      <c r="C173" s="1075" t="str">
        <f>IF(ISBLANK('M&amp;V (ORÇ)'!C167)," ",'M&amp;V (ORÇ)'!C167)</f>
        <v xml:space="preserve"> </v>
      </c>
      <c r="D173" s="1076"/>
      <c r="E173" s="1076"/>
      <c r="F173" s="1076"/>
      <c r="G173" s="1076"/>
      <c r="H173" s="1077"/>
      <c r="I173" s="542" t="str">
        <f>IF(ISBLANK('M&amp;V (ORÇ)'!I167)," ",'M&amp;V (ORÇ)'!I167)</f>
        <v xml:space="preserve"> </v>
      </c>
      <c r="J173" s="542" t="str">
        <f>IF(ISBLANK('M&amp;V (ORÇ)'!J167)," ",'M&amp;V (ORÇ)'!J167)</f>
        <v xml:space="preserve"> </v>
      </c>
      <c r="K173" s="544">
        <f>'M&amp;V (ORÇ)'!K167</f>
        <v>0</v>
      </c>
      <c r="L173" s="543">
        <f>'M&amp;V (ORÇ)'!L167</f>
        <v>0</v>
      </c>
      <c r="M173" s="131">
        <f t="shared" si="10"/>
        <v>0</v>
      </c>
      <c r="N173" s="133">
        <f t="shared" si="11"/>
        <v>0</v>
      </c>
      <c r="O173" s="132"/>
      <c r="P173" s="132"/>
    </row>
    <row r="174" spans="2:16" x14ac:dyDescent="0.25">
      <c r="B174" s="128">
        <v>9</v>
      </c>
      <c r="C174" s="1075" t="str">
        <f>IF(ISBLANK('M&amp;V (ORÇ)'!C168)," ",'M&amp;V (ORÇ)'!C168)</f>
        <v xml:space="preserve"> </v>
      </c>
      <c r="D174" s="1076"/>
      <c r="E174" s="1076"/>
      <c r="F174" s="1076"/>
      <c r="G174" s="1076"/>
      <c r="H174" s="1077"/>
      <c r="I174" s="542" t="str">
        <f>IF(ISBLANK('M&amp;V (ORÇ)'!I168)," ",'M&amp;V (ORÇ)'!I168)</f>
        <v xml:space="preserve"> </v>
      </c>
      <c r="J174" s="542" t="str">
        <f>IF(ISBLANK('M&amp;V (ORÇ)'!J168)," ",'M&amp;V (ORÇ)'!J168)</f>
        <v xml:space="preserve"> </v>
      </c>
      <c r="K174" s="544">
        <f>'M&amp;V (ORÇ)'!K168</f>
        <v>0</v>
      </c>
      <c r="L174" s="543">
        <f>'M&amp;V (ORÇ)'!L168</f>
        <v>0</v>
      </c>
      <c r="M174" s="131">
        <f t="shared" si="10"/>
        <v>0</v>
      </c>
      <c r="N174" s="133">
        <f t="shared" si="11"/>
        <v>0</v>
      </c>
      <c r="O174" s="132"/>
      <c r="P174" s="132"/>
    </row>
    <row r="175" spans="2:16" x14ac:dyDescent="0.25">
      <c r="B175" s="128">
        <v>10</v>
      </c>
      <c r="C175" s="1075" t="str">
        <f>IF(ISBLANK('M&amp;V (ORÇ)'!C169)," ",'M&amp;V (ORÇ)'!C169)</f>
        <v xml:space="preserve"> </v>
      </c>
      <c r="D175" s="1076"/>
      <c r="E175" s="1076"/>
      <c r="F175" s="1076"/>
      <c r="G175" s="1076"/>
      <c r="H175" s="1077"/>
      <c r="I175" s="542" t="str">
        <f>IF(ISBLANK('M&amp;V (ORÇ)'!I169)," ",'M&amp;V (ORÇ)'!I169)</f>
        <v xml:space="preserve"> </v>
      </c>
      <c r="J175" s="542" t="str">
        <f>IF(ISBLANK('M&amp;V (ORÇ)'!J169)," ",'M&amp;V (ORÇ)'!J169)</f>
        <v xml:space="preserve"> </v>
      </c>
      <c r="K175" s="544">
        <f>'M&amp;V (ORÇ)'!K169</f>
        <v>0</v>
      </c>
      <c r="L175" s="543">
        <f>'M&amp;V (ORÇ)'!L169</f>
        <v>0</v>
      </c>
      <c r="M175" s="131">
        <f t="shared" si="10"/>
        <v>0</v>
      </c>
      <c r="N175" s="133">
        <f t="shared" si="11"/>
        <v>0</v>
      </c>
      <c r="O175" s="132"/>
      <c r="P175" s="132"/>
    </row>
    <row r="176" spans="2:16" x14ac:dyDescent="0.25">
      <c r="B176" s="128">
        <v>11</v>
      </c>
      <c r="C176" s="1075" t="str">
        <f>IF(ISBLANK('M&amp;V (ORÇ)'!C170)," ",'M&amp;V (ORÇ)'!C170)</f>
        <v xml:space="preserve"> </v>
      </c>
      <c r="D176" s="1076"/>
      <c r="E176" s="1076"/>
      <c r="F176" s="1076"/>
      <c r="G176" s="1076"/>
      <c r="H176" s="1077"/>
      <c r="I176" s="542" t="str">
        <f>IF(ISBLANK('M&amp;V (ORÇ)'!I170)," ",'M&amp;V (ORÇ)'!I170)</f>
        <v xml:space="preserve"> </v>
      </c>
      <c r="J176" s="542" t="str">
        <f>IF(ISBLANK('M&amp;V (ORÇ)'!J170)," ",'M&amp;V (ORÇ)'!J170)</f>
        <v xml:space="preserve"> </v>
      </c>
      <c r="K176" s="544">
        <f>'M&amp;V (ORÇ)'!K170</f>
        <v>0</v>
      </c>
      <c r="L176" s="543">
        <f>'M&amp;V (ORÇ)'!L170</f>
        <v>0</v>
      </c>
      <c r="M176" s="131">
        <f t="shared" si="10"/>
        <v>0</v>
      </c>
      <c r="N176" s="133">
        <f t="shared" si="11"/>
        <v>0</v>
      </c>
      <c r="O176" s="132"/>
      <c r="P176" s="132"/>
    </row>
    <row r="177" spans="2:16" x14ac:dyDescent="0.25">
      <c r="B177" s="128">
        <v>12</v>
      </c>
      <c r="C177" s="1075" t="str">
        <f>IF(ISBLANK('M&amp;V (ORÇ)'!C171)," ",'M&amp;V (ORÇ)'!C171)</f>
        <v xml:space="preserve"> </v>
      </c>
      <c r="D177" s="1076"/>
      <c r="E177" s="1076"/>
      <c r="F177" s="1076"/>
      <c r="G177" s="1076"/>
      <c r="H177" s="1077"/>
      <c r="I177" s="542" t="str">
        <f>IF(ISBLANK('M&amp;V (ORÇ)'!I171)," ",'M&amp;V (ORÇ)'!I171)</f>
        <v xml:space="preserve"> </v>
      </c>
      <c r="J177" s="542" t="str">
        <f>IF(ISBLANK('M&amp;V (ORÇ)'!J171)," ",'M&amp;V (ORÇ)'!J171)</f>
        <v xml:space="preserve"> </v>
      </c>
      <c r="K177" s="544">
        <f>'M&amp;V (ORÇ)'!K171</f>
        <v>0</v>
      </c>
      <c r="L177" s="543">
        <f>'M&amp;V (ORÇ)'!L171</f>
        <v>0</v>
      </c>
      <c r="M177" s="131">
        <f t="shared" si="10"/>
        <v>0</v>
      </c>
      <c r="N177" s="133">
        <f t="shared" si="11"/>
        <v>0</v>
      </c>
      <c r="O177" s="132"/>
      <c r="P177" s="132"/>
    </row>
    <row r="178" spans="2:16" x14ac:dyDescent="0.25">
      <c r="B178" s="128">
        <v>13</v>
      </c>
      <c r="C178" s="1075" t="str">
        <f>IF(ISBLANK('M&amp;V (ORÇ)'!C172)," ",'M&amp;V (ORÇ)'!C172)</f>
        <v xml:space="preserve"> </v>
      </c>
      <c r="D178" s="1076"/>
      <c r="E178" s="1076"/>
      <c r="F178" s="1076"/>
      <c r="G178" s="1076"/>
      <c r="H178" s="1077"/>
      <c r="I178" s="542" t="str">
        <f>IF(ISBLANK('M&amp;V (ORÇ)'!I172)," ",'M&amp;V (ORÇ)'!I172)</f>
        <v xml:space="preserve"> </v>
      </c>
      <c r="J178" s="542" t="str">
        <f>IF(ISBLANK('M&amp;V (ORÇ)'!J172)," ",'M&amp;V (ORÇ)'!J172)</f>
        <v xml:space="preserve"> </v>
      </c>
      <c r="K178" s="544">
        <f>'M&amp;V (ORÇ)'!K172</f>
        <v>0</v>
      </c>
      <c r="L178" s="543">
        <f>'M&amp;V (ORÇ)'!L172</f>
        <v>0</v>
      </c>
      <c r="M178" s="131">
        <f t="shared" si="10"/>
        <v>0</v>
      </c>
      <c r="N178" s="133">
        <f t="shared" si="11"/>
        <v>0</v>
      </c>
      <c r="O178" s="132"/>
      <c r="P178" s="132"/>
    </row>
    <row r="179" spans="2:16" x14ac:dyDescent="0.25">
      <c r="B179" s="128">
        <v>14</v>
      </c>
      <c r="C179" s="1075" t="str">
        <f>IF(ISBLANK('M&amp;V (ORÇ)'!C173)," ",'M&amp;V (ORÇ)'!C173)</f>
        <v xml:space="preserve"> </v>
      </c>
      <c r="D179" s="1076"/>
      <c r="E179" s="1076"/>
      <c r="F179" s="1076"/>
      <c r="G179" s="1076"/>
      <c r="H179" s="1077"/>
      <c r="I179" s="542" t="str">
        <f>IF(ISBLANK('M&amp;V (ORÇ)'!I173)," ",'M&amp;V (ORÇ)'!I173)</f>
        <v xml:space="preserve"> </v>
      </c>
      <c r="J179" s="542" t="str">
        <f>IF(ISBLANK('M&amp;V (ORÇ)'!J173)," ",'M&amp;V (ORÇ)'!J173)</f>
        <v xml:space="preserve"> </v>
      </c>
      <c r="K179" s="544">
        <f>'M&amp;V (ORÇ)'!K173</f>
        <v>0</v>
      </c>
      <c r="L179" s="543">
        <f>'M&amp;V (ORÇ)'!L173</f>
        <v>0</v>
      </c>
      <c r="M179" s="131">
        <f t="shared" si="10"/>
        <v>0</v>
      </c>
      <c r="N179" s="133">
        <f t="shared" si="11"/>
        <v>0</v>
      </c>
      <c r="O179" s="132"/>
      <c r="P179" s="132"/>
    </row>
    <row r="180" spans="2:16" x14ac:dyDescent="0.25">
      <c r="B180" s="128">
        <v>15</v>
      </c>
      <c r="C180" s="1075" t="str">
        <f>IF(ISBLANK('M&amp;V (ORÇ)'!C174)," ",'M&amp;V (ORÇ)'!C174)</f>
        <v xml:space="preserve"> </v>
      </c>
      <c r="D180" s="1076"/>
      <c r="E180" s="1076"/>
      <c r="F180" s="1076"/>
      <c r="G180" s="1076"/>
      <c r="H180" s="1077"/>
      <c r="I180" s="542" t="str">
        <f>IF(ISBLANK('M&amp;V (ORÇ)'!I174)," ",'M&amp;V (ORÇ)'!I174)</f>
        <v xml:space="preserve"> </v>
      </c>
      <c r="J180" s="542" t="str">
        <f>IF(ISBLANK('M&amp;V (ORÇ)'!J174)," ",'M&amp;V (ORÇ)'!J174)</f>
        <v xml:space="preserve"> </v>
      </c>
      <c r="K180" s="544">
        <f>'M&amp;V (ORÇ)'!K174</f>
        <v>0</v>
      </c>
      <c r="L180" s="543">
        <f>'M&amp;V (ORÇ)'!L174</f>
        <v>0</v>
      </c>
      <c r="M180" s="131">
        <f t="shared" si="10"/>
        <v>0</v>
      </c>
      <c r="N180" s="133">
        <f t="shared" si="11"/>
        <v>0</v>
      </c>
      <c r="O180" s="132"/>
      <c r="P180" s="132"/>
    </row>
    <row r="181" spans="2:16" x14ac:dyDescent="0.25">
      <c r="B181" s="128">
        <v>16</v>
      </c>
      <c r="C181" s="1075" t="str">
        <f>IF(ISBLANK('M&amp;V (ORÇ)'!C175)," ",'M&amp;V (ORÇ)'!C175)</f>
        <v xml:space="preserve"> </v>
      </c>
      <c r="D181" s="1076"/>
      <c r="E181" s="1076"/>
      <c r="F181" s="1076"/>
      <c r="G181" s="1076"/>
      <c r="H181" s="1077"/>
      <c r="I181" s="542" t="str">
        <f>IF(ISBLANK('M&amp;V (ORÇ)'!I175)," ",'M&amp;V (ORÇ)'!I175)</f>
        <v xml:space="preserve"> </v>
      </c>
      <c r="J181" s="542" t="str">
        <f>IF(ISBLANK('M&amp;V (ORÇ)'!J175)," ",'M&amp;V (ORÇ)'!J175)</f>
        <v xml:space="preserve"> </v>
      </c>
      <c r="K181" s="544">
        <f>'M&amp;V (ORÇ)'!K175</f>
        <v>0</v>
      </c>
      <c r="L181" s="543">
        <f>'M&amp;V (ORÇ)'!L175</f>
        <v>0</v>
      </c>
      <c r="M181" s="131">
        <f t="shared" si="10"/>
        <v>0</v>
      </c>
      <c r="N181" s="133">
        <f t="shared" si="11"/>
        <v>0</v>
      </c>
      <c r="O181" s="132"/>
      <c r="P181" s="132"/>
    </row>
    <row r="182" spans="2:16" x14ac:dyDescent="0.25">
      <c r="B182" s="128">
        <v>17</v>
      </c>
      <c r="C182" s="1075" t="str">
        <f>IF(ISBLANK('M&amp;V (ORÇ)'!C176)," ",'M&amp;V (ORÇ)'!C176)</f>
        <v xml:space="preserve"> </v>
      </c>
      <c r="D182" s="1076"/>
      <c r="E182" s="1076"/>
      <c r="F182" s="1076"/>
      <c r="G182" s="1076"/>
      <c r="H182" s="1077"/>
      <c r="I182" s="542" t="str">
        <f>IF(ISBLANK('M&amp;V (ORÇ)'!I176)," ",'M&amp;V (ORÇ)'!I176)</f>
        <v xml:space="preserve"> </v>
      </c>
      <c r="J182" s="542" t="str">
        <f>IF(ISBLANK('M&amp;V (ORÇ)'!J176)," ",'M&amp;V (ORÇ)'!J176)</f>
        <v xml:space="preserve"> </v>
      </c>
      <c r="K182" s="544">
        <f>'M&amp;V (ORÇ)'!K176</f>
        <v>0</v>
      </c>
      <c r="L182" s="543">
        <f>'M&amp;V (ORÇ)'!L176</f>
        <v>0</v>
      </c>
      <c r="M182" s="131">
        <f t="shared" si="10"/>
        <v>0</v>
      </c>
      <c r="N182" s="133">
        <f t="shared" si="11"/>
        <v>0</v>
      </c>
      <c r="O182" s="132"/>
      <c r="P182" s="132"/>
    </row>
    <row r="183" spans="2:16" x14ac:dyDescent="0.25">
      <c r="B183" s="128">
        <v>18</v>
      </c>
      <c r="C183" s="1075" t="str">
        <f>IF(ISBLANK('M&amp;V (ORÇ)'!C177)," ",'M&amp;V (ORÇ)'!C177)</f>
        <v xml:space="preserve"> </v>
      </c>
      <c r="D183" s="1076"/>
      <c r="E183" s="1076"/>
      <c r="F183" s="1076"/>
      <c r="G183" s="1076"/>
      <c r="H183" s="1077"/>
      <c r="I183" s="542" t="str">
        <f>IF(ISBLANK('M&amp;V (ORÇ)'!I177)," ",'M&amp;V (ORÇ)'!I177)</f>
        <v xml:space="preserve"> </v>
      </c>
      <c r="J183" s="542" t="str">
        <f>IF(ISBLANK('M&amp;V (ORÇ)'!J177)," ",'M&amp;V (ORÇ)'!J177)</f>
        <v xml:space="preserve"> </v>
      </c>
      <c r="K183" s="544">
        <f>'M&amp;V (ORÇ)'!K177</f>
        <v>0</v>
      </c>
      <c r="L183" s="543">
        <f>'M&amp;V (ORÇ)'!L177</f>
        <v>0</v>
      </c>
      <c r="M183" s="131">
        <f t="shared" si="10"/>
        <v>0</v>
      </c>
      <c r="N183" s="133">
        <f t="shared" si="11"/>
        <v>0</v>
      </c>
      <c r="O183" s="132"/>
      <c r="P183" s="132"/>
    </row>
    <row r="184" spans="2:16" x14ac:dyDescent="0.25">
      <c r="B184" s="128">
        <v>19</v>
      </c>
      <c r="C184" s="1075" t="str">
        <f>IF(ISBLANK('M&amp;V (ORÇ)'!C178)," ",'M&amp;V (ORÇ)'!C178)</f>
        <v xml:space="preserve"> </v>
      </c>
      <c r="D184" s="1076"/>
      <c r="E184" s="1076"/>
      <c r="F184" s="1076"/>
      <c r="G184" s="1076"/>
      <c r="H184" s="1077"/>
      <c r="I184" s="542" t="str">
        <f>IF(ISBLANK('M&amp;V (ORÇ)'!I178)," ",'M&amp;V (ORÇ)'!I178)</f>
        <v xml:space="preserve"> </v>
      </c>
      <c r="J184" s="542" t="str">
        <f>IF(ISBLANK('M&amp;V (ORÇ)'!J178)," ",'M&amp;V (ORÇ)'!J178)</f>
        <v xml:space="preserve"> </v>
      </c>
      <c r="K184" s="544">
        <f>'M&amp;V (ORÇ)'!K178</f>
        <v>0</v>
      </c>
      <c r="L184" s="543">
        <f>'M&amp;V (ORÇ)'!L178</f>
        <v>0</v>
      </c>
      <c r="M184" s="131">
        <f t="shared" si="10"/>
        <v>0</v>
      </c>
      <c r="N184" s="133">
        <f t="shared" si="11"/>
        <v>0</v>
      </c>
      <c r="O184" s="132"/>
      <c r="P184" s="132"/>
    </row>
    <row r="185" spans="2:16" x14ac:dyDescent="0.25">
      <c r="B185" s="128">
        <v>20</v>
      </c>
      <c r="C185" s="1075" t="str">
        <f>IF(ISBLANK('M&amp;V (ORÇ)'!C179)," ",'M&amp;V (ORÇ)'!C179)</f>
        <v xml:space="preserve"> </v>
      </c>
      <c r="D185" s="1076"/>
      <c r="E185" s="1076"/>
      <c r="F185" s="1076"/>
      <c r="G185" s="1076"/>
      <c r="H185" s="1077"/>
      <c r="I185" s="542" t="str">
        <f>IF(ISBLANK('M&amp;V (ORÇ)'!I179)," ",'M&amp;V (ORÇ)'!I179)</f>
        <v xml:space="preserve"> </v>
      </c>
      <c r="J185" s="542" t="str">
        <f>IF(ISBLANK('M&amp;V (ORÇ)'!J179)," ",'M&amp;V (ORÇ)'!J179)</f>
        <v xml:space="preserve"> </v>
      </c>
      <c r="K185" s="544">
        <f>'M&amp;V (ORÇ)'!K179</f>
        <v>0</v>
      </c>
      <c r="L185" s="543">
        <f>'M&amp;V (ORÇ)'!L179</f>
        <v>0</v>
      </c>
      <c r="M185" s="131">
        <f t="shared" si="10"/>
        <v>0</v>
      </c>
      <c r="N185" s="133">
        <f t="shared" si="11"/>
        <v>0</v>
      </c>
      <c r="O185" s="132"/>
      <c r="P185" s="132"/>
    </row>
    <row r="186" spans="2:16" x14ac:dyDescent="0.25">
      <c r="B186" s="128">
        <v>21</v>
      </c>
      <c r="C186" s="1075" t="str">
        <f>IF(ISBLANK('M&amp;V (ORÇ)'!C180)," ",'M&amp;V (ORÇ)'!C180)</f>
        <v xml:space="preserve"> </v>
      </c>
      <c r="D186" s="1076"/>
      <c r="E186" s="1076"/>
      <c r="F186" s="1076"/>
      <c r="G186" s="1076"/>
      <c r="H186" s="1077"/>
      <c r="I186" s="542" t="str">
        <f>IF(ISBLANK('M&amp;V (ORÇ)'!I180)," ",'M&amp;V (ORÇ)'!I180)</f>
        <v xml:space="preserve"> </v>
      </c>
      <c r="J186" s="542" t="str">
        <f>IF(ISBLANK('M&amp;V (ORÇ)'!J180)," ",'M&amp;V (ORÇ)'!J180)</f>
        <v xml:space="preserve"> </v>
      </c>
      <c r="K186" s="544">
        <f>'M&amp;V (ORÇ)'!K180</f>
        <v>0</v>
      </c>
      <c r="L186" s="543">
        <f>'M&amp;V (ORÇ)'!L180</f>
        <v>0</v>
      </c>
      <c r="M186" s="131">
        <f t="shared" si="10"/>
        <v>0</v>
      </c>
      <c r="N186" s="133">
        <f t="shared" si="11"/>
        <v>0</v>
      </c>
      <c r="O186" s="132"/>
      <c r="P186" s="132"/>
    </row>
    <row r="187" spans="2:16" x14ac:dyDescent="0.25">
      <c r="B187" s="128">
        <v>22</v>
      </c>
      <c r="C187" s="1075" t="str">
        <f>IF(ISBLANK('M&amp;V (ORÇ)'!C181)," ",'M&amp;V (ORÇ)'!C181)</f>
        <v xml:space="preserve"> </v>
      </c>
      <c r="D187" s="1076"/>
      <c r="E187" s="1076"/>
      <c r="F187" s="1076"/>
      <c r="G187" s="1076"/>
      <c r="H187" s="1077"/>
      <c r="I187" s="542" t="str">
        <f>IF(ISBLANK('M&amp;V (ORÇ)'!I181)," ",'M&amp;V (ORÇ)'!I181)</f>
        <v xml:space="preserve"> </v>
      </c>
      <c r="J187" s="542" t="str">
        <f>IF(ISBLANK('M&amp;V (ORÇ)'!J181)," ",'M&amp;V (ORÇ)'!J181)</f>
        <v xml:space="preserve"> </v>
      </c>
      <c r="K187" s="544">
        <f>'M&amp;V (ORÇ)'!K181</f>
        <v>0</v>
      </c>
      <c r="L187" s="543">
        <f>'M&amp;V (ORÇ)'!L181</f>
        <v>0</v>
      </c>
      <c r="M187" s="131">
        <f t="shared" si="10"/>
        <v>0</v>
      </c>
      <c r="N187" s="133">
        <f t="shared" si="11"/>
        <v>0</v>
      </c>
      <c r="O187" s="132"/>
      <c r="P187" s="132"/>
    </row>
    <row r="188" spans="2:16" x14ac:dyDescent="0.25">
      <c r="B188" s="128">
        <v>23</v>
      </c>
      <c r="C188" s="1075" t="str">
        <f>IF(ISBLANK('M&amp;V (ORÇ)'!C182)," ",'M&amp;V (ORÇ)'!C182)</f>
        <v xml:space="preserve"> </v>
      </c>
      <c r="D188" s="1076"/>
      <c r="E188" s="1076"/>
      <c r="F188" s="1076"/>
      <c r="G188" s="1076"/>
      <c r="H188" s="1077"/>
      <c r="I188" s="542" t="str">
        <f>IF(ISBLANK('M&amp;V (ORÇ)'!I182)," ",'M&amp;V (ORÇ)'!I182)</f>
        <v xml:space="preserve"> </v>
      </c>
      <c r="J188" s="542" t="str">
        <f>IF(ISBLANK('M&amp;V (ORÇ)'!J182)," ",'M&amp;V (ORÇ)'!J182)</f>
        <v xml:space="preserve"> </v>
      </c>
      <c r="K188" s="544">
        <f>'M&amp;V (ORÇ)'!K182</f>
        <v>0</v>
      </c>
      <c r="L188" s="543">
        <f>'M&amp;V (ORÇ)'!L182</f>
        <v>0</v>
      </c>
      <c r="M188" s="131">
        <f t="shared" si="10"/>
        <v>0</v>
      </c>
      <c r="N188" s="133">
        <f t="shared" si="11"/>
        <v>0</v>
      </c>
      <c r="O188" s="132"/>
      <c r="P188" s="132"/>
    </row>
    <row r="189" spans="2:16" x14ac:dyDescent="0.25">
      <c r="B189" s="128">
        <v>24</v>
      </c>
      <c r="C189" s="1075" t="str">
        <f>IF(ISBLANK('M&amp;V (ORÇ)'!C183)," ",'M&amp;V (ORÇ)'!C183)</f>
        <v xml:space="preserve"> </v>
      </c>
      <c r="D189" s="1076"/>
      <c r="E189" s="1076"/>
      <c r="F189" s="1076"/>
      <c r="G189" s="1076"/>
      <c r="H189" s="1077"/>
      <c r="I189" s="542" t="str">
        <f>IF(ISBLANK('M&amp;V (ORÇ)'!I183)," ",'M&amp;V (ORÇ)'!I183)</f>
        <v xml:space="preserve"> </v>
      </c>
      <c r="J189" s="542" t="str">
        <f>IF(ISBLANK('M&amp;V (ORÇ)'!J183)," ",'M&amp;V (ORÇ)'!J183)</f>
        <v xml:space="preserve"> </v>
      </c>
      <c r="K189" s="544">
        <f>'M&amp;V (ORÇ)'!K183</f>
        <v>0</v>
      </c>
      <c r="L189" s="543">
        <f>'M&amp;V (ORÇ)'!L183</f>
        <v>0</v>
      </c>
      <c r="M189" s="131">
        <f t="shared" si="10"/>
        <v>0</v>
      </c>
      <c r="N189" s="133">
        <f t="shared" si="11"/>
        <v>0</v>
      </c>
      <c r="O189" s="132"/>
      <c r="P189" s="132"/>
    </row>
    <row r="190" spans="2:16" x14ac:dyDescent="0.25">
      <c r="B190" s="128">
        <v>25</v>
      </c>
      <c r="C190" s="1075" t="str">
        <f>IF(ISBLANK('M&amp;V (ORÇ)'!C184)," ",'M&amp;V (ORÇ)'!C184)</f>
        <v xml:space="preserve"> </v>
      </c>
      <c r="D190" s="1076"/>
      <c r="E190" s="1076"/>
      <c r="F190" s="1076"/>
      <c r="G190" s="1076"/>
      <c r="H190" s="1077"/>
      <c r="I190" s="542" t="str">
        <f>IF(ISBLANK('M&amp;V (ORÇ)'!I184)," ",'M&amp;V (ORÇ)'!I184)</f>
        <v xml:space="preserve"> </v>
      </c>
      <c r="J190" s="542" t="str">
        <f>IF(ISBLANK('M&amp;V (ORÇ)'!J184)," ",'M&amp;V (ORÇ)'!J184)</f>
        <v xml:space="preserve"> </v>
      </c>
      <c r="K190" s="544">
        <f>'M&amp;V (ORÇ)'!K184</f>
        <v>0</v>
      </c>
      <c r="L190" s="543">
        <f>'M&amp;V (ORÇ)'!L184</f>
        <v>0</v>
      </c>
      <c r="M190" s="131">
        <f t="shared" si="10"/>
        <v>0</v>
      </c>
      <c r="N190" s="133">
        <f t="shared" si="11"/>
        <v>0</v>
      </c>
      <c r="O190" s="132"/>
      <c r="P190" s="132"/>
    </row>
    <row r="191" spans="2:16" x14ac:dyDescent="0.25">
      <c r="B191" s="128">
        <v>26</v>
      </c>
      <c r="C191" s="1075" t="str">
        <f>IF(ISBLANK('M&amp;V (ORÇ)'!C185)," ",'M&amp;V (ORÇ)'!C185)</f>
        <v xml:space="preserve"> </v>
      </c>
      <c r="D191" s="1076"/>
      <c r="E191" s="1076"/>
      <c r="F191" s="1076"/>
      <c r="G191" s="1076"/>
      <c r="H191" s="1077"/>
      <c r="I191" s="542" t="str">
        <f>IF(ISBLANK('M&amp;V (ORÇ)'!I185)," ",'M&amp;V (ORÇ)'!I185)</f>
        <v xml:space="preserve"> </v>
      </c>
      <c r="J191" s="542" t="str">
        <f>IF(ISBLANK('M&amp;V (ORÇ)'!J185)," ",'M&amp;V (ORÇ)'!J185)</f>
        <v xml:space="preserve"> </v>
      </c>
      <c r="K191" s="544">
        <f>'M&amp;V (ORÇ)'!K185</f>
        <v>0</v>
      </c>
      <c r="L191" s="543">
        <f>'M&amp;V (ORÇ)'!L185</f>
        <v>0</v>
      </c>
      <c r="M191" s="131">
        <f t="shared" si="10"/>
        <v>0</v>
      </c>
      <c r="N191" s="133">
        <f t="shared" si="11"/>
        <v>0</v>
      </c>
      <c r="O191" s="132"/>
      <c r="P191" s="132"/>
    </row>
    <row r="192" spans="2:16" x14ac:dyDescent="0.25">
      <c r="B192" s="128">
        <v>27</v>
      </c>
      <c r="C192" s="1075" t="str">
        <f>IF(ISBLANK('M&amp;V (ORÇ)'!C186)," ",'M&amp;V (ORÇ)'!C186)</f>
        <v xml:space="preserve"> </v>
      </c>
      <c r="D192" s="1076"/>
      <c r="E192" s="1076"/>
      <c r="F192" s="1076"/>
      <c r="G192" s="1076"/>
      <c r="H192" s="1077"/>
      <c r="I192" s="542" t="str">
        <f>IF(ISBLANK('M&amp;V (ORÇ)'!I186)," ",'M&amp;V (ORÇ)'!I186)</f>
        <v xml:space="preserve"> </v>
      </c>
      <c r="J192" s="542" t="str">
        <f>IF(ISBLANK('M&amp;V (ORÇ)'!J186)," ",'M&amp;V (ORÇ)'!J186)</f>
        <v xml:space="preserve"> </v>
      </c>
      <c r="K192" s="544">
        <f>'M&amp;V (ORÇ)'!K186</f>
        <v>0</v>
      </c>
      <c r="L192" s="543">
        <f>'M&amp;V (ORÇ)'!L186</f>
        <v>0</v>
      </c>
      <c r="M192" s="131">
        <f t="shared" si="10"/>
        <v>0</v>
      </c>
      <c r="N192" s="133">
        <f t="shared" si="11"/>
        <v>0</v>
      </c>
      <c r="O192" s="132"/>
      <c r="P192" s="132"/>
    </row>
    <row r="193" spans="2:16" x14ac:dyDescent="0.25">
      <c r="B193" s="128">
        <v>28</v>
      </c>
      <c r="C193" s="1075" t="str">
        <f>IF(ISBLANK('M&amp;V (ORÇ)'!C187)," ",'M&amp;V (ORÇ)'!C187)</f>
        <v xml:space="preserve"> </v>
      </c>
      <c r="D193" s="1076"/>
      <c r="E193" s="1076"/>
      <c r="F193" s="1076"/>
      <c r="G193" s="1076"/>
      <c r="H193" s="1077"/>
      <c r="I193" s="542" t="str">
        <f>IF(ISBLANK('M&amp;V (ORÇ)'!I187)," ",'M&amp;V (ORÇ)'!I187)</f>
        <v xml:space="preserve"> </v>
      </c>
      <c r="J193" s="542" t="str">
        <f>IF(ISBLANK('M&amp;V (ORÇ)'!J187)," ",'M&amp;V (ORÇ)'!J187)</f>
        <v xml:space="preserve"> </v>
      </c>
      <c r="K193" s="544">
        <f>'M&amp;V (ORÇ)'!K187</f>
        <v>0</v>
      </c>
      <c r="L193" s="543">
        <f>'M&amp;V (ORÇ)'!L187</f>
        <v>0</v>
      </c>
      <c r="M193" s="131">
        <f t="shared" si="10"/>
        <v>0</v>
      </c>
      <c r="N193" s="133">
        <f t="shared" si="11"/>
        <v>0</v>
      </c>
      <c r="O193" s="132"/>
      <c r="P193" s="132"/>
    </row>
    <row r="194" spans="2:16" x14ac:dyDescent="0.25">
      <c r="B194" s="128">
        <v>29</v>
      </c>
      <c r="C194" s="1075" t="str">
        <f>IF(ISBLANK('M&amp;V (ORÇ)'!C188)," ",'M&amp;V (ORÇ)'!C188)</f>
        <v xml:space="preserve"> </v>
      </c>
      <c r="D194" s="1076"/>
      <c r="E194" s="1076"/>
      <c r="F194" s="1076"/>
      <c r="G194" s="1076"/>
      <c r="H194" s="1077"/>
      <c r="I194" s="542" t="str">
        <f>IF(ISBLANK('M&amp;V (ORÇ)'!I188)," ",'M&amp;V (ORÇ)'!I188)</f>
        <v xml:space="preserve"> </v>
      </c>
      <c r="J194" s="542" t="str">
        <f>IF(ISBLANK('M&amp;V (ORÇ)'!J188)," ",'M&amp;V (ORÇ)'!J188)</f>
        <v xml:space="preserve"> </v>
      </c>
      <c r="K194" s="544">
        <f>'M&amp;V (ORÇ)'!K188</f>
        <v>0</v>
      </c>
      <c r="L194" s="543">
        <f>'M&amp;V (ORÇ)'!L188</f>
        <v>0</v>
      </c>
      <c r="M194" s="131">
        <f t="shared" si="10"/>
        <v>0</v>
      </c>
      <c r="N194" s="133">
        <f t="shared" si="11"/>
        <v>0</v>
      </c>
      <c r="O194" s="132"/>
      <c r="P194" s="132"/>
    </row>
    <row r="195" spans="2:16" x14ac:dyDescent="0.25">
      <c r="B195" s="128">
        <v>30</v>
      </c>
      <c r="C195" s="1075" t="str">
        <f>IF(ISBLANK('M&amp;V (ORÇ)'!C189)," ",'M&amp;V (ORÇ)'!C189)</f>
        <v xml:space="preserve"> </v>
      </c>
      <c r="D195" s="1076"/>
      <c r="E195" s="1076"/>
      <c r="F195" s="1076"/>
      <c r="G195" s="1076"/>
      <c r="H195" s="1077"/>
      <c r="I195" s="542" t="str">
        <f>IF(ISBLANK('M&amp;V (ORÇ)'!I189)," ",'M&amp;V (ORÇ)'!I189)</f>
        <v xml:space="preserve"> </v>
      </c>
      <c r="J195" s="542" t="str">
        <f>IF(ISBLANK('M&amp;V (ORÇ)'!J189)," ",'M&amp;V (ORÇ)'!J189)</f>
        <v xml:space="preserve"> </v>
      </c>
      <c r="K195" s="544">
        <f>'M&amp;V (ORÇ)'!K189</f>
        <v>0</v>
      </c>
      <c r="L195" s="543">
        <f>'M&amp;V (ORÇ)'!L189</f>
        <v>0</v>
      </c>
      <c r="M195" s="131">
        <f t="shared" si="10"/>
        <v>0</v>
      </c>
      <c r="N195" s="133">
        <f t="shared" si="11"/>
        <v>0</v>
      </c>
      <c r="O195" s="132"/>
      <c r="P195" s="132"/>
    </row>
    <row r="196" spans="2:16" x14ac:dyDescent="0.25">
      <c r="B196" s="128">
        <v>31</v>
      </c>
      <c r="C196" s="1075" t="str">
        <f>IF(ISBLANK('M&amp;V (ORÇ)'!C190)," ",'M&amp;V (ORÇ)'!C190)</f>
        <v xml:space="preserve"> </v>
      </c>
      <c r="D196" s="1076"/>
      <c r="E196" s="1076"/>
      <c r="F196" s="1076"/>
      <c r="G196" s="1076"/>
      <c r="H196" s="1077"/>
      <c r="I196" s="542" t="str">
        <f>IF(ISBLANK('M&amp;V (ORÇ)'!I190)," ",'M&amp;V (ORÇ)'!I190)</f>
        <v xml:space="preserve"> </v>
      </c>
      <c r="J196" s="542" t="str">
        <f>IF(ISBLANK('M&amp;V (ORÇ)'!J190)," ",'M&amp;V (ORÇ)'!J190)</f>
        <v xml:space="preserve"> </v>
      </c>
      <c r="K196" s="544">
        <f>'M&amp;V (ORÇ)'!K190</f>
        <v>0</v>
      </c>
      <c r="L196" s="543">
        <f>'M&amp;V (ORÇ)'!L190</f>
        <v>0</v>
      </c>
      <c r="M196" s="131">
        <f t="shared" si="10"/>
        <v>0</v>
      </c>
      <c r="N196" s="133">
        <f t="shared" si="11"/>
        <v>0</v>
      </c>
      <c r="O196" s="132"/>
      <c r="P196" s="132"/>
    </row>
    <row r="197" spans="2:16" x14ac:dyDescent="0.25">
      <c r="B197" s="128">
        <v>32</v>
      </c>
      <c r="C197" s="1075" t="str">
        <f>IF(ISBLANK('M&amp;V (ORÇ)'!C191)," ",'M&amp;V (ORÇ)'!C191)</f>
        <v xml:space="preserve"> </v>
      </c>
      <c r="D197" s="1076"/>
      <c r="E197" s="1076"/>
      <c r="F197" s="1076"/>
      <c r="G197" s="1076"/>
      <c r="H197" s="1077"/>
      <c r="I197" s="542" t="str">
        <f>IF(ISBLANK('M&amp;V (ORÇ)'!I191)," ",'M&amp;V (ORÇ)'!I191)</f>
        <v xml:space="preserve"> </v>
      </c>
      <c r="J197" s="542" t="str">
        <f>IF(ISBLANK('M&amp;V (ORÇ)'!J191)," ",'M&amp;V (ORÇ)'!J191)</f>
        <v xml:space="preserve"> </v>
      </c>
      <c r="K197" s="544">
        <f>'M&amp;V (ORÇ)'!K191</f>
        <v>0</v>
      </c>
      <c r="L197" s="543">
        <f>'M&amp;V (ORÇ)'!L191</f>
        <v>0</v>
      </c>
      <c r="M197" s="131">
        <f t="shared" si="10"/>
        <v>0</v>
      </c>
      <c r="N197" s="133">
        <f t="shared" si="11"/>
        <v>0</v>
      </c>
      <c r="O197" s="132"/>
      <c r="P197" s="132"/>
    </row>
    <row r="198" spans="2:16" x14ac:dyDescent="0.25">
      <c r="B198" s="128">
        <v>33</v>
      </c>
      <c r="C198" s="1075" t="str">
        <f>IF(ISBLANK('M&amp;V (ORÇ)'!C192)," ",'M&amp;V (ORÇ)'!C192)</f>
        <v xml:space="preserve"> </v>
      </c>
      <c r="D198" s="1076"/>
      <c r="E198" s="1076"/>
      <c r="F198" s="1076"/>
      <c r="G198" s="1076"/>
      <c r="H198" s="1077"/>
      <c r="I198" s="542" t="str">
        <f>IF(ISBLANK('M&amp;V (ORÇ)'!I192)," ",'M&amp;V (ORÇ)'!I192)</f>
        <v xml:space="preserve"> </v>
      </c>
      <c r="J198" s="542" t="str">
        <f>IF(ISBLANK('M&amp;V (ORÇ)'!J192)," ",'M&amp;V (ORÇ)'!J192)</f>
        <v xml:space="preserve"> </v>
      </c>
      <c r="K198" s="544">
        <f>'M&amp;V (ORÇ)'!K192</f>
        <v>0</v>
      </c>
      <c r="L198" s="543">
        <f>'M&amp;V (ORÇ)'!L192</f>
        <v>0</v>
      </c>
      <c r="M198" s="131">
        <f t="shared" si="10"/>
        <v>0</v>
      </c>
      <c r="N198" s="133">
        <f t="shared" ref="N198:N215" si="12">M198-O198-P198</f>
        <v>0</v>
      </c>
      <c r="O198" s="132"/>
      <c r="P198" s="132"/>
    </row>
    <row r="199" spans="2:16" x14ac:dyDescent="0.25">
      <c r="B199" s="128">
        <v>34</v>
      </c>
      <c r="C199" s="1075" t="str">
        <f>IF(ISBLANK('M&amp;V (ORÇ)'!C193)," ",'M&amp;V (ORÇ)'!C193)</f>
        <v xml:space="preserve"> </v>
      </c>
      <c r="D199" s="1076"/>
      <c r="E199" s="1076"/>
      <c r="F199" s="1076"/>
      <c r="G199" s="1076"/>
      <c r="H199" s="1077"/>
      <c r="I199" s="542" t="str">
        <f>IF(ISBLANK('M&amp;V (ORÇ)'!I193)," ",'M&amp;V (ORÇ)'!I193)</f>
        <v xml:space="preserve"> </v>
      </c>
      <c r="J199" s="542" t="str">
        <f>IF(ISBLANK('M&amp;V (ORÇ)'!J193)," ",'M&amp;V (ORÇ)'!J193)</f>
        <v xml:space="preserve"> </v>
      </c>
      <c r="K199" s="544">
        <f>'M&amp;V (ORÇ)'!K193</f>
        <v>0</v>
      </c>
      <c r="L199" s="543">
        <f>'M&amp;V (ORÇ)'!L193</f>
        <v>0</v>
      </c>
      <c r="M199" s="131">
        <f t="shared" si="10"/>
        <v>0</v>
      </c>
      <c r="N199" s="133">
        <f t="shared" si="12"/>
        <v>0</v>
      </c>
      <c r="O199" s="132"/>
      <c r="P199" s="132"/>
    </row>
    <row r="200" spans="2:16" x14ac:dyDescent="0.25">
      <c r="B200" s="128">
        <v>35</v>
      </c>
      <c r="C200" s="1075" t="str">
        <f>IF(ISBLANK('M&amp;V (ORÇ)'!C194)," ",'M&amp;V (ORÇ)'!C194)</f>
        <v xml:space="preserve"> </v>
      </c>
      <c r="D200" s="1076"/>
      <c r="E200" s="1076"/>
      <c r="F200" s="1076"/>
      <c r="G200" s="1076"/>
      <c r="H200" s="1077"/>
      <c r="I200" s="542" t="str">
        <f>IF(ISBLANK('M&amp;V (ORÇ)'!I194)," ",'M&amp;V (ORÇ)'!I194)</f>
        <v xml:space="preserve"> </v>
      </c>
      <c r="J200" s="542" t="str">
        <f>IF(ISBLANK('M&amp;V (ORÇ)'!J194)," ",'M&amp;V (ORÇ)'!J194)</f>
        <v xml:space="preserve"> </v>
      </c>
      <c r="K200" s="544">
        <f>'M&amp;V (ORÇ)'!K194</f>
        <v>0</v>
      </c>
      <c r="L200" s="543">
        <f>'M&amp;V (ORÇ)'!L194</f>
        <v>0</v>
      </c>
      <c r="M200" s="131">
        <f t="shared" si="10"/>
        <v>0</v>
      </c>
      <c r="N200" s="133">
        <f t="shared" si="12"/>
        <v>0</v>
      </c>
      <c r="O200" s="132"/>
      <c r="P200" s="132"/>
    </row>
    <row r="201" spans="2:16" x14ac:dyDescent="0.25">
      <c r="B201" s="128">
        <v>36</v>
      </c>
      <c r="C201" s="1075" t="str">
        <f>IF(ISBLANK('M&amp;V (ORÇ)'!C195)," ",'M&amp;V (ORÇ)'!C195)</f>
        <v xml:space="preserve"> </v>
      </c>
      <c r="D201" s="1076"/>
      <c r="E201" s="1076"/>
      <c r="F201" s="1076"/>
      <c r="G201" s="1076"/>
      <c r="H201" s="1077"/>
      <c r="I201" s="542" t="str">
        <f>IF(ISBLANK('M&amp;V (ORÇ)'!I195)," ",'M&amp;V (ORÇ)'!I195)</f>
        <v xml:space="preserve"> </v>
      </c>
      <c r="J201" s="542" t="str">
        <f>IF(ISBLANK('M&amp;V (ORÇ)'!J195)," ",'M&amp;V (ORÇ)'!J195)</f>
        <v xml:space="preserve"> </v>
      </c>
      <c r="K201" s="544">
        <f>'M&amp;V (ORÇ)'!K195</f>
        <v>0</v>
      </c>
      <c r="L201" s="543">
        <f>'M&amp;V (ORÇ)'!L195</f>
        <v>0</v>
      </c>
      <c r="M201" s="131">
        <f t="shared" si="10"/>
        <v>0</v>
      </c>
      <c r="N201" s="133">
        <f t="shared" si="12"/>
        <v>0</v>
      </c>
      <c r="O201" s="132"/>
      <c r="P201" s="132"/>
    </row>
    <row r="202" spans="2:16" x14ac:dyDescent="0.25">
      <c r="B202" s="128">
        <v>37</v>
      </c>
      <c r="C202" s="1075" t="str">
        <f>IF(ISBLANK('M&amp;V (ORÇ)'!C196)," ",'M&amp;V (ORÇ)'!C196)</f>
        <v xml:space="preserve"> </v>
      </c>
      <c r="D202" s="1076"/>
      <c r="E202" s="1076"/>
      <c r="F202" s="1076"/>
      <c r="G202" s="1076"/>
      <c r="H202" s="1077"/>
      <c r="I202" s="542" t="str">
        <f>IF(ISBLANK('M&amp;V (ORÇ)'!I196)," ",'M&amp;V (ORÇ)'!I196)</f>
        <v xml:space="preserve"> </v>
      </c>
      <c r="J202" s="542" t="str">
        <f>IF(ISBLANK('M&amp;V (ORÇ)'!J196)," ",'M&amp;V (ORÇ)'!J196)</f>
        <v xml:space="preserve"> </v>
      </c>
      <c r="K202" s="544">
        <f>'M&amp;V (ORÇ)'!K196</f>
        <v>0</v>
      </c>
      <c r="L202" s="543">
        <f>'M&amp;V (ORÇ)'!L196</f>
        <v>0</v>
      </c>
      <c r="M202" s="131">
        <f t="shared" si="10"/>
        <v>0</v>
      </c>
      <c r="N202" s="133">
        <f t="shared" si="12"/>
        <v>0</v>
      </c>
      <c r="O202" s="132"/>
      <c r="P202" s="132"/>
    </row>
    <row r="203" spans="2:16" x14ac:dyDescent="0.25">
      <c r="B203" s="128">
        <v>38</v>
      </c>
      <c r="C203" s="1075" t="str">
        <f>IF(ISBLANK('M&amp;V (ORÇ)'!C197)," ",'M&amp;V (ORÇ)'!C197)</f>
        <v xml:space="preserve"> </v>
      </c>
      <c r="D203" s="1076"/>
      <c r="E203" s="1076"/>
      <c r="F203" s="1076"/>
      <c r="G203" s="1076"/>
      <c r="H203" s="1077"/>
      <c r="I203" s="542" t="str">
        <f>IF(ISBLANK('M&amp;V (ORÇ)'!I197)," ",'M&amp;V (ORÇ)'!I197)</f>
        <v xml:space="preserve"> </v>
      </c>
      <c r="J203" s="542" t="str">
        <f>IF(ISBLANK('M&amp;V (ORÇ)'!J197)," ",'M&amp;V (ORÇ)'!J197)</f>
        <v xml:space="preserve"> </v>
      </c>
      <c r="K203" s="544">
        <f>'M&amp;V (ORÇ)'!K197</f>
        <v>0</v>
      </c>
      <c r="L203" s="543">
        <f>'M&amp;V (ORÇ)'!L197</f>
        <v>0</v>
      </c>
      <c r="M203" s="131">
        <f t="shared" si="10"/>
        <v>0</v>
      </c>
      <c r="N203" s="133">
        <f t="shared" si="12"/>
        <v>0</v>
      </c>
      <c r="O203" s="132"/>
      <c r="P203" s="132"/>
    </row>
    <row r="204" spans="2:16" x14ac:dyDescent="0.25">
      <c r="B204" s="128">
        <v>39</v>
      </c>
      <c r="C204" s="1075" t="str">
        <f>IF(ISBLANK('M&amp;V (ORÇ)'!C198)," ",'M&amp;V (ORÇ)'!C198)</f>
        <v xml:space="preserve"> </v>
      </c>
      <c r="D204" s="1076"/>
      <c r="E204" s="1076"/>
      <c r="F204" s="1076"/>
      <c r="G204" s="1076"/>
      <c r="H204" s="1077"/>
      <c r="I204" s="542" t="str">
        <f>IF(ISBLANK('M&amp;V (ORÇ)'!I198)," ",'M&amp;V (ORÇ)'!I198)</f>
        <v xml:space="preserve"> </v>
      </c>
      <c r="J204" s="542" t="str">
        <f>IF(ISBLANK('M&amp;V (ORÇ)'!J198)," ",'M&amp;V (ORÇ)'!J198)</f>
        <v xml:space="preserve"> </v>
      </c>
      <c r="K204" s="544">
        <f>'M&amp;V (ORÇ)'!K198</f>
        <v>0</v>
      </c>
      <c r="L204" s="543">
        <f>'M&amp;V (ORÇ)'!L198</f>
        <v>0</v>
      </c>
      <c r="M204" s="131">
        <f t="shared" si="10"/>
        <v>0</v>
      </c>
      <c r="N204" s="133">
        <f t="shared" si="12"/>
        <v>0</v>
      </c>
      <c r="O204" s="132"/>
      <c r="P204" s="132"/>
    </row>
    <row r="205" spans="2:16" x14ac:dyDescent="0.25">
      <c r="B205" s="128">
        <v>40</v>
      </c>
      <c r="C205" s="1075" t="str">
        <f>IF(ISBLANK('M&amp;V (ORÇ)'!C199)," ",'M&amp;V (ORÇ)'!C199)</f>
        <v xml:space="preserve"> </v>
      </c>
      <c r="D205" s="1076"/>
      <c r="E205" s="1076"/>
      <c r="F205" s="1076"/>
      <c r="G205" s="1076"/>
      <c r="H205" s="1077"/>
      <c r="I205" s="542" t="str">
        <f>IF(ISBLANK('M&amp;V (ORÇ)'!I199)," ",'M&amp;V (ORÇ)'!I199)</f>
        <v xml:space="preserve"> </v>
      </c>
      <c r="J205" s="542" t="str">
        <f>IF(ISBLANK('M&amp;V (ORÇ)'!J199)," ",'M&amp;V (ORÇ)'!J199)</f>
        <v xml:space="preserve"> </v>
      </c>
      <c r="K205" s="544">
        <f>'M&amp;V (ORÇ)'!K199</f>
        <v>0</v>
      </c>
      <c r="L205" s="543">
        <f>'M&amp;V (ORÇ)'!L199</f>
        <v>0</v>
      </c>
      <c r="M205" s="131">
        <f t="shared" si="10"/>
        <v>0</v>
      </c>
      <c r="N205" s="133">
        <f t="shared" si="12"/>
        <v>0</v>
      </c>
      <c r="O205" s="132"/>
      <c r="P205" s="132"/>
    </row>
    <row r="206" spans="2:16" x14ac:dyDescent="0.25">
      <c r="B206" s="128">
        <v>41</v>
      </c>
      <c r="C206" s="1075" t="str">
        <f>IF(ISBLANK('M&amp;V (ORÇ)'!C200)," ",'M&amp;V (ORÇ)'!C200)</f>
        <v xml:space="preserve"> </v>
      </c>
      <c r="D206" s="1076"/>
      <c r="E206" s="1076"/>
      <c r="F206" s="1076"/>
      <c r="G206" s="1076"/>
      <c r="H206" s="1077"/>
      <c r="I206" s="542" t="str">
        <f>IF(ISBLANK('M&amp;V (ORÇ)'!I200)," ",'M&amp;V (ORÇ)'!I200)</f>
        <v xml:space="preserve"> </v>
      </c>
      <c r="J206" s="542" t="str">
        <f>IF(ISBLANK('M&amp;V (ORÇ)'!J200)," ",'M&amp;V (ORÇ)'!J200)</f>
        <v xml:space="preserve"> </v>
      </c>
      <c r="K206" s="544">
        <f>'M&amp;V (ORÇ)'!K200</f>
        <v>0</v>
      </c>
      <c r="L206" s="543">
        <f>'M&amp;V (ORÇ)'!L200</f>
        <v>0</v>
      </c>
      <c r="M206" s="131">
        <f t="shared" si="10"/>
        <v>0</v>
      </c>
      <c r="N206" s="133">
        <f t="shared" si="12"/>
        <v>0</v>
      </c>
      <c r="O206" s="132"/>
      <c r="P206" s="132"/>
    </row>
    <row r="207" spans="2:16" x14ac:dyDescent="0.25">
      <c r="B207" s="128">
        <v>42</v>
      </c>
      <c r="C207" s="1075" t="str">
        <f>IF(ISBLANK('M&amp;V (ORÇ)'!C201)," ",'M&amp;V (ORÇ)'!C201)</f>
        <v xml:space="preserve"> </v>
      </c>
      <c r="D207" s="1076"/>
      <c r="E207" s="1076"/>
      <c r="F207" s="1076"/>
      <c r="G207" s="1076"/>
      <c r="H207" s="1077"/>
      <c r="I207" s="542" t="str">
        <f>IF(ISBLANK('M&amp;V (ORÇ)'!I201)," ",'M&amp;V (ORÇ)'!I201)</f>
        <v xml:space="preserve"> </v>
      </c>
      <c r="J207" s="542" t="str">
        <f>IF(ISBLANK('M&amp;V (ORÇ)'!J201)," ",'M&amp;V (ORÇ)'!J201)</f>
        <v xml:space="preserve"> </v>
      </c>
      <c r="K207" s="544">
        <f>'M&amp;V (ORÇ)'!K201</f>
        <v>0</v>
      </c>
      <c r="L207" s="543">
        <f>'M&amp;V (ORÇ)'!L201</f>
        <v>0</v>
      </c>
      <c r="M207" s="131">
        <f t="shared" si="10"/>
        <v>0</v>
      </c>
      <c r="N207" s="133">
        <f t="shared" si="12"/>
        <v>0</v>
      </c>
      <c r="O207" s="132"/>
      <c r="P207" s="132"/>
    </row>
    <row r="208" spans="2:16" x14ac:dyDescent="0.25">
      <c r="B208" s="128">
        <v>43</v>
      </c>
      <c r="C208" s="1075" t="str">
        <f>IF(ISBLANK('M&amp;V (ORÇ)'!C202)," ",'M&amp;V (ORÇ)'!C202)</f>
        <v xml:space="preserve"> </v>
      </c>
      <c r="D208" s="1076"/>
      <c r="E208" s="1076"/>
      <c r="F208" s="1076"/>
      <c r="G208" s="1076"/>
      <c r="H208" s="1077"/>
      <c r="I208" s="542" t="str">
        <f>IF(ISBLANK('M&amp;V (ORÇ)'!I202)," ",'M&amp;V (ORÇ)'!I202)</f>
        <v xml:space="preserve"> </v>
      </c>
      <c r="J208" s="542" t="str">
        <f>IF(ISBLANK('M&amp;V (ORÇ)'!J202)," ",'M&amp;V (ORÇ)'!J202)</f>
        <v xml:space="preserve"> </v>
      </c>
      <c r="K208" s="544">
        <f>'M&amp;V (ORÇ)'!K202</f>
        <v>0</v>
      </c>
      <c r="L208" s="543">
        <f>'M&amp;V (ORÇ)'!L202</f>
        <v>0</v>
      </c>
      <c r="M208" s="131">
        <f t="shared" si="10"/>
        <v>0</v>
      </c>
      <c r="N208" s="133">
        <f t="shared" si="12"/>
        <v>0</v>
      </c>
      <c r="O208" s="132"/>
      <c r="P208" s="132"/>
    </row>
    <row r="209" spans="2:16" x14ac:dyDescent="0.25">
      <c r="B209" s="128">
        <v>44</v>
      </c>
      <c r="C209" s="1075" t="str">
        <f>IF(ISBLANK('M&amp;V (ORÇ)'!C203)," ",'M&amp;V (ORÇ)'!C203)</f>
        <v xml:space="preserve"> </v>
      </c>
      <c r="D209" s="1076"/>
      <c r="E209" s="1076"/>
      <c r="F209" s="1076"/>
      <c r="G209" s="1076"/>
      <c r="H209" s="1077"/>
      <c r="I209" s="542" t="str">
        <f>IF(ISBLANK('M&amp;V (ORÇ)'!I203)," ",'M&amp;V (ORÇ)'!I203)</f>
        <v xml:space="preserve"> </v>
      </c>
      <c r="J209" s="542" t="str">
        <f>IF(ISBLANK('M&amp;V (ORÇ)'!J203)," ",'M&amp;V (ORÇ)'!J203)</f>
        <v xml:space="preserve"> </v>
      </c>
      <c r="K209" s="544">
        <f>'M&amp;V (ORÇ)'!K203</f>
        <v>0</v>
      </c>
      <c r="L209" s="543">
        <f>'M&amp;V (ORÇ)'!L203</f>
        <v>0</v>
      </c>
      <c r="M209" s="131">
        <f t="shared" si="10"/>
        <v>0</v>
      </c>
      <c r="N209" s="133">
        <f t="shared" si="12"/>
        <v>0</v>
      </c>
      <c r="O209" s="132"/>
      <c r="P209" s="132"/>
    </row>
    <row r="210" spans="2:16" x14ac:dyDescent="0.25">
      <c r="B210" s="128">
        <v>45</v>
      </c>
      <c r="C210" s="1075" t="str">
        <f>IF(ISBLANK('M&amp;V (ORÇ)'!C204)," ",'M&amp;V (ORÇ)'!C204)</f>
        <v xml:space="preserve"> </v>
      </c>
      <c r="D210" s="1076"/>
      <c r="E210" s="1076"/>
      <c r="F210" s="1076"/>
      <c r="G210" s="1076"/>
      <c r="H210" s="1077"/>
      <c r="I210" s="542" t="str">
        <f>IF(ISBLANK('M&amp;V (ORÇ)'!I204)," ",'M&amp;V (ORÇ)'!I204)</f>
        <v xml:space="preserve"> </v>
      </c>
      <c r="J210" s="542" t="str">
        <f>IF(ISBLANK('M&amp;V (ORÇ)'!J204)," ",'M&amp;V (ORÇ)'!J204)</f>
        <v xml:space="preserve"> </v>
      </c>
      <c r="K210" s="544">
        <f>'M&amp;V (ORÇ)'!K204</f>
        <v>0</v>
      </c>
      <c r="L210" s="543">
        <f>'M&amp;V (ORÇ)'!L204</f>
        <v>0</v>
      </c>
      <c r="M210" s="131">
        <f t="shared" si="10"/>
        <v>0</v>
      </c>
      <c r="N210" s="133">
        <f t="shared" si="12"/>
        <v>0</v>
      </c>
      <c r="O210" s="132"/>
      <c r="P210" s="132"/>
    </row>
    <row r="211" spans="2:16" x14ac:dyDescent="0.25">
      <c r="B211" s="128">
        <v>46</v>
      </c>
      <c r="C211" s="1075" t="str">
        <f>IF(ISBLANK('M&amp;V (ORÇ)'!C205)," ",'M&amp;V (ORÇ)'!C205)</f>
        <v xml:space="preserve"> </v>
      </c>
      <c r="D211" s="1076"/>
      <c r="E211" s="1076"/>
      <c r="F211" s="1076"/>
      <c r="G211" s="1076"/>
      <c r="H211" s="1077"/>
      <c r="I211" s="542" t="str">
        <f>IF(ISBLANK('M&amp;V (ORÇ)'!I205)," ",'M&amp;V (ORÇ)'!I205)</f>
        <v xml:space="preserve"> </v>
      </c>
      <c r="J211" s="542" t="str">
        <f>IF(ISBLANK('M&amp;V (ORÇ)'!J205)," ",'M&amp;V (ORÇ)'!J205)</f>
        <v xml:space="preserve"> </v>
      </c>
      <c r="K211" s="544">
        <f>'M&amp;V (ORÇ)'!K205</f>
        <v>0</v>
      </c>
      <c r="L211" s="543">
        <f>'M&amp;V (ORÇ)'!L205</f>
        <v>0</v>
      </c>
      <c r="M211" s="131">
        <f t="shared" si="10"/>
        <v>0</v>
      </c>
      <c r="N211" s="133">
        <f t="shared" si="12"/>
        <v>0</v>
      </c>
      <c r="O211" s="132"/>
      <c r="P211" s="132"/>
    </row>
    <row r="212" spans="2:16" x14ac:dyDescent="0.25">
      <c r="B212" s="128">
        <v>47</v>
      </c>
      <c r="C212" s="1075" t="str">
        <f>IF(ISBLANK('M&amp;V (ORÇ)'!C206)," ",'M&amp;V (ORÇ)'!C206)</f>
        <v xml:space="preserve"> </v>
      </c>
      <c r="D212" s="1076"/>
      <c r="E212" s="1076"/>
      <c r="F212" s="1076"/>
      <c r="G212" s="1076"/>
      <c r="H212" s="1077"/>
      <c r="I212" s="542" t="str">
        <f>IF(ISBLANK('M&amp;V (ORÇ)'!I206)," ",'M&amp;V (ORÇ)'!I206)</f>
        <v xml:space="preserve"> </v>
      </c>
      <c r="J212" s="542" t="str">
        <f>IF(ISBLANK('M&amp;V (ORÇ)'!J206)," ",'M&amp;V (ORÇ)'!J206)</f>
        <v xml:space="preserve"> </v>
      </c>
      <c r="K212" s="544">
        <f>'M&amp;V (ORÇ)'!K206</f>
        <v>0</v>
      </c>
      <c r="L212" s="543">
        <f>'M&amp;V (ORÇ)'!L206</f>
        <v>0</v>
      </c>
      <c r="M212" s="131">
        <f t="shared" si="10"/>
        <v>0</v>
      </c>
      <c r="N212" s="133">
        <f t="shared" si="12"/>
        <v>0</v>
      </c>
      <c r="O212" s="132"/>
      <c r="P212" s="132"/>
    </row>
    <row r="213" spans="2:16" x14ac:dyDescent="0.25">
      <c r="B213" s="128">
        <v>48</v>
      </c>
      <c r="C213" s="1075" t="str">
        <f>IF(ISBLANK('M&amp;V (ORÇ)'!C207)," ",'M&amp;V (ORÇ)'!C207)</f>
        <v xml:space="preserve"> </v>
      </c>
      <c r="D213" s="1076"/>
      <c r="E213" s="1076"/>
      <c r="F213" s="1076"/>
      <c r="G213" s="1076"/>
      <c r="H213" s="1077"/>
      <c r="I213" s="542" t="str">
        <f>IF(ISBLANK('M&amp;V (ORÇ)'!I207)," ",'M&amp;V (ORÇ)'!I207)</f>
        <v xml:space="preserve"> </v>
      </c>
      <c r="J213" s="542" t="str">
        <f>IF(ISBLANK('M&amp;V (ORÇ)'!J207)," ",'M&amp;V (ORÇ)'!J207)</f>
        <v xml:space="preserve"> </v>
      </c>
      <c r="K213" s="544">
        <f>'M&amp;V (ORÇ)'!K207</f>
        <v>0</v>
      </c>
      <c r="L213" s="543">
        <f>'M&amp;V (ORÇ)'!L207</f>
        <v>0</v>
      </c>
      <c r="M213" s="131">
        <f t="shared" si="10"/>
        <v>0</v>
      </c>
      <c r="N213" s="133">
        <f t="shared" si="12"/>
        <v>0</v>
      </c>
      <c r="O213" s="132"/>
      <c r="P213" s="132"/>
    </row>
    <row r="214" spans="2:16" x14ac:dyDescent="0.25">
      <c r="B214" s="128">
        <v>49</v>
      </c>
      <c r="C214" s="1075" t="str">
        <f>IF(ISBLANK('M&amp;V (ORÇ)'!C208)," ",'M&amp;V (ORÇ)'!C208)</f>
        <v xml:space="preserve"> </v>
      </c>
      <c r="D214" s="1076"/>
      <c r="E214" s="1076"/>
      <c r="F214" s="1076"/>
      <c r="G214" s="1076"/>
      <c r="H214" s="1077"/>
      <c r="I214" s="542" t="str">
        <f>IF(ISBLANK('M&amp;V (ORÇ)'!I208)," ",'M&amp;V (ORÇ)'!I208)</f>
        <v xml:space="preserve"> </v>
      </c>
      <c r="J214" s="542" t="str">
        <f>IF(ISBLANK('M&amp;V (ORÇ)'!J208)," ",'M&amp;V (ORÇ)'!J208)</f>
        <v xml:space="preserve"> </v>
      </c>
      <c r="K214" s="544">
        <f>'M&amp;V (ORÇ)'!K208</f>
        <v>0</v>
      </c>
      <c r="L214" s="543">
        <f>'M&amp;V (ORÇ)'!L208</f>
        <v>0</v>
      </c>
      <c r="M214" s="131">
        <f t="shared" si="10"/>
        <v>0</v>
      </c>
      <c r="N214" s="133">
        <f t="shared" si="12"/>
        <v>0</v>
      </c>
      <c r="O214" s="132"/>
      <c r="P214" s="132"/>
    </row>
    <row r="215" spans="2:16" x14ac:dyDescent="0.25">
      <c r="B215" s="128">
        <v>50</v>
      </c>
      <c r="C215" s="1075" t="str">
        <f>IF(ISBLANK('M&amp;V (ORÇ)'!C209)," ",'M&amp;V (ORÇ)'!C209)</f>
        <v xml:space="preserve"> </v>
      </c>
      <c r="D215" s="1076"/>
      <c r="E215" s="1076"/>
      <c r="F215" s="1076"/>
      <c r="G215" s="1076"/>
      <c r="H215" s="1077"/>
      <c r="I215" s="542" t="str">
        <f>IF(ISBLANK('M&amp;V (ORÇ)'!I209)," ",'M&amp;V (ORÇ)'!I209)</f>
        <v xml:space="preserve"> </v>
      </c>
      <c r="J215" s="542" t="str">
        <f>IF(ISBLANK('M&amp;V (ORÇ)'!J209)," ",'M&amp;V (ORÇ)'!J209)</f>
        <v xml:space="preserve"> </v>
      </c>
      <c r="K215" s="544">
        <f>'M&amp;V (ORÇ)'!K209</f>
        <v>0</v>
      </c>
      <c r="L215" s="543">
        <f>'M&amp;V (ORÇ)'!L209</f>
        <v>0</v>
      </c>
      <c r="M215" s="131">
        <f t="shared" si="10"/>
        <v>0</v>
      </c>
      <c r="N215" s="133">
        <f t="shared" si="12"/>
        <v>0</v>
      </c>
      <c r="O215" s="132"/>
      <c r="P215" s="132"/>
    </row>
    <row r="216" spans="2:16" x14ac:dyDescent="0.25">
      <c r="B216" s="134"/>
      <c r="C216" s="1078" t="s">
        <v>685</v>
      </c>
      <c r="D216" s="1078"/>
      <c r="E216" s="1078"/>
      <c r="F216" s="1078"/>
      <c r="G216" s="1078"/>
      <c r="H216" s="1078"/>
      <c r="I216" s="1078"/>
      <c r="J216" s="1078"/>
      <c r="K216" s="1078"/>
      <c r="L216" s="1079"/>
      <c r="M216" s="135">
        <f>SUM(M166:M215)</f>
        <v>0</v>
      </c>
      <c r="N216" s="135">
        <f>SUM(N166:N215)</f>
        <v>0</v>
      </c>
      <c r="O216" s="135">
        <f>SUM(O166:O215)</f>
        <v>0</v>
      </c>
      <c r="P216" s="135">
        <f>SUM(P166:P215)</f>
        <v>0</v>
      </c>
    </row>
    <row r="217" spans="2:16" x14ac:dyDescent="0.25">
      <c r="B217" s="1104" t="s">
        <v>243</v>
      </c>
      <c r="C217" s="1105"/>
      <c r="D217" s="1105"/>
      <c r="E217" s="1105"/>
      <c r="F217" s="1105"/>
      <c r="G217" s="1105"/>
      <c r="H217" s="1105"/>
      <c r="I217" s="1105"/>
      <c r="J217" s="1105"/>
      <c r="K217" s="1105"/>
      <c r="L217" s="1105"/>
      <c r="M217" s="1105"/>
      <c r="N217" s="1105"/>
      <c r="O217" s="1105" t="str">
        <f>B217</f>
        <v>PERÍODO PÓS-RETROFIT</v>
      </c>
      <c r="P217" s="1106"/>
    </row>
    <row r="218" spans="2:16" x14ac:dyDescent="0.25">
      <c r="B218" s="1043" t="s">
        <v>235</v>
      </c>
      <c r="C218" s="1044"/>
      <c r="D218" s="1044"/>
      <c r="E218" s="1044"/>
      <c r="F218" s="1044"/>
      <c r="G218" s="1044"/>
      <c r="H218" s="1045"/>
      <c r="I218" s="125" t="s">
        <v>236</v>
      </c>
      <c r="J218" s="126" t="s">
        <v>237</v>
      </c>
      <c r="K218" s="126" t="s">
        <v>238</v>
      </c>
      <c r="L218" s="126" t="s">
        <v>239</v>
      </c>
      <c r="M218" s="126" t="s">
        <v>0</v>
      </c>
      <c r="N218" s="328" t="s">
        <v>796</v>
      </c>
      <c r="O218" s="328" t="s">
        <v>240</v>
      </c>
      <c r="P218" s="329" t="s">
        <v>241</v>
      </c>
    </row>
    <row r="219" spans="2:16" x14ac:dyDescent="0.25">
      <c r="B219" s="128">
        <v>1</v>
      </c>
      <c r="C219" s="1075" t="str">
        <f>IF(ISBLANK('M&amp;V (ORÇ)'!C212)," ",'M&amp;V (ORÇ)'!C212)</f>
        <v xml:space="preserve"> </v>
      </c>
      <c r="D219" s="1076"/>
      <c r="E219" s="1076"/>
      <c r="F219" s="1076"/>
      <c r="G219" s="1076"/>
      <c r="H219" s="1077"/>
      <c r="I219" s="542" t="str">
        <f>IF(ISBLANK('M&amp;V (ORÇ)'!I212)," ",'M&amp;V (ORÇ)'!I212)</f>
        <v xml:space="preserve"> </v>
      </c>
      <c r="J219" s="542" t="str">
        <f>IF(ISBLANK('M&amp;V (ORÇ)'!J212)," ",'M&amp;V (ORÇ)'!J212)</f>
        <v xml:space="preserve"> </v>
      </c>
      <c r="K219" s="544">
        <f>'M&amp;V (ORÇ)'!K212</f>
        <v>0</v>
      </c>
      <c r="L219" s="543">
        <f>'M&amp;V (ORÇ)'!L212</f>
        <v>0</v>
      </c>
      <c r="M219" s="131">
        <f t="shared" ref="M219:M268" si="13">IF(J219="",0,K219*L219)</f>
        <v>0</v>
      </c>
      <c r="N219" s="133">
        <f t="shared" ref="N219:N250" si="14">M219-O219-P219</f>
        <v>0</v>
      </c>
      <c r="O219" s="132"/>
      <c r="P219" s="132"/>
    </row>
    <row r="220" spans="2:16" x14ac:dyDescent="0.25">
      <c r="B220" s="128">
        <v>2</v>
      </c>
      <c r="C220" s="1075" t="str">
        <f>IF(ISBLANK('M&amp;V (ORÇ)'!C213)," ",'M&amp;V (ORÇ)'!C213)</f>
        <v xml:space="preserve"> </v>
      </c>
      <c r="D220" s="1076"/>
      <c r="E220" s="1076"/>
      <c r="F220" s="1076"/>
      <c r="G220" s="1076"/>
      <c r="H220" s="1077"/>
      <c r="I220" s="542" t="str">
        <f>IF(ISBLANK('M&amp;V (ORÇ)'!I213)," ",'M&amp;V (ORÇ)'!I213)</f>
        <v xml:space="preserve"> </v>
      </c>
      <c r="J220" s="542" t="str">
        <f>IF(ISBLANK('M&amp;V (ORÇ)'!J213)," ",'M&amp;V (ORÇ)'!J213)</f>
        <v xml:space="preserve"> </v>
      </c>
      <c r="K220" s="544">
        <f>'M&amp;V (ORÇ)'!K213</f>
        <v>0</v>
      </c>
      <c r="L220" s="543">
        <f>'M&amp;V (ORÇ)'!L213</f>
        <v>0</v>
      </c>
      <c r="M220" s="131">
        <f t="shared" si="13"/>
        <v>0</v>
      </c>
      <c r="N220" s="133">
        <f t="shared" si="14"/>
        <v>0</v>
      </c>
      <c r="O220" s="132"/>
      <c r="P220" s="132"/>
    </row>
    <row r="221" spans="2:16" x14ac:dyDescent="0.25">
      <c r="B221" s="128">
        <v>3</v>
      </c>
      <c r="C221" s="1075" t="str">
        <f>IF(ISBLANK('M&amp;V (ORÇ)'!C214)," ",'M&amp;V (ORÇ)'!C214)</f>
        <v xml:space="preserve"> </v>
      </c>
      <c r="D221" s="1076"/>
      <c r="E221" s="1076"/>
      <c r="F221" s="1076"/>
      <c r="G221" s="1076"/>
      <c r="H221" s="1077"/>
      <c r="I221" s="542" t="str">
        <f>IF(ISBLANK('M&amp;V (ORÇ)'!I214)," ",'M&amp;V (ORÇ)'!I214)</f>
        <v xml:space="preserve"> </v>
      </c>
      <c r="J221" s="542" t="str">
        <f>IF(ISBLANK('M&amp;V (ORÇ)'!J214)," ",'M&amp;V (ORÇ)'!J214)</f>
        <v xml:space="preserve"> </v>
      </c>
      <c r="K221" s="544">
        <f>'M&amp;V (ORÇ)'!K214</f>
        <v>0</v>
      </c>
      <c r="L221" s="543">
        <f>'M&amp;V (ORÇ)'!L214</f>
        <v>0</v>
      </c>
      <c r="M221" s="131">
        <f t="shared" si="13"/>
        <v>0</v>
      </c>
      <c r="N221" s="133">
        <f t="shared" si="14"/>
        <v>0</v>
      </c>
      <c r="O221" s="132"/>
      <c r="P221" s="132"/>
    </row>
    <row r="222" spans="2:16" x14ac:dyDescent="0.25">
      <c r="B222" s="128">
        <v>4</v>
      </c>
      <c r="C222" s="1075" t="str">
        <f>IF(ISBLANK('M&amp;V (ORÇ)'!C215)," ",'M&amp;V (ORÇ)'!C215)</f>
        <v xml:space="preserve"> </v>
      </c>
      <c r="D222" s="1076"/>
      <c r="E222" s="1076"/>
      <c r="F222" s="1076"/>
      <c r="G222" s="1076"/>
      <c r="H222" s="1077"/>
      <c r="I222" s="542" t="str">
        <f>IF(ISBLANK('M&amp;V (ORÇ)'!I215)," ",'M&amp;V (ORÇ)'!I215)</f>
        <v xml:space="preserve"> </v>
      </c>
      <c r="J222" s="542" t="str">
        <f>IF(ISBLANK('M&amp;V (ORÇ)'!J215)," ",'M&amp;V (ORÇ)'!J215)</f>
        <v xml:space="preserve"> </v>
      </c>
      <c r="K222" s="544">
        <f>'M&amp;V (ORÇ)'!K215</f>
        <v>0</v>
      </c>
      <c r="L222" s="543">
        <f>'M&amp;V (ORÇ)'!L215</f>
        <v>0</v>
      </c>
      <c r="M222" s="131">
        <f t="shared" si="13"/>
        <v>0</v>
      </c>
      <c r="N222" s="133">
        <f t="shared" si="14"/>
        <v>0</v>
      </c>
      <c r="O222" s="132"/>
      <c r="P222" s="132"/>
    </row>
    <row r="223" spans="2:16" x14ac:dyDescent="0.25">
      <c r="B223" s="128">
        <v>5</v>
      </c>
      <c r="C223" s="1075" t="str">
        <f>IF(ISBLANK('M&amp;V (ORÇ)'!C216)," ",'M&amp;V (ORÇ)'!C216)</f>
        <v xml:space="preserve"> </v>
      </c>
      <c r="D223" s="1076"/>
      <c r="E223" s="1076"/>
      <c r="F223" s="1076"/>
      <c r="G223" s="1076"/>
      <c r="H223" s="1077"/>
      <c r="I223" s="542" t="str">
        <f>IF(ISBLANK('M&amp;V (ORÇ)'!I216)," ",'M&amp;V (ORÇ)'!I216)</f>
        <v xml:space="preserve"> </v>
      </c>
      <c r="J223" s="542" t="str">
        <f>IF(ISBLANK('M&amp;V (ORÇ)'!J216)," ",'M&amp;V (ORÇ)'!J216)</f>
        <v xml:space="preserve"> </v>
      </c>
      <c r="K223" s="544">
        <f>'M&amp;V (ORÇ)'!K216</f>
        <v>0</v>
      </c>
      <c r="L223" s="543">
        <f>'M&amp;V (ORÇ)'!L216</f>
        <v>0</v>
      </c>
      <c r="M223" s="131">
        <f t="shared" si="13"/>
        <v>0</v>
      </c>
      <c r="N223" s="133">
        <f t="shared" si="14"/>
        <v>0</v>
      </c>
      <c r="O223" s="132"/>
      <c r="P223" s="132"/>
    </row>
    <row r="224" spans="2:16" x14ac:dyDescent="0.25">
      <c r="B224" s="128">
        <v>6</v>
      </c>
      <c r="C224" s="1075" t="str">
        <f>IF(ISBLANK('M&amp;V (ORÇ)'!C217)," ",'M&amp;V (ORÇ)'!C217)</f>
        <v xml:space="preserve"> </v>
      </c>
      <c r="D224" s="1076"/>
      <c r="E224" s="1076"/>
      <c r="F224" s="1076"/>
      <c r="G224" s="1076"/>
      <c r="H224" s="1077"/>
      <c r="I224" s="542" t="str">
        <f>IF(ISBLANK('M&amp;V (ORÇ)'!I217)," ",'M&amp;V (ORÇ)'!I217)</f>
        <v xml:space="preserve"> </v>
      </c>
      <c r="J224" s="542" t="str">
        <f>IF(ISBLANK('M&amp;V (ORÇ)'!J217)," ",'M&amp;V (ORÇ)'!J217)</f>
        <v xml:space="preserve"> </v>
      </c>
      <c r="K224" s="544">
        <f>'M&amp;V (ORÇ)'!K217</f>
        <v>0</v>
      </c>
      <c r="L224" s="543">
        <f>'M&amp;V (ORÇ)'!L217</f>
        <v>0</v>
      </c>
      <c r="M224" s="131">
        <f t="shared" si="13"/>
        <v>0</v>
      </c>
      <c r="N224" s="133">
        <f t="shared" si="14"/>
        <v>0</v>
      </c>
      <c r="O224" s="132"/>
      <c r="P224" s="132"/>
    </row>
    <row r="225" spans="2:16" x14ac:dyDescent="0.25">
      <c r="B225" s="128">
        <v>7</v>
      </c>
      <c r="C225" s="1075" t="str">
        <f>IF(ISBLANK('M&amp;V (ORÇ)'!C218)," ",'M&amp;V (ORÇ)'!C218)</f>
        <v xml:space="preserve"> </v>
      </c>
      <c r="D225" s="1076"/>
      <c r="E225" s="1076"/>
      <c r="F225" s="1076"/>
      <c r="G225" s="1076"/>
      <c r="H225" s="1077"/>
      <c r="I225" s="542" t="str">
        <f>IF(ISBLANK('M&amp;V (ORÇ)'!I218)," ",'M&amp;V (ORÇ)'!I218)</f>
        <v xml:space="preserve"> </v>
      </c>
      <c r="J225" s="542" t="str">
        <f>IF(ISBLANK('M&amp;V (ORÇ)'!J218)," ",'M&amp;V (ORÇ)'!J218)</f>
        <v xml:space="preserve"> </v>
      </c>
      <c r="K225" s="544">
        <f>'M&amp;V (ORÇ)'!K218</f>
        <v>0</v>
      </c>
      <c r="L225" s="543">
        <f>'M&amp;V (ORÇ)'!L218</f>
        <v>0</v>
      </c>
      <c r="M225" s="131">
        <f t="shared" si="13"/>
        <v>0</v>
      </c>
      <c r="N225" s="133">
        <f t="shared" si="14"/>
        <v>0</v>
      </c>
      <c r="O225" s="132"/>
      <c r="P225" s="132"/>
    </row>
    <row r="226" spans="2:16" x14ac:dyDescent="0.25">
      <c r="B226" s="128">
        <v>8</v>
      </c>
      <c r="C226" s="1075" t="str">
        <f>IF(ISBLANK('M&amp;V (ORÇ)'!C219)," ",'M&amp;V (ORÇ)'!C219)</f>
        <v xml:space="preserve"> </v>
      </c>
      <c r="D226" s="1076"/>
      <c r="E226" s="1076"/>
      <c r="F226" s="1076"/>
      <c r="G226" s="1076"/>
      <c r="H226" s="1077"/>
      <c r="I226" s="542" t="str">
        <f>IF(ISBLANK('M&amp;V (ORÇ)'!I219)," ",'M&amp;V (ORÇ)'!I219)</f>
        <v xml:space="preserve"> </v>
      </c>
      <c r="J226" s="542" t="str">
        <f>IF(ISBLANK('M&amp;V (ORÇ)'!J219)," ",'M&amp;V (ORÇ)'!J219)</f>
        <v xml:space="preserve"> </v>
      </c>
      <c r="K226" s="544">
        <f>'M&amp;V (ORÇ)'!K219</f>
        <v>0</v>
      </c>
      <c r="L226" s="543">
        <f>'M&amp;V (ORÇ)'!L219</f>
        <v>0</v>
      </c>
      <c r="M226" s="131">
        <f t="shared" si="13"/>
        <v>0</v>
      </c>
      <c r="N226" s="133">
        <f t="shared" si="14"/>
        <v>0</v>
      </c>
      <c r="O226" s="132"/>
      <c r="P226" s="132"/>
    </row>
    <row r="227" spans="2:16" x14ac:dyDescent="0.25">
      <c r="B227" s="128">
        <v>9</v>
      </c>
      <c r="C227" s="1075" t="str">
        <f>IF(ISBLANK('M&amp;V (ORÇ)'!C220)," ",'M&amp;V (ORÇ)'!C220)</f>
        <v xml:space="preserve"> </v>
      </c>
      <c r="D227" s="1076"/>
      <c r="E227" s="1076"/>
      <c r="F227" s="1076"/>
      <c r="G227" s="1076"/>
      <c r="H227" s="1077"/>
      <c r="I227" s="542" t="str">
        <f>IF(ISBLANK('M&amp;V (ORÇ)'!I220)," ",'M&amp;V (ORÇ)'!I220)</f>
        <v xml:space="preserve"> </v>
      </c>
      <c r="J227" s="542" t="str">
        <f>IF(ISBLANK('M&amp;V (ORÇ)'!J220)," ",'M&amp;V (ORÇ)'!J220)</f>
        <v xml:space="preserve"> </v>
      </c>
      <c r="K227" s="544">
        <f>'M&amp;V (ORÇ)'!K220</f>
        <v>0</v>
      </c>
      <c r="L227" s="543">
        <f>'M&amp;V (ORÇ)'!L220</f>
        <v>0</v>
      </c>
      <c r="M227" s="131">
        <f t="shared" si="13"/>
        <v>0</v>
      </c>
      <c r="N227" s="133">
        <f t="shared" si="14"/>
        <v>0</v>
      </c>
      <c r="O227" s="132"/>
      <c r="P227" s="132"/>
    </row>
    <row r="228" spans="2:16" x14ac:dyDescent="0.25">
      <c r="B228" s="128">
        <v>10</v>
      </c>
      <c r="C228" s="1075" t="str">
        <f>IF(ISBLANK('M&amp;V (ORÇ)'!C221)," ",'M&amp;V (ORÇ)'!C221)</f>
        <v xml:space="preserve"> </v>
      </c>
      <c r="D228" s="1076"/>
      <c r="E228" s="1076"/>
      <c r="F228" s="1076"/>
      <c r="G228" s="1076"/>
      <c r="H228" s="1077"/>
      <c r="I228" s="542" t="str">
        <f>IF(ISBLANK('M&amp;V (ORÇ)'!I221)," ",'M&amp;V (ORÇ)'!I221)</f>
        <v xml:space="preserve"> </v>
      </c>
      <c r="J228" s="542" t="str">
        <f>IF(ISBLANK('M&amp;V (ORÇ)'!J221)," ",'M&amp;V (ORÇ)'!J221)</f>
        <v xml:space="preserve"> </v>
      </c>
      <c r="K228" s="544">
        <f>'M&amp;V (ORÇ)'!K221</f>
        <v>0</v>
      </c>
      <c r="L228" s="543">
        <f>'M&amp;V (ORÇ)'!L221</f>
        <v>0</v>
      </c>
      <c r="M228" s="131">
        <f t="shared" si="13"/>
        <v>0</v>
      </c>
      <c r="N228" s="133">
        <f t="shared" si="14"/>
        <v>0</v>
      </c>
      <c r="O228" s="132"/>
      <c r="P228" s="132"/>
    </row>
    <row r="229" spans="2:16" x14ac:dyDescent="0.25">
      <c r="B229" s="128">
        <v>11</v>
      </c>
      <c r="C229" s="1075" t="str">
        <f>IF(ISBLANK('M&amp;V (ORÇ)'!C222)," ",'M&amp;V (ORÇ)'!C222)</f>
        <v xml:space="preserve"> </v>
      </c>
      <c r="D229" s="1076"/>
      <c r="E229" s="1076"/>
      <c r="F229" s="1076"/>
      <c r="G229" s="1076"/>
      <c r="H229" s="1077"/>
      <c r="I229" s="542" t="str">
        <f>IF(ISBLANK('M&amp;V (ORÇ)'!I222)," ",'M&amp;V (ORÇ)'!I222)</f>
        <v xml:space="preserve"> </v>
      </c>
      <c r="J229" s="542" t="str">
        <f>IF(ISBLANK('M&amp;V (ORÇ)'!J222)," ",'M&amp;V (ORÇ)'!J222)</f>
        <v xml:space="preserve"> </v>
      </c>
      <c r="K229" s="544">
        <f>'M&amp;V (ORÇ)'!K222</f>
        <v>0</v>
      </c>
      <c r="L229" s="543">
        <f>'M&amp;V (ORÇ)'!L222</f>
        <v>0</v>
      </c>
      <c r="M229" s="131">
        <f t="shared" si="13"/>
        <v>0</v>
      </c>
      <c r="N229" s="133">
        <f t="shared" si="14"/>
        <v>0</v>
      </c>
      <c r="O229" s="132"/>
      <c r="P229" s="132"/>
    </row>
    <row r="230" spans="2:16" x14ac:dyDescent="0.25">
      <c r="B230" s="128">
        <v>12</v>
      </c>
      <c r="C230" s="1075" t="str">
        <f>IF(ISBLANK('M&amp;V (ORÇ)'!C223)," ",'M&amp;V (ORÇ)'!C223)</f>
        <v xml:space="preserve"> </v>
      </c>
      <c r="D230" s="1076"/>
      <c r="E230" s="1076"/>
      <c r="F230" s="1076"/>
      <c r="G230" s="1076"/>
      <c r="H230" s="1077"/>
      <c r="I230" s="542" t="str">
        <f>IF(ISBLANK('M&amp;V (ORÇ)'!I223)," ",'M&amp;V (ORÇ)'!I223)</f>
        <v xml:space="preserve"> </v>
      </c>
      <c r="J230" s="542" t="str">
        <f>IF(ISBLANK('M&amp;V (ORÇ)'!J223)," ",'M&amp;V (ORÇ)'!J223)</f>
        <v xml:space="preserve"> </v>
      </c>
      <c r="K230" s="544">
        <f>'M&amp;V (ORÇ)'!K223</f>
        <v>0</v>
      </c>
      <c r="L230" s="543">
        <f>'M&amp;V (ORÇ)'!L223</f>
        <v>0</v>
      </c>
      <c r="M230" s="131">
        <f t="shared" si="13"/>
        <v>0</v>
      </c>
      <c r="N230" s="133">
        <f t="shared" si="14"/>
        <v>0</v>
      </c>
      <c r="O230" s="132"/>
      <c r="P230" s="132"/>
    </row>
    <row r="231" spans="2:16" x14ac:dyDescent="0.25">
      <c r="B231" s="128">
        <v>13</v>
      </c>
      <c r="C231" s="1075" t="str">
        <f>IF(ISBLANK('M&amp;V (ORÇ)'!C224)," ",'M&amp;V (ORÇ)'!C224)</f>
        <v xml:space="preserve"> </v>
      </c>
      <c r="D231" s="1076"/>
      <c r="E231" s="1076"/>
      <c r="F231" s="1076"/>
      <c r="G231" s="1076"/>
      <c r="H231" s="1077"/>
      <c r="I231" s="542" t="str">
        <f>IF(ISBLANK('M&amp;V (ORÇ)'!I224)," ",'M&amp;V (ORÇ)'!I224)</f>
        <v xml:space="preserve"> </v>
      </c>
      <c r="J231" s="542" t="str">
        <f>IF(ISBLANK('M&amp;V (ORÇ)'!J224)," ",'M&amp;V (ORÇ)'!J224)</f>
        <v xml:space="preserve"> </v>
      </c>
      <c r="K231" s="544">
        <f>'M&amp;V (ORÇ)'!K224</f>
        <v>0</v>
      </c>
      <c r="L231" s="543">
        <f>'M&amp;V (ORÇ)'!L224</f>
        <v>0</v>
      </c>
      <c r="M231" s="131">
        <f t="shared" si="13"/>
        <v>0</v>
      </c>
      <c r="N231" s="133">
        <f t="shared" si="14"/>
        <v>0</v>
      </c>
      <c r="O231" s="132"/>
      <c r="P231" s="132"/>
    </row>
    <row r="232" spans="2:16" x14ac:dyDescent="0.25">
      <c r="B232" s="128">
        <v>14</v>
      </c>
      <c r="C232" s="1075" t="str">
        <f>IF(ISBLANK('M&amp;V (ORÇ)'!C225)," ",'M&amp;V (ORÇ)'!C225)</f>
        <v xml:space="preserve"> </v>
      </c>
      <c r="D232" s="1076"/>
      <c r="E232" s="1076"/>
      <c r="F232" s="1076"/>
      <c r="G232" s="1076"/>
      <c r="H232" s="1077"/>
      <c r="I232" s="542" t="str">
        <f>IF(ISBLANK('M&amp;V (ORÇ)'!I225)," ",'M&amp;V (ORÇ)'!I225)</f>
        <v xml:space="preserve"> </v>
      </c>
      <c r="J232" s="542" t="str">
        <f>IF(ISBLANK('M&amp;V (ORÇ)'!J225)," ",'M&amp;V (ORÇ)'!J225)</f>
        <v xml:space="preserve"> </v>
      </c>
      <c r="K232" s="544">
        <f>'M&amp;V (ORÇ)'!K225</f>
        <v>0</v>
      </c>
      <c r="L232" s="543">
        <f>'M&amp;V (ORÇ)'!L225</f>
        <v>0</v>
      </c>
      <c r="M232" s="131">
        <f t="shared" si="13"/>
        <v>0</v>
      </c>
      <c r="N232" s="133">
        <f t="shared" si="14"/>
        <v>0</v>
      </c>
      <c r="O232" s="132"/>
      <c r="P232" s="132"/>
    </row>
    <row r="233" spans="2:16" x14ac:dyDescent="0.25">
      <c r="B233" s="128">
        <v>15</v>
      </c>
      <c r="C233" s="1075" t="str">
        <f>IF(ISBLANK('M&amp;V (ORÇ)'!C226)," ",'M&amp;V (ORÇ)'!C226)</f>
        <v xml:space="preserve"> </v>
      </c>
      <c r="D233" s="1076"/>
      <c r="E233" s="1076"/>
      <c r="F233" s="1076"/>
      <c r="G233" s="1076"/>
      <c r="H233" s="1077"/>
      <c r="I233" s="542" t="str">
        <f>IF(ISBLANK('M&amp;V (ORÇ)'!I226)," ",'M&amp;V (ORÇ)'!I226)</f>
        <v xml:space="preserve"> </v>
      </c>
      <c r="J233" s="542" t="str">
        <f>IF(ISBLANK('M&amp;V (ORÇ)'!J226)," ",'M&amp;V (ORÇ)'!J226)</f>
        <v xml:space="preserve"> </v>
      </c>
      <c r="K233" s="544">
        <f>'M&amp;V (ORÇ)'!K226</f>
        <v>0</v>
      </c>
      <c r="L233" s="543">
        <f>'M&amp;V (ORÇ)'!L226</f>
        <v>0</v>
      </c>
      <c r="M233" s="131">
        <f t="shared" si="13"/>
        <v>0</v>
      </c>
      <c r="N233" s="133">
        <f t="shared" si="14"/>
        <v>0</v>
      </c>
      <c r="O233" s="132"/>
      <c r="P233" s="132"/>
    </row>
    <row r="234" spans="2:16" x14ac:dyDescent="0.25">
      <c r="B234" s="128">
        <v>16</v>
      </c>
      <c r="C234" s="1075" t="str">
        <f>IF(ISBLANK('M&amp;V (ORÇ)'!C227)," ",'M&amp;V (ORÇ)'!C227)</f>
        <v xml:space="preserve"> </v>
      </c>
      <c r="D234" s="1076"/>
      <c r="E234" s="1076"/>
      <c r="F234" s="1076"/>
      <c r="G234" s="1076"/>
      <c r="H234" s="1077"/>
      <c r="I234" s="542" t="str">
        <f>IF(ISBLANK('M&amp;V (ORÇ)'!I227)," ",'M&amp;V (ORÇ)'!I227)</f>
        <v xml:space="preserve"> </v>
      </c>
      <c r="J234" s="542" t="str">
        <f>IF(ISBLANK('M&amp;V (ORÇ)'!J227)," ",'M&amp;V (ORÇ)'!J227)</f>
        <v xml:space="preserve"> </v>
      </c>
      <c r="K234" s="544">
        <f>'M&amp;V (ORÇ)'!K227</f>
        <v>0</v>
      </c>
      <c r="L234" s="543">
        <f>'M&amp;V (ORÇ)'!L227</f>
        <v>0</v>
      </c>
      <c r="M234" s="131">
        <f t="shared" si="13"/>
        <v>0</v>
      </c>
      <c r="N234" s="133">
        <f t="shared" si="14"/>
        <v>0</v>
      </c>
      <c r="O234" s="132"/>
      <c r="P234" s="132"/>
    </row>
    <row r="235" spans="2:16" x14ac:dyDescent="0.25">
      <c r="B235" s="128">
        <v>17</v>
      </c>
      <c r="C235" s="1075" t="str">
        <f>IF(ISBLANK('M&amp;V (ORÇ)'!C228)," ",'M&amp;V (ORÇ)'!C228)</f>
        <v xml:space="preserve"> </v>
      </c>
      <c r="D235" s="1076"/>
      <c r="E235" s="1076"/>
      <c r="F235" s="1076"/>
      <c r="G235" s="1076"/>
      <c r="H235" s="1077"/>
      <c r="I235" s="542" t="str">
        <f>IF(ISBLANK('M&amp;V (ORÇ)'!I228)," ",'M&amp;V (ORÇ)'!I228)</f>
        <v xml:space="preserve"> </v>
      </c>
      <c r="J235" s="542" t="str">
        <f>IF(ISBLANK('M&amp;V (ORÇ)'!J228)," ",'M&amp;V (ORÇ)'!J228)</f>
        <v xml:space="preserve"> </v>
      </c>
      <c r="K235" s="544">
        <f>'M&amp;V (ORÇ)'!K228</f>
        <v>0</v>
      </c>
      <c r="L235" s="543">
        <f>'M&amp;V (ORÇ)'!L228</f>
        <v>0</v>
      </c>
      <c r="M235" s="131">
        <f t="shared" si="13"/>
        <v>0</v>
      </c>
      <c r="N235" s="133">
        <f t="shared" si="14"/>
        <v>0</v>
      </c>
      <c r="O235" s="132"/>
      <c r="P235" s="132"/>
    </row>
    <row r="236" spans="2:16" x14ac:dyDescent="0.25">
      <c r="B236" s="128">
        <v>18</v>
      </c>
      <c r="C236" s="1075" t="str">
        <f>IF(ISBLANK('M&amp;V (ORÇ)'!C229)," ",'M&amp;V (ORÇ)'!C229)</f>
        <v xml:space="preserve"> </v>
      </c>
      <c r="D236" s="1076"/>
      <c r="E236" s="1076"/>
      <c r="F236" s="1076"/>
      <c r="G236" s="1076"/>
      <c r="H236" s="1077"/>
      <c r="I236" s="542" t="str">
        <f>IF(ISBLANK('M&amp;V (ORÇ)'!I229)," ",'M&amp;V (ORÇ)'!I229)</f>
        <v xml:space="preserve"> </v>
      </c>
      <c r="J236" s="542" t="str">
        <f>IF(ISBLANK('M&amp;V (ORÇ)'!J229)," ",'M&amp;V (ORÇ)'!J229)</f>
        <v xml:space="preserve"> </v>
      </c>
      <c r="K236" s="544">
        <f>'M&amp;V (ORÇ)'!K229</f>
        <v>0</v>
      </c>
      <c r="L236" s="543">
        <f>'M&amp;V (ORÇ)'!L229</f>
        <v>0</v>
      </c>
      <c r="M236" s="131">
        <f t="shared" si="13"/>
        <v>0</v>
      </c>
      <c r="N236" s="133">
        <f t="shared" si="14"/>
        <v>0</v>
      </c>
      <c r="O236" s="132"/>
      <c r="P236" s="132"/>
    </row>
    <row r="237" spans="2:16" x14ac:dyDescent="0.25">
      <c r="B237" s="128">
        <v>19</v>
      </c>
      <c r="C237" s="1075" t="str">
        <f>IF(ISBLANK('M&amp;V (ORÇ)'!C230)," ",'M&amp;V (ORÇ)'!C230)</f>
        <v xml:space="preserve"> </v>
      </c>
      <c r="D237" s="1076"/>
      <c r="E237" s="1076"/>
      <c r="F237" s="1076"/>
      <c r="G237" s="1076"/>
      <c r="H237" s="1077"/>
      <c r="I237" s="542" t="str">
        <f>IF(ISBLANK('M&amp;V (ORÇ)'!I230)," ",'M&amp;V (ORÇ)'!I230)</f>
        <v xml:space="preserve"> </v>
      </c>
      <c r="J237" s="542" t="str">
        <f>IF(ISBLANK('M&amp;V (ORÇ)'!J230)," ",'M&amp;V (ORÇ)'!J230)</f>
        <v xml:space="preserve"> </v>
      </c>
      <c r="K237" s="544">
        <f>'M&amp;V (ORÇ)'!K230</f>
        <v>0</v>
      </c>
      <c r="L237" s="543">
        <f>'M&amp;V (ORÇ)'!L230</f>
        <v>0</v>
      </c>
      <c r="M237" s="131">
        <f t="shared" si="13"/>
        <v>0</v>
      </c>
      <c r="N237" s="133">
        <f t="shared" si="14"/>
        <v>0</v>
      </c>
      <c r="O237" s="132"/>
      <c r="P237" s="132"/>
    </row>
    <row r="238" spans="2:16" x14ac:dyDescent="0.25">
      <c r="B238" s="128">
        <v>20</v>
      </c>
      <c r="C238" s="1075" t="str">
        <f>IF(ISBLANK('M&amp;V (ORÇ)'!C231)," ",'M&amp;V (ORÇ)'!C231)</f>
        <v xml:space="preserve"> </v>
      </c>
      <c r="D238" s="1076"/>
      <c r="E238" s="1076"/>
      <c r="F238" s="1076"/>
      <c r="G238" s="1076"/>
      <c r="H238" s="1077"/>
      <c r="I238" s="542" t="str">
        <f>IF(ISBLANK('M&amp;V (ORÇ)'!I231)," ",'M&amp;V (ORÇ)'!I231)</f>
        <v xml:space="preserve"> </v>
      </c>
      <c r="J238" s="542" t="str">
        <f>IF(ISBLANK('M&amp;V (ORÇ)'!J231)," ",'M&amp;V (ORÇ)'!J231)</f>
        <v xml:space="preserve"> </v>
      </c>
      <c r="K238" s="544">
        <f>'M&amp;V (ORÇ)'!K231</f>
        <v>0</v>
      </c>
      <c r="L238" s="543">
        <f>'M&amp;V (ORÇ)'!L231</f>
        <v>0</v>
      </c>
      <c r="M238" s="131">
        <f t="shared" si="13"/>
        <v>0</v>
      </c>
      <c r="N238" s="133">
        <f t="shared" si="14"/>
        <v>0</v>
      </c>
      <c r="O238" s="132"/>
      <c r="P238" s="132"/>
    </row>
    <row r="239" spans="2:16" x14ac:dyDescent="0.25">
      <c r="B239" s="128">
        <v>21</v>
      </c>
      <c r="C239" s="1075" t="str">
        <f>IF(ISBLANK('M&amp;V (ORÇ)'!C232)," ",'M&amp;V (ORÇ)'!C232)</f>
        <v xml:space="preserve"> </v>
      </c>
      <c r="D239" s="1076"/>
      <c r="E239" s="1076"/>
      <c r="F239" s="1076"/>
      <c r="G239" s="1076"/>
      <c r="H239" s="1077"/>
      <c r="I239" s="542" t="str">
        <f>IF(ISBLANK('M&amp;V (ORÇ)'!I232)," ",'M&amp;V (ORÇ)'!I232)</f>
        <v xml:space="preserve"> </v>
      </c>
      <c r="J239" s="542" t="str">
        <f>IF(ISBLANK('M&amp;V (ORÇ)'!J232)," ",'M&amp;V (ORÇ)'!J232)</f>
        <v xml:space="preserve"> </v>
      </c>
      <c r="K239" s="544">
        <f>'M&amp;V (ORÇ)'!K232</f>
        <v>0</v>
      </c>
      <c r="L239" s="543">
        <f>'M&amp;V (ORÇ)'!L232</f>
        <v>0</v>
      </c>
      <c r="M239" s="131">
        <f t="shared" si="13"/>
        <v>0</v>
      </c>
      <c r="N239" s="133">
        <f t="shared" si="14"/>
        <v>0</v>
      </c>
      <c r="O239" s="132"/>
      <c r="P239" s="132"/>
    </row>
    <row r="240" spans="2:16" x14ac:dyDescent="0.25">
      <c r="B240" s="128">
        <v>22</v>
      </c>
      <c r="C240" s="1075" t="str">
        <f>IF(ISBLANK('M&amp;V (ORÇ)'!C233)," ",'M&amp;V (ORÇ)'!C233)</f>
        <v xml:space="preserve"> </v>
      </c>
      <c r="D240" s="1076"/>
      <c r="E240" s="1076"/>
      <c r="F240" s="1076"/>
      <c r="G240" s="1076"/>
      <c r="H240" s="1077"/>
      <c r="I240" s="542" t="str">
        <f>IF(ISBLANK('M&amp;V (ORÇ)'!I233)," ",'M&amp;V (ORÇ)'!I233)</f>
        <v xml:space="preserve"> </v>
      </c>
      <c r="J240" s="542" t="str">
        <f>IF(ISBLANK('M&amp;V (ORÇ)'!J233)," ",'M&amp;V (ORÇ)'!J233)</f>
        <v xml:space="preserve"> </v>
      </c>
      <c r="K240" s="544">
        <f>'M&amp;V (ORÇ)'!K233</f>
        <v>0</v>
      </c>
      <c r="L240" s="543">
        <f>'M&amp;V (ORÇ)'!L233</f>
        <v>0</v>
      </c>
      <c r="M240" s="131">
        <f t="shared" si="13"/>
        <v>0</v>
      </c>
      <c r="N240" s="133">
        <f t="shared" si="14"/>
        <v>0</v>
      </c>
      <c r="O240" s="132"/>
      <c r="P240" s="132"/>
    </row>
    <row r="241" spans="2:16" x14ac:dyDescent="0.25">
      <c r="B241" s="128">
        <v>23</v>
      </c>
      <c r="C241" s="1075" t="str">
        <f>IF(ISBLANK('M&amp;V (ORÇ)'!C234)," ",'M&amp;V (ORÇ)'!C234)</f>
        <v xml:space="preserve"> </v>
      </c>
      <c r="D241" s="1076"/>
      <c r="E241" s="1076"/>
      <c r="F241" s="1076"/>
      <c r="G241" s="1076"/>
      <c r="H241" s="1077"/>
      <c r="I241" s="542" t="str">
        <f>IF(ISBLANK('M&amp;V (ORÇ)'!I234)," ",'M&amp;V (ORÇ)'!I234)</f>
        <v xml:space="preserve"> </v>
      </c>
      <c r="J241" s="542" t="str">
        <f>IF(ISBLANK('M&amp;V (ORÇ)'!J234)," ",'M&amp;V (ORÇ)'!J234)</f>
        <v xml:space="preserve"> </v>
      </c>
      <c r="K241" s="544">
        <f>'M&amp;V (ORÇ)'!K234</f>
        <v>0</v>
      </c>
      <c r="L241" s="543">
        <f>'M&amp;V (ORÇ)'!L234</f>
        <v>0</v>
      </c>
      <c r="M241" s="131">
        <f t="shared" si="13"/>
        <v>0</v>
      </c>
      <c r="N241" s="133">
        <f t="shared" si="14"/>
        <v>0</v>
      </c>
      <c r="O241" s="132"/>
      <c r="P241" s="132"/>
    </row>
    <row r="242" spans="2:16" x14ac:dyDescent="0.25">
      <c r="B242" s="128">
        <v>24</v>
      </c>
      <c r="C242" s="1075" t="str">
        <f>IF(ISBLANK('M&amp;V (ORÇ)'!C235)," ",'M&amp;V (ORÇ)'!C235)</f>
        <v xml:space="preserve"> </v>
      </c>
      <c r="D242" s="1076"/>
      <c r="E242" s="1076"/>
      <c r="F242" s="1076"/>
      <c r="G242" s="1076"/>
      <c r="H242" s="1077"/>
      <c r="I242" s="542" t="str">
        <f>IF(ISBLANK('M&amp;V (ORÇ)'!I235)," ",'M&amp;V (ORÇ)'!I235)</f>
        <v xml:space="preserve"> </v>
      </c>
      <c r="J242" s="542" t="str">
        <f>IF(ISBLANK('M&amp;V (ORÇ)'!J235)," ",'M&amp;V (ORÇ)'!J235)</f>
        <v xml:space="preserve"> </v>
      </c>
      <c r="K242" s="544">
        <f>'M&amp;V (ORÇ)'!K235</f>
        <v>0</v>
      </c>
      <c r="L242" s="543">
        <f>'M&amp;V (ORÇ)'!L235</f>
        <v>0</v>
      </c>
      <c r="M242" s="131">
        <f t="shared" si="13"/>
        <v>0</v>
      </c>
      <c r="N242" s="133">
        <f t="shared" si="14"/>
        <v>0</v>
      </c>
      <c r="O242" s="132"/>
      <c r="P242" s="132"/>
    </row>
    <row r="243" spans="2:16" x14ac:dyDescent="0.25">
      <c r="B243" s="128">
        <v>25</v>
      </c>
      <c r="C243" s="1075" t="str">
        <f>IF(ISBLANK('M&amp;V (ORÇ)'!C236)," ",'M&amp;V (ORÇ)'!C236)</f>
        <v xml:space="preserve"> </v>
      </c>
      <c r="D243" s="1076"/>
      <c r="E243" s="1076"/>
      <c r="F243" s="1076"/>
      <c r="G243" s="1076"/>
      <c r="H243" s="1077"/>
      <c r="I243" s="542" t="str">
        <f>IF(ISBLANK('M&amp;V (ORÇ)'!I236)," ",'M&amp;V (ORÇ)'!I236)</f>
        <v xml:space="preserve"> </v>
      </c>
      <c r="J243" s="542" t="str">
        <f>IF(ISBLANK('M&amp;V (ORÇ)'!J236)," ",'M&amp;V (ORÇ)'!J236)</f>
        <v xml:space="preserve"> </v>
      </c>
      <c r="K243" s="544">
        <f>'M&amp;V (ORÇ)'!K236</f>
        <v>0</v>
      </c>
      <c r="L243" s="543">
        <f>'M&amp;V (ORÇ)'!L236</f>
        <v>0</v>
      </c>
      <c r="M243" s="131">
        <f t="shared" si="13"/>
        <v>0</v>
      </c>
      <c r="N243" s="133">
        <f t="shared" si="14"/>
        <v>0</v>
      </c>
      <c r="O243" s="132"/>
      <c r="P243" s="132"/>
    </row>
    <row r="244" spans="2:16" x14ac:dyDescent="0.25">
      <c r="B244" s="128">
        <v>26</v>
      </c>
      <c r="C244" s="1075" t="str">
        <f>IF(ISBLANK('M&amp;V (ORÇ)'!C237)," ",'M&amp;V (ORÇ)'!C237)</f>
        <v xml:space="preserve"> </v>
      </c>
      <c r="D244" s="1076"/>
      <c r="E244" s="1076"/>
      <c r="F244" s="1076"/>
      <c r="G244" s="1076"/>
      <c r="H244" s="1077"/>
      <c r="I244" s="542" t="str">
        <f>IF(ISBLANK('M&amp;V (ORÇ)'!I237)," ",'M&amp;V (ORÇ)'!I237)</f>
        <v xml:space="preserve"> </v>
      </c>
      <c r="J244" s="542" t="str">
        <f>IF(ISBLANK('M&amp;V (ORÇ)'!J237)," ",'M&amp;V (ORÇ)'!J237)</f>
        <v xml:space="preserve"> </v>
      </c>
      <c r="K244" s="544">
        <f>'M&amp;V (ORÇ)'!K237</f>
        <v>0</v>
      </c>
      <c r="L244" s="543">
        <f>'M&amp;V (ORÇ)'!L237</f>
        <v>0</v>
      </c>
      <c r="M244" s="131">
        <f t="shared" si="13"/>
        <v>0</v>
      </c>
      <c r="N244" s="133">
        <f t="shared" si="14"/>
        <v>0</v>
      </c>
      <c r="O244" s="132"/>
      <c r="P244" s="132"/>
    </row>
    <row r="245" spans="2:16" x14ac:dyDescent="0.25">
      <c r="B245" s="128">
        <v>27</v>
      </c>
      <c r="C245" s="1075" t="str">
        <f>IF(ISBLANK('M&amp;V (ORÇ)'!C238)," ",'M&amp;V (ORÇ)'!C238)</f>
        <v xml:space="preserve"> </v>
      </c>
      <c r="D245" s="1076"/>
      <c r="E245" s="1076"/>
      <c r="F245" s="1076"/>
      <c r="G245" s="1076"/>
      <c r="H245" s="1077"/>
      <c r="I245" s="542" t="str">
        <f>IF(ISBLANK('M&amp;V (ORÇ)'!I238)," ",'M&amp;V (ORÇ)'!I238)</f>
        <v xml:space="preserve"> </v>
      </c>
      <c r="J245" s="542" t="str">
        <f>IF(ISBLANK('M&amp;V (ORÇ)'!J238)," ",'M&amp;V (ORÇ)'!J238)</f>
        <v xml:space="preserve"> </v>
      </c>
      <c r="K245" s="544">
        <f>'M&amp;V (ORÇ)'!K238</f>
        <v>0</v>
      </c>
      <c r="L245" s="543">
        <f>'M&amp;V (ORÇ)'!L238</f>
        <v>0</v>
      </c>
      <c r="M245" s="131">
        <f t="shared" si="13"/>
        <v>0</v>
      </c>
      <c r="N245" s="133">
        <f t="shared" si="14"/>
        <v>0</v>
      </c>
      <c r="O245" s="132"/>
      <c r="P245" s="132"/>
    </row>
    <row r="246" spans="2:16" x14ac:dyDescent="0.25">
      <c r="B246" s="128">
        <v>28</v>
      </c>
      <c r="C246" s="1075" t="str">
        <f>IF(ISBLANK('M&amp;V (ORÇ)'!C239)," ",'M&amp;V (ORÇ)'!C239)</f>
        <v xml:space="preserve"> </v>
      </c>
      <c r="D246" s="1076"/>
      <c r="E246" s="1076"/>
      <c r="F246" s="1076"/>
      <c r="G246" s="1076"/>
      <c r="H246" s="1077"/>
      <c r="I246" s="542" t="str">
        <f>IF(ISBLANK('M&amp;V (ORÇ)'!I239)," ",'M&amp;V (ORÇ)'!I239)</f>
        <v xml:space="preserve"> </v>
      </c>
      <c r="J246" s="542" t="str">
        <f>IF(ISBLANK('M&amp;V (ORÇ)'!J239)," ",'M&amp;V (ORÇ)'!J239)</f>
        <v xml:space="preserve"> </v>
      </c>
      <c r="K246" s="544">
        <f>'M&amp;V (ORÇ)'!K239</f>
        <v>0</v>
      </c>
      <c r="L246" s="543">
        <f>'M&amp;V (ORÇ)'!L239</f>
        <v>0</v>
      </c>
      <c r="M246" s="131">
        <f t="shared" si="13"/>
        <v>0</v>
      </c>
      <c r="N246" s="133">
        <f t="shared" si="14"/>
        <v>0</v>
      </c>
      <c r="O246" s="132"/>
      <c r="P246" s="132"/>
    </row>
    <row r="247" spans="2:16" x14ac:dyDescent="0.25">
      <c r="B247" s="128">
        <v>29</v>
      </c>
      <c r="C247" s="1075" t="str">
        <f>IF(ISBLANK('M&amp;V (ORÇ)'!C240)," ",'M&amp;V (ORÇ)'!C240)</f>
        <v xml:space="preserve"> </v>
      </c>
      <c r="D247" s="1076"/>
      <c r="E247" s="1076"/>
      <c r="F247" s="1076"/>
      <c r="G247" s="1076"/>
      <c r="H247" s="1077"/>
      <c r="I247" s="542" t="str">
        <f>IF(ISBLANK('M&amp;V (ORÇ)'!I240)," ",'M&amp;V (ORÇ)'!I240)</f>
        <v xml:space="preserve"> </v>
      </c>
      <c r="J247" s="542" t="str">
        <f>IF(ISBLANK('M&amp;V (ORÇ)'!J240)," ",'M&amp;V (ORÇ)'!J240)</f>
        <v xml:space="preserve"> </v>
      </c>
      <c r="K247" s="544">
        <f>'M&amp;V (ORÇ)'!K240</f>
        <v>0</v>
      </c>
      <c r="L247" s="543">
        <f>'M&amp;V (ORÇ)'!L240</f>
        <v>0</v>
      </c>
      <c r="M247" s="131">
        <f t="shared" si="13"/>
        <v>0</v>
      </c>
      <c r="N247" s="133">
        <f t="shared" si="14"/>
        <v>0</v>
      </c>
      <c r="O247" s="132"/>
      <c r="P247" s="132"/>
    </row>
    <row r="248" spans="2:16" x14ac:dyDescent="0.25">
      <c r="B248" s="128">
        <v>30</v>
      </c>
      <c r="C248" s="1075" t="str">
        <f>IF(ISBLANK('M&amp;V (ORÇ)'!C241)," ",'M&amp;V (ORÇ)'!C241)</f>
        <v xml:space="preserve"> </v>
      </c>
      <c r="D248" s="1076"/>
      <c r="E248" s="1076"/>
      <c r="F248" s="1076"/>
      <c r="G248" s="1076"/>
      <c r="H248" s="1077"/>
      <c r="I248" s="542" t="str">
        <f>IF(ISBLANK('M&amp;V (ORÇ)'!I241)," ",'M&amp;V (ORÇ)'!I241)</f>
        <v xml:space="preserve"> </v>
      </c>
      <c r="J248" s="542" t="str">
        <f>IF(ISBLANK('M&amp;V (ORÇ)'!J241)," ",'M&amp;V (ORÇ)'!J241)</f>
        <v xml:space="preserve"> </v>
      </c>
      <c r="K248" s="544">
        <f>'M&amp;V (ORÇ)'!K241</f>
        <v>0</v>
      </c>
      <c r="L248" s="543">
        <f>'M&amp;V (ORÇ)'!L241</f>
        <v>0</v>
      </c>
      <c r="M248" s="131">
        <f t="shared" si="13"/>
        <v>0</v>
      </c>
      <c r="N248" s="133">
        <f t="shared" si="14"/>
        <v>0</v>
      </c>
      <c r="O248" s="132"/>
      <c r="P248" s="132"/>
    </row>
    <row r="249" spans="2:16" x14ac:dyDescent="0.25">
      <c r="B249" s="128">
        <v>31</v>
      </c>
      <c r="C249" s="1075" t="str">
        <f>IF(ISBLANK('M&amp;V (ORÇ)'!C242)," ",'M&amp;V (ORÇ)'!C242)</f>
        <v xml:space="preserve"> </v>
      </c>
      <c r="D249" s="1076"/>
      <c r="E249" s="1076"/>
      <c r="F249" s="1076"/>
      <c r="G249" s="1076"/>
      <c r="H249" s="1077"/>
      <c r="I249" s="542" t="str">
        <f>IF(ISBLANK('M&amp;V (ORÇ)'!I242)," ",'M&amp;V (ORÇ)'!I242)</f>
        <v xml:space="preserve"> </v>
      </c>
      <c r="J249" s="542" t="str">
        <f>IF(ISBLANK('M&amp;V (ORÇ)'!J242)," ",'M&amp;V (ORÇ)'!J242)</f>
        <v xml:space="preserve"> </v>
      </c>
      <c r="K249" s="544">
        <f>'M&amp;V (ORÇ)'!K242</f>
        <v>0</v>
      </c>
      <c r="L249" s="543">
        <f>'M&amp;V (ORÇ)'!L242</f>
        <v>0</v>
      </c>
      <c r="M249" s="131">
        <f t="shared" si="13"/>
        <v>0</v>
      </c>
      <c r="N249" s="133">
        <f t="shared" si="14"/>
        <v>0</v>
      </c>
      <c r="O249" s="132"/>
      <c r="P249" s="132"/>
    </row>
    <row r="250" spans="2:16" x14ac:dyDescent="0.25">
      <c r="B250" s="128">
        <v>32</v>
      </c>
      <c r="C250" s="1075" t="str">
        <f>IF(ISBLANK('M&amp;V (ORÇ)'!C243)," ",'M&amp;V (ORÇ)'!C243)</f>
        <v xml:space="preserve"> </v>
      </c>
      <c r="D250" s="1076"/>
      <c r="E250" s="1076"/>
      <c r="F250" s="1076"/>
      <c r="G250" s="1076"/>
      <c r="H250" s="1077"/>
      <c r="I250" s="542" t="str">
        <f>IF(ISBLANK('M&amp;V (ORÇ)'!I243)," ",'M&amp;V (ORÇ)'!I243)</f>
        <v xml:space="preserve"> </v>
      </c>
      <c r="J250" s="542" t="str">
        <f>IF(ISBLANK('M&amp;V (ORÇ)'!J243)," ",'M&amp;V (ORÇ)'!J243)</f>
        <v xml:space="preserve"> </v>
      </c>
      <c r="K250" s="544">
        <f>'M&amp;V (ORÇ)'!K243</f>
        <v>0</v>
      </c>
      <c r="L250" s="543">
        <f>'M&amp;V (ORÇ)'!L243</f>
        <v>0</v>
      </c>
      <c r="M250" s="131">
        <f t="shared" si="13"/>
        <v>0</v>
      </c>
      <c r="N250" s="133">
        <f t="shared" si="14"/>
        <v>0</v>
      </c>
      <c r="O250" s="132"/>
      <c r="P250" s="132"/>
    </row>
    <row r="251" spans="2:16" x14ac:dyDescent="0.25">
      <c r="B251" s="128">
        <v>33</v>
      </c>
      <c r="C251" s="1075" t="str">
        <f>IF(ISBLANK('M&amp;V (ORÇ)'!C244)," ",'M&amp;V (ORÇ)'!C244)</f>
        <v xml:space="preserve"> </v>
      </c>
      <c r="D251" s="1076"/>
      <c r="E251" s="1076"/>
      <c r="F251" s="1076"/>
      <c r="G251" s="1076"/>
      <c r="H251" s="1077"/>
      <c r="I251" s="542" t="str">
        <f>IF(ISBLANK('M&amp;V (ORÇ)'!I244)," ",'M&amp;V (ORÇ)'!I244)</f>
        <v xml:space="preserve"> </v>
      </c>
      <c r="J251" s="542" t="str">
        <f>IF(ISBLANK('M&amp;V (ORÇ)'!J244)," ",'M&amp;V (ORÇ)'!J244)</f>
        <v xml:space="preserve"> </v>
      </c>
      <c r="K251" s="544">
        <f>'M&amp;V (ORÇ)'!K244</f>
        <v>0</v>
      </c>
      <c r="L251" s="543">
        <f>'M&amp;V (ORÇ)'!L244</f>
        <v>0</v>
      </c>
      <c r="M251" s="131">
        <f t="shared" si="13"/>
        <v>0</v>
      </c>
      <c r="N251" s="133">
        <f t="shared" ref="N251:N268" si="15">M251-O251-P251</f>
        <v>0</v>
      </c>
      <c r="O251" s="132"/>
      <c r="P251" s="132"/>
    </row>
    <row r="252" spans="2:16" x14ac:dyDescent="0.25">
      <c r="B252" s="128">
        <v>34</v>
      </c>
      <c r="C252" s="1075" t="str">
        <f>IF(ISBLANK('M&amp;V (ORÇ)'!C245)," ",'M&amp;V (ORÇ)'!C245)</f>
        <v xml:space="preserve"> </v>
      </c>
      <c r="D252" s="1076"/>
      <c r="E252" s="1076"/>
      <c r="F252" s="1076"/>
      <c r="G252" s="1076"/>
      <c r="H252" s="1077"/>
      <c r="I252" s="542" t="str">
        <f>IF(ISBLANK('M&amp;V (ORÇ)'!I245)," ",'M&amp;V (ORÇ)'!I245)</f>
        <v xml:space="preserve"> </v>
      </c>
      <c r="J252" s="542" t="str">
        <f>IF(ISBLANK('M&amp;V (ORÇ)'!J245)," ",'M&amp;V (ORÇ)'!J245)</f>
        <v xml:space="preserve"> </v>
      </c>
      <c r="K252" s="544">
        <f>'M&amp;V (ORÇ)'!K245</f>
        <v>0</v>
      </c>
      <c r="L252" s="543">
        <f>'M&amp;V (ORÇ)'!L245</f>
        <v>0</v>
      </c>
      <c r="M252" s="131">
        <f t="shared" si="13"/>
        <v>0</v>
      </c>
      <c r="N252" s="133">
        <f t="shared" si="15"/>
        <v>0</v>
      </c>
      <c r="O252" s="132"/>
      <c r="P252" s="132"/>
    </row>
    <row r="253" spans="2:16" x14ac:dyDescent="0.25">
      <c r="B253" s="128">
        <v>35</v>
      </c>
      <c r="C253" s="1075" t="str">
        <f>IF(ISBLANK('M&amp;V (ORÇ)'!C246)," ",'M&amp;V (ORÇ)'!C246)</f>
        <v xml:space="preserve"> </v>
      </c>
      <c r="D253" s="1076"/>
      <c r="E253" s="1076"/>
      <c r="F253" s="1076"/>
      <c r="G253" s="1076"/>
      <c r="H253" s="1077"/>
      <c r="I253" s="542" t="str">
        <f>IF(ISBLANK('M&amp;V (ORÇ)'!I246)," ",'M&amp;V (ORÇ)'!I246)</f>
        <v xml:space="preserve"> </v>
      </c>
      <c r="J253" s="542" t="str">
        <f>IF(ISBLANK('M&amp;V (ORÇ)'!J246)," ",'M&amp;V (ORÇ)'!J246)</f>
        <v xml:space="preserve"> </v>
      </c>
      <c r="K253" s="544">
        <f>'M&amp;V (ORÇ)'!K246</f>
        <v>0</v>
      </c>
      <c r="L253" s="543">
        <f>'M&amp;V (ORÇ)'!L246</f>
        <v>0</v>
      </c>
      <c r="M253" s="131">
        <f t="shared" si="13"/>
        <v>0</v>
      </c>
      <c r="N253" s="133">
        <f t="shared" si="15"/>
        <v>0</v>
      </c>
      <c r="O253" s="132"/>
      <c r="P253" s="132"/>
    </row>
    <row r="254" spans="2:16" x14ac:dyDescent="0.25">
      <c r="B254" s="128">
        <v>36</v>
      </c>
      <c r="C254" s="1075" t="str">
        <f>IF(ISBLANK('M&amp;V (ORÇ)'!C247)," ",'M&amp;V (ORÇ)'!C247)</f>
        <v xml:space="preserve"> </v>
      </c>
      <c r="D254" s="1076"/>
      <c r="E254" s="1076"/>
      <c r="F254" s="1076"/>
      <c r="G254" s="1076"/>
      <c r="H254" s="1077"/>
      <c r="I254" s="542" t="str">
        <f>IF(ISBLANK('M&amp;V (ORÇ)'!I247)," ",'M&amp;V (ORÇ)'!I247)</f>
        <v xml:space="preserve"> </v>
      </c>
      <c r="J254" s="542" t="str">
        <f>IF(ISBLANK('M&amp;V (ORÇ)'!J247)," ",'M&amp;V (ORÇ)'!J247)</f>
        <v xml:space="preserve"> </v>
      </c>
      <c r="K254" s="544">
        <f>'M&amp;V (ORÇ)'!K247</f>
        <v>0</v>
      </c>
      <c r="L254" s="543">
        <f>'M&amp;V (ORÇ)'!L247</f>
        <v>0</v>
      </c>
      <c r="M254" s="131">
        <f t="shared" si="13"/>
        <v>0</v>
      </c>
      <c r="N254" s="133">
        <f t="shared" si="15"/>
        <v>0</v>
      </c>
      <c r="O254" s="132"/>
      <c r="P254" s="132"/>
    </row>
    <row r="255" spans="2:16" x14ac:dyDescent="0.25">
      <c r="B255" s="128">
        <v>37</v>
      </c>
      <c r="C255" s="1075" t="str">
        <f>IF(ISBLANK('M&amp;V (ORÇ)'!C248)," ",'M&amp;V (ORÇ)'!C248)</f>
        <v xml:space="preserve"> </v>
      </c>
      <c r="D255" s="1076"/>
      <c r="E255" s="1076"/>
      <c r="F255" s="1076"/>
      <c r="G255" s="1076"/>
      <c r="H255" s="1077"/>
      <c r="I255" s="542" t="str">
        <f>IF(ISBLANK('M&amp;V (ORÇ)'!I248)," ",'M&amp;V (ORÇ)'!I248)</f>
        <v xml:space="preserve"> </v>
      </c>
      <c r="J255" s="542" t="str">
        <f>IF(ISBLANK('M&amp;V (ORÇ)'!J248)," ",'M&amp;V (ORÇ)'!J248)</f>
        <v xml:space="preserve"> </v>
      </c>
      <c r="K255" s="544">
        <f>'M&amp;V (ORÇ)'!K248</f>
        <v>0</v>
      </c>
      <c r="L255" s="543">
        <f>'M&amp;V (ORÇ)'!L248</f>
        <v>0</v>
      </c>
      <c r="M255" s="131">
        <f t="shared" si="13"/>
        <v>0</v>
      </c>
      <c r="N255" s="133">
        <f t="shared" si="15"/>
        <v>0</v>
      </c>
      <c r="O255" s="132"/>
      <c r="P255" s="132"/>
    </row>
    <row r="256" spans="2:16" x14ac:dyDescent="0.25">
      <c r="B256" s="128">
        <v>38</v>
      </c>
      <c r="C256" s="1075" t="str">
        <f>IF(ISBLANK('M&amp;V (ORÇ)'!C249)," ",'M&amp;V (ORÇ)'!C249)</f>
        <v xml:space="preserve"> </v>
      </c>
      <c r="D256" s="1076"/>
      <c r="E256" s="1076"/>
      <c r="F256" s="1076"/>
      <c r="G256" s="1076"/>
      <c r="H256" s="1077"/>
      <c r="I256" s="542" t="str">
        <f>IF(ISBLANK('M&amp;V (ORÇ)'!I249)," ",'M&amp;V (ORÇ)'!I249)</f>
        <v xml:space="preserve"> </v>
      </c>
      <c r="J256" s="542" t="str">
        <f>IF(ISBLANK('M&amp;V (ORÇ)'!J249)," ",'M&amp;V (ORÇ)'!J249)</f>
        <v xml:space="preserve"> </v>
      </c>
      <c r="K256" s="544">
        <f>'M&amp;V (ORÇ)'!K249</f>
        <v>0</v>
      </c>
      <c r="L256" s="543">
        <f>'M&amp;V (ORÇ)'!L249</f>
        <v>0</v>
      </c>
      <c r="M256" s="131">
        <f t="shared" si="13"/>
        <v>0</v>
      </c>
      <c r="N256" s="133">
        <f t="shared" si="15"/>
        <v>0</v>
      </c>
      <c r="O256" s="132"/>
      <c r="P256" s="132"/>
    </row>
    <row r="257" spans="2:16" x14ac:dyDescent="0.25">
      <c r="B257" s="128">
        <v>39</v>
      </c>
      <c r="C257" s="1075" t="str">
        <f>IF(ISBLANK('M&amp;V (ORÇ)'!C250)," ",'M&amp;V (ORÇ)'!C250)</f>
        <v xml:space="preserve"> </v>
      </c>
      <c r="D257" s="1076"/>
      <c r="E257" s="1076"/>
      <c r="F257" s="1076"/>
      <c r="G257" s="1076"/>
      <c r="H257" s="1077"/>
      <c r="I257" s="542" t="str">
        <f>IF(ISBLANK('M&amp;V (ORÇ)'!I250)," ",'M&amp;V (ORÇ)'!I250)</f>
        <v xml:space="preserve"> </v>
      </c>
      <c r="J257" s="542" t="str">
        <f>IF(ISBLANK('M&amp;V (ORÇ)'!J250)," ",'M&amp;V (ORÇ)'!J250)</f>
        <v xml:space="preserve"> </v>
      </c>
      <c r="K257" s="544">
        <f>'M&amp;V (ORÇ)'!K250</f>
        <v>0</v>
      </c>
      <c r="L257" s="543">
        <f>'M&amp;V (ORÇ)'!L250</f>
        <v>0</v>
      </c>
      <c r="M257" s="131">
        <f t="shared" si="13"/>
        <v>0</v>
      </c>
      <c r="N257" s="133">
        <f t="shared" si="15"/>
        <v>0</v>
      </c>
      <c r="O257" s="132"/>
      <c r="P257" s="132"/>
    </row>
    <row r="258" spans="2:16" x14ac:dyDescent="0.25">
      <c r="B258" s="128">
        <v>40</v>
      </c>
      <c r="C258" s="1075" t="str">
        <f>IF(ISBLANK('M&amp;V (ORÇ)'!C251)," ",'M&amp;V (ORÇ)'!C251)</f>
        <v xml:space="preserve"> </v>
      </c>
      <c r="D258" s="1076"/>
      <c r="E258" s="1076"/>
      <c r="F258" s="1076"/>
      <c r="G258" s="1076"/>
      <c r="H258" s="1077"/>
      <c r="I258" s="542" t="str">
        <f>IF(ISBLANK('M&amp;V (ORÇ)'!I251)," ",'M&amp;V (ORÇ)'!I251)</f>
        <v xml:space="preserve"> </v>
      </c>
      <c r="J258" s="542" t="str">
        <f>IF(ISBLANK('M&amp;V (ORÇ)'!J251)," ",'M&amp;V (ORÇ)'!J251)</f>
        <v xml:space="preserve"> </v>
      </c>
      <c r="K258" s="544">
        <f>'M&amp;V (ORÇ)'!K251</f>
        <v>0</v>
      </c>
      <c r="L258" s="543">
        <f>'M&amp;V (ORÇ)'!L251</f>
        <v>0</v>
      </c>
      <c r="M258" s="131">
        <f t="shared" si="13"/>
        <v>0</v>
      </c>
      <c r="N258" s="133">
        <f t="shared" si="15"/>
        <v>0</v>
      </c>
      <c r="O258" s="132"/>
      <c r="P258" s="132"/>
    </row>
    <row r="259" spans="2:16" x14ac:dyDescent="0.25">
      <c r="B259" s="128">
        <v>41</v>
      </c>
      <c r="C259" s="1075" t="str">
        <f>IF(ISBLANK('M&amp;V (ORÇ)'!C252)," ",'M&amp;V (ORÇ)'!C252)</f>
        <v xml:space="preserve"> </v>
      </c>
      <c r="D259" s="1076"/>
      <c r="E259" s="1076"/>
      <c r="F259" s="1076"/>
      <c r="G259" s="1076"/>
      <c r="H259" s="1077"/>
      <c r="I259" s="542" t="str">
        <f>IF(ISBLANK('M&amp;V (ORÇ)'!I252)," ",'M&amp;V (ORÇ)'!I252)</f>
        <v xml:space="preserve"> </v>
      </c>
      <c r="J259" s="542" t="str">
        <f>IF(ISBLANK('M&amp;V (ORÇ)'!J252)," ",'M&amp;V (ORÇ)'!J252)</f>
        <v xml:space="preserve"> </v>
      </c>
      <c r="K259" s="544">
        <f>'M&amp;V (ORÇ)'!K252</f>
        <v>0</v>
      </c>
      <c r="L259" s="543">
        <f>'M&amp;V (ORÇ)'!L252</f>
        <v>0</v>
      </c>
      <c r="M259" s="131">
        <f t="shared" si="13"/>
        <v>0</v>
      </c>
      <c r="N259" s="133">
        <f t="shared" si="15"/>
        <v>0</v>
      </c>
      <c r="O259" s="132"/>
      <c r="P259" s="132"/>
    </row>
    <row r="260" spans="2:16" x14ac:dyDescent="0.25">
      <c r="B260" s="128">
        <v>42</v>
      </c>
      <c r="C260" s="1075" t="str">
        <f>IF(ISBLANK('M&amp;V (ORÇ)'!C253)," ",'M&amp;V (ORÇ)'!C253)</f>
        <v xml:space="preserve"> </v>
      </c>
      <c r="D260" s="1076"/>
      <c r="E260" s="1076"/>
      <c r="F260" s="1076"/>
      <c r="G260" s="1076"/>
      <c r="H260" s="1077"/>
      <c r="I260" s="542" t="str">
        <f>IF(ISBLANK('M&amp;V (ORÇ)'!I253)," ",'M&amp;V (ORÇ)'!I253)</f>
        <v xml:space="preserve"> </v>
      </c>
      <c r="J260" s="542" t="str">
        <f>IF(ISBLANK('M&amp;V (ORÇ)'!J253)," ",'M&amp;V (ORÇ)'!J253)</f>
        <v xml:space="preserve"> </v>
      </c>
      <c r="K260" s="544">
        <f>'M&amp;V (ORÇ)'!K253</f>
        <v>0</v>
      </c>
      <c r="L260" s="543">
        <f>'M&amp;V (ORÇ)'!L253</f>
        <v>0</v>
      </c>
      <c r="M260" s="131">
        <f t="shared" si="13"/>
        <v>0</v>
      </c>
      <c r="N260" s="133">
        <f t="shared" si="15"/>
        <v>0</v>
      </c>
      <c r="O260" s="132"/>
      <c r="P260" s="132"/>
    </row>
    <row r="261" spans="2:16" x14ac:dyDescent="0.25">
      <c r="B261" s="128">
        <v>43</v>
      </c>
      <c r="C261" s="1075" t="str">
        <f>IF(ISBLANK('M&amp;V (ORÇ)'!C254)," ",'M&amp;V (ORÇ)'!C254)</f>
        <v xml:space="preserve"> </v>
      </c>
      <c r="D261" s="1076"/>
      <c r="E261" s="1076"/>
      <c r="F261" s="1076"/>
      <c r="G261" s="1076"/>
      <c r="H261" s="1077"/>
      <c r="I261" s="542" t="str">
        <f>IF(ISBLANK('M&amp;V (ORÇ)'!I254)," ",'M&amp;V (ORÇ)'!I254)</f>
        <v xml:space="preserve"> </v>
      </c>
      <c r="J261" s="542" t="str">
        <f>IF(ISBLANK('M&amp;V (ORÇ)'!J254)," ",'M&amp;V (ORÇ)'!J254)</f>
        <v xml:space="preserve"> </v>
      </c>
      <c r="K261" s="544">
        <f>'M&amp;V (ORÇ)'!K254</f>
        <v>0</v>
      </c>
      <c r="L261" s="543">
        <f>'M&amp;V (ORÇ)'!L254</f>
        <v>0</v>
      </c>
      <c r="M261" s="131">
        <f t="shared" si="13"/>
        <v>0</v>
      </c>
      <c r="N261" s="133">
        <f t="shared" si="15"/>
        <v>0</v>
      </c>
      <c r="O261" s="132"/>
      <c r="P261" s="132"/>
    </row>
    <row r="262" spans="2:16" x14ac:dyDescent="0.25">
      <c r="B262" s="128">
        <v>44</v>
      </c>
      <c r="C262" s="1075" t="str">
        <f>IF(ISBLANK('M&amp;V (ORÇ)'!C255)," ",'M&amp;V (ORÇ)'!C255)</f>
        <v xml:space="preserve"> </v>
      </c>
      <c r="D262" s="1076"/>
      <c r="E262" s="1076"/>
      <c r="F262" s="1076"/>
      <c r="G262" s="1076"/>
      <c r="H262" s="1077"/>
      <c r="I262" s="542" t="str">
        <f>IF(ISBLANK('M&amp;V (ORÇ)'!I255)," ",'M&amp;V (ORÇ)'!I255)</f>
        <v xml:space="preserve"> </v>
      </c>
      <c r="J262" s="542" t="str">
        <f>IF(ISBLANK('M&amp;V (ORÇ)'!J255)," ",'M&amp;V (ORÇ)'!J255)</f>
        <v xml:space="preserve"> </v>
      </c>
      <c r="K262" s="544">
        <f>'M&amp;V (ORÇ)'!K255</f>
        <v>0</v>
      </c>
      <c r="L262" s="543">
        <f>'M&amp;V (ORÇ)'!L255</f>
        <v>0</v>
      </c>
      <c r="M262" s="131">
        <f t="shared" si="13"/>
        <v>0</v>
      </c>
      <c r="N262" s="133">
        <f t="shared" si="15"/>
        <v>0</v>
      </c>
      <c r="O262" s="132"/>
      <c r="P262" s="132"/>
    </row>
    <row r="263" spans="2:16" x14ac:dyDescent="0.25">
      <c r="B263" s="128">
        <v>45</v>
      </c>
      <c r="C263" s="1075" t="str">
        <f>IF(ISBLANK('M&amp;V (ORÇ)'!C256)," ",'M&amp;V (ORÇ)'!C256)</f>
        <v xml:space="preserve"> </v>
      </c>
      <c r="D263" s="1076"/>
      <c r="E263" s="1076"/>
      <c r="F263" s="1076"/>
      <c r="G263" s="1076"/>
      <c r="H263" s="1077"/>
      <c r="I263" s="542" t="str">
        <f>IF(ISBLANK('M&amp;V (ORÇ)'!I256)," ",'M&amp;V (ORÇ)'!I256)</f>
        <v xml:space="preserve"> </v>
      </c>
      <c r="J263" s="542" t="str">
        <f>IF(ISBLANK('M&amp;V (ORÇ)'!J256)," ",'M&amp;V (ORÇ)'!J256)</f>
        <v xml:space="preserve"> </v>
      </c>
      <c r="K263" s="544">
        <f>'M&amp;V (ORÇ)'!K256</f>
        <v>0</v>
      </c>
      <c r="L263" s="543">
        <f>'M&amp;V (ORÇ)'!L256</f>
        <v>0</v>
      </c>
      <c r="M263" s="131">
        <f t="shared" si="13"/>
        <v>0</v>
      </c>
      <c r="N263" s="133">
        <f t="shared" si="15"/>
        <v>0</v>
      </c>
      <c r="O263" s="132"/>
      <c r="P263" s="132"/>
    </row>
    <row r="264" spans="2:16" x14ac:dyDescent="0.25">
      <c r="B264" s="128">
        <v>46</v>
      </c>
      <c r="C264" s="1075" t="str">
        <f>IF(ISBLANK('M&amp;V (ORÇ)'!C257)," ",'M&amp;V (ORÇ)'!C257)</f>
        <v xml:space="preserve"> </v>
      </c>
      <c r="D264" s="1076"/>
      <c r="E264" s="1076"/>
      <c r="F264" s="1076"/>
      <c r="G264" s="1076"/>
      <c r="H264" s="1077"/>
      <c r="I264" s="542" t="str">
        <f>IF(ISBLANK('M&amp;V (ORÇ)'!I257)," ",'M&amp;V (ORÇ)'!I257)</f>
        <v xml:space="preserve"> </v>
      </c>
      <c r="J264" s="542" t="str">
        <f>IF(ISBLANK('M&amp;V (ORÇ)'!J257)," ",'M&amp;V (ORÇ)'!J257)</f>
        <v xml:space="preserve"> </v>
      </c>
      <c r="K264" s="544">
        <f>'M&amp;V (ORÇ)'!K257</f>
        <v>0</v>
      </c>
      <c r="L264" s="543">
        <f>'M&amp;V (ORÇ)'!L257</f>
        <v>0</v>
      </c>
      <c r="M264" s="131">
        <f t="shared" si="13"/>
        <v>0</v>
      </c>
      <c r="N264" s="133">
        <f t="shared" si="15"/>
        <v>0</v>
      </c>
      <c r="O264" s="132"/>
      <c r="P264" s="132"/>
    </row>
    <row r="265" spans="2:16" x14ac:dyDescent="0.25">
      <c r="B265" s="128">
        <v>47</v>
      </c>
      <c r="C265" s="1075" t="str">
        <f>IF(ISBLANK('M&amp;V (ORÇ)'!C258)," ",'M&amp;V (ORÇ)'!C258)</f>
        <v xml:space="preserve"> </v>
      </c>
      <c r="D265" s="1076"/>
      <c r="E265" s="1076"/>
      <c r="F265" s="1076"/>
      <c r="G265" s="1076"/>
      <c r="H265" s="1077"/>
      <c r="I265" s="542" t="str">
        <f>IF(ISBLANK('M&amp;V (ORÇ)'!I258)," ",'M&amp;V (ORÇ)'!I258)</f>
        <v xml:space="preserve"> </v>
      </c>
      <c r="J265" s="542" t="str">
        <f>IF(ISBLANK('M&amp;V (ORÇ)'!J258)," ",'M&amp;V (ORÇ)'!J258)</f>
        <v xml:space="preserve"> </v>
      </c>
      <c r="K265" s="544">
        <f>'M&amp;V (ORÇ)'!K258</f>
        <v>0</v>
      </c>
      <c r="L265" s="543">
        <f>'M&amp;V (ORÇ)'!L258</f>
        <v>0</v>
      </c>
      <c r="M265" s="131">
        <f t="shared" si="13"/>
        <v>0</v>
      </c>
      <c r="N265" s="133">
        <f t="shared" si="15"/>
        <v>0</v>
      </c>
      <c r="O265" s="132"/>
      <c r="P265" s="132"/>
    </row>
    <row r="266" spans="2:16" x14ac:dyDescent="0.25">
      <c r="B266" s="128">
        <v>48</v>
      </c>
      <c r="C266" s="1075" t="str">
        <f>IF(ISBLANK('M&amp;V (ORÇ)'!C259)," ",'M&amp;V (ORÇ)'!C259)</f>
        <v xml:space="preserve"> </v>
      </c>
      <c r="D266" s="1076"/>
      <c r="E266" s="1076"/>
      <c r="F266" s="1076"/>
      <c r="G266" s="1076"/>
      <c r="H266" s="1077"/>
      <c r="I266" s="542" t="str">
        <f>IF(ISBLANK('M&amp;V (ORÇ)'!I259)," ",'M&amp;V (ORÇ)'!I259)</f>
        <v xml:space="preserve"> </v>
      </c>
      <c r="J266" s="542" t="str">
        <f>IF(ISBLANK('M&amp;V (ORÇ)'!J259)," ",'M&amp;V (ORÇ)'!J259)</f>
        <v xml:space="preserve"> </v>
      </c>
      <c r="K266" s="544">
        <f>'M&amp;V (ORÇ)'!K259</f>
        <v>0</v>
      </c>
      <c r="L266" s="543">
        <f>'M&amp;V (ORÇ)'!L259</f>
        <v>0</v>
      </c>
      <c r="M266" s="131">
        <f t="shared" si="13"/>
        <v>0</v>
      </c>
      <c r="N266" s="133">
        <f t="shared" si="15"/>
        <v>0</v>
      </c>
      <c r="O266" s="132"/>
      <c r="P266" s="132"/>
    </row>
    <row r="267" spans="2:16" x14ac:dyDescent="0.25">
      <c r="B267" s="128">
        <v>49</v>
      </c>
      <c r="C267" s="1075" t="str">
        <f>IF(ISBLANK('M&amp;V (ORÇ)'!C260)," ",'M&amp;V (ORÇ)'!C260)</f>
        <v xml:space="preserve"> </v>
      </c>
      <c r="D267" s="1076"/>
      <c r="E267" s="1076"/>
      <c r="F267" s="1076"/>
      <c r="G267" s="1076"/>
      <c r="H267" s="1077"/>
      <c r="I267" s="542" t="str">
        <f>IF(ISBLANK('M&amp;V (ORÇ)'!I260)," ",'M&amp;V (ORÇ)'!I260)</f>
        <v xml:space="preserve"> </v>
      </c>
      <c r="J267" s="542" t="str">
        <f>IF(ISBLANK('M&amp;V (ORÇ)'!J260)," ",'M&amp;V (ORÇ)'!J260)</f>
        <v xml:space="preserve"> </v>
      </c>
      <c r="K267" s="544">
        <f>'M&amp;V (ORÇ)'!K260</f>
        <v>0</v>
      </c>
      <c r="L267" s="543">
        <f>'M&amp;V (ORÇ)'!L260</f>
        <v>0</v>
      </c>
      <c r="M267" s="131">
        <f t="shared" si="13"/>
        <v>0</v>
      </c>
      <c r="N267" s="133">
        <f t="shared" si="15"/>
        <v>0</v>
      </c>
      <c r="O267" s="132"/>
      <c r="P267" s="132"/>
    </row>
    <row r="268" spans="2:16" x14ac:dyDescent="0.25">
      <c r="B268" s="128">
        <v>50</v>
      </c>
      <c r="C268" s="1075" t="str">
        <f>IF(ISBLANK('M&amp;V (ORÇ)'!C261)," ",'M&amp;V (ORÇ)'!C261)</f>
        <v xml:space="preserve"> </v>
      </c>
      <c r="D268" s="1076"/>
      <c r="E268" s="1076"/>
      <c r="F268" s="1076"/>
      <c r="G268" s="1076"/>
      <c r="H268" s="1077"/>
      <c r="I268" s="542" t="str">
        <f>IF(ISBLANK('M&amp;V (ORÇ)'!I261)," ",'M&amp;V (ORÇ)'!I261)</f>
        <v xml:space="preserve"> </v>
      </c>
      <c r="J268" s="542" t="str">
        <f>IF(ISBLANK('M&amp;V (ORÇ)'!J261)," ",'M&amp;V (ORÇ)'!J261)</f>
        <v xml:space="preserve"> </v>
      </c>
      <c r="K268" s="544">
        <f>'M&amp;V (ORÇ)'!K261</f>
        <v>0</v>
      </c>
      <c r="L268" s="543">
        <f>'M&amp;V (ORÇ)'!L261</f>
        <v>0</v>
      </c>
      <c r="M268" s="131">
        <f t="shared" si="13"/>
        <v>0</v>
      </c>
      <c r="N268" s="133">
        <f t="shared" si="15"/>
        <v>0</v>
      </c>
      <c r="O268" s="132"/>
      <c r="P268" s="132"/>
    </row>
    <row r="269" spans="2:16" x14ac:dyDescent="0.25">
      <c r="B269" s="134"/>
      <c r="C269" s="1078" t="s">
        <v>686</v>
      </c>
      <c r="D269" s="1078"/>
      <c r="E269" s="1078"/>
      <c r="F269" s="1078"/>
      <c r="G269" s="1078"/>
      <c r="H269" s="1078"/>
      <c r="I269" s="1078"/>
      <c r="J269" s="1078"/>
      <c r="K269" s="1078"/>
      <c r="L269" s="1079"/>
      <c r="M269" s="135">
        <f>SUM(M219:M268)</f>
        <v>0</v>
      </c>
      <c r="N269" s="135">
        <f>SUM(N219:N268)</f>
        <v>0</v>
      </c>
      <c r="O269" s="135">
        <f>SUM(O219:O268)</f>
        <v>0</v>
      </c>
      <c r="P269" s="135">
        <f>SUM(P219:P268)</f>
        <v>0</v>
      </c>
    </row>
    <row r="270" spans="2:16" x14ac:dyDescent="0.25">
      <c r="B270" s="137"/>
      <c r="C270" s="1111" t="s">
        <v>687</v>
      </c>
      <c r="D270" s="1111"/>
      <c r="E270" s="1111"/>
      <c r="F270" s="1111"/>
      <c r="G270" s="1111"/>
      <c r="H270" s="1111"/>
      <c r="I270" s="1111"/>
      <c r="J270" s="1111"/>
      <c r="K270" s="1111"/>
      <c r="L270" s="1112"/>
      <c r="M270" s="138">
        <f>SUM(M216,M269)</f>
        <v>0</v>
      </c>
      <c r="N270" s="139">
        <f>SUM(N216,N269)</f>
        <v>0</v>
      </c>
      <c r="O270" s="139">
        <f>SUM(O216,O269)</f>
        <v>0</v>
      </c>
      <c r="P270" s="139">
        <f>SUM(P216,P269)</f>
        <v>0</v>
      </c>
    </row>
    <row r="271" spans="2:16" x14ac:dyDescent="0.25">
      <c r="B271" s="1060" t="s">
        <v>683</v>
      </c>
      <c r="C271" s="1061"/>
      <c r="D271" s="1061"/>
      <c r="E271" s="1061"/>
      <c r="F271" s="1061"/>
      <c r="G271" s="1061"/>
      <c r="H271" s="1061"/>
      <c r="I271" s="1061"/>
      <c r="J271" s="1061"/>
      <c r="K271" s="1061"/>
      <c r="L271" s="1061"/>
      <c r="M271" s="1061"/>
      <c r="N271" s="1061"/>
      <c r="O271" s="1061"/>
      <c r="P271" s="1062"/>
    </row>
    <row r="272" spans="2:16" x14ac:dyDescent="0.25">
      <c r="B272" s="1104" t="s">
        <v>234</v>
      </c>
      <c r="C272" s="1105"/>
      <c r="D272" s="1105"/>
      <c r="E272" s="1105"/>
      <c r="F272" s="1105"/>
      <c r="G272" s="1105"/>
      <c r="H272" s="1105"/>
      <c r="I272" s="1105"/>
      <c r="J272" s="1105"/>
      <c r="K272" s="1105"/>
      <c r="L272" s="1105"/>
      <c r="M272" s="1105"/>
      <c r="N272" s="1105"/>
      <c r="O272" s="1105" t="str">
        <f>B272</f>
        <v>PERÍODO DE REFERÊNCIA</v>
      </c>
      <c r="P272" s="1106"/>
    </row>
    <row r="273" spans="2:16" x14ac:dyDescent="0.25">
      <c r="B273" s="1043" t="s">
        <v>235</v>
      </c>
      <c r="C273" s="1044"/>
      <c r="D273" s="1044"/>
      <c r="E273" s="1044"/>
      <c r="F273" s="1044"/>
      <c r="G273" s="1044"/>
      <c r="H273" s="1045"/>
      <c r="I273" s="125" t="s">
        <v>236</v>
      </c>
      <c r="J273" s="126" t="s">
        <v>237</v>
      </c>
      <c r="K273" s="126" t="s">
        <v>238</v>
      </c>
      <c r="L273" s="126" t="s">
        <v>239</v>
      </c>
      <c r="M273" s="126" t="s">
        <v>0</v>
      </c>
      <c r="N273" s="328" t="s">
        <v>796</v>
      </c>
      <c r="O273" s="328" t="s">
        <v>240</v>
      </c>
      <c r="P273" s="329" t="s">
        <v>241</v>
      </c>
    </row>
    <row r="274" spans="2:16" x14ac:dyDescent="0.25">
      <c r="B274" s="128">
        <v>1</v>
      </c>
      <c r="C274" s="1075" t="str">
        <f>IF(ISBLANK('M&amp;V (ORÇ)'!C265)," ",'M&amp;V (ORÇ)'!C265)</f>
        <v xml:space="preserve"> </v>
      </c>
      <c r="D274" s="1076"/>
      <c r="E274" s="1076"/>
      <c r="F274" s="1076"/>
      <c r="G274" s="1076"/>
      <c r="H274" s="1077"/>
      <c r="I274" s="542" t="str">
        <f>IF(ISBLANK('M&amp;V (ORÇ)'!I265)," ",'M&amp;V (ORÇ)'!I265)</f>
        <v xml:space="preserve"> </v>
      </c>
      <c r="J274" s="542" t="str">
        <f>IF(ISBLANK('M&amp;V (ORÇ)'!J265)," ",'M&amp;V (ORÇ)'!J265)</f>
        <v xml:space="preserve"> </v>
      </c>
      <c r="K274" s="544">
        <f>'M&amp;V (ORÇ)'!K265</f>
        <v>0</v>
      </c>
      <c r="L274" s="543">
        <f>'M&amp;V (ORÇ)'!L265</f>
        <v>0</v>
      </c>
      <c r="M274" s="131">
        <f t="shared" ref="M274:M293" si="16">IF(J274="",0,K274*L274)</f>
        <v>0</v>
      </c>
      <c r="N274" s="133">
        <f t="shared" ref="N274:N293" si="17">M274-O274-P274</f>
        <v>0</v>
      </c>
      <c r="O274" s="132"/>
      <c r="P274" s="132"/>
    </row>
    <row r="275" spans="2:16" x14ac:dyDescent="0.25">
      <c r="B275" s="128">
        <v>2</v>
      </c>
      <c r="C275" s="1075" t="str">
        <f>IF(ISBLANK('M&amp;V (ORÇ)'!C266)," ",'M&amp;V (ORÇ)'!C266)</f>
        <v xml:space="preserve"> </v>
      </c>
      <c r="D275" s="1076"/>
      <c r="E275" s="1076"/>
      <c r="F275" s="1076"/>
      <c r="G275" s="1076"/>
      <c r="H275" s="1077"/>
      <c r="I275" s="542" t="str">
        <f>IF(ISBLANK('M&amp;V (ORÇ)'!I266)," ",'M&amp;V (ORÇ)'!I266)</f>
        <v xml:space="preserve"> </v>
      </c>
      <c r="J275" s="542" t="str">
        <f>IF(ISBLANK('M&amp;V (ORÇ)'!J266)," ",'M&amp;V (ORÇ)'!J266)</f>
        <v xml:space="preserve"> </v>
      </c>
      <c r="K275" s="544">
        <f>'M&amp;V (ORÇ)'!K266</f>
        <v>0</v>
      </c>
      <c r="L275" s="543">
        <f>'M&amp;V (ORÇ)'!L266</f>
        <v>0</v>
      </c>
      <c r="M275" s="131">
        <f t="shared" si="16"/>
        <v>0</v>
      </c>
      <c r="N275" s="133">
        <f t="shared" si="17"/>
        <v>0</v>
      </c>
      <c r="O275" s="132"/>
      <c r="P275" s="132"/>
    </row>
    <row r="276" spans="2:16" x14ac:dyDescent="0.25">
      <c r="B276" s="128">
        <v>3</v>
      </c>
      <c r="C276" s="1075" t="str">
        <f>IF(ISBLANK('M&amp;V (ORÇ)'!C267)," ",'M&amp;V (ORÇ)'!C267)</f>
        <v xml:space="preserve"> </v>
      </c>
      <c r="D276" s="1076"/>
      <c r="E276" s="1076"/>
      <c r="F276" s="1076"/>
      <c r="G276" s="1076"/>
      <c r="H276" s="1077"/>
      <c r="I276" s="542" t="str">
        <f>IF(ISBLANK('M&amp;V (ORÇ)'!I267)," ",'M&amp;V (ORÇ)'!I267)</f>
        <v xml:space="preserve"> </v>
      </c>
      <c r="J276" s="542" t="str">
        <f>IF(ISBLANK('M&amp;V (ORÇ)'!J267)," ",'M&amp;V (ORÇ)'!J267)</f>
        <v xml:space="preserve"> </v>
      </c>
      <c r="K276" s="544">
        <f>'M&amp;V (ORÇ)'!K267</f>
        <v>0</v>
      </c>
      <c r="L276" s="543">
        <f>'M&amp;V (ORÇ)'!L267</f>
        <v>0</v>
      </c>
      <c r="M276" s="131">
        <f t="shared" si="16"/>
        <v>0</v>
      </c>
      <c r="N276" s="133">
        <f t="shared" si="17"/>
        <v>0</v>
      </c>
      <c r="O276" s="132"/>
      <c r="P276" s="132"/>
    </row>
    <row r="277" spans="2:16" x14ac:dyDescent="0.25">
      <c r="B277" s="128">
        <v>4</v>
      </c>
      <c r="C277" s="1075" t="str">
        <f>IF(ISBLANK('M&amp;V (ORÇ)'!C268)," ",'M&amp;V (ORÇ)'!C268)</f>
        <v xml:space="preserve"> </v>
      </c>
      <c r="D277" s="1076"/>
      <c r="E277" s="1076"/>
      <c r="F277" s="1076"/>
      <c r="G277" s="1076"/>
      <c r="H277" s="1077"/>
      <c r="I277" s="542" t="str">
        <f>IF(ISBLANK('M&amp;V (ORÇ)'!I268)," ",'M&amp;V (ORÇ)'!I268)</f>
        <v xml:space="preserve"> </v>
      </c>
      <c r="J277" s="542" t="str">
        <f>IF(ISBLANK('M&amp;V (ORÇ)'!J268)," ",'M&amp;V (ORÇ)'!J268)</f>
        <v xml:space="preserve"> </v>
      </c>
      <c r="K277" s="544">
        <f>'M&amp;V (ORÇ)'!K268</f>
        <v>0</v>
      </c>
      <c r="L277" s="543">
        <f>'M&amp;V (ORÇ)'!L268</f>
        <v>0</v>
      </c>
      <c r="M277" s="131">
        <f t="shared" si="16"/>
        <v>0</v>
      </c>
      <c r="N277" s="133">
        <f t="shared" si="17"/>
        <v>0</v>
      </c>
      <c r="O277" s="132"/>
      <c r="P277" s="132"/>
    </row>
    <row r="278" spans="2:16" x14ac:dyDescent="0.25">
      <c r="B278" s="128">
        <v>5</v>
      </c>
      <c r="C278" s="1075" t="str">
        <f>IF(ISBLANK('M&amp;V (ORÇ)'!C269)," ",'M&amp;V (ORÇ)'!C269)</f>
        <v xml:space="preserve"> </v>
      </c>
      <c r="D278" s="1076"/>
      <c r="E278" s="1076"/>
      <c r="F278" s="1076"/>
      <c r="G278" s="1076"/>
      <c r="H278" s="1077"/>
      <c r="I278" s="542" t="str">
        <f>IF(ISBLANK('M&amp;V (ORÇ)'!I269)," ",'M&amp;V (ORÇ)'!I269)</f>
        <v xml:space="preserve"> </v>
      </c>
      <c r="J278" s="542" t="str">
        <f>IF(ISBLANK('M&amp;V (ORÇ)'!J269)," ",'M&amp;V (ORÇ)'!J269)</f>
        <v xml:space="preserve"> </v>
      </c>
      <c r="K278" s="544">
        <f>'M&amp;V (ORÇ)'!K269</f>
        <v>0</v>
      </c>
      <c r="L278" s="543">
        <f>'M&amp;V (ORÇ)'!L269</f>
        <v>0</v>
      </c>
      <c r="M278" s="131">
        <f t="shared" si="16"/>
        <v>0</v>
      </c>
      <c r="N278" s="133">
        <f t="shared" si="17"/>
        <v>0</v>
      </c>
      <c r="O278" s="132"/>
      <c r="P278" s="132"/>
    </row>
    <row r="279" spans="2:16" x14ac:dyDescent="0.25">
      <c r="B279" s="128">
        <v>6</v>
      </c>
      <c r="C279" s="1075" t="str">
        <f>IF(ISBLANK('M&amp;V (ORÇ)'!C270)," ",'M&amp;V (ORÇ)'!C270)</f>
        <v xml:space="preserve"> </v>
      </c>
      <c r="D279" s="1076"/>
      <c r="E279" s="1076"/>
      <c r="F279" s="1076"/>
      <c r="G279" s="1076"/>
      <c r="H279" s="1077"/>
      <c r="I279" s="542" t="str">
        <f>IF(ISBLANK('M&amp;V (ORÇ)'!I270)," ",'M&amp;V (ORÇ)'!I270)</f>
        <v xml:space="preserve"> </v>
      </c>
      <c r="J279" s="542" t="str">
        <f>IF(ISBLANK('M&amp;V (ORÇ)'!J270)," ",'M&amp;V (ORÇ)'!J270)</f>
        <v xml:space="preserve"> </v>
      </c>
      <c r="K279" s="544">
        <f>'M&amp;V (ORÇ)'!K270</f>
        <v>0</v>
      </c>
      <c r="L279" s="543">
        <f>'M&amp;V (ORÇ)'!L270</f>
        <v>0</v>
      </c>
      <c r="M279" s="131">
        <f t="shared" si="16"/>
        <v>0</v>
      </c>
      <c r="N279" s="133">
        <f t="shared" si="17"/>
        <v>0</v>
      </c>
      <c r="O279" s="132"/>
      <c r="P279" s="132"/>
    </row>
    <row r="280" spans="2:16" x14ac:dyDescent="0.25">
      <c r="B280" s="128">
        <v>7</v>
      </c>
      <c r="C280" s="1075" t="str">
        <f>IF(ISBLANK('M&amp;V (ORÇ)'!C271)," ",'M&amp;V (ORÇ)'!C271)</f>
        <v xml:space="preserve"> </v>
      </c>
      <c r="D280" s="1076"/>
      <c r="E280" s="1076"/>
      <c r="F280" s="1076"/>
      <c r="G280" s="1076"/>
      <c r="H280" s="1077"/>
      <c r="I280" s="542" t="str">
        <f>IF(ISBLANK('M&amp;V (ORÇ)'!I271)," ",'M&amp;V (ORÇ)'!I271)</f>
        <v xml:space="preserve"> </v>
      </c>
      <c r="J280" s="542" t="str">
        <f>IF(ISBLANK('M&amp;V (ORÇ)'!J271)," ",'M&amp;V (ORÇ)'!J271)</f>
        <v xml:space="preserve"> </v>
      </c>
      <c r="K280" s="544">
        <f>'M&amp;V (ORÇ)'!K271</f>
        <v>0</v>
      </c>
      <c r="L280" s="543">
        <f>'M&amp;V (ORÇ)'!L271</f>
        <v>0</v>
      </c>
      <c r="M280" s="131">
        <f t="shared" si="16"/>
        <v>0</v>
      </c>
      <c r="N280" s="133">
        <f t="shared" si="17"/>
        <v>0</v>
      </c>
      <c r="O280" s="132"/>
      <c r="P280" s="132"/>
    </row>
    <row r="281" spans="2:16" x14ac:dyDescent="0.25">
      <c r="B281" s="128">
        <v>8</v>
      </c>
      <c r="C281" s="1075" t="str">
        <f>IF(ISBLANK('M&amp;V (ORÇ)'!C272)," ",'M&amp;V (ORÇ)'!C272)</f>
        <v xml:space="preserve"> </v>
      </c>
      <c r="D281" s="1076"/>
      <c r="E281" s="1076"/>
      <c r="F281" s="1076"/>
      <c r="G281" s="1076"/>
      <c r="H281" s="1077"/>
      <c r="I281" s="542" t="str">
        <f>IF(ISBLANK('M&amp;V (ORÇ)'!I272)," ",'M&amp;V (ORÇ)'!I272)</f>
        <v xml:space="preserve"> </v>
      </c>
      <c r="J281" s="542" t="str">
        <f>IF(ISBLANK('M&amp;V (ORÇ)'!J272)," ",'M&amp;V (ORÇ)'!J272)</f>
        <v xml:space="preserve"> </v>
      </c>
      <c r="K281" s="544">
        <f>'M&amp;V (ORÇ)'!K272</f>
        <v>0</v>
      </c>
      <c r="L281" s="543">
        <f>'M&amp;V (ORÇ)'!L272</f>
        <v>0</v>
      </c>
      <c r="M281" s="131">
        <f t="shared" si="16"/>
        <v>0</v>
      </c>
      <c r="N281" s="133">
        <f t="shared" si="17"/>
        <v>0</v>
      </c>
      <c r="O281" s="132"/>
      <c r="P281" s="132"/>
    </row>
    <row r="282" spans="2:16" x14ac:dyDescent="0.25">
      <c r="B282" s="128">
        <v>9</v>
      </c>
      <c r="C282" s="1075" t="str">
        <f>IF(ISBLANK('M&amp;V (ORÇ)'!C273)," ",'M&amp;V (ORÇ)'!C273)</f>
        <v xml:space="preserve"> </v>
      </c>
      <c r="D282" s="1076"/>
      <c r="E282" s="1076"/>
      <c r="F282" s="1076"/>
      <c r="G282" s="1076"/>
      <c r="H282" s="1077"/>
      <c r="I282" s="542" t="str">
        <f>IF(ISBLANK('M&amp;V (ORÇ)'!I273)," ",'M&amp;V (ORÇ)'!I273)</f>
        <v xml:space="preserve"> </v>
      </c>
      <c r="J282" s="542" t="str">
        <f>IF(ISBLANK('M&amp;V (ORÇ)'!J273)," ",'M&amp;V (ORÇ)'!J273)</f>
        <v xml:space="preserve"> </v>
      </c>
      <c r="K282" s="544">
        <f>'M&amp;V (ORÇ)'!K273</f>
        <v>0</v>
      </c>
      <c r="L282" s="543">
        <f>'M&amp;V (ORÇ)'!L273</f>
        <v>0</v>
      </c>
      <c r="M282" s="131">
        <f t="shared" si="16"/>
        <v>0</v>
      </c>
      <c r="N282" s="133">
        <f t="shared" si="17"/>
        <v>0</v>
      </c>
      <c r="O282" s="132"/>
      <c r="P282" s="132"/>
    </row>
    <row r="283" spans="2:16" x14ac:dyDescent="0.25">
      <c r="B283" s="128">
        <v>10</v>
      </c>
      <c r="C283" s="1075" t="str">
        <f>IF(ISBLANK('M&amp;V (ORÇ)'!C274)," ",'M&amp;V (ORÇ)'!C274)</f>
        <v xml:space="preserve"> </v>
      </c>
      <c r="D283" s="1076"/>
      <c r="E283" s="1076"/>
      <c r="F283" s="1076"/>
      <c r="G283" s="1076"/>
      <c r="H283" s="1077"/>
      <c r="I283" s="542" t="str">
        <f>IF(ISBLANK('M&amp;V (ORÇ)'!I274)," ",'M&amp;V (ORÇ)'!I274)</f>
        <v xml:space="preserve"> </v>
      </c>
      <c r="J283" s="542" t="str">
        <f>IF(ISBLANK('M&amp;V (ORÇ)'!J274)," ",'M&amp;V (ORÇ)'!J274)</f>
        <v xml:space="preserve"> </v>
      </c>
      <c r="K283" s="544">
        <f>'M&amp;V (ORÇ)'!K274</f>
        <v>0</v>
      </c>
      <c r="L283" s="543">
        <f>'M&amp;V (ORÇ)'!L274</f>
        <v>0</v>
      </c>
      <c r="M283" s="131">
        <f t="shared" si="16"/>
        <v>0</v>
      </c>
      <c r="N283" s="133">
        <f t="shared" si="17"/>
        <v>0</v>
      </c>
      <c r="O283" s="132"/>
      <c r="P283" s="132"/>
    </row>
    <row r="284" spans="2:16" x14ac:dyDescent="0.25">
      <c r="B284" s="128">
        <v>11</v>
      </c>
      <c r="C284" s="1075" t="str">
        <f>IF(ISBLANK('M&amp;V (ORÇ)'!C275)," ",'M&amp;V (ORÇ)'!C275)</f>
        <v xml:space="preserve"> </v>
      </c>
      <c r="D284" s="1076"/>
      <c r="E284" s="1076"/>
      <c r="F284" s="1076"/>
      <c r="G284" s="1076"/>
      <c r="H284" s="1077"/>
      <c r="I284" s="542" t="str">
        <f>IF(ISBLANK('M&amp;V (ORÇ)'!I275)," ",'M&amp;V (ORÇ)'!I275)</f>
        <v xml:space="preserve"> </v>
      </c>
      <c r="J284" s="542" t="str">
        <f>IF(ISBLANK('M&amp;V (ORÇ)'!J275)," ",'M&amp;V (ORÇ)'!J275)</f>
        <v xml:space="preserve"> </v>
      </c>
      <c r="K284" s="544">
        <f>'M&amp;V (ORÇ)'!K275</f>
        <v>0</v>
      </c>
      <c r="L284" s="543">
        <f>'M&amp;V (ORÇ)'!L275</f>
        <v>0</v>
      </c>
      <c r="M284" s="131">
        <f t="shared" si="16"/>
        <v>0</v>
      </c>
      <c r="N284" s="133">
        <f t="shared" si="17"/>
        <v>0</v>
      </c>
      <c r="O284" s="132"/>
      <c r="P284" s="132"/>
    </row>
    <row r="285" spans="2:16" x14ac:dyDescent="0.25">
      <c r="B285" s="128">
        <v>12</v>
      </c>
      <c r="C285" s="1075" t="str">
        <f>IF(ISBLANK('M&amp;V (ORÇ)'!C276)," ",'M&amp;V (ORÇ)'!C276)</f>
        <v xml:space="preserve"> </v>
      </c>
      <c r="D285" s="1076"/>
      <c r="E285" s="1076"/>
      <c r="F285" s="1076"/>
      <c r="G285" s="1076"/>
      <c r="H285" s="1077"/>
      <c r="I285" s="542" t="str">
        <f>IF(ISBLANK('M&amp;V (ORÇ)'!I276)," ",'M&amp;V (ORÇ)'!I276)</f>
        <v xml:space="preserve"> </v>
      </c>
      <c r="J285" s="542" t="str">
        <f>IF(ISBLANK('M&amp;V (ORÇ)'!J276)," ",'M&amp;V (ORÇ)'!J276)</f>
        <v xml:space="preserve"> </v>
      </c>
      <c r="K285" s="544">
        <f>'M&amp;V (ORÇ)'!K276</f>
        <v>0</v>
      </c>
      <c r="L285" s="543">
        <f>'M&amp;V (ORÇ)'!L276</f>
        <v>0</v>
      </c>
      <c r="M285" s="131">
        <f t="shared" si="16"/>
        <v>0</v>
      </c>
      <c r="N285" s="133">
        <f t="shared" si="17"/>
        <v>0</v>
      </c>
      <c r="O285" s="132"/>
      <c r="P285" s="132"/>
    </row>
    <row r="286" spans="2:16" x14ac:dyDescent="0.25">
      <c r="B286" s="128">
        <v>13</v>
      </c>
      <c r="C286" s="1075" t="str">
        <f>IF(ISBLANK('M&amp;V (ORÇ)'!C277)," ",'M&amp;V (ORÇ)'!C277)</f>
        <v xml:space="preserve"> </v>
      </c>
      <c r="D286" s="1076"/>
      <c r="E286" s="1076"/>
      <c r="F286" s="1076"/>
      <c r="G286" s="1076"/>
      <c r="H286" s="1077"/>
      <c r="I286" s="542" t="str">
        <f>IF(ISBLANK('M&amp;V (ORÇ)'!I277)," ",'M&amp;V (ORÇ)'!I277)</f>
        <v xml:space="preserve"> </v>
      </c>
      <c r="J286" s="542" t="str">
        <f>IF(ISBLANK('M&amp;V (ORÇ)'!J277)," ",'M&amp;V (ORÇ)'!J277)</f>
        <v xml:space="preserve"> </v>
      </c>
      <c r="K286" s="544">
        <f>'M&amp;V (ORÇ)'!K277</f>
        <v>0</v>
      </c>
      <c r="L286" s="543">
        <f>'M&amp;V (ORÇ)'!L277</f>
        <v>0</v>
      </c>
      <c r="M286" s="131">
        <f t="shared" si="16"/>
        <v>0</v>
      </c>
      <c r="N286" s="133">
        <f t="shared" si="17"/>
        <v>0</v>
      </c>
      <c r="O286" s="132"/>
      <c r="P286" s="132"/>
    </row>
    <row r="287" spans="2:16" x14ac:dyDescent="0.25">
      <c r="B287" s="128">
        <v>14</v>
      </c>
      <c r="C287" s="1075" t="str">
        <f>IF(ISBLANK('M&amp;V (ORÇ)'!C278)," ",'M&amp;V (ORÇ)'!C278)</f>
        <v xml:space="preserve"> </v>
      </c>
      <c r="D287" s="1076"/>
      <c r="E287" s="1076"/>
      <c r="F287" s="1076"/>
      <c r="G287" s="1076"/>
      <c r="H287" s="1077"/>
      <c r="I287" s="542" t="str">
        <f>IF(ISBLANK('M&amp;V (ORÇ)'!I278)," ",'M&amp;V (ORÇ)'!I278)</f>
        <v xml:space="preserve"> </v>
      </c>
      <c r="J287" s="542" t="str">
        <f>IF(ISBLANK('M&amp;V (ORÇ)'!J278)," ",'M&amp;V (ORÇ)'!J278)</f>
        <v xml:space="preserve"> </v>
      </c>
      <c r="K287" s="544">
        <f>'M&amp;V (ORÇ)'!K278</f>
        <v>0</v>
      </c>
      <c r="L287" s="543">
        <f>'M&amp;V (ORÇ)'!L278</f>
        <v>0</v>
      </c>
      <c r="M287" s="131">
        <f t="shared" si="16"/>
        <v>0</v>
      </c>
      <c r="N287" s="133">
        <f t="shared" si="17"/>
        <v>0</v>
      </c>
      <c r="O287" s="132"/>
      <c r="P287" s="132"/>
    </row>
    <row r="288" spans="2:16" x14ac:dyDescent="0.25">
      <c r="B288" s="128">
        <v>15</v>
      </c>
      <c r="C288" s="1075" t="str">
        <f>IF(ISBLANK('M&amp;V (ORÇ)'!C279)," ",'M&amp;V (ORÇ)'!C279)</f>
        <v xml:space="preserve"> </v>
      </c>
      <c r="D288" s="1076"/>
      <c r="E288" s="1076"/>
      <c r="F288" s="1076"/>
      <c r="G288" s="1076"/>
      <c r="H288" s="1077"/>
      <c r="I288" s="542" t="str">
        <f>IF(ISBLANK('M&amp;V (ORÇ)'!I279)," ",'M&amp;V (ORÇ)'!I279)</f>
        <v xml:space="preserve"> </v>
      </c>
      <c r="J288" s="542" t="str">
        <f>IF(ISBLANK('M&amp;V (ORÇ)'!J279)," ",'M&amp;V (ORÇ)'!J279)</f>
        <v xml:space="preserve"> </v>
      </c>
      <c r="K288" s="544">
        <f>'M&amp;V (ORÇ)'!K279</f>
        <v>0</v>
      </c>
      <c r="L288" s="543">
        <f>'M&amp;V (ORÇ)'!L279</f>
        <v>0</v>
      </c>
      <c r="M288" s="131">
        <f t="shared" si="16"/>
        <v>0</v>
      </c>
      <c r="N288" s="133">
        <f t="shared" si="17"/>
        <v>0</v>
      </c>
      <c r="O288" s="132"/>
      <c r="P288" s="132"/>
    </row>
    <row r="289" spans="2:16" x14ac:dyDescent="0.25">
      <c r="B289" s="128">
        <v>16</v>
      </c>
      <c r="C289" s="1075" t="str">
        <f>IF(ISBLANK('M&amp;V (ORÇ)'!C280)," ",'M&amp;V (ORÇ)'!C280)</f>
        <v xml:space="preserve"> </v>
      </c>
      <c r="D289" s="1076"/>
      <c r="E289" s="1076"/>
      <c r="F289" s="1076"/>
      <c r="G289" s="1076"/>
      <c r="H289" s="1077"/>
      <c r="I289" s="542" t="str">
        <f>IF(ISBLANK('M&amp;V (ORÇ)'!I280)," ",'M&amp;V (ORÇ)'!I280)</f>
        <v xml:space="preserve"> </v>
      </c>
      <c r="J289" s="542" t="str">
        <f>IF(ISBLANK('M&amp;V (ORÇ)'!J280)," ",'M&amp;V (ORÇ)'!J280)</f>
        <v xml:space="preserve"> </v>
      </c>
      <c r="K289" s="544">
        <f>'M&amp;V (ORÇ)'!K280</f>
        <v>0</v>
      </c>
      <c r="L289" s="543">
        <f>'M&amp;V (ORÇ)'!L280</f>
        <v>0</v>
      </c>
      <c r="M289" s="131">
        <f t="shared" si="16"/>
        <v>0</v>
      </c>
      <c r="N289" s="133">
        <f t="shared" si="17"/>
        <v>0</v>
      </c>
      <c r="O289" s="132"/>
      <c r="P289" s="132"/>
    </row>
    <row r="290" spans="2:16" x14ac:dyDescent="0.25">
      <c r="B290" s="128">
        <v>17</v>
      </c>
      <c r="C290" s="1075" t="str">
        <f>IF(ISBLANK('M&amp;V (ORÇ)'!C281)," ",'M&amp;V (ORÇ)'!C281)</f>
        <v xml:space="preserve"> </v>
      </c>
      <c r="D290" s="1076"/>
      <c r="E290" s="1076"/>
      <c r="F290" s="1076"/>
      <c r="G290" s="1076"/>
      <c r="H290" s="1077"/>
      <c r="I290" s="542" t="str">
        <f>IF(ISBLANK('M&amp;V (ORÇ)'!I281)," ",'M&amp;V (ORÇ)'!I281)</f>
        <v xml:space="preserve"> </v>
      </c>
      <c r="J290" s="542" t="str">
        <f>IF(ISBLANK('M&amp;V (ORÇ)'!J281)," ",'M&amp;V (ORÇ)'!J281)</f>
        <v xml:space="preserve"> </v>
      </c>
      <c r="K290" s="544">
        <f>'M&amp;V (ORÇ)'!K281</f>
        <v>0</v>
      </c>
      <c r="L290" s="543">
        <f>'M&amp;V (ORÇ)'!L281</f>
        <v>0</v>
      </c>
      <c r="M290" s="131">
        <f t="shared" si="16"/>
        <v>0</v>
      </c>
      <c r="N290" s="133">
        <f t="shared" si="17"/>
        <v>0</v>
      </c>
      <c r="O290" s="132"/>
      <c r="P290" s="132"/>
    </row>
    <row r="291" spans="2:16" x14ac:dyDescent="0.25">
      <c r="B291" s="128">
        <v>18</v>
      </c>
      <c r="C291" s="1075" t="str">
        <f>IF(ISBLANK('M&amp;V (ORÇ)'!C282)," ",'M&amp;V (ORÇ)'!C282)</f>
        <v xml:space="preserve"> </v>
      </c>
      <c r="D291" s="1076"/>
      <c r="E291" s="1076"/>
      <c r="F291" s="1076"/>
      <c r="G291" s="1076"/>
      <c r="H291" s="1077"/>
      <c r="I291" s="542" t="str">
        <f>IF(ISBLANK('M&amp;V (ORÇ)'!I282)," ",'M&amp;V (ORÇ)'!I282)</f>
        <v xml:space="preserve"> </v>
      </c>
      <c r="J291" s="542" t="str">
        <f>IF(ISBLANK('M&amp;V (ORÇ)'!J282)," ",'M&amp;V (ORÇ)'!J282)</f>
        <v xml:space="preserve"> </v>
      </c>
      <c r="K291" s="544">
        <f>'M&amp;V (ORÇ)'!K282</f>
        <v>0</v>
      </c>
      <c r="L291" s="543">
        <f>'M&amp;V (ORÇ)'!L282</f>
        <v>0</v>
      </c>
      <c r="M291" s="131">
        <f t="shared" si="16"/>
        <v>0</v>
      </c>
      <c r="N291" s="133">
        <f t="shared" si="17"/>
        <v>0</v>
      </c>
      <c r="O291" s="132"/>
      <c r="P291" s="132"/>
    </row>
    <row r="292" spans="2:16" x14ac:dyDescent="0.25">
      <c r="B292" s="128">
        <v>19</v>
      </c>
      <c r="C292" s="1075" t="str">
        <f>IF(ISBLANK('M&amp;V (ORÇ)'!C283)," ",'M&amp;V (ORÇ)'!C283)</f>
        <v xml:space="preserve"> </v>
      </c>
      <c r="D292" s="1076"/>
      <c r="E292" s="1076"/>
      <c r="F292" s="1076"/>
      <c r="G292" s="1076"/>
      <c r="H292" s="1077"/>
      <c r="I292" s="542" t="str">
        <f>IF(ISBLANK('M&amp;V (ORÇ)'!I283)," ",'M&amp;V (ORÇ)'!I283)</f>
        <v xml:space="preserve"> </v>
      </c>
      <c r="J292" s="542" t="str">
        <f>IF(ISBLANK('M&amp;V (ORÇ)'!J283)," ",'M&amp;V (ORÇ)'!J283)</f>
        <v xml:space="preserve"> </v>
      </c>
      <c r="K292" s="544">
        <f>'M&amp;V (ORÇ)'!K283</f>
        <v>0</v>
      </c>
      <c r="L292" s="543">
        <f>'M&amp;V (ORÇ)'!L283</f>
        <v>0</v>
      </c>
      <c r="M292" s="131">
        <f t="shared" si="16"/>
        <v>0</v>
      </c>
      <c r="N292" s="133">
        <f t="shared" si="17"/>
        <v>0</v>
      </c>
      <c r="O292" s="132"/>
      <c r="P292" s="132"/>
    </row>
    <row r="293" spans="2:16" x14ac:dyDescent="0.25">
      <c r="B293" s="128">
        <v>20</v>
      </c>
      <c r="C293" s="1075" t="str">
        <f>IF(ISBLANK('M&amp;V (ORÇ)'!C284)," ",'M&amp;V (ORÇ)'!C284)</f>
        <v xml:space="preserve"> </v>
      </c>
      <c r="D293" s="1076"/>
      <c r="E293" s="1076"/>
      <c r="F293" s="1076"/>
      <c r="G293" s="1076"/>
      <c r="H293" s="1077"/>
      <c r="I293" s="542" t="str">
        <f>IF(ISBLANK('M&amp;V (ORÇ)'!I284)," ",'M&amp;V (ORÇ)'!I284)</f>
        <v xml:space="preserve"> </v>
      </c>
      <c r="J293" s="542" t="str">
        <f>IF(ISBLANK('M&amp;V (ORÇ)'!J284)," ",'M&amp;V (ORÇ)'!J284)</f>
        <v xml:space="preserve"> </v>
      </c>
      <c r="K293" s="544">
        <f>'M&amp;V (ORÇ)'!K284</f>
        <v>0</v>
      </c>
      <c r="L293" s="543">
        <f>'M&amp;V (ORÇ)'!L284</f>
        <v>0</v>
      </c>
      <c r="M293" s="131">
        <f t="shared" si="16"/>
        <v>0</v>
      </c>
      <c r="N293" s="133">
        <f t="shared" si="17"/>
        <v>0</v>
      </c>
      <c r="O293" s="132"/>
      <c r="P293" s="132"/>
    </row>
    <row r="294" spans="2:16" x14ac:dyDescent="0.25">
      <c r="B294" s="134"/>
      <c r="C294" s="1078" t="s">
        <v>249</v>
      </c>
      <c r="D294" s="1078"/>
      <c r="E294" s="1078"/>
      <c r="F294" s="1078"/>
      <c r="G294" s="1078"/>
      <c r="H294" s="1078"/>
      <c r="I294" s="1078"/>
      <c r="J294" s="1078"/>
      <c r="K294" s="1078"/>
      <c r="L294" s="1079"/>
      <c r="M294" s="135">
        <f>SUM(M274:M293)</f>
        <v>0</v>
      </c>
      <c r="N294" s="135">
        <f>SUM(N274:N293)</f>
        <v>0</v>
      </c>
      <c r="O294" s="135">
        <f>SUM(O274:O293)</f>
        <v>0</v>
      </c>
      <c r="P294" s="135">
        <f>SUM(P274:P293)</f>
        <v>0</v>
      </c>
    </row>
    <row r="295" spans="2:16" x14ac:dyDescent="0.25">
      <c r="B295" s="1104" t="s">
        <v>243</v>
      </c>
      <c r="C295" s="1105"/>
      <c r="D295" s="1105"/>
      <c r="E295" s="1105"/>
      <c r="F295" s="1105"/>
      <c r="G295" s="1105"/>
      <c r="H295" s="1105"/>
      <c r="I295" s="1105"/>
      <c r="J295" s="1105"/>
      <c r="K295" s="1105"/>
      <c r="L295" s="1105"/>
      <c r="M295" s="1105"/>
      <c r="N295" s="1105"/>
      <c r="O295" s="1105" t="str">
        <f>B295</f>
        <v>PERÍODO PÓS-RETROFIT</v>
      </c>
      <c r="P295" s="1106"/>
    </row>
    <row r="296" spans="2:16" x14ac:dyDescent="0.25">
      <c r="B296" s="1043" t="s">
        <v>235</v>
      </c>
      <c r="C296" s="1044"/>
      <c r="D296" s="1044"/>
      <c r="E296" s="1044"/>
      <c r="F296" s="1044"/>
      <c r="G296" s="1044"/>
      <c r="H296" s="1045"/>
      <c r="I296" s="125" t="s">
        <v>236</v>
      </c>
      <c r="J296" s="126" t="s">
        <v>237</v>
      </c>
      <c r="K296" s="126" t="s">
        <v>238</v>
      </c>
      <c r="L296" s="126" t="s">
        <v>239</v>
      </c>
      <c r="M296" s="126" t="s">
        <v>0</v>
      </c>
      <c r="N296" s="328" t="s">
        <v>796</v>
      </c>
      <c r="O296" s="328" t="s">
        <v>240</v>
      </c>
      <c r="P296" s="329" t="s">
        <v>241</v>
      </c>
    </row>
    <row r="297" spans="2:16" x14ac:dyDescent="0.25">
      <c r="B297" s="128">
        <v>1</v>
      </c>
      <c r="C297" s="1075" t="str">
        <f>IF(ISBLANK('M&amp;V (ORÇ)'!C287)," ",'M&amp;V (ORÇ)'!C287)</f>
        <v xml:space="preserve"> </v>
      </c>
      <c r="D297" s="1076"/>
      <c r="E297" s="1076"/>
      <c r="F297" s="1076"/>
      <c r="G297" s="1076"/>
      <c r="H297" s="1077"/>
      <c r="I297" s="542" t="str">
        <f>IF(ISBLANK('M&amp;V (ORÇ)'!I287)," ",'M&amp;V (ORÇ)'!I287)</f>
        <v xml:space="preserve"> </v>
      </c>
      <c r="J297" s="542" t="str">
        <f>IF(ISBLANK('M&amp;V (ORÇ)'!J287)," ",'M&amp;V (ORÇ)'!J287)</f>
        <v xml:space="preserve"> </v>
      </c>
      <c r="K297" s="544">
        <f>'M&amp;V (ORÇ)'!K287</f>
        <v>0</v>
      </c>
      <c r="L297" s="543">
        <f>'M&amp;V (ORÇ)'!L287</f>
        <v>0</v>
      </c>
      <c r="M297" s="131">
        <f t="shared" ref="M297:M316" si="18">IF(J297="",0,K297*L297)</f>
        <v>0</v>
      </c>
      <c r="N297" s="133">
        <f t="shared" ref="N297:N316" si="19">M297-O297-P297</f>
        <v>0</v>
      </c>
      <c r="O297" s="132"/>
      <c r="P297" s="132"/>
    </row>
    <row r="298" spans="2:16" x14ac:dyDescent="0.25">
      <c r="B298" s="128">
        <v>2</v>
      </c>
      <c r="C298" s="1075" t="str">
        <f>IF(ISBLANK('M&amp;V (ORÇ)'!C288)," ",'M&amp;V (ORÇ)'!C288)</f>
        <v xml:space="preserve"> </v>
      </c>
      <c r="D298" s="1076"/>
      <c r="E298" s="1076"/>
      <c r="F298" s="1076"/>
      <c r="G298" s="1076"/>
      <c r="H298" s="1077"/>
      <c r="I298" s="542" t="str">
        <f>IF(ISBLANK('M&amp;V (ORÇ)'!I288)," ",'M&amp;V (ORÇ)'!I288)</f>
        <v xml:space="preserve"> </v>
      </c>
      <c r="J298" s="542" t="str">
        <f>IF(ISBLANK('M&amp;V (ORÇ)'!J288)," ",'M&amp;V (ORÇ)'!J288)</f>
        <v xml:space="preserve"> </v>
      </c>
      <c r="K298" s="544">
        <f>'M&amp;V (ORÇ)'!K288</f>
        <v>0</v>
      </c>
      <c r="L298" s="543">
        <f>'M&amp;V (ORÇ)'!L288</f>
        <v>0</v>
      </c>
      <c r="M298" s="131">
        <f t="shared" si="18"/>
        <v>0</v>
      </c>
      <c r="N298" s="133">
        <f t="shared" si="19"/>
        <v>0</v>
      </c>
      <c r="O298" s="132"/>
      <c r="P298" s="132"/>
    </row>
    <row r="299" spans="2:16" x14ac:dyDescent="0.25">
      <c r="B299" s="128">
        <v>3</v>
      </c>
      <c r="C299" s="1075" t="str">
        <f>IF(ISBLANK('M&amp;V (ORÇ)'!C289)," ",'M&amp;V (ORÇ)'!C289)</f>
        <v xml:space="preserve"> </v>
      </c>
      <c r="D299" s="1076"/>
      <c r="E299" s="1076"/>
      <c r="F299" s="1076"/>
      <c r="G299" s="1076"/>
      <c r="H299" s="1077"/>
      <c r="I299" s="542" t="str">
        <f>IF(ISBLANK('M&amp;V (ORÇ)'!I289)," ",'M&amp;V (ORÇ)'!I289)</f>
        <v xml:space="preserve"> </v>
      </c>
      <c r="J299" s="542" t="str">
        <f>IF(ISBLANK('M&amp;V (ORÇ)'!J289)," ",'M&amp;V (ORÇ)'!J289)</f>
        <v xml:space="preserve"> </v>
      </c>
      <c r="K299" s="544">
        <f>'M&amp;V (ORÇ)'!K289</f>
        <v>0</v>
      </c>
      <c r="L299" s="543">
        <f>'M&amp;V (ORÇ)'!L289</f>
        <v>0</v>
      </c>
      <c r="M299" s="131">
        <f t="shared" si="18"/>
        <v>0</v>
      </c>
      <c r="N299" s="133">
        <f t="shared" si="19"/>
        <v>0</v>
      </c>
      <c r="O299" s="132"/>
      <c r="P299" s="132"/>
    </row>
    <row r="300" spans="2:16" x14ac:dyDescent="0.25">
      <c r="B300" s="128">
        <v>4</v>
      </c>
      <c r="C300" s="1075" t="str">
        <f>IF(ISBLANK('M&amp;V (ORÇ)'!C290)," ",'M&amp;V (ORÇ)'!C290)</f>
        <v xml:space="preserve"> </v>
      </c>
      <c r="D300" s="1076"/>
      <c r="E300" s="1076"/>
      <c r="F300" s="1076"/>
      <c r="G300" s="1076"/>
      <c r="H300" s="1077"/>
      <c r="I300" s="542" t="str">
        <f>IF(ISBLANK('M&amp;V (ORÇ)'!I290)," ",'M&amp;V (ORÇ)'!I290)</f>
        <v xml:space="preserve"> </v>
      </c>
      <c r="J300" s="542" t="str">
        <f>IF(ISBLANK('M&amp;V (ORÇ)'!J290)," ",'M&amp;V (ORÇ)'!J290)</f>
        <v xml:space="preserve"> </v>
      </c>
      <c r="K300" s="544">
        <f>'M&amp;V (ORÇ)'!K290</f>
        <v>0</v>
      </c>
      <c r="L300" s="543">
        <f>'M&amp;V (ORÇ)'!L290</f>
        <v>0</v>
      </c>
      <c r="M300" s="131">
        <f t="shared" si="18"/>
        <v>0</v>
      </c>
      <c r="N300" s="133">
        <f t="shared" si="19"/>
        <v>0</v>
      </c>
      <c r="O300" s="132"/>
      <c r="P300" s="132"/>
    </row>
    <row r="301" spans="2:16" x14ac:dyDescent="0.25">
      <c r="B301" s="128">
        <v>5</v>
      </c>
      <c r="C301" s="1075" t="str">
        <f>IF(ISBLANK('M&amp;V (ORÇ)'!C291)," ",'M&amp;V (ORÇ)'!C291)</f>
        <v xml:space="preserve"> </v>
      </c>
      <c r="D301" s="1076"/>
      <c r="E301" s="1076"/>
      <c r="F301" s="1076"/>
      <c r="G301" s="1076"/>
      <c r="H301" s="1077"/>
      <c r="I301" s="542" t="str">
        <f>IF(ISBLANK('M&amp;V (ORÇ)'!I291)," ",'M&amp;V (ORÇ)'!I291)</f>
        <v xml:space="preserve"> </v>
      </c>
      <c r="J301" s="542" t="str">
        <f>IF(ISBLANK('M&amp;V (ORÇ)'!J291)," ",'M&amp;V (ORÇ)'!J291)</f>
        <v xml:space="preserve"> </v>
      </c>
      <c r="K301" s="544">
        <f>'M&amp;V (ORÇ)'!K291</f>
        <v>0</v>
      </c>
      <c r="L301" s="543">
        <f>'M&amp;V (ORÇ)'!L291</f>
        <v>0</v>
      </c>
      <c r="M301" s="131">
        <f t="shared" si="18"/>
        <v>0</v>
      </c>
      <c r="N301" s="133">
        <f t="shared" si="19"/>
        <v>0</v>
      </c>
      <c r="O301" s="132"/>
      <c r="P301" s="132"/>
    </row>
    <row r="302" spans="2:16" x14ac:dyDescent="0.25">
      <c r="B302" s="128">
        <v>6</v>
      </c>
      <c r="C302" s="1075" t="str">
        <f>IF(ISBLANK('M&amp;V (ORÇ)'!C292)," ",'M&amp;V (ORÇ)'!C292)</f>
        <v xml:space="preserve"> </v>
      </c>
      <c r="D302" s="1076"/>
      <c r="E302" s="1076"/>
      <c r="F302" s="1076"/>
      <c r="G302" s="1076"/>
      <c r="H302" s="1077"/>
      <c r="I302" s="542" t="str">
        <f>IF(ISBLANK('M&amp;V (ORÇ)'!I292)," ",'M&amp;V (ORÇ)'!I292)</f>
        <v xml:space="preserve"> </v>
      </c>
      <c r="J302" s="542" t="str">
        <f>IF(ISBLANK('M&amp;V (ORÇ)'!J292)," ",'M&amp;V (ORÇ)'!J292)</f>
        <v xml:space="preserve"> </v>
      </c>
      <c r="K302" s="544">
        <f>'M&amp;V (ORÇ)'!K292</f>
        <v>0</v>
      </c>
      <c r="L302" s="543">
        <f>'M&amp;V (ORÇ)'!L292</f>
        <v>0</v>
      </c>
      <c r="M302" s="131">
        <f t="shared" si="18"/>
        <v>0</v>
      </c>
      <c r="N302" s="133">
        <f t="shared" si="19"/>
        <v>0</v>
      </c>
      <c r="O302" s="132"/>
      <c r="P302" s="132"/>
    </row>
    <row r="303" spans="2:16" x14ac:dyDescent="0.25">
      <c r="B303" s="128">
        <v>7</v>
      </c>
      <c r="C303" s="1075" t="str">
        <f>IF(ISBLANK('M&amp;V (ORÇ)'!C293)," ",'M&amp;V (ORÇ)'!C293)</f>
        <v xml:space="preserve"> </v>
      </c>
      <c r="D303" s="1076"/>
      <c r="E303" s="1076"/>
      <c r="F303" s="1076"/>
      <c r="G303" s="1076"/>
      <c r="H303" s="1077"/>
      <c r="I303" s="542" t="str">
        <f>IF(ISBLANK('M&amp;V (ORÇ)'!I293)," ",'M&amp;V (ORÇ)'!I293)</f>
        <v xml:space="preserve"> </v>
      </c>
      <c r="J303" s="542" t="str">
        <f>IF(ISBLANK('M&amp;V (ORÇ)'!J293)," ",'M&amp;V (ORÇ)'!J293)</f>
        <v xml:space="preserve"> </v>
      </c>
      <c r="K303" s="544">
        <f>'M&amp;V (ORÇ)'!K293</f>
        <v>0</v>
      </c>
      <c r="L303" s="543">
        <f>'M&amp;V (ORÇ)'!L293</f>
        <v>0</v>
      </c>
      <c r="M303" s="131">
        <f t="shared" si="18"/>
        <v>0</v>
      </c>
      <c r="N303" s="133">
        <f t="shared" si="19"/>
        <v>0</v>
      </c>
      <c r="O303" s="132"/>
      <c r="P303" s="132"/>
    </row>
    <row r="304" spans="2:16" x14ac:dyDescent="0.25">
      <c r="B304" s="128">
        <v>8</v>
      </c>
      <c r="C304" s="1075" t="str">
        <f>IF(ISBLANK('M&amp;V (ORÇ)'!C294)," ",'M&amp;V (ORÇ)'!C294)</f>
        <v xml:space="preserve"> </v>
      </c>
      <c r="D304" s="1076"/>
      <c r="E304" s="1076"/>
      <c r="F304" s="1076"/>
      <c r="G304" s="1076"/>
      <c r="H304" s="1077"/>
      <c r="I304" s="542" t="str">
        <f>IF(ISBLANK('M&amp;V (ORÇ)'!I294)," ",'M&amp;V (ORÇ)'!I294)</f>
        <v xml:space="preserve"> </v>
      </c>
      <c r="J304" s="542" t="str">
        <f>IF(ISBLANK('M&amp;V (ORÇ)'!J294)," ",'M&amp;V (ORÇ)'!J294)</f>
        <v xml:space="preserve"> </v>
      </c>
      <c r="K304" s="544">
        <f>'M&amp;V (ORÇ)'!K294</f>
        <v>0</v>
      </c>
      <c r="L304" s="543">
        <f>'M&amp;V (ORÇ)'!L294</f>
        <v>0</v>
      </c>
      <c r="M304" s="131">
        <f t="shared" si="18"/>
        <v>0</v>
      </c>
      <c r="N304" s="133">
        <f t="shared" si="19"/>
        <v>0</v>
      </c>
      <c r="O304" s="132"/>
      <c r="P304" s="132"/>
    </row>
    <row r="305" spans="2:16" x14ac:dyDescent="0.25">
      <c r="B305" s="128">
        <v>9</v>
      </c>
      <c r="C305" s="1075" t="str">
        <f>IF(ISBLANK('M&amp;V (ORÇ)'!C295)," ",'M&amp;V (ORÇ)'!C295)</f>
        <v xml:space="preserve"> </v>
      </c>
      <c r="D305" s="1076"/>
      <c r="E305" s="1076"/>
      <c r="F305" s="1076"/>
      <c r="G305" s="1076"/>
      <c r="H305" s="1077"/>
      <c r="I305" s="542" t="str">
        <f>IF(ISBLANK('M&amp;V (ORÇ)'!I295)," ",'M&amp;V (ORÇ)'!I295)</f>
        <v xml:space="preserve"> </v>
      </c>
      <c r="J305" s="542" t="str">
        <f>IF(ISBLANK('M&amp;V (ORÇ)'!J295)," ",'M&amp;V (ORÇ)'!J295)</f>
        <v xml:space="preserve"> </v>
      </c>
      <c r="K305" s="544">
        <f>'M&amp;V (ORÇ)'!K295</f>
        <v>0</v>
      </c>
      <c r="L305" s="543">
        <f>'M&amp;V (ORÇ)'!L295</f>
        <v>0</v>
      </c>
      <c r="M305" s="131">
        <f t="shared" si="18"/>
        <v>0</v>
      </c>
      <c r="N305" s="133">
        <f t="shared" si="19"/>
        <v>0</v>
      </c>
      <c r="O305" s="132"/>
      <c r="P305" s="132"/>
    </row>
    <row r="306" spans="2:16" x14ac:dyDescent="0.25">
      <c r="B306" s="128">
        <v>10</v>
      </c>
      <c r="C306" s="1075" t="str">
        <f>IF(ISBLANK('M&amp;V (ORÇ)'!C296)," ",'M&amp;V (ORÇ)'!C296)</f>
        <v xml:space="preserve"> </v>
      </c>
      <c r="D306" s="1076"/>
      <c r="E306" s="1076"/>
      <c r="F306" s="1076"/>
      <c r="G306" s="1076"/>
      <c r="H306" s="1077"/>
      <c r="I306" s="542" t="str">
        <f>IF(ISBLANK('M&amp;V (ORÇ)'!I296)," ",'M&amp;V (ORÇ)'!I296)</f>
        <v xml:space="preserve"> </v>
      </c>
      <c r="J306" s="542" t="str">
        <f>IF(ISBLANK('M&amp;V (ORÇ)'!J296)," ",'M&amp;V (ORÇ)'!J296)</f>
        <v xml:space="preserve"> </v>
      </c>
      <c r="K306" s="544">
        <f>'M&amp;V (ORÇ)'!K296</f>
        <v>0</v>
      </c>
      <c r="L306" s="543">
        <f>'M&amp;V (ORÇ)'!L296</f>
        <v>0</v>
      </c>
      <c r="M306" s="131">
        <f t="shared" si="18"/>
        <v>0</v>
      </c>
      <c r="N306" s="133">
        <f t="shared" si="19"/>
        <v>0</v>
      </c>
      <c r="O306" s="132"/>
      <c r="P306" s="132"/>
    </row>
    <row r="307" spans="2:16" x14ac:dyDescent="0.25">
      <c r="B307" s="128">
        <v>11</v>
      </c>
      <c r="C307" s="1075" t="str">
        <f>IF(ISBLANK('M&amp;V (ORÇ)'!C297)," ",'M&amp;V (ORÇ)'!C297)</f>
        <v xml:space="preserve"> </v>
      </c>
      <c r="D307" s="1076"/>
      <c r="E307" s="1076"/>
      <c r="F307" s="1076"/>
      <c r="G307" s="1076"/>
      <c r="H307" s="1077"/>
      <c r="I307" s="542" t="str">
        <f>IF(ISBLANK('M&amp;V (ORÇ)'!I297)," ",'M&amp;V (ORÇ)'!I297)</f>
        <v xml:space="preserve"> </v>
      </c>
      <c r="J307" s="542" t="str">
        <f>IF(ISBLANK('M&amp;V (ORÇ)'!J297)," ",'M&amp;V (ORÇ)'!J297)</f>
        <v xml:space="preserve"> </v>
      </c>
      <c r="K307" s="544">
        <f>'M&amp;V (ORÇ)'!K297</f>
        <v>0</v>
      </c>
      <c r="L307" s="543">
        <f>'M&amp;V (ORÇ)'!L297</f>
        <v>0</v>
      </c>
      <c r="M307" s="131">
        <f t="shared" si="18"/>
        <v>0</v>
      </c>
      <c r="N307" s="133">
        <f t="shared" si="19"/>
        <v>0</v>
      </c>
      <c r="O307" s="132"/>
      <c r="P307" s="132"/>
    </row>
    <row r="308" spans="2:16" x14ac:dyDescent="0.25">
      <c r="B308" s="128">
        <v>12</v>
      </c>
      <c r="C308" s="1075" t="str">
        <f>IF(ISBLANK('M&amp;V (ORÇ)'!C298)," ",'M&amp;V (ORÇ)'!C298)</f>
        <v xml:space="preserve"> </v>
      </c>
      <c r="D308" s="1076"/>
      <c r="E308" s="1076"/>
      <c r="F308" s="1076"/>
      <c r="G308" s="1076"/>
      <c r="H308" s="1077"/>
      <c r="I308" s="542" t="str">
        <f>IF(ISBLANK('M&amp;V (ORÇ)'!I298)," ",'M&amp;V (ORÇ)'!I298)</f>
        <v xml:space="preserve"> </v>
      </c>
      <c r="J308" s="542" t="str">
        <f>IF(ISBLANK('M&amp;V (ORÇ)'!J298)," ",'M&amp;V (ORÇ)'!J298)</f>
        <v xml:space="preserve"> </v>
      </c>
      <c r="K308" s="544">
        <f>'M&amp;V (ORÇ)'!K298</f>
        <v>0</v>
      </c>
      <c r="L308" s="543">
        <f>'M&amp;V (ORÇ)'!L298</f>
        <v>0</v>
      </c>
      <c r="M308" s="131">
        <f t="shared" si="18"/>
        <v>0</v>
      </c>
      <c r="N308" s="133">
        <f t="shared" si="19"/>
        <v>0</v>
      </c>
      <c r="O308" s="132"/>
      <c r="P308" s="132"/>
    </row>
    <row r="309" spans="2:16" x14ac:dyDescent="0.25">
      <c r="B309" s="128">
        <v>13</v>
      </c>
      <c r="C309" s="1075" t="str">
        <f>IF(ISBLANK('M&amp;V (ORÇ)'!C299)," ",'M&amp;V (ORÇ)'!C299)</f>
        <v xml:space="preserve"> </v>
      </c>
      <c r="D309" s="1076"/>
      <c r="E309" s="1076"/>
      <c r="F309" s="1076"/>
      <c r="G309" s="1076"/>
      <c r="H309" s="1077"/>
      <c r="I309" s="542" t="str">
        <f>IF(ISBLANK('M&amp;V (ORÇ)'!I299)," ",'M&amp;V (ORÇ)'!I299)</f>
        <v xml:space="preserve"> </v>
      </c>
      <c r="J309" s="542" t="str">
        <f>IF(ISBLANK('M&amp;V (ORÇ)'!J299)," ",'M&amp;V (ORÇ)'!J299)</f>
        <v xml:space="preserve"> </v>
      </c>
      <c r="K309" s="544">
        <f>'M&amp;V (ORÇ)'!K299</f>
        <v>0</v>
      </c>
      <c r="L309" s="543">
        <f>'M&amp;V (ORÇ)'!L299</f>
        <v>0</v>
      </c>
      <c r="M309" s="131">
        <f t="shared" si="18"/>
        <v>0</v>
      </c>
      <c r="N309" s="133">
        <f t="shared" si="19"/>
        <v>0</v>
      </c>
      <c r="O309" s="132"/>
      <c r="P309" s="132"/>
    </row>
    <row r="310" spans="2:16" x14ac:dyDescent="0.25">
      <c r="B310" s="128">
        <v>14</v>
      </c>
      <c r="C310" s="1075" t="str">
        <f>IF(ISBLANK('M&amp;V (ORÇ)'!C300)," ",'M&amp;V (ORÇ)'!C300)</f>
        <v xml:space="preserve"> </v>
      </c>
      <c r="D310" s="1076"/>
      <c r="E310" s="1076"/>
      <c r="F310" s="1076"/>
      <c r="G310" s="1076"/>
      <c r="H310" s="1077"/>
      <c r="I310" s="542" t="str">
        <f>IF(ISBLANK('M&amp;V (ORÇ)'!I300)," ",'M&amp;V (ORÇ)'!I300)</f>
        <v xml:space="preserve"> </v>
      </c>
      <c r="J310" s="542" t="str">
        <f>IF(ISBLANK('M&amp;V (ORÇ)'!J300)," ",'M&amp;V (ORÇ)'!J300)</f>
        <v xml:space="preserve"> </v>
      </c>
      <c r="K310" s="544">
        <f>'M&amp;V (ORÇ)'!K300</f>
        <v>0</v>
      </c>
      <c r="L310" s="543">
        <f>'M&amp;V (ORÇ)'!L300</f>
        <v>0</v>
      </c>
      <c r="M310" s="131">
        <f t="shared" si="18"/>
        <v>0</v>
      </c>
      <c r="N310" s="133">
        <f t="shared" si="19"/>
        <v>0</v>
      </c>
      <c r="O310" s="132"/>
      <c r="P310" s="132"/>
    </row>
    <row r="311" spans="2:16" x14ac:dyDescent="0.25">
      <c r="B311" s="128">
        <v>15</v>
      </c>
      <c r="C311" s="1075" t="str">
        <f>IF(ISBLANK('M&amp;V (ORÇ)'!C301)," ",'M&amp;V (ORÇ)'!C301)</f>
        <v xml:space="preserve"> </v>
      </c>
      <c r="D311" s="1076"/>
      <c r="E311" s="1076"/>
      <c r="F311" s="1076"/>
      <c r="G311" s="1076"/>
      <c r="H311" s="1077"/>
      <c r="I311" s="542" t="str">
        <f>IF(ISBLANK('M&amp;V (ORÇ)'!I301)," ",'M&amp;V (ORÇ)'!I301)</f>
        <v xml:space="preserve"> </v>
      </c>
      <c r="J311" s="542" t="str">
        <f>IF(ISBLANK('M&amp;V (ORÇ)'!J301)," ",'M&amp;V (ORÇ)'!J301)</f>
        <v xml:space="preserve"> </v>
      </c>
      <c r="K311" s="544">
        <f>'M&amp;V (ORÇ)'!K301</f>
        <v>0</v>
      </c>
      <c r="L311" s="543">
        <f>'M&amp;V (ORÇ)'!L301</f>
        <v>0</v>
      </c>
      <c r="M311" s="131">
        <f t="shared" si="18"/>
        <v>0</v>
      </c>
      <c r="N311" s="133">
        <f t="shared" si="19"/>
        <v>0</v>
      </c>
      <c r="O311" s="132"/>
      <c r="P311" s="132"/>
    </row>
    <row r="312" spans="2:16" x14ac:dyDescent="0.25">
      <c r="B312" s="128">
        <v>16</v>
      </c>
      <c r="C312" s="1075" t="str">
        <f>IF(ISBLANK('M&amp;V (ORÇ)'!C302)," ",'M&amp;V (ORÇ)'!C302)</f>
        <v xml:space="preserve"> </v>
      </c>
      <c r="D312" s="1076"/>
      <c r="E312" s="1076"/>
      <c r="F312" s="1076"/>
      <c r="G312" s="1076"/>
      <c r="H312" s="1077"/>
      <c r="I312" s="542" t="str">
        <f>IF(ISBLANK('M&amp;V (ORÇ)'!I302)," ",'M&amp;V (ORÇ)'!I302)</f>
        <v xml:space="preserve"> </v>
      </c>
      <c r="J312" s="542" t="str">
        <f>IF(ISBLANK('M&amp;V (ORÇ)'!J302)," ",'M&amp;V (ORÇ)'!J302)</f>
        <v xml:space="preserve"> </v>
      </c>
      <c r="K312" s="544">
        <f>'M&amp;V (ORÇ)'!K302</f>
        <v>0</v>
      </c>
      <c r="L312" s="543">
        <f>'M&amp;V (ORÇ)'!L302</f>
        <v>0</v>
      </c>
      <c r="M312" s="131">
        <f t="shared" si="18"/>
        <v>0</v>
      </c>
      <c r="N312" s="133">
        <f t="shared" si="19"/>
        <v>0</v>
      </c>
      <c r="O312" s="132"/>
      <c r="P312" s="132"/>
    </row>
    <row r="313" spans="2:16" x14ac:dyDescent="0.25">
      <c r="B313" s="128">
        <v>17</v>
      </c>
      <c r="C313" s="1075" t="str">
        <f>IF(ISBLANK('M&amp;V (ORÇ)'!C303)," ",'M&amp;V (ORÇ)'!C303)</f>
        <v xml:space="preserve"> </v>
      </c>
      <c r="D313" s="1076"/>
      <c r="E313" s="1076"/>
      <c r="F313" s="1076"/>
      <c r="G313" s="1076"/>
      <c r="H313" s="1077"/>
      <c r="I313" s="542" t="str">
        <f>IF(ISBLANK('M&amp;V (ORÇ)'!I303)," ",'M&amp;V (ORÇ)'!I303)</f>
        <v xml:space="preserve"> </v>
      </c>
      <c r="J313" s="542" t="str">
        <f>IF(ISBLANK('M&amp;V (ORÇ)'!J303)," ",'M&amp;V (ORÇ)'!J303)</f>
        <v xml:space="preserve"> </v>
      </c>
      <c r="K313" s="544">
        <f>'M&amp;V (ORÇ)'!K303</f>
        <v>0</v>
      </c>
      <c r="L313" s="543">
        <f>'M&amp;V (ORÇ)'!L303</f>
        <v>0</v>
      </c>
      <c r="M313" s="131">
        <f t="shared" si="18"/>
        <v>0</v>
      </c>
      <c r="N313" s="133">
        <f t="shared" si="19"/>
        <v>0</v>
      </c>
      <c r="O313" s="132"/>
      <c r="P313" s="132"/>
    </row>
    <row r="314" spans="2:16" x14ac:dyDescent="0.25">
      <c r="B314" s="128">
        <v>18</v>
      </c>
      <c r="C314" s="1075" t="str">
        <f>IF(ISBLANK('M&amp;V (ORÇ)'!C304)," ",'M&amp;V (ORÇ)'!C304)</f>
        <v xml:space="preserve"> </v>
      </c>
      <c r="D314" s="1076"/>
      <c r="E314" s="1076"/>
      <c r="F314" s="1076"/>
      <c r="G314" s="1076"/>
      <c r="H314" s="1077"/>
      <c r="I314" s="542" t="str">
        <f>IF(ISBLANK('M&amp;V (ORÇ)'!I304)," ",'M&amp;V (ORÇ)'!I304)</f>
        <v xml:space="preserve"> </v>
      </c>
      <c r="J314" s="542" t="str">
        <f>IF(ISBLANK('M&amp;V (ORÇ)'!J304)," ",'M&amp;V (ORÇ)'!J304)</f>
        <v xml:space="preserve"> </v>
      </c>
      <c r="K314" s="544">
        <f>'M&amp;V (ORÇ)'!K304</f>
        <v>0</v>
      </c>
      <c r="L314" s="543">
        <f>'M&amp;V (ORÇ)'!L304</f>
        <v>0</v>
      </c>
      <c r="M314" s="131">
        <f t="shared" si="18"/>
        <v>0</v>
      </c>
      <c r="N314" s="133">
        <f t="shared" si="19"/>
        <v>0</v>
      </c>
      <c r="O314" s="132"/>
      <c r="P314" s="132"/>
    </row>
    <row r="315" spans="2:16" x14ac:dyDescent="0.25">
      <c r="B315" s="128">
        <v>19</v>
      </c>
      <c r="C315" s="1075" t="str">
        <f>IF(ISBLANK('M&amp;V (ORÇ)'!C305)," ",'M&amp;V (ORÇ)'!C305)</f>
        <v xml:space="preserve"> </v>
      </c>
      <c r="D315" s="1076"/>
      <c r="E315" s="1076"/>
      <c r="F315" s="1076"/>
      <c r="G315" s="1076"/>
      <c r="H315" s="1077"/>
      <c r="I315" s="542" t="str">
        <f>IF(ISBLANK('M&amp;V (ORÇ)'!I305)," ",'M&amp;V (ORÇ)'!I305)</f>
        <v xml:space="preserve"> </v>
      </c>
      <c r="J315" s="542" t="str">
        <f>IF(ISBLANK('M&amp;V (ORÇ)'!J305)," ",'M&amp;V (ORÇ)'!J305)</f>
        <v xml:space="preserve"> </v>
      </c>
      <c r="K315" s="544">
        <f>'M&amp;V (ORÇ)'!K305</f>
        <v>0</v>
      </c>
      <c r="L315" s="543">
        <f>'M&amp;V (ORÇ)'!L305</f>
        <v>0</v>
      </c>
      <c r="M315" s="131">
        <f t="shared" si="18"/>
        <v>0</v>
      </c>
      <c r="N315" s="133">
        <f t="shared" si="19"/>
        <v>0</v>
      </c>
      <c r="O315" s="132"/>
      <c r="P315" s="132"/>
    </row>
    <row r="316" spans="2:16" x14ac:dyDescent="0.25">
      <c r="B316" s="128">
        <v>20</v>
      </c>
      <c r="C316" s="1075" t="str">
        <f>IF(ISBLANK('M&amp;V (ORÇ)'!C306)," ",'M&amp;V (ORÇ)'!C306)</f>
        <v xml:space="preserve"> </v>
      </c>
      <c r="D316" s="1076"/>
      <c r="E316" s="1076"/>
      <c r="F316" s="1076"/>
      <c r="G316" s="1076"/>
      <c r="H316" s="1077"/>
      <c r="I316" s="542" t="str">
        <f>IF(ISBLANK('M&amp;V (ORÇ)'!I306)," ",'M&amp;V (ORÇ)'!I306)</f>
        <v xml:space="preserve"> </v>
      </c>
      <c r="J316" s="542" t="str">
        <f>IF(ISBLANK('M&amp;V (ORÇ)'!J306)," ",'M&amp;V (ORÇ)'!J306)</f>
        <v xml:space="preserve"> </v>
      </c>
      <c r="K316" s="544">
        <f>'M&amp;V (ORÇ)'!K306</f>
        <v>0</v>
      </c>
      <c r="L316" s="543">
        <f>'M&amp;V (ORÇ)'!L306</f>
        <v>0</v>
      </c>
      <c r="M316" s="131">
        <f t="shared" si="18"/>
        <v>0</v>
      </c>
      <c r="N316" s="133">
        <f t="shared" si="19"/>
        <v>0</v>
      </c>
      <c r="O316" s="132"/>
      <c r="P316" s="132"/>
    </row>
    <row r="317" spans="2:16" x14ac:dyDescent="0.25">
      <c r="B317" s="134"/>
      <c r="C317" s="1078" t="s">
        <v>250</v>
      </c>
      <c r="D317" s="1078"/>
      <c r="E317" s="1078"/>
      <c r="F317" s="1078"/>
      <c r="G317" s="1078"/>
      <c r="H317" s="1078"/>
      <c r="I317" s="1078"/>
      <c r="J317" s="1078"/>
      <c r="K317" s="1078"/>
      <c r="L317" s="1079"/>
      <c r="M317" s="135">
        <f>SUM(M297:M316)</f>
        <v>0</v>
      </c>
      <c r="N317" s="135">
        <f>SUM(N297:N316)</f>
        <v>0</v>
      </c>
      <c r="O317" s="135">
        <f>SUM(O297:O316)</f>
        <v>0</v>
      </c>
      <c r="P317" s="135">
        <f>SUM(P297:P316)</f>
        <v>0</v>
      </c>
    </row>
    <row r="318" spans="2:16" x14ac:dyDescent="0.25">
      <c r="B318" s="137"/>
      <c r="C318" s="1111" t="s">
        <v>251</v>
      </c>
      <c r="D318" s="1111"/>
      <c r="E318" s="1111"/>
      <c r="F318" s="1111"/>
      <c r="G318" s="1111"/>
      <c r="H318" s="1111"/>
      <c r="I318" s="1111"/>
      <c r="J318" s="1111"/>
      <c r="K318" s="1111"/>
      <c r="L318" s="1112"/>
      <c r="M318" s="138">
        <f>SUM(M294,M317)</f>
        <v>0</v>
      </c>
      <c r="N318" s="139">
        <f>SUM(N294,N317)</f>
        <v>0</v>
      </c>
      <c r="O318" s="139">
        <f>SUM(O294,O317)</f>
        <v>0</v>
      </c>
      <c r="P318" s="139">
        <f>SUM(P294,P317)</f>
        <v>0</v>
      </c>
    </row>
    <row r="319" spans="2:16" x14ac:dyDescent="0.25">
      <c r="B319" s="1060" t="s">
        <v>684</v>
      </c>
      <c r="C319" s="1061"/>
      <c r="D319" s="1061"/>
      <c r="E319" s="1061"/>
      <c r="F319" s="1061"/>
      <c r="G319" s="1061"/>
      <c r="H319" s="1061"/>
      <c r="I319" s="1061"/>
      <c r="J319" s="1061"/>
      <c r="K319" s="1061"/>
      <c r="L319" s="1061"/>
      <c r="M319" s="1061"/>
      <c r="N319" s="1061"/>
      <c r="O319" s="1061"/>
      <c r="P319" s="1062"/>
    </row>
    <row r="320" spans="2:16" x14ac:dyDescent="0.25">
      <c r="B320" s="1104" t="s">
        <v>234</v>
      </c>
      <c r="C320" s="1105"/>
      <c r="D320" s="1105"/>
      <c r="E320" s="1105"/>
      <c r="F320" s="1105"/>
      <c r="G320" s="1105"/>
      <c r="H320" s="1105"/>
      <c r="I320" s="1105"/>
      <c r="J320" s="1105"/>
      <c r="K320" s="1105"/>
      <c r="L320" s="1105"/>
      <c r="M320" s="1105"/>
      <c r="N320" s="1105"/>
      <c r="O320" s="1105" t="str">
        <f>B320</f>
        <v>PERÍODO DE REFERÊNCIA</v>
      </c>
      <c r="P320" s="1106"/>
    </row>
    <row r="321" spans="2:16" x14ac:dyDescent="0.25">
      <c r="B321" s="1043" t="s">
        <v>235</v>
      </c>
      <c r="C321" s="1044"/>
      <c r="D321" s="1044"/>
      <c r="E321" s="1044"/>
      <c r="F321" s="1044"/>
      <c r="G321" s="1044"/>
      <c r="H321" s="1045"/>
      <c r="I321" s="125" t="s">
        <v>236</v>
      </c>
      <c r="J321" s="126" t="s">
        <v>237</v>
      </c>
      <c r="K321" s="126" t="s">
        <v>238</v>
      </c>
      <c r="L321" s="126" t="s">
        <v>239</v>
      </c>
      <c r="M321" s="126" t="s">
        <v>0</v>
      </c>
      <c r="N321" s="328" t="s">
        <v>796</v>
      </c>
      <c r="O321" s="328" t="s">
        <v>240</v>
      </c>
      <c r="P321" s="329" t="s">
        <v>241</v>
      </c>
    </row>
    <row r="322" spans="2:16" x14ac:dyDescent="0.25">
      <c r="B322" s="128">
        <v>1</v>
      </c>
      <c r="C322" s="1075" t="str">
        <f>IF(ISBLANK('M&amp;V (ORÇ)'!C310)," ",'M&amp;V (ORÇ)'!C310)</f>
        <v xml:space="preserve"> </v>
      </c>
      <c r="D322" s="1076"/>
      <c r="E322" s="1076"/>
      <c r="F322" s="1076"/>
      <c r="G322" s="1076"/>
      <c r="H322" s="1077"/>
      <c r="I322" s="542" t="str">
        <f>IF(ISBLANK('M&amp;V (ORÇ)'!I310)," ",'M&amp;V (ORÇ)'!I310)</f>
        <v xml:space="preserve"> </v>
      </c>
      <c r="J322" s="542" t="str">
        <f>IF(ISBLANK('M&amp;V (ORÇ)'!J310)," ",'M&amp;V (ORÇ)'!J310)</f>
        <v xml:space="preserve"> </v>
      </c>
      <c r="K322" s="544">
        <f>'M&amp;V (ORÇ)'!K310</f>
        <v>0</v>
      </c>
      <c r="L322" s="543">
        <f>'M&amp;V (ORÇ)'!L310</f>
        <v>0</v>
      </c>
      <c r="M322" s="131">
        <f t="shared" ref="M322:M331" si="20">IF(J322="",0,K322*L322)</f>
        <v>0</v>
      </c>
      <c r="N322" s="133">
        <f t="shared" ref="N322:N331" si="21">M322-O322-P322</f>
        <v>0</v>
      </c>
      <c r="O322" s="132"/>
      <c r="P322" s="132"/>
    </row>
    <row r="323" spans="2:16" x14ac:dyDescent="0.25">
      <c r="B323" s="128">
        <v>2</v>
      </c>
      <c r="C323" s="1075" t="str">
        <f>IF(ISBLANK('M&amp;V (ORÇ)'!C311)," ",'M&amp;V (ORÇ)'!C311)</f>
        <v xml:space="preserve"> </v>
      </c>
      <c r="D323" s="1076"/>
      <c r="E323" s="1076"/>
      <c r="F323" s="1076"/>
      <c r="G323" s="1076"/>
      <c r="H323" s="1077"/>
      <c r="I323" s="542" t="str">
        <f>IF(ISBLANK('M&amp;V (ORÇ)'!I311)," ",'M&amp;V (ORÇ)'!I311)</f>
        <v xml:space="preserve"> </v>
      </c>
      <c r="J323" s="542" t="str">
        <f>IF(ISBLANK('M&amp;V (ORÇ)'!J311)," ",'M&amp;V (ORÇ)'!J311)</f>
        <v xml:space="preserve"> </v>
      </c>
      <c r="K323" s="544">
        <f>'M&amp;V (ORÇ)'!K311</f>
        <v>0</v>
      </c>
      <c r="L323" s="543">
        <f>'M&amp;V (ORÇ)'!L311</f>
        <v>0</v>
      </c>
      <c r="M323" s="131">
        <f t="shared" si="20"/>
        <v>0</v>
      </c>
      <c r="N323" s="133">
        <f t="shared" si="21"/>
        <v>0</v>
      </c>
      <c r="O323" s="132"/>
      <c r="P323" s="132"/>
    </row>
    <row r="324" spans="2:16" x14ac:dyDescent="0.25">
      <c r="B324" s="128">
        <v>3</v>
      </c>
      <c r="C324" s="1075" t="str">
        <f>IF(ISBLANK('M&amp;V (ORÇ)'!C312)," ",'M&amp;V (ORÇ)'!C312)</f>
        <v xml:space="preserve"> </v>
      </c>
      <c r="D324" s="1076"/>
      <c r="E324" s="1076"/>
      <c r="F324" s="1076"/>
      <c r="G324" s="1076"/>
      <c r="H324" s="1077"/>
      <c r="I324" s="542" t="str">
        <f>IF(ISBLANK('M&amp;V (ORÇ)'!I312)," ",'M&amp;V (ORÇ)'!I312)</f>
        <v xml:space="preserve"> </v>
      </c>
      <c r="J324" s="542" t="str">
        <f>IF(ISBLANK('M&amp;V (ORÇ)'!J312)," ",'M&amp;V (ORÇ)'!J312)</f>
        <v xml:space="preserve"> </v>
      </c>
      <c r="K324" s="544">
        <f>'M&amp;V (ORÇ)'!K312</f>
        <v>0</v>
      </c>
      <c r="L324" s="543">
        <f>'M&amp;V (ORÇ)'!L312</f>
        <v>0</v>
      </c>
      <c r="M324" s="131">
        <f t="shared" si="20"/>
        <v>0</v>
      </c>
      <c r="N324" s="133">
        <f t="shared" si="21"/>
        <v>0</v>
      </c>
      <c r="O324" s="132"/>
      <c r="P324" s="132"/>
    </row>
    <row r="325" spans="2:16" x14ac:dyDescent="0.25">
      <c r="B325" s="128">
        <v>4</v>
      </c>
      <c r="C325" s="1075" t="str">
        <f>IF(ISBLANK('M&amp;V (ORÇ)'!C313)," ",'M&amp;V (ORÇ)'!C313)</f>
        <v xml:space="preserve"> </v>
      </c>
      <c r="D325" s="1076"/>
      <c r="E325" s="1076"/>
      <c r="F325" s="1076"/>
      <c r="G325" s="1076"/>
      <c r="H325" s="1077"/>
      <c r="I325" s="542" t="str">
        <f>IF(ISBLANK('M&amp;V (ORÇ)'!I313)," ",'M&amp;V (ORÇ)'!I313)</f>
        <v xml:space="preserve"> </v>
      </c>
      <c r="J325" s="542" t="str">
        <f>IF(ISBLANK('M&amp;V (ORÇ)'!J313)," ",'M&amp;V (ORÇ)'!J313)</f>
        <v xml:space="preserve"> </v>
      </c>
      <c r="K325" s="544">
        <f>'M&amp;V (ORÇ)'!K313</f>
        <v>0</v>
      </c>
      <c r="L325" s="543">
        <f>'M&amp;V (ORÇ)'!L313</f>
        <v>0</v>
      </c>
      <c r="M325" s="131">
        <f t="shared" si="20"/>
        <v>0</v>
      </c>
      <c r="N325" s="133">
        <f t="shared" si="21"/>
        <v>0</v>
      </c>
      <c r="O325" s="132"/>
      <c r="P325" s="132"/>
    </row>
    <row r="326" spans="2:16" x14ac:dyDescent="0.25">
      <c r="B326" s="128">
        <v>5</v>
      </c>
      <c r="C326" s="1075" t="str">
        <f>IF(ISBLANK('M&amp;V (ORÇ)'!C314)," ",'M&amp;V (ORÇ)'!C314)</f>
        <v xml:space="preserve"> </v>
      </c>
      <c r="D326" s="1076"/>
      <c r="E326" s="1076"/>
      <c r="F326" s="1076"/>
      <c r="G326" s="1076"/>
      <c r="H326" s="1077"/>
      <c r="I326" s="542" t="str">
        <f>IF(ISBLANK('M&amp;V (ORÇ)'!I314)," ",'M&amp;V (ORÇ)'!I314)</f>
        <v xml:space="preserve"> </v>
      </c>
      <c r="J326" s="542" t="str">
        <f>IF(ISBLANK('M&amp;V (ORÇ)'!J314)," ",'M&amp;V (ORÇ)'!J314)</f>
        <v xml:space="preserve"> </v>
      </c>
      <c r="K326" s="544">
        <f>'M&amp;V (ORÇ)'!K314</f>
        <v>0</v>
      </c>
      <c r="L326" s="543">
        <f>'M&amp;V (ORÇ)'!L314</f>
        <v>0</v>
      </c>
      <c r="M326" s="131">
        <f t="shared" si="20"/>
        <v>0</v>
      </c>
      <c r="N326" s="133">
        <f t="shared" si="21"/>
        <v>0</v>
      </c>
      <c r="O326" s="132"/>
      <c r="P326" s="132"/>
    </row>
    <row r="327" spans="2:16" x14ac:dyDescent="0.25">
      <c r="B327" s="128">
        <v>6</v>
      </c>
      <c r="C327" s="1075" t="str">
        <f>IF(ISBLANK('M&amp;V (ORÇ)'!C315)," ",'M&amp;V (ORÇ)'!C315)</f>
        <v xml:space="preserve"> </v>
      </c>
      <c r="D327" s="1076"/>
      <c r="E327" s="1076"/>
      <c r="F327" s="1076"/>
      <c r="G327" s="1076"/>
      <c r="H327" s="1077"/>
      <c r="I327" s="542" t="str">
        <f>IF(ISBLANK('M&amp;V (ORÇ)'!I315)," ",'M&amp;V (ORÇ)'!I315)</f>
        <v xml:space="preserve"> </v>
      </c>
      <c r="J327" s="542" t="str">
        <f>IF(ISBLANK('M&amp;V (ORÇ)'!J315)," ",'M&amp;V (ORÇ)'!J315)</f>
        <v xml:space="preserve"> </v>
      </c>
      <c r="K327" s="544">
        <f>'M&amp;V (ORÇ)'!K315</f>
        <v>0</v>
      </c>
      <c r="L327" s="543">
        <f>'M&amp;V (ORÇ)'!L315</f>
        <v>0</v>
      </c>
      <c r="M327" s="131">
        <f t="shared" si="20"/>
        <v>0</v>
      </c>
      <c r="N327" s="133">
        <f t="shared" si="21"/>
        <v>0</v>
      </c>
      <c r="O327" s="132"/>
      <c r="P327" s="132"/>
    </row>
    <row r="328" spans="2:16" x14ac:dyDescent="0.25">
      <c r="B328" s="128">
        <v>7</v>
      </c>
      <c r="C328" s="1075" t="str">
        <f>IF(ISBLANK('M&amp;V (ORÇ)'!C316)," ",'M&amp;V (ORÇ)'!C316)</f>
        <v xml:space="preserve"> </v>
      </c>
      <c r="D328" s="1076"/>
      <c r="E328" s="1076"/>
      <c r="F328" s="1076"/>
      <c r="G328" s="1076"/>
      <c r="H328" s="1077"/>
      <c r="I328" s="542" t="str">
        <f>IF(ISBLANK('M&amp;V (ORÇ)'!I316)," ",'M&amp;V (ORÇ)'!I316)</f>
        <v xml:space="preserve"> </v>
      </c>
      <c r="J328" s="542" t="str">
        <f>IF(ISBLANK('M&amp;V (ORÇ)'!J316)," ",'M&amp;V (ORÇ)'!J316)</f>
        <v xml:space="preserve"> </v>
      </c>
      <c r="K328" s="544">
        <f>'M&amp;V (ORÇ)'!K316</f>
        <v>0</v>
      </c>
      <c r="L328" s="543">
        <f>'M&amp;V (ORÇ)'!L316</f>
        <v>0</v>
      </c>
      <c r="M328" s="131">
        <f t="shared" si="20"/>
        <v>0</v>
      </c>
      <c r="N328" s="133">
        <f t="shared" si="21"/>
        <v>0</v>
      </c>
      <c r="O328" s="132"/>
      <c r="P328" s="132"/>
    </row>
    <row r="329" spans="2:16" x14ac:dyDescent="0.25">
      <c r="B329" s="128">
        <v>8</v>
      </c>
      <c r="C329" s="1075" t="str">
        <f>IF(ISBLANK('M&amp;V (ORÇ)'!C317)," ",'M&amp;V (ORÇ)'!C317)</f>
        <v xml:space="preserve"> </v>
      </c>
      <c r="D329" s="1076"/>
      <c r="E329" s="1076"/>
      <c r="F329" s="1076"/>
      <c r="G329" s="1076"/>
      <c r="H329" s="1077"/>
      <c r="I329" s="542" t="str">
        <f>IF(ISBLANK('M&amp;V (ORÇ)'!I317)," ",'M&amp;V (ORÇ)'!I317)</f>
        <v xml:space="preserve"> </v>
      </c>
      <c r="J329" s="542" t="str">
        <f>IF(ISBLANK('M&amp;V (ORÇ)'!J317)," ",'M&amp;V (ORÇ)'!J317)</f>
        <v xml:space="preserve"> </v>
      </c>
      <c r="K329" s="544">
        <f>'M&amp;V (ORÇ)'!K317</f>
        <v>0</v>
      </c>
      <c r="L329" s="543">
        <f>'M&amp;V (ORÇ)'!L317</f>
        <v>0</v>
      </c>
      <c r="M329" s="131">
        <f t="shared" si="20"/>
        <v>0</v>
      </c>
      <c r="N329" s="133">
        <f t="shared" si="21"/>
        <v>0</v>
      </c>
      <c r="O329" s="132"/>
      <c r="P329" s="132"/>
    </row>
    <row r="330" spans="2:16" x14ac:dyDescent="0.25">
      <c r="B330" s="128">
        <v>9</v>
      </c>
      <c r="C330" s="1075" t="str">
        <f>IF(ISBLANK('M&amp;V (ORÇ)'!C318)," ",'M&amp;V (ORÇ)'!C318)</f>
        <v xml:space="preserve"> </v>
      </c>
      <c r="D330" s="1076"/>
      <c r="E330" s="1076"/>
      <c r="F330" s="1076"/>
      <c r="G330" s="1076"/>
      <c r="H330" s="1077"/>
      <c r="I330" s="542" t="str">
        <f>IF(ISBLANK('M&amp;V (ORÇ)'!I318)," ",'M&amp;V (ORÇ)'!I318)</f>
        <v xml:space="preserve"> </v>
      </c>
      <c r="J330" s="542" t="str">
        <f>IF(ISBLANK('M&amp;V (ORÇ)'!J318)," ",'M&amp;V (ORÇ)'!J318)</f>
        <v xml:space="preserve"> </v>
      </c>
      <c r="K330" s="544">
        <f>'M&amp;V (ORÇ)'!K318</f>
        <v>0</v>
      </c>
      <c r="L330" s="543">
        <f>'M&amp;V (ORÇ)'!L318</f>
        <v>0</v>
      </c>
      <c r="M330" s="131">
        <f t="shared" si="20"/>
        <v>0</v>
      </c>
      <c r="N330" s="133">
        <f t="shared" si="21"/>
        <v>0</v>
      </c>
      <c r="O330" s="132"/>
      <c r="P330" s="132"/>
    </row>
    <row r="331" spans="2:16" x14ac:dyDescent="0.25">
      <c r="B331" s="128">
        <v>10</v>
      </c>
      <c r="C331" s="1075" t="str">
        <f>IF(ISBLANK('M&amp;V (ORÇ)'!C319)," ",'M&amp;V (ORÇ)'!C319)</f>
        <v xml:space="preserve"> </v>
      </c>
      <c r="D331" s="1076"/>
      <c r="E331" s="1076"/>
      <c r="F331" s="1076"/>
      <c r="G331" s="1076"/>
      <c r="H331" s="1077"/>
      <c r="I331" s="542" t="str">
        <f>IF(ISBLANK('M&amp;V (ORÇ)'!I319)," ",'M&amp;V (ORÇ)'!I319)</f>
        <v xml:space="preserve"> </v>
      </c>
      <c r="J331" s="542" t="str">
        <f>IF(ISBLANK('M&amp;V (ORÇ)'!J319)," ",'M&amp;V (ORÇ)'!J319)</f>
        <v xml:space="preserve"> </v>
      </c>
      <c r="K331" s="544">
        <f>'M&amp;V (ORÇ)'!K319</f>
        <v>0</v>
      </c>
      <c r="L331" s="543">
        <f>'M&amp;V (ORÇ)'!L319</f>
        <v>0</v>
      </c>
      <c r="M331" s="131">
        <f t="shared" si="20"/>
        <v>0</v>
      </c>
      <c r="N331" s="133">
        <f t="shared" si="21"/>
        <v>0</v>
      </c>
      <c r="O331" s="132"/>
      <c r="P331" s="132"/>
    </row>
    <row r="332" spans="2:16" x14ac:dyDescent="0.25">
      <c r="B332" s="134"/>
      <c r="C332" s="1078" t="s">
        <v>252</v>
      </c>
      <c r="D332" s="1078"/>
      <c r="E332" s="1078"/>
      <c r="F332" s="1078"/>
      <c r="G332" s="1078"/>
      <c r="H332" s="1078"/>
      <c r="I332" s="1078"/>
      <c r="J332" s="1078"/>
      <c r="K332" s="1078"/>
      <c r="L332" s="1079"/>
      <c r="M332" s="135">
        <f>SUM(M322:M331)</f>
        <v>0</v>
      </c>
      <c r="N332" s="136">
        <f>SUM(N322:N331)</f>
        <v>0</v>
      </c>
      <c r="O332" s="136">
        <f>SUM(O322:O331)</f>
        <v>0</v>
      </c>
      <c r="P332" s="136">
        <f>SUM(P322:P331)</f>
        <v>0</v>
      </c>
    </row>
    <row r="333" spans="2:16" x14ac:dyDescent="0.25">
      <c r="B333" s="1104" t="s">
        <v>243</v>
      </c>
      <c r="C333" s="1105"/>
      <c r="D333" s="1105"/>
      <c r="E333" s="1105"/>
      <c r="F333" s="1105"/>
      <c r="G333" s="1105"/>
      <c r="H333" s="1105"/>
      <c r="I333" s="1105"/>
      <c r="J333" s="1105"/>
      <c r="K333" s="1105"/>
      <c r="L333" s="1105"/>
      <c r="M333" s="1105"/>
      <c r="N333" s="1105"/>
      <c r="O333" s="1105" t="str">
        <f>B333</f>
        <v>PERÍODO PÓS-RETROFIT</v>
      </c>
      <c r="P333" s="1106"/>
    </row>
    <row r="334" spans="2:16" x14ac:dyDescent="0.25">
      <c r="B334" s="1043" t="s">
        <v>235</v>
      </c>
      <c r="C334" s="1044"/>
      <c r="D334" s="1044"/>
      <c r="E334" s="1044"/>
      <c r="F334" s="1044"/>
      <c r="G334" s="1044"/>
      <c r="H334" s="1045"/>
      <c r="I334" s="125" t="s">
        <v>236</v>
      </c>
      <c r="J334" s="126" t="s">
        <v>237</v>
      </c>
      <c r="K334" s="126" t="s">
        <v>238</v>
      </c>
      <c r="L334" s="126" t="s">
        <v>239</v>
      </c>
      <c r="M334" s="126" t="s">
        <v>0</v>
      </c>
      <c r="N334" s="328" t="s">
        <v>796</v>
      </c>
      <c r="O334" s="328" t="s">
        <v>240</v>
      </c>
      <c r="P334" s="329" t="s">
        <v>241</v>
      </c>
    </row>
    <row r="335" spans="2:16" x14ac:dyDescent="0.25">
      <c r="B335" s="128">
        <v>1</v>
      </c>
      <c r="C335" s="1075"/>
      <c r="D335" s="1076"/>
      <c r="E335" s="1076"/>
      <c r="F335" s="1076"/>
      <c r="G335" s="1076"/>
      <c r="H335" s="1077"/>
      <c r="I335" s="542" t="str">
        <f>IF(ISBLANK('M&amp;V (ORÇ)'!I322)," ",'M&amp;V (ORÇ)'!I322)</f>
        <v xml:space="preserve"> </v>
      </c>
      <c r="J335" s="542" t="str">
        <f>IF(ISBLANK('M&amp;V (ORÇ)'!J322)," ",'M&amp;V (ORÇ)'!J322)</f>
        <v xml:space="preserve"> </v>
      </c>
      <c r="K335" s="544">
        <f>'M&amp;V (ORÇ)'!K322</f>
        <v>0</v>
      </c>
      <c r="L335" s="543">
        <f>'M&amp;V (ORÇ)'!L322</f>
        <v>0</v>
      </c>
      <c r="M335" s="131">
        <f t="shared" ref="M335:M344" si="22">IF(J335="",0,K335*L335)</f>
        <v>0</v>
      </c>
      <c r="N335" s="133">
        <f t="shared" ref="N335:N344" si="23">M335-O335-P335</f>
        <v>0</v>
      </c>
      <c r="O335" s="132"/>
      <c r="P335" s="132"/>
    </row>
    <row r="336" spans="2:16" x14ac:dyDescent="0.25">
      <c r="B336" s="128">
        <v>2</v>
      </c>
      <c r="C336" s="1075" t="str">
        <f>IF(ISBLANK('M&amp;V (ORÇ)'!C323)," ",'M&amp;V (ORÇ)'!C323)</f>
        <v xml:space="preserve"> </v>
      </c>
      <c r="D336" s="1076"/>
      <c r="E336" s="1076"/>
      <c r="F336" s="1076"/>
      <c r="G336" s="1076"/>
      <c r="H336" s="1077"/>
      <c r="I336" s="542" t="str">
        <f>IF(ISBLANK('M&amp;V (ORÇ)'!I323)," ",'M&amp;V (ORÇ)'!I323)</f>
        <v xml:space="preserve"> </v>
      </c>
      <c r="J336" s="542" t="str">
        <f>IF(ISBLANK('M&amp;V (ORÇ)'!J323)," ",'M&amp;V (ORÇ)'!J323)</f>
        <v xml:space="preserve"> </v>
      </c>
      <c r="K336" s="544">
        <f>'M&amp;V (ORÇ)'!K323</f>
        <v>0</v>
      </c>
      <c r="L336" s="543">
        <f>'M&amp;V (ORÇ)'!L323</f>
        <v>0</v>
      </c>
      <c r="M336" s="131">
        <f t="shared" si="22"/>
        <v>0</v>
      </c>
      <c r="N336" s="133">
        <f t="shared" si="23"/>
        <v>0</v>
      </c>
      <c r="O336" s="132"/>
      <c r="P336" s="132"/>
    </row>
    <row r="337" spans="2:16" x14ac:dyDescent="0.25">
      <c r="B337" s="128">
        <v>3</v>
      </c>
      <c r="C337" s="1075" t="str">
        <f>IF(ISBLANK('M&amp;V (ORÇ)'!C324)," ",'M&amp;V (ORÇ)'!C324)</f>
        <v xml:space="preserve"> </v>
      </c>
      <c r="D337" s="1076"/>
      <c r="E337" s="1076"/>
      <c r="F337" s="1076"/>
      <c r="G337" s="1076"/>
      <c r="H337" s="1077"/>
      <c r="I337" s="542" t="str">
        <f>IF(ISBLANK('M&amp;V (ORÇ)'!I324)," ",'M&amp;V (ORÇ)'!I324)</f>
        <v xml:space="preserve"> </v>
      </c>
      <c r="J337" s="542" t="str">
        <f>IF(ISBLANK('M&amp;V (ORÇ)'!J324)," ",'M&amp;V (ORÇ)'!J324)</f>
        <v xml:space="preserve"> </v>
      </c>
      <c r="K337" s="544">
        <f>'M&amp;V (ORÇ)'!K324</f>
        <v>0</v>
      </c>
      <c r="L337" s="543">
        <f>'M&amp;V (ORÇ)'!L324</f>
        <v>0</v>
      </c>
      <c r="M337" s="131">
        <f t="shared" si="22"/>
        <v>0</v>
      </c>
      <c r="N337" s="133">
        <f t="shared" si="23"/>
        <v>0</v>
      </c>
      <c r="O337" s="132"/>
      <c r="P337" s="132"/>
    </row>
    <row r="338" spans="2:16" x14ac:dyDescent="0.25">
      <c r="B338" s="128">
        <v>4</v>
      </c>
      <c r="C338" s="1075" t="str">
        <f>IF(ISBLANK('M&amp;V (ORÇ)'!C325)," ",'M&amp;V (ORÇ)'!C325)</f>
        <v xml:space="preserve"> </v>
      </c>
      <c r="D338" s="1076"/>
      <c r="E338" s="1076"/>
      <c r="F338" s="1076"/>
      <c r="G338" s="1076"/>
      <c r="H338" s="1077"/>
      <c r="I338" s="542" t="str">
        <f>IF(ISBLANK('M&amp;V (ORÇ)'!I325)," ",'M&amp;V (ORÇ)'!I325)</f>
        <v xml:space="preserve"> </v>
      </c>
      <c r="J338" s="542" t="str">
        <f>IF(ISBLANK('M&amp;V (ORÇ)'!J325)," ",'M&amp;V (ORÇ)'!J325)</f>
        <v xml:space="preserve"> </v>
      </c>
      <c r="K338" s="544">
        <f>'M&amp;V (ORÇ)'!K325</f>
        <v>0</v>
      </c>
      <c r="L338" s="543">
        <f>'M&amp;V (ORÇ)'!L325</f>
        <v>0</v>
      </c>
      <c r="M338" s="131">
        <f t="shared" si="22"/>
        <v>0</v>
      </c>
      <c r="N338" s="133">
        <f t="shared" si="23"/>
        <v>0</v>
      </c>
      <c r="O338" s="132"/>
      <c r="P338" s="132"/>
    </row>
    <row r="339" spans="2:16" x14ac:dyDescent="0.25">
      <c r="B339" s="128">
        <v>5</v>
      </c>
      <c r="C339" s="1075" t="str">
        <f>IF(ISBLANK('M&amp;V (ORÇ)'!C326)," ",'M&amp;V (ORÇ)'!C326)</f>
        <v xml:space="preserve"> </v>
      </c>
      <c r="D339" s="1076"/>
      <c r="E339" s="1076"/>
      <c r="F339" s="1076"/>
      <c r="G339" s="1076"/>
      <c r="H339" s="1077"/>
      <c r="I339" s="542" t="str">
        <f>IF(ISBLANK('M&amp;V (ORÇ)'!I326)," ",'M&amp;V (ORÇ)'!I326)</f>
        <v xml:space="preserve"> </v>
      </c>
      <c r="J339" s="542" t="str">
        <f>IF(ISBLANK('M&amp;V (ORÇ)'!J326)," ",'M&amp;V (ORÇ)'!J326)</f>
        <v xml:space="preserve"> </v>
      </c>
      <c r="K339" s="544">
        <f>'M&amp;V (ORÇ)'!K326</f>
        <v>0</v>
      </c>
      <c r="L339" s="543">
        <f>'M&amp;V (ORÇ)'!L326</f>
        <v>0</v>
      </c>
      <c r="M339" s="131">
        <f t="shared" si="22"/>
        <v>0</v>
      </c>
      <c r="N339" s="133">
        <f t="shared" si="23"/>
        <v>0</v>
      </c>
      <c r="O339" s="132"/>
      <c r="P339" s="132"/>
    </row>
    <row r="340" spans="2:16" x14ac:dyDescent="0.25">
      <c r="B340" s="128">
        <v>6</v>
      </c>
      <c r="C340" s="1075" t="str">
        <f>IF(ISBLANK('M&amp;V (ORÇ)'!C327)," ",'M&amp;V (ORÇ)'!C327)</f>
        <v xml:space="preserve"> </v>
      </c>
      <c r="D340" s="1076"/>
      <c r="E340" s="1076"/>
      <c r="F340" s="1076"/>
      <c r="G340" s="1076"/>
      <c r="H340" s="1077"/>
      <c r="I340" s="542" t="str">
        <f>IF(ISBLANK('M&amp;V (ORÇ)'!I327)," ",'M&amp;V (ORÇ)'!I327)</f>
        <v xml:space="preserve"> </v>
      </c>
      <c r="J340" s="542" t="str">
        <f>IF(ISBLANK('M&amp;V (ORÇ)'!J327)," ",'M&amp;V (ORÇ)'!J327)</f>
        <v xml:space="preserve"> </v>
      </c>
      <c r="K340" s="544">
        <f>'M&amp;V (ORÇ)'!K327</f>
        <v>0</v>
      </c>
      <c r="L340" s="543">
        <f>'M&amp;V (ORÇ)'!L327</f>
        <v>0</v>
      </c>
      <c r="M340" s="131">
        <f t="shared" si="22"/>
        <v>0</v>
      </c>
      <c r="N340" s="133">
        <f t="shared" si="23"/>
        <v>0</v>
      </c>
      <c r="O340" s="132"/>
      <c r="P340" s="132"/>
    </row>
    <row r="341" spans="2:16" x14ac:dyDescent="0.25">
      <c r="B341" s="128">
        <v>7</v>
      </c>
      <c r="C341" s="1075" t="str">
        <f>IF(ISBLANK('M&amp;V (ORÇ)'!C328)," ",'M&amp;V (ORÇ)'!C328)</f>
        <v xml:space="preserve"> </v>
      </c>
      <c r="D341" s="1076"/>
      <c r="E341" s="1076"/>
      <c r="F341" s="1076"/>
      <c r="G341" s="1076"/>
      <c r="H341" s="1077"/>
      <c r="I341" s="542" t="str">
        <f>IF(ISBLANK('M&amp;V (ORÇ)'!I328)," ",'M&amp;V (ORÇ)'!I328)</f>
        <v xml:space="preserve"> </v>
      </c>
      <c r="J341" s="542" t="str">
        <f>IF(ISBLANK('M&amp;V (ORÇ)'!J328)," ",'M&amp;V (ORÇ)'!J328)</f>
        <v xml:space="preserve"> </v>
      </c>
      <c r="K341" s="544">
        <f>'M&amp;V (ORÇ)'!K328</f>
        <v>0</v>
      </c>
      <c r="L341" s="543">
        <f>'M&amp;V (ORÇ)'!L328</f>
        <v>0</v>
      </c>
      <c r="M341" s="131">
        <f t="shared" si="22"/>
        <v>0</v>
      </c>
      <c r="N341" s="133">
        <f t="shared" si="23"/>
        <v>0</v>
      </c>
      <c r="O341" s="132"/>
      <c r="P341" s="132"/>
    </row>
    <row r="342" spans="2:16" x14ac:dyDescent="0.25">
      <c r="B342" s="128">
        <v>8</v>
      </c>
      <c r="C342" s="1075" t="str">
        <f>IF(ISBLANK('M&amp;V (ORÇ)'!C329)," ",'M&amp;V (ORÇ)'!C329)</f>
        <v xml:space="preserve"> </v>
      </c>
      <c r="D342" s="1076"/>
      <c r="E342" s="1076"/>
      <c r="F342" s="1076"/>
      <c r="G342" s="1076"/>
      <c r="H342" s="1077"/>
      <c r="I342" s="542" t="str">
        <f>IF(ISBLANK('M&amp;V (ORÇ)'!I329)," ",'M&amp;V (ORÇ)'!I329)</f>
        <v xml:space="preserve"> </v>
      </c>
      <c r="J342" s="542" t="str">
        <f>IF(ISBLANK('M&amp;V (ORÇ)'!J329)," ",'M&amp;V (ORÇ)'!J329)</f>
        <v xml:space="preserve"> </v>
      </c>
      <c r="K342" s="544">
        <f>'M&amp;V (ORÇ)'!K329</f>
        <v>0</v>
      </c>
      <c r="L342" s="543">
        <f>'M&amp;V (ORÇ)'!L329</f>
        <v>0</v>
      </c>
      <c r="M342" s="131">
        <f t="shared" si="22"/>
        <v>0</v>
      </c>
      <c r="N342" s="133">
        <f t="shared" si="23"/>
        <v>0</v>
      </c>
      <c r="O342" s="132"/>
      <c r="P342" s="132"/>
    </row>
    <row r="343" spans="2:16" x14ac:dyDescent="0.25">
      <c r="B343" s="128">
        <v>9</v>
      </c>
      <c r="C343" s="1075" t="str">
        <f>IF(ISBLANK('M&amp;V (ORÇ)'!C330)," ",'M&amp;V (ORÇ)'!C330)</f>
        <v xml:space="preserve"> </v>
      </c>
      <c r="D343" s="1076"/>
      <c r="E343" s="1076"/>
      <c r="F343" s="1076"/>
      <c r="G343" s="1076"/>
      <c r="H343" s="1077"/>
      <c r="I343" s="542" t="str">
        <f>IF(ISBLANK('M&amp;V (ORÇ)'!I330)," ",'M&amp;V (ORÇ)'!I330)</f>
        <v xml:space="preserve"> </v>
      </c>
      <c r="J343" s="542" t="str">
        <f>IF(ISBLANK('M&amp;V (ORÇ)'!J330)," ",'M&amp;V (ORÇ)'!J330)</f>
        <v xml:space="preserve"> </v>
      </c>
      <c r="K343" s="544">
        <f>'M&amp;V (ORÇ)'!K330</f>
        <v>0</v>
      </c>
      <c r="L343" s="543">
        <f>'M&amp;V (ORÇ)'!L330</f>
        <v>0</v>
      </c>
      <c r="M343" s="131">
        <f t="shared" si="22"/>
        <v>0</v>
      </c>
      <c r="N343" s="133">
        <f t="shared" si="23"/>
        <v>0</v>
      </c>
      <c r="O343" s="132"/>
      <c r="P343" s="132"/>
    </row>
    <row r="344" spans="2:16" x14ac:dyDescent="0.25">
      <c r="B344" s="128">
        <v>10</v>
      </c>
      <c r="C344" s="1075" t="str">
        <f>IF(ISBLANK('M&amp;V (ORÇ)'!C331)," ",'M&amp;V (ORÇ)'!C331)</f>
        <v xml:space="preserve"> </v>
      </c>
      <c r="D344" s="1076"/>
      <c r="E344" s="1076"/>
      <c r="F344" s="1076"/>
      <c r="G344" s="1076"/>
      <c r="H344" s="1077"/>
      <c r="I344" s="542" t="str">
        <f>IF(ISBLANK('M&amp;V (ORÇ)'!I331)," ",'M&amp;V (ORÇ)'!I331)</f>
        <v xml:space="preserve"> </v>
      </c>
      <c r="J344" s="542" t="str">
        <f>IF(ISBLANK('M&amp;V (ORÇ)'!J331)," ",'M&amp;V (ORÇ)'!J331)</f>
        <v xml:space="preserve"> </v>
      </c>
      <c r="K344" s="544">
        <f>'M&amp;V (ORÇ)'!K331</f>
        <v>0</v>
      </c>
      <c r="L344" s="543">
        <f>'M&amp;V (ORÇ)'!L331</f>
        <v>0</v>
      </c>
      <c r="M344" s="131">
        <f t="shared" si="22"/>
        <v>0</v>
      </c>
      <c r="N344" s="133">
        <f t="shared" si="23"/>
        <v>0</v>
      </c>
      <c r="O344" s="132"/>
      <c r="P344" s="132"/>
    </row>
    <row r="345" spans="2:16" x14ac:dyDescent="0.25">
      <c r="B345" s="134"/>
      <c r="C345" s="1078" t="s">
        <v>253</v>
      </c>
      <c r="D345" s="1078"/>
      <c r="E345" s="1078"/>
      <c r="F345" s="1078"/>
      <c r="G345" s="1078"/>
      <c r="H345" s="1078"/>
      <c r="I345" s="1078"/>
      <c r="J345" s="1078"/>
      <c r="K345" s="1078"/>
      <c r="L345" s="1079"/>
      <c r="M345" s="135">
        <f>SUM(M335:M344)</f>
        <v>0</v>
      </c>
      <c r="N345" s="136">
        <f>SUM(N335:N344)</f>
        <v>0</v>
      </c>
      <c r="O345" s="136">
        <f>SUM(O335:O344)</f>
        <v>0</v>
      </c>
      <c r="P345" s="136">
        <f>SUM(P335:P344)</f>
        <v>0</v>
      </c>
    </row>
    <row r="346" spans="2:16" x14ac:dyDescent="0.25">
      <c r="B346" s="137"/>
      <c r="C346" s="1111" t="s">
        <v>254</v>
      </c>
      <c r="D346" s="1111"/>
      <c r="E346" s="1111"/>
      <c r="F346" s="1111"/>
      <c r="G346" s="1111"/>
      <c r="H346" s="1111"/>
      <c r="I346" s="1111"/>
      <c r="J346" s="1111"/>
      <c r="K346" s="1111"/>
      <c r="L346" s="1112"/>
      <c r="M346" s="138">
        <f>SUM(M332,M345)</f>
        <v>0</v>
      </c>
      <c r="N346" s="139">
        <f>SUM(N332,N345)</f>
        <v>0</v>
      </c>
      <c r="O346" s="139">
        <f>SUM(O332,O345)</f>
        <v>0</v>
      </c>
      <c r="P346" s="139">
        <f>SUM(P332,P345)</f>
        <v>0</v>
      </c>
    </row>
    <row r="347" spans="2:16" x14ac:dyDescent="0.25">
      <c r="B347" s="1060" t="s">
        <v>688</v>
      </c>
      <c r="C347" s="1061"/>
      <c r="D347" s="1061"/>
      <c r="E347" s="1061"/>
      <c r="F347" s="1061"/>
      <c r="G347" s="1061"/>
      <c r="H347" s="1061"/>
      <c r="I347" s="1061"/>
      <c r="J347" s="1061"/>
      <c r="K347" s="1061"/>
      <c r="L347" s="1061"/>
      <c r="M347" s="1061"/>
      <c r="N347" s="1061"/>
      <c r="O347" s="1061"/>
      <c r="P347" s="1062"/>
    </row>
    <row r="348" spans="2:16" x14ac:dyDescent="0.25">
      <c r="B348" s="1104" t="s">
        <v>234</v>
      </c>
      <c r="C348" s="1105"/>
      <c r="D348" s="1105"/>
      <c r="E348" s="1105"/>
      <c r="F348" s="1105"/>
      <c r="G348" s="1105"/>
      <c r="H348" s="1105"/>
      <c r="I348" s="1105"/>
      <c r="J348" s="1105"/>
      <c r="K348" s="1105"/>
      <c r="L348" s="1105"/>
      <c r="M348" s="1105"/>
      <c r="N348" s="1105"/>
      <c r="O348" s="1105" t="str">
        <f>B348</f>
        <v>PERÍODO DE REFERÊNCIA</v>
      </c>
      <c r="P348" s="1106"/>
    </row>
    <row r="349" spans="2:16" x14ac:dyDescent="0.25">
      <c r="B349" s="1043" t="s">
        <v>235</v>
      </c>
      <c r="C349" s="1044"/>
      <c r="D349" s="1044"/>
      <c r="E349" s="1044"/>
      <c r="F349" s="1044"/>
      <c r="G349" s="1044"/>
      <c r="H349" s="1045"/>
      <c r="I349" s="125" t="s">
        <v>236</v>
      </c>
      <c r="J349" s="126" t="s">
        <v>237</v>
      </c>
      <c r="K349" s="126" t="s">
        <v>238</v>
      </c>
      <c r="L349" s="126" t="s">
        <v>239</v>
      </c>
      <c r="M349" s="126" t="s">
        <v>0</v>
      </c>
      <c r="N349" s="328" t="s">
        <v>796</v>
      </c>
      <c r="O349" s="328" t="s">
        <v>240</v>
      </c>
      <c r="P349" s="329" t="s">
        <v>241</v>
      </c>
    </row>
    <row r="350" spans="2:16" x14ac:dyDescent="0.25">
      <c r="B350" s="128">
        <v>1</v>
      </c>
      <c r="C350" s="1075" t="str">
        <f>IF(ISBLANK('M&amp;V (ORÇ)'!C335)," ",'M&amp;V (ORÇ)'!C335)</f>
        <v xml:space="preserve"> </v>
      </c>
      <c r="D350" s="1076"/>
      <c r="E350" s="1076"/>
      <c r="F350" s="1076"/>
      <c r="G350" s="1076"/>
      <c r="H350" s="1077"/>
      <c r="I350" s="542" t="str">
        <f>IF(ISBLANK('M&amp;V (ORÇ)'!I335)," ",'M&amp;V (ORÇ)'!I335)</f>
        <v xml:space="preserve"> </v>
      </c>
      <c r="J350" s="542" t="str">
        <f>IF(ISBLANK('M&amp;V (ORÇ)'!J335)," ",'M&amp;V (ORÇ)'!J335)</f>
        <v xml:space="preserve"> </v>
      </c>
      <c r="K350" s="544">
        <f>'M&amp;V (ORÇ)'!K335</f>
        <v>0</v>
      </c>
      <c r="L350" s="543">
        <f>'M&amp;V (ORÇ)'!L335</f>
        <v>0</v>
      </c>
      <c r="M350" s="131">
        <f t="shared" ref="M350:M369" si="24">IF(J350="",0,K350*L350)</f>
        <v>0</v>
      </c>
      <c r="N350" s="133">
        <f t="shared" ref="N350:N369" si="25">M350-O350-P350</f>
        <v>0</v>
      </c>
      <c r="O350" s="132"/>
      <c r="P350" s="132"/>
    </row>
    <row r="351" spans="2:16" x14ac:dyDescent="0.25">
      <c r="B351" s="128">
        <v>2</v>
      </c>
      <c r="C351" s="1075" t="str">
        <f>IF(ISBLANK('M&amp;V (ORÇ)'!C336)," ",'M&amp;V (ORÇ)'!C336)</f>
        <v xml:space="preserve"> </v>
      </c>
      <c r="D351" s="1076"/>
      <c r="E351" s="1076"/>
      <c r="F351" s="1076"/>
      <c r="G351" s="1076"/>
      <c r="H351" s="1077"/>
      <c r="I351" s="542" t="str">
        <f>IF(ISBLANK('M&amp;V (ORÇ)'!I336)," ",'M&amp;V (ORÇ)'!I336)</f>
        <v xml:space="preserve"> </v>
      </c>
      <c r="J351" s="542" t="str">
        <f>IF(ISBLANK('M&amp;V (ORÇ)'!J336)," ",'M&amp;V (ORÇ)'!J336)</f>
        <v xml:space="preserve"> </v>
      </c>
      <c r="K351" s="544">
        <f>'M&amp;V (ORÇ)'!K336</f>
        <v>0</v>
      </c>
      <c r="L351" s="543">
        <f>'M&amp;V (ORÇ)'!L336</f>
        <v>0</v>
      </c>
      <c r="M351" s="131">
        <f t="shared" si="24"/>
        <v>0</v>
      </c>
      <c r="N351" s="133">
        <f t="shared" si="25"/>
        <v>0</v>
      </c>
      <c r="O351" s="132"/>
      <c r="P351" s="132"/>
    </row>
    <row r="352" spans="2:16" x14ac:dyDescent="0.25">
      <c r="B352" s="128">
        <v>3</v>
      </c>
      <c r="C352" s="1075" t="str">
        <f>IF(ISBLANK('M&amp;V (ORÇ)'!C337)," ",'M&amp;V (ORÇ)'!C337)</f>
        <v xml:space="preserve"> </v>
      </c>
      <c r="D352" s="1076"/>
      <c r="E352" s="1076"/>
      <c r="F352" s="1076"/>
      <c r="G352" s="1076"/>
      <c r="H352" s="1077"/>
      <c r="I352" s="542" t="str">
        <f>IF(ISBLANK('M&amp;V (ORÇ)'!I337)," ",'M&amp;V (ORÇ)'!I337)</f>
        <v xml:space="preserve"> </v>
      </c>
      <c r="J352" s="542" t="str">
        <f>IF(ISBLANK('M&amp;V (ORÇ)'!J337)," ",'M&amp;V (ORÇ)'!J337)</f>
        <v xml:space="preserve"> </v>
      </c>
      <c r="K352" s="544">
        <f>'M&amp;V (ORÇ)'!K337</f>
        <v>0</v>
      </c>
      <c r="L352" s="543">
        <f>'M&amp;V (ORÇ)'!L337</f>
        <v>0</v>
      </c>
      <c r="M352" s="131">
        <f t="shared" si="24"/>
        <v>0</v>
      </c>
      <c r="N352" s="133">
        <f t="shared" si="25"/>
        <v>0</v>
      </c>
      <c r="O352" s="132"/>
      <c r="P352" s="132"/>
    </row>
    <row r="353" spans="2:16" x14ac:dyDescent="0.25">
      <c r="B353" s="128">
        <v>4</v>
      </c>
      <c r="C353" s="1075" t="str">
        <f>IF(ISBLANK('M&amp;V (ORÇ)'!C338)," ",'M&amp;V (ORÇ)'!C338)</f>
        <v xml:space="preserve"> </v>
      </c>
      <c r="D353" s="1076"/>
      <c r="E353" s="1076"/>
      <c r="F353" s="1076"/>
      <c r="G353" s="1076"/>
      <c r="H353" s="1077"/>
      <c r="I353" s="542" t="str">
        <f>IF(ISBLANK('M&amp;V (ORÇ)'!I338)," ",'M&amp;V (ORÇ)'!I338)</f>
        <v xml:space="preserve"> </v>
      </c>
      <c r="J353" s="542" t="str">
        <f>IF(ISBLANK('M&amp;V (ORÇ)'!J338)," ",'M&amp;V (ORÇ)'!J338)</f>
        <v xml:space="preserve"> </v>
      </c>
      <c r="K353" s="544">
        <f>'M&amp;V (ORÇ)'!K338</f>
        <v>0</v>
      </c>
      <c r="L353" s="543">
        <f>'M&amp;V (ORÇ)'!L338</f>
        <v>0</v>
      </c>
      <c r="M353" s="131">
        <f t="shared" si="24"/>
        <v>0</v>
      </c>
      <c r="N353" s="133">
        <f t="shared" si="25"/>
        <v>0</v>
      </c>
      <c r="O353" s="132"/>
      <c r="P353" s="132"/>
    </row>
    <row r="354" spans="2:16" x14ac:dyDescent="0.25">
      <c r="B354" s="128">
        <v>5</v>
      </c>
      <c r="C354" s="1075" t="str">
        <f>IF(ISBLANK('M&amp;V (ORÇ)'!C339)," ",'M&amp;V (ORÇ)'!C339)</f>
        <v xml:space="preserve"> </v>
      </c>
      <c r="D354" s="1076"/>
      <c r="E354" s="1076"/>
      <c r="F354" s="1076"/>
      <c r="G354" s="1076"/>
      <c r="H354" s="1077"/>
      <c r="I354" s="542" t="str">
        <f>IF(ISBLANK('M&amp;V (ORÇ)'!I339)," ",'M&amp;V (ORÇ)'!I339)</f>
        <v xml:space="preserve"> </v>
      </c>
      <c r="J354" s="542" t="str">
        <f>IF(ISBLANK('M&amp;V (ORÇ)'!J339)," ",'M&amp;V (ORÇ)'!J339)</f>
        <v xml:space="preserve"> </v>
      </c>
      <c r="K354" s="544">
        <f>'M&amp;V (ORÇ)'!K339</f>
        <v>0</v>
      </c>
      <c r="L354" s="543">
        <f>'M&amp;V (ORÇ)'!L339</f>
        <v>0</v>
      </c>
      <c r="M354" s="131">
        <f t="shared" si="24"/>
        <v>0</v>
      </c>
      <c r="N354" s="133">
        <f t="shared" si="25"/>
        <v>0</v>
      </c>
      <c r="O354" s="132"/>
      <c r="P354" s="132"/>
    </row>
    <row r="355" spans="2:16" x14ac:dyDescent="0.25">
      <c r="B355" s="128">
        <v>6</v>
      </c>
      <c r="C355" s="1075" t="str">
        <f>IF(ISBLANK('M&amp;V (ORÇ)'!C340)," ",'M&amp;V (ORÇ)'!C340)</f>
        <v xml:space="preserve"> </v>
      </c>
      <c r="D355" s="1076"/>
      <c r="E355" s="1076"/>
      <c r="F355" s="1076"/>
      <c r="G355" s="1076"/>
      <c r="H355" s="1077"/>
      <c r="I355" s="542" t="str">
        <f>IF(ISBLANK('M&amp;V (ORÇ)'!I340)," ",'M&amp;V (ORÇ)'!I340)</f>
        <v xml:space="preserve"> </v>
      </c>
      <c r="J355" s="542" t="str">
        <f>IF(ISBLANK('M&amp;V (ORÇ)'!J340)," ",'M&amp;V (ORÇ)'!J340)</f>
        <v xml:space="preserve"> </v>
      </c>
      <c r="K355" s="544">
        <f>'M&amp;V (ORÇ)'!K340</f>
        <v>0</v>
      </c>
      <c r="L355" s="543">
        <f>'M&amp;V (ORÇ)'!L340</f>
        <v>0</v>
      </c>
      <c r="M355" s="131">
        <f t="shared" si="24"/>
        <v>0</v>
      </c>
      <c r="N355" s="133">
        <f t="shared" si="25"/>
        <v>0</v>
      </c>
      <c r="O355" s="132"/>
      <c r="P355" s="132"/>
    </row>
    <row r="356" spans="2:16" x14ac:dyDescent="0.25">
      <c r="B356" s="128">
        <v>7</v>
      </c>
      <c r="C356" s="1075" t="str">
        <f>IF(ISBLANK('M&amp;V (ORÇ)'!C341)," ",'M&amp;V (ORÇ)'!C341)</f>
        <v xml:space="preserve"> </v>
      </c>
      <c r="D356" s="1076"/>
      <c r="E356" s="1076"/>
      <c r="F356" s="1076"/>
      <c r="G356" s="1076"/>
      <c r="H356" s="1077"/>
      <c r="I356" s="542" t="str">
        <f>IF(ISBLANK('M&amp;V (ORÇ)'!I341)," ",'M&amp;V (ORÇ)'!I341)</f>
        <v xml:space="preserve"> </v>
      </c>
      <c r="J356" s="542" t="str">
        <f>IF(ISBLANK('M&amp;V (ORÇ)'!J341)," ",'M&amp;V (ORÇ)'!J341)</f>
        <v xml:space="preserve"> </v>
      </c>
      <c r="K356" s="544">
        <f>'M&amp;V (ORÇ)'!K341</f>
        <v>0</v>
      </c>
      <c r="L356" s="543">
        <f>'M&amp;V (ORÇ)'!L341</f>
        <v>0</v>
      </c>
      <c r="M356" s="131">
        <f t="shared" si="24"/>
        <v>0</v>
      </c>
      <c r="N356" s="133">
        <f t="shared" si="25"/>
        <v>0</v>
      </c>
      <c r="O356" s="132"/>
      <c r="P356" s="132"/>
    </row>
    <row r="357" spans="2:16" x14ac:dyDescent="0.25">
      <c r="B357" s="128">
        <v>8</v>
      </c>
      <c r="C357" s="1075" t="str">
        <f>IF(ISBLANK('M&amp;V (ORÇ)'!C342)," ",'M&amp;V (ORÇ)'!C342)</f>
        <v xml:space="preserve"> </v>
      </c>
      <c r="D357" s="1076"/>
      <c r="E357" s="1076"/>
      <c r="F357" s="1076"/>
      <c r="G357" s="1076"/>
      <c r="H357" s="1077"/>
      <c r="I357" s="542" t="str">
        <f>IF(ISBLANK('M&amp;V (ORÇ)'!I342)," ",'M&amp;V (ORÇ)'!I342)</f>
        <v xml:space="preserve"> </v>
      </c>
      <c r="J357" s="542" t="str">
        <f>IF(ISBLANK('M&amp;V (ORÇ)'!J342)," ",'M&amp;V (ORÇ)'!J342)</f>
        <v xml:space="preserve"> </v>
      </c>
      <c r="K357" s="544">
        <f>'M&amp;V (ORÇ)'!K342</f>
        <v>0</v>
      </c>
      <c r="L357" s="543">
        <f>'M&amp;V (ORÇ)'!L342</f>
        <v>0</v>
      </c>
      <c r="M357" s="131">
        <f t="shared" si="24"/>
        <v>0</v>
      </c>
      <c r="N357" s="133">
        <f t="shared" si="25"/>
        <v>0</v>
      </c>
      <c r="O357" s="132"/>
      <c r="P357" s="132"/>
    </row>
    <row r="358" spans="2:16" x14ac:dyDescent="0.25">
      <c r="B358" s="128">
        <v>9</v>
      </c>
      <c r="C358" s="1075" t="str">
        <f>IF(ISBLANK('M&amp;V (ORÇ)'!C343)," ",'M&amp;V (ORÇ)'!C343)</f>
        <v xml:space="preserve"> </v>
      </c>
      <c r="D358" s="1076"/>
      <c r="E358" s="1076"/>
      <c r="F358" s="1076"/>
      <c r="G358" s="1076"/>
      <c r="H358" s="1077"/>
      <c r="I358" s="542" t="str">
        <f>IF(ISBLANK('M&amp;V (ORÇ)'!I343)," ",'M&amp;V (ORÇ)'!I343)</f>
        <v xml:space="preserve"> </v>
      </c>
      <c r="J358" s="542" t="str">
        <f>IF(ISBLANK('M&amp;V (ORÇ)'!J343)," ",'M&amp;V (ORÇ)'!J343)</f>
        <v xml:space="preserve"> </v>
      </c>
      <c r="K358" s="544">
        <f>'M&amp;V (ORÇ)'!K343</f>
        <v>0</v>
      </c>
      <c r="L358" s="543">
        <f>'M&amp;V (ORÇ)'!L343</f>
        <v>0</v>
      </c>
      <c r="M358" s="131">
        <f t="shared" si="24"/>
        <v>0</v>
      </c>
      <c r="N358" s="133">
        <f t="shared" si="25"/>
        <v>0</v>
      </c>
      <c r="O358" s="132"/>
      <c r="P358" s="132"/>
    </row>
    <row r="359" spans="2:16" x14ac:dyDescent="0.25">
      <c r="B359" s="128">
        <v>10</v>
      </c>
      <c r="C359" s="1075" t="str">
        <f>IF(ISBLANK('M&amp;V (ORÇ)'!C344)," ",'M&amp;V (ORÇ)'!C344)</f>
        <v xml:space="preserve"> </v>
      </c>
      <c r="D359" s="1076"/>
      <c r="E359" s="1076"/>
      <c r="F359" s="1076"/>
      <c r="G359" s="1076"/>
      <c r="H359" s="1077"/>
      <c r="I359" s="542" t="str">
        <f>IF(ISBLANK('M&amp;V (ORÇ)'!I344)," ",'M&amp;V (ORÇ)'!I344)</f>
        <v xml:space="preserve"> </v>
      </c>
      <c r="J359" s="542" t="str">
        <f>IF(ISBLANK('M&amp;V (ORÇ)'!J344)," ",'M&amp;V (ORÇ)'!J344)</f>
        <v xml:space="preserve"> </v>
      </c>
      <c r="K359" s="544">
        <f>'M&amp;V (ORÇ)'!K344</f>
        <v>0</v>
      </c>
      <c r="L359" s="543">
        <f>'M&amp;V (ORÇ)'!L344</f>
        <v>0</v>
      </c>
      <c r="M359" s="131">
        <f t="shared" si="24"/>
        <v>0</v>
      </c>
      <c r="N359" s="133">
        <f t="shared" si="25"/>
        <v>0</v>
      </c>
      <c r="O359" s="132"/>
      <c r="P359" s="132"/>
    </row>
    <row r="360" spans="2:16" x14ac:dyDescent="0.25">
      <c r="B360" s="128">
        <v>11</v>
      </c>
      <c r="C360" s="1075" t="str">
        <f>IF(ISBLANK('M&amp;V (ORÇ)'!C345)," ",'M&amp;V (ORÇ)'!C345)</f>
        <v xml:space="preserve"> </v>
      </c>
      <c r="D360" s="1076"/>
      <c r="E360" s="1076"/>
      <c r="F360" s="1076"/>
      <c r="G360" s="1076"/>
      <c r="H360" s="1077"/>
      <c r="I360" s="542" t="str">
        <f>IF(ISBLANK('M&amp;V (ORÇ)'!I345)," ",'M&amp;V (ORÇ)'!I345)</f>
        <v xml:space="preserve"> </v>
      </c>
      <c r="J360" s="542" t="str">
        <f>IF(ISBLANK('M&amp;V (ORÇ)'!J345)," ",'M&amp;V (ORÇ)'!J345)</f>
        <v xml:space="preserve"> </v>
      </c>
      <c r="K360" s="544">
        <f>'M&amp;V (ORÇ)'!K345</f>
        <v>0</v>
      </c>
      <c r="L360" s="543">
        <f>'M&amp;V (ORÇ)'!L345</f>
        <v>0</v>
      </c>
      <c r="M360" s="131">
        <f t="shared" si="24"/>
        <v>0</v>
      </c>
      <c r="N360" s="133">
        <f t="shared" si="25"/>
        <v>0</v>
      </c>
      <c r="O360" s="132"/>
      <c r="P360" s="132"/>
    </row>
    <row r="361" spans="2:16" x14ac:dyDescent="0.25">
      <c r="B361" s="128">
        <v>12</v>
      </c>
      <c r="C361" s="1075" t="str">
        <f>IF(ISBLANK('M&amp;V (ORÇ)'!C346)," ",'M&amp;V (ORÇ)'!C346)</f>
        <v xml:space="preserve"> </v>
      </c>
      <c r="D361" s="1076"/>
      <c r="E361" s="1076"/>
      <c r="F361" s="1076"/>
      <c r="G361" s="1076"/>
      <c r="H361" s="1077"/>
      <c r="I361" s="542" t="str">
        <f>IF(ISBLANK('M&amp;V (ORÇ)'!I346)," ",'M&amp;V (ORÇ)'!I346)</f>
        <v xml:space="preserve"> </v>
      </c>
      <c r="J361" s="542" t="str">
        <f>IF(ISBLANK('M&amp;V (ORÇ)'!J346)," ",'M&amp;V (ORÇ)'!J346)</f>
        <v xml:space="preserve"> </v>
      </c>
      <c r="K361" s="544">
        <f>'M&amp;V (ORÇ)'!K346</f>
        <v>0</v>
      </c>
      <c r="L361" s="543">
        <f>'M&amp;V (ORÇ)'!L346</f>
        <v>0</v>
      </c>
      <c r="M361" s="131">
        <f t="shared" si="24"/>
        <v>0</v>
      </c>
      <c r="N361" s="133">
        <f t="shared" si="25"/>
        <v>0</v>
      </c>
      <c r="O361" s="132"/>
      <c r="P361" s="132"/>
    </row>
    <row r="362" spans="2:16" x14ac:dyDescent="0.25">
      <c r="B362" s="128">
        <v>13</v>
      </c>
      <c r="C362" s="1075" t="str">
        <f>IF(ISBLANK('M&amp;V (ORÇ)'!C347)," ",'M&amp;V (ORÇ)'!C347)</f>
        <v xml:space="preserve"> </v>
      </c>
      <c r="D362" s="1076"/>
      <c r="E362" s="1076"/>
      <c r="F362" s="1076"/>
      <c r="G362" s="1076"/>
      <c r="H362" s="1077"/>
      <c r="I362" s="542" t="str">
        <f>IF(ISBLANK('M&amp;V (ORÇ)'!I347)," ",'M&amp;V (ORÇ)'!I347)</f>
        <v xml:space="preserve"> </v>
      </c>
      <c r="J362" s="542" t="str">
        <f>IF(ISBLANK('M&amp;V (ORÇ)'!J347)," ",'M&amp;V (ORÇ)'!J347)</f>
        <v xml:space="preserve"> </v>
      </c>
      <c r="K362" s="544">
        <f>'M&amp;V (ORÇ)'!K347</f>
        <v>0</v>
      </c>
      <c r="L362" s="543">
        <f>'M&amp;V (ORÇ)'!L347</f>
        <v>0</v>
      </c>
      <c r="M362" s="131">
        <f t="shared" si="24"/>
        <v>0</v>
      </c>
      <c r="N362" s="133">
        <f t="shared" si="25"/>
        <v>0</v>
      </c>
      <c r="O362" s="132"/>
      <c r="P362" s="132"/>
    </row>
    <row r="363" spans="2:16" x14ac:dyDescent="0.25">
      <c r="B363" s="128">
        <v>14</v>
      </c>
      <c r="C363" s="1075" t="str">
        <f>IF(ISBLANK('M&amp;V (ORÇ)'!C348)," ",'M&amp;V (ORÇ)'!C348)</f>
        <v xml:space="preserve"> </v>
      </c>
      <c r="D363" s="1076"/>
      <c r="E363" s="1076"/>
      <c r="F363" s="1076"/>
      <c r="G363" s="1076"/>
      <c r="H363" s="1077"/>
      <c r="I363" s="542" t="str">
        <f>IF(ISBLANK('M&amp;V (ORÇ)'!I348)," ",'M&amp;V (ORÇ)'!I348)</f>
        <v xml:space="preserve"> </v>
      </c>
      <c r="J363" s="542" t="str">
        <f>IF(ISBLANK('M&amp;V (ORÇ)'!J348)," ",'M&amp;V (ORÇ)'!J348)</f>
        <v xml:space="preserve"> </v>
      </c>
      <c r="K363" s="544">
        <f>'M&amp;V (ORÇ)'!K348</f>
        <v>0</v>
      </c>
      <c r="L363" s="543">
        <f>'M&amp;V (ORÇ)'!L348</f>
        <v>0</v>
      </c>
      <c r="M363" s="131">
        <f t="shared" si="24"/>
        <v>0</v>
      </c>
      <c r="N363" s="133">
        <f t="shared" si="25"/>
        <v>0</v>
      </c>
      <c r="O363" s="132"/>
      <c r="P363" s="132"/>
    </row>
    <row r="364" spans="2:16" x14ac:dyDescent="0.25">
      <c r="B364" s="128">
        <v>15</v>
      </c>
      <c r="C364" s="1075" t="str">
        <f>IF(ISBLANK('M&amp;V (ORÇ)'!C349)," ",'M&amp;V (ORÇ)'!C349)</f>
        <v xml:space="preserve"> </v>
      </c>
      <c r="D364" s="1076"/>
      <c r="E364" s="1076"/>
      <c r="F364" s="1076"/>
      <c r="G364" s="1076"/>
      <c r="H364" s="1077"/>
      <c r="I364" s="542" t="str">
        <f>IF(ISBLANK('M&amp;V (ORÇ)'!I349)," ",'M&amp;V (ORÇ)'!I349)</f>
        <v xml:space="preserve"> </v>
      </c>
      <c r="J364" s="542" t="str">
        <f>IF(ISBLANK('M&amp;V (ORÇ)'!J349)," ",'M&amp;V (ORÇ)'!J349)</f>
        <v xml:space="preserve"> </v>
      </c>
      <c r="K364" s="544">
        <f>'M&amp;V (ORÇ)'!K349</f>
        <v>0</v>
      </c>
      <c r="L364" s="543">
        <f>'M&amp;V (ORÇ)'!L349</f>
        <v>0</v>
      </c>
      <c r="M364" s="131">
        <f t="shared" si="24"/>
        <v>0</v>
      </c>
      <c r="N364" s="133">
        <f t="shared" si="25"/>
        <v>0</v>
      </c>
      <c r="O364" s="132"/>
      <c r="P364" s="132"/>
    </row>
    <row r="365" spans="2:16" x14ac:dyDescent="0.25">
      <c r="B365" s="128">
        <v>16</v>
      </c>
      <c r="C365" s="1075" t="str">
        <f>IF(ISBLANK('M&amp;V (ORÇ)'!C350)," ",'M&amp;V (ORÇ)'!C350)</f>
        <v xml:space="preserve"> </v>
      </c>
      <c r="D365" s="1076"/>
      <c r="E365" s="1076"/>
      <c r="F365" s="1076"/>
      <c r="G365" s="1076"/>
      <c r="H365" s="1077"/>
      <c r="I365" s="542" t="str">
        <f>IF(ISBLANK('M&amp;V (ORÇ)'!I350)," ",'M&amp;V (ORÇ)'!I350)</f>
        <v xml:space="preserve"> </v>
      </c>
      <c r="J365" s="542" t="str">
        <f>IF(ISBLANK('M&amp;V (ORÇ)'!J350)," ",'M&amp;V (ORÇ)'!J350)</f>
        <v xml:space="preserve"> </v>
      </c>
      <c r="K365" s="544">
        <f>'M&amp;V (ORÇ)'!K350</f>
        <v>0</v>
      </c>
      <c r="L365" s="543">
        <f>'M&amp;V (ORÇ)'!L350</f>
        <v>0</v>
      </c>
      <c r="M365" s="131">
        <f t="shared" si="24"/>
        <v>0</v>
      </c>
      <c r="N365" s="133">
        <f t="shared" si="25"/>
        <v>0</v>
      </c>
      <c r="O365" s="132"/>
      <c r="P365" s="132"/>
    </row>
    <row r="366" spans="2:16" x14ac:dyDescent="0.25">
      <c r="B366" s="128">
        <v>17</v>
      </c>
      <c r="C366" s="1075" t="str">
        <f>IF(ISBLANK('M&amp;V (ORÇ)'!C351)," ",'M&amp;V (ORÇ)'!C351)</f>
        <v xml:space="preserve"> </v>
      </c>
      <c r="D366" s="1076"/>
      <c r="E366" s="1076"/>
      <c r="F366" s="1076"/>
      <c r="G366" s="1076"/>
      <c r="H366" s="1077"/>
      <c r="I366" s="542" t="str">
        <f>IF(ISBLANK('M&amp;V (ORÇ)'!I351)," ",'M&amp;V (ORÇ)'!I351)</f>
        <v xml:space="preserve"> </v>
      </c>
      <c r="J366" s="542" t="str">
        <f>IF(ISBLANK('M&amp;V (ORÇ)'!J351)," ",'M&amp;V (ORÇ)'!J351)</f>
        <v xml:space="preserve"> </v>
      </c>
      <c r="K366" s="544">
        <f>'M&amp;V (ORÇ)'!K351</f>
        <v>0</v>
      </c>
      <c r="L366" s="543">
        <f>'M&amp;V (ORÇ)'!L351</f>
        <v>0</v>
      </c>
      <c r="M366" s="131">
        <f t="shared" si="24"/>
        <v>0</v>
      </c>
      <c r="N366" s="133">
        <f t="shared" si="25"/>
        <v>0</v>
      </c>
      <c r="O366" s="132"/>
      <c r="P366" s="132"/>
    </row>
    <row r="367" spans="2:16" x14ac:dyDescent="0.25">
      <c r="B367" s="128">
        <v>18</v>
      </c>
      <c r="C367" s="1075" t="str">
        <f>IF(ISBLANK('M&amp;V (ORÇ)'!C352)," ",'M&amp;V (ORÇ)'!C352)</f>
        <v xml:space="preserve"> </v>
      </c>
      <c r="D367" s="1076"/>
      <c r="E367" s="1076"/>
      <c r="F367" s="1076"/>
      <c r="G367" s="1076"/>
      <c r="H367" s="1077"/>
      <c r="I367" s="542" t="str">
        <f>IF(ISBLANK('M&amp;V (ORÇ)'!I352)," ",'M&amp;V (ORÇ)'!I352)</f>
        <v xml:space="preserve"> </v>
      </c>
      <c r="J367" s="542" t="str">
        <f>IF(ISBLANK('M&amp;V (ORÇ)'!J352)," ",'M&amp;V (ORÇ)'!J352)</f>
        <v xml:space="preserve"> </v>
      </c>
      <c r="K367" s="544">
        <f>'M&amp;V (ORÇ)'!K352</f>
        <v>0</v>
      </c>
      <c r="L367" s="543">
        <f>'M&amp;V (ORÇ)'!L352</f>
        <v>0</v>
      </c>
      <c r="M367" s="131">
        <f t="shared" si="24"/>
        <v>0</v>
      </c>
      <c r="N367" s="133">
        <f t="shared" si="25"/>
        <v>0</v>
      </c>
      <c r="O367" s="132"/>
      <c r="P367" s="132"/>
    </row>
    <row r="368" spans="2:16" x14ac:dyDescent="0.25">
      <c r="B368" s="128">
        <v>19</v>
      </c>
      <c r="C368" s="1075" t="str">
        <f>IF(ISBLANK('M&amp;V (ORÇ)'!C353)," ",'M&amp;V (ORÇ)'!C353)</f>
        <v xml:space="preserve"> </v>
      </c>
      <c r="D368" s="1076"/>
      <c r="E368" s="1076"/>
      <c r="F368" s="1076"/>
      <c r="G368" s="1076"/>
      <c r="H368" s="1077"/>
      <c r="I368" s="542" t="str">
        <f>IF(ISBLANK('M&amp;V (ORÇ)'!I353)," ",'M&amp;V (ORÇ)'!I353)</f>
        <v xml:space="preserve"> </v>
      </c>
      <c r="J368" s="542" t="str">
        <f>IF(ISBLANK('M&amp;V (ORÇ)'!J353)," ",'M&amp;V (ORÇ)'!J353)</f>
        <v xml:space="preserve"> </v>
      </c>
      <c r="K368" s="544">
        <f>'M&amp;V (ORÇ)'!K353</f>
        <v>0</v>
      </c>
      <c r="L368" s="543">
        <f>'M&amp;V (ORÇ)'!L353</f>
        <v>0</v>
      </c>
      <c r="M368" s="131">
        <f t="shared" si="24"/>
        <v>0</v>
      </c>
      <c r="N368" s="133">
        <f t="shared" si="25"/>
        <v>0</v>
      </c>
      <c r="O368" s="132"/>
      <c r="P368" s="132"/>
    </row>
    <row r="369" spans="2:16" x14ac:dyDescent="0.25">
      <c r="B369" s="128">
        <v>20</v>
      </c>
      <c r="C369" s="1075" t="str">
        <f>IF(ISBLANK('M&amp;V (ORÇ)'!C354)," ",'M&amp;V (ORÇ)'!C354)</f>
        <v xml:space="preserve"> </v>
      </c>
      <c r="D369" s="1076"/>
      <c r="E369" s="1076"/>
      <c r="F369" s="1076"/>
      <c r="G369" s="1076"/>
      <c r="H369" s="1077"/>
      <c r="I369" s="542" t="str">
        <f>IF(ISBLANK('M&amp;V (ORÇ)'!I354)," ",'M&amp;V (ORÇ)'!I354)</f>
        <v xml:space="preserve"> </v>
      </c>
      <c r="J369" s="542" t="str">
        <f>IF(ISBLANK('M&amp;V (ORÇ)'!J354)," ",'M&amp;V (ORÇ)'!J354)</f>
        <v xml:space="preserve"> </v>
      </c>
      <c r="K369" s="544">
        <f>'M&amp;V (ORÇ)'!K354</f>
        <v>0</v>
      </c>
      <c r="L369" s="543">
        <f>'M&amp;V (ORÇ)'!L354</f>
        <v>0</v>
      </c>
      <c r="M369" s="131">
        <f t="shared" si="24"/>
        <v>0</v>
      </c>
      <c r="N369" s="133">
        <f t="shared" si="25"/>
        <v>0</v>
      </c>
      <c r="O369" s="132"/>
      <c r="P369" s="132"/>
    </row>
    <row r="370" spans="2:16" x14ac:dyDescent="0.25">
      <c r="B370" s="134"/>
      <c r="C370" s="1078" t="s">
        <v>255</v>
      </c>
      <c r="D370" s="1078"/>
      <c r="E370" s="1078"/>
      <c r="F370" s="1078"/>
      <c r="G370" s="1078"/>
      <c r="H370" s="1078"/>
      <c r="I370" s="1078"/>
      <c r="J370" s="1078"/>
      <c r="K370" s="1078"/>
      <c r="L370" s="1079"/>
      <c r="M370" s="135">
        <f>SUM(M350:M359)</f>
        <v>0</v>
      </c>
      <c r="N370" s="136">
        <f>SUM(N350:N359)</f>
        <v>0</v>
      </c>
      <c r="O370" s="136">
        <f>SUM(O350:O359)</f>
        <v>0</v>
      </c>
      <c r="P370" s="136">
        <f>SUM(P350:P359)</f>
        <v>0</v>
      </c>
    </row>
    <row r="371" spans="2:16" x14ac:dyDescent="0.25">
      <c r="B371" s="1104" t="s">
        <v>243</v>
      </c>
      <c r="C371" s="1105"/>
      <c r="D371" s="1105"/>
      <c r="E371" s="1105"/>
      <c r="F371" s="1105"/>
      <c r="G371" s="1105"/>
      <c r="H371" s="1105"/>
      <c r="I371" s="1105"/>
      <c r="J371" s="1105"/>
      <c r="K371" s="1105"/>
      <c r="L371" s="1105"/>
      <c r="M371" s="1105"/>
      <c r="N371" s="1105"/>
      <c r="O371" s="1105" t="str">
        <f>B371</f>
        <v>PERÍODO PÓS-RETROFIT</v>
      </c>
      <c r="P371" s="1106"/>
    </row>
    <row r="372" spans="2:16" x14ac:dyDescent="0.25">
      <c r="B372" s="1043" t="s">
        <v>235</v>
      </c>
      <c r="C372" s="1044"/>
      <c r="D372" s="1044"/>
      <c r="E372" s="1044"/>
      <c r="F372" s="1044"/>
      <c r="G372" s="1044"/>
      <c r="H372" s="1045"/>
      <c r="I372" s="125" t="s">
        <v>236</v>
      </c>
      <c r="J372" s="126" t="s">
        <v>237</v>
      </c>
      <c r="K372" s="126" t="s">
        <v>238</v>
      </c>
      <c r="L372" s="126" t="s">
        <v>239</v>
      </c>
      <c r="M372" s="126" t="s">
        <v>0</v>
      </c>
      <c r="N372" s="328" t="s">
        <v>796</v>
      </c>
      <c r="O372" s="328" t="s">
        <v>240</v>
      </c>
      <c r="P372" s="329" t="s">
        <v>241</v>
      </c>
    </row>
    <row r="373" spans="2:16" x14ac:dyDescent="0.25">
      <c r="B373" s="128">
        <v>1</v>
      </c>
      <c r="C373" s="1075" t="str">
        <f>IF(ISBLANK('M&amp;V (ORÇ)'!C357)," ",'M&amp;V (ORÇ)'!C357)</f>
        <v xml:space="preserve"> </v>
      </c>
      <c r="D373" s="1076"/>
      <c r="E373" s="1076"/>
      <c r="F373" s="1076"/>
      <c r="G373" s="1076"/>
      <c r="H373" s="1077"/>
      <c r="I373" s="542" t="str">
        <f>IF(ISBLANK('M&amp;V (ORÇ)'!I357)," ",'M&amp;V (ORÇ)'!I357)</f>
        <v xml:space="preserve"> </v>
      </c>
      <c r="J373" s="542" t="str">
        <f>IF(ISBLANK('M&amp;V (ORÇ)'!J357)," ",'M&amp;V (ORÇ)'!J357)</f>
        <v xml:space="preserve"> </v>
      </c>
      <c r="K373" s="544">
        <f>'M&amp;V (ORÇ)'!K357</f>
        <v>0</v>
      </c>
      <c r="L373" s="543">
        <f>'M&amp;V (ORÇ)'!L357</f>
        <v>0</v>
      </c>
      <c r="M373" s="131">
        <f t="shared" ref="M373:M392" si="26">IF(J373="",0,K373*L373)</f>
        <v>0</v>
      </c>
      <c r="N373" s="133">
        <f t="shared" ref="N373:N392" si="27">M373-O373-P373</f>
        <v>0</v>
      </c>
      <c r="O373" s="132"/>
      <c r="P373" s="132"/>
    </row>
    <row r="374" spans="2:16" x14ac:dyDescent="0.25">
      <c r="B374" s="128">
        <v>2</v>
      </c>
      <c r="C374" s="1075" t="str">
        <f>IF(ISBLANK('M&amp;V (ORÇ)'!C358)," ",'M&amp;V (ORÇ)'!C358)</f>
        <v xml:space="preserve"> </v>
      </c>
      <c r="D374" s="1076"/>
      <c r="E374" s="1076"/>
      <c r="F374" s="1076"/>
      <c r="G374" s="1076"/>
      <c r="H374" s="1077"/>
      <c r="I374" s="542" t="str">
        <f>IF(ISBLANK('M&amp;V (ORÇ)'!I358)," ",'M&amp;V (ORÇ)'!I358)</f>
        <v xml:space="preserve"> </v>
      </c>
      <c r="J374" s="542" t="str">
        <f>IF(ISBLANK('M&amp;V (ORÇ)'!J358)," ",'M&amp;V (ORÇ)'!J358)</f>
        <v xml:space="preserve"> </v>
      </c>
      <c r="K374" s="544">
        <f>'M&amp;V (ORÇ)'!K358</f>
        <v>0</v>
      </c>
      <c r="L374" s="543">
        <f>'M&amp;V (ORÇ)'!L358</f>
        <v>0</v>
      </c>
      <c r="M374" s="131">
        <f t="shared" si="26"/>
        <v>0</v>
      </c>
      <c r="N374" s="133">
        <f t="shared" si="27"/>
        <v>0</v>
      </c>
      <c r="O374" s="132"/>
      <c r="P374" s="132"/>
    </row>
    <row r="375" spans="2:16" x14ac:dyDescent="0.25">
      <c r="B375" s="128">
        <v>3</v>
      </c>
      <c r="C375" s="1075" t="str">
        <f>IF(ISBLANK('M&amp;V (ORÇ)'!C359)," ",'M&amp;V (ORÇ)'!C359)</f>
        <v xml:space="preserve"> </v>
      </c>
      <c r="D375" s="1076"/>
      <c r="E375" s="1076"/>
      <c r="F375" s="1076"/>
      <c r="G375" s="1076"/>
      <c r="H375" s="1077"/>
      <c r="I375" s="542" t="str">
        <f>IF(ISBLANK('M&amp;V (ORÇ)'!I359)," ",'M&amp;V (ORÇ)'!I359)</f>
        <v xml:space="preserve"> </v>
      </c>
      <c r="J375" s="542" t="str">
        <f>IF(ISBLANK('M&amp;V (ORÇ)'!J359)," ",'M&amp;V (ORÇ)'!J359)</f>
        <v xml:space="preserve"> </v>
      </c>
      <c r="K375" s="544">
        <f>'M&amp;V (ORÇ)'!K359</f>
        <v>0</v>
      </c>
      <c r="L375" s="543">
        <f>'M&amp;V (ORÇ)'!L359</f>
        <v>0</v>
      </c>
      <c r="M375" s="131">
        <f t="shared" si="26"/>
        <v>0</v>
      </c>
      <c r="N375" s="133">
        <f t="shared" si="27"/>
        <v>0</v>
      </c>
      <c r="O375" s="132"/>
      <c r="P375" s="132"/>
    </row>
    <row r="376" spans="2:16" x14ac:dyDescent="0.25">
      <c r="B376" s="128">
        <v>4</v>
      </c>
      <c r="C376" s="1075" t="str">
        <f>IF(ISBLANK('M&amp;V (ORÇ)'!C360)," ",'M&amp;V (ORÇ)'!C360)</f>
        <v xml:space="preserve"> </v>
      </c>
      <c r="D376" s="1076"/>
      <c r="E376" s="1076"/>
      <c r="F376" s="1076"/>
      <c r="G376" s="1076"/>
      <c r="H376" s="1077"/>
      <c r="I376" s="542" t="str">
        <f>IF(ISBLANK('M&amp;V (ORÇ)'!I360)," ",'M&amp;V (ORÇ)'!I360)</f>
        <v xml:space="preserve"> </v>
      </c>
      <c r="J376" s="542" t="str">
        <f>IF(ISBLANK('M&amp;V (ORÇ)'!J360)," ",'M&amp;V (ORÇ)'!J360)</f>
        <v xml:space="preserve"> </v>
      </c>
      <c r="K376" s="544">
        <f>'M&amp;V (ORÇ)'!K360</f>
        <v>0</v>
      </c>
      <c r="L376" s="543">
        <f>'M&amp;V (ORÇ)'!L360</f>
        <v>0</v>
      </c>
      <c r="M376" s="131">
        <f t="shared" si="26"/>
        <v>0</v>
      </c>
      <c r="N376" s="133">
        <f t="shared" si="27"/>
        <v>0</v>
      </c>
      <c r="O376" s="132"/>
      <c r="P376" s="132"/>
    </row>
    <row r="377" spans="2:16" x14ac:dyDescent="0.25">
      <c r="B377" s="128">
        <v>5</v>
      </c>
      <c r="C377" s="1075" t="str">
        <f>IF(ISBLANK('M&amp;V (ORÇ)'!C361)," ",'M&amp;V (ORÇ)'!C361)</f>
        <v xml:space="preserve"> </v>
      </c>
      <c r="D377" s="1076"/>
      <c r="E377" s="1076"/>
      <c r="F377" s="1076"/>
      <c r="G377" s="1076"/>
      <c r="H377" s="1077"/>
      <c r="I377" s="542" t="str">
        <f>IF(ISBLANK('M&amp;V (ORÇ)'!I361)," ",'M&amp;V (ORÇ)'!I361)</f>
        <v xml:space="preserve"> </v>
      </c>
      <c r="J377" s="542" t="str">
        <f>IF(ISBLANK('M&amp;V (ORÇ)'!J361)," ",'M&amp;V (ORÇ)'!J361)</f>
        <v xml:space="preserve"> </v>
      </c>
      <c r="K377" s="544">
        <f>'M&amp;V (ORÇ)'!K361</f>
        <v>0</v>
      </c>
      <c r="L377" s="543">
        <f>'M&amp;V (ORÇ)'!L361</f>
        <v>0</v>
      </c>
      <c r="M377" s="131">
        <f t="shared" si="26"/>
        <v>0</v>
      </c>
      <c r="N377" s="133">
        <f t="shared" si="27"/>
        <v>0</v>
      </c>
      <c r="O377" s="132"/>
      <c r="P377" s="132"/>
    </row>
    <row r="378" spans="2:16" x14ac:dyDescent="0.25">
      <c r="B378" s="128">
        <v>6</v>
      </c>
      <c r="C378" s="1075" t="str">
        <f>IF(ISBLANK('M&amp;V (ORÇ)'!C362)," ",'M&amp;V (ORÇ)'!C362)</f>
        <v xml:space="preserve"> </v>
      </c>
      <c r="D378" s="1076"/>
      <c r="E378" s="1076"/>
      <c r="F378" s="1076"/>
      <c r="G378" s="1076"/>
      <c r="H378" s="1077"/>
      <c r="I378" s="542" t="str">
        <f>IF(ISBLANK('M&amp;V (ORÇ)'!I362)," ",'M&amp;V (ORÇ)'!I362)</f>
        <v xml:space="preserve"> </v>
      </c>
      <c r="J378" s="542" t="str">
        <f>IF(ISBLANK('M&amp;V (ORÇ)'!J362)," ",'M&amp;V (ORÇ)'!J362)</f>
        <v xml:space="preserve"> </v>
      </c>
      <c r="K378" s="544">
        <f>'M&amp;V (ORÇ)'!K362</f>
        <v>0</v>
      </c>
      <c r="L378" s="543">
        <f>'M&amp;V (ORÇ)'!L362</f>
        <v>0</v>
      </c>
      <c r="M378" s="131">
        <f t="shared" si="26"/>
        <v>0</v>
      </c>
      <c r="N378" s="133">
        <f t="shared" si="27"/>
        <v>0</v>
      </c>
      <c r="O378" s="132"/>
      <c r="P378" s="132"/>
    </row>
    <row r="379" spans="2:16" x14ac:dyDescent="0.25">
      <c r="B379" s="128">
        <v>7</v>
      </c>
      <c r="C379" s="1075" t="str">
        <f>IF(ISBLANK('M&amp;V (ORÇ)'!C363)," ",'M&amp;V (ORÇ)'!C363)</f>
        <v xml:space="preserve"> </v>
      </c>
      <c r="D379" s="1076"/>
      <c r="E379" s="1076"/>
      <c r="F379" s="1076"/>
      <c r="G379" s="1076"/>
      <c r="H379" s="1077"/>
      <c r="I379" s="542" t="str">
        <f>IF(ISBLANK('M&amp;V (ORÇ)'!I363)," ",'M&amp;V (ORÇ)'!I363)</f>
        <v xml:space="preserve"> </v>
      </c>
      <c r="J379" s="542" t="str">
        <f>IF(ISBLANK('M&amp;V (ORÇ)'!J363)," ",'M&amp;V (ORÇ)'!J363)</f>
        <v xml:space="preserve"> </v>
      </c>
      <c r="K379" s="544">
        <f>'M&amp;V (ORÇ)'!K363</f>
        <v>0</v>
      </c>
      <c r="L379" s="543">
        <f>'M&amp;V (ORÇ)'!L363</f>
        <v>0</v>
      </c>
      <c r="M379" s="131">
        <f t="shared" si="26"/>
        <v>0</v>
      </c>
      <c r="N379" s="133">
        <f t="shared" si="27"/>
        <v>0</v>
      </c>
      <c r="O379" s="132"/>
      <c r="P379" s="132"/>
    </row>
    <row r="380" spans="2:16" x14ac:dyDescent="0.25">
      <c r="B380" s="128">
        <v>8</v>
      </c>
      <c r="C380" s="1075" t="str">
        <f>IF(ISBLANK('M&amp;V (ORÇ)'!C364)," ",'M&amp;V (ORÇ)'!C364)</f>
        <v xml:space="preserve"> </v>
      </c>
      <c r="D380" s="1076"/>
      <c r="E380" s="1076"/>
      <c r="F380" s="1076"/>
      <c r="G380" s="1076"/>
      <c r="H380" s="1077"/>
      <c r="I380" s="542" t="str">
        <f>IF(ISBLANK('M&amp;V (ORÇ)'!I364)," ",'M&amp;V (ORÇ)'!I364)</f>
        <v xml:space="preserve"> </v>
      </c>
      <c r="J380" s="542" t="str">
        <f>IF(ISBLANK('M&amp;V (ORÇ)'!J364)," ",'M&amp;V (ORÇ)'!J364)</f>
        <v xml:space="preserve"> </v>
      </c>
      <c r="K380" s="544">
        <f>'M&amp;V (ORÇ)'!K364</f>
        <v>0</v>
      </c>
      <c r="L380" s="543">
        <f>'M&amp;V (ORÇ)'!L364</f>
        <v>0</v>
      </c>
      <c r="M380" s="131">
        <f t="shared" si="26"/>
        <v>0</v>
      </c>
      <c r="N380" s="133">
        <f t="shared" si="27"/>
        <v>0</v>
      </c>
      <c r="O380" s="132"/>
      <c r="P380" s="132"/>
    </row>
    <row r="381" spans="2:16" x14ac:dyDescent="0.25">
      <c r="B381" s="128">
        <v>9</v>
      </c>
      <c r="C381" s="1075" t="str">
        <f>IF(ISBLANK('M&amp;V (ORÇ)'!C365)," ",'M&amp;V (ORÇ)'!C365)</f>
        <v xml:space="preserve"> </v>
      </c>
      <c r="D381" s="1076"/>
      <c r="E381" s="1076"/>
      <c r="F381" s="1076"/>
      <c r="G381" s="1076"/>
      <c r="H381" s="1077"/>
      <c r="I381" s="542" t="str">
        <f>IF(ISBLANK('M&amp;V (ORÇ)'!I365)," ",'M&amp;V (ORÇ)'!I365)</f>
        <v xml:space="preserve"> </v>
      </c>
      <c r="J381" s="542" t="str">
        <f>IF(ISBLANK('M&amp;V (ORÇ)'!J365)," ",'M&amp;V (ORÇ)'!J365)</f>
        <v xml:space="preserve"> </v>
      </c>
      <c r="K381" s="544">
        <f>'M&amp;V (ORÇ)'!K365</f>
        <v>0</v>
      </c>
      <c r="L381" s="543">
        <f>'M&amp;V (ORÇ)'!L365</f>
        <v>0</v>
      </c>
      <c r="M381" s="131">
        <f t="shared" si="26"/>
        <v>0</v>
      </c>
      <c r="N381" s="133">
        <f t="shared" si="27"/>
        <v>0</v>
      </c>
      <c r="O381" s="132"/>
      <c r="P381" s="132"/>
    </row>
    <row r="382" spans="2:16" x14ac:dyDescent="0.25">
      <c r="B382" s="128">
        <v>10</v>
      </c>
      <c r="C382" s="1075" t="str">
        <f>IF(ISBLANK('M&amp;V (ORÇ)'!C366)," ",'M&amp;V (ORÇ)'!C366)</f>
        <v xml:space="preserve"> </v>
      </c>
      <c r="D382" s="1076"/>
      <c r="E382" s="1076"/>
      <c r="F382" s="1076"/>
      <c r="G382" s="1076"/>
      <c r="H382" s="1077"/>
      <c r="I382" s="542" t="str">
        <f>IF(ISBLANK('M&amp;V (ORÇ)'!I366)," ",'M&amp;V (ORÇ)'!I366)</f>
        <v xml:space="preserve"> </v>
      </c>
      <c r="J382" s="542" t="str">
        <f>IF(ISBLANK('M&amp;V (ORÇ)'!J366)," ",'M&amp;V (ORÇ)'!J366)</f>
        <v xml:space="preserve"> </v>
      </c>
      <c r="K382" s="544">
        <f>'M&amp;V (ORÇ)'!K366</f>
        <v>0</v>
      </c>
      <c r="L382" s="543">
        <f>'M&amp;V (ORÇ)'!L366</f>
        <v>0</v>
      </c>
      <c r="M382" s="131">
        <f t="shared" si="26"/>
        <v>0</v>
      </c>
      <c r="N382" s="133">
        <f t="shared" si="27"/>
        <v>0</v>
      </c>
      <c r="O382" s="132"/>
      <c r="P382" s="132"/>
    </row>
    <row r="383" spans="2:16" x14ac:dyDescent="0.25">
      <c r="B383" s="128">
        <v>11</v>
      </c>
      <c r="C383" s="1075" t="str">
        <f>IF(ISBLANK('M&amp;V (ORÇ)'!C367)," ",'M&amp;V (ORÇ)'!C367)</f>
        <v xml:space="preserve"> </v>
      </c>
      <c r="D383" s="1076"/>
      <c r="E383" s="1076"/>
      <c r="F383" s="1076"/>
      <c r="G383" s="1076"/>
      <c r="H383" s="1077"/>
      <c r="I383" s="542" t="str">
        <f>IF(ISBLANK('M&amp;V (ORÇ)'!I367)," ",'M&amp;V (ORÇ)'!I367)</f>
        <v xml:space="preserve"> </v>
      </c>
      <c r="J383" s="542" t="str">
        <f>IF(ISBLANK('M&amp;V (ORÇ)'!J367)," ",'M&amp;V (ORÇ)'!J367)</f>
        <v xml:space="preserve"> </v>
      </c>
      <c r="K383" s="544">
        <f>'M&amp;V (ORÇ)'!K367</f>
        <v>0</v>
      </c>
      <c r="L383" s="543">
        <f>'M&amp;V (ORÇ)'!L367</f>
        <v>0</v>
      </c>
      <c r="M383" s="131">
        <f t="shared" si="26"/>
        <v>0</v>
      </c>
      <c r="N383" s="133">
        <f t="shared" si="27"/>
        <v>0</v>
      </c>
      <c r="O383" s="132"/>
      <c r="P383" s="132"/>
    </row>
    <row r="384" spans="2:16" x14ac:dyDescent="0.25">
      <c r="B384" s="128">
        <v>12</v>
      </c>
      <c r="C384" s="1075" t="str">
        <f>IF(ISBLANK('M&amp;V (ORÇ)'!C368)," ",'M&amp;V (ORÇ)'!C368)</f>
        <v xml:space="preserve"> </v>
      </c>
      <c r="D384" s="1076"/>
      <c r="E384" s="1076"/>
      <c r="F384" s="1076"/>
      <c r="G384" s="1076"/>
      <c r="H384" s="1077"/>
      <c r="I384" s="542" t="str">
        <f>IF(ISBLANK('M&amp;V (ORÇ)'!I368)," ",'M&amp;V (ORÇ)'!I368)</f>
        <v xml:space="preserve"> </v>
      </c>
      <c r="J384" s="542" t="str">
        <f>IF(ISBLANK('M&amp;V (ORÇ)'!J368)," ",'M&amp;V (ORÇ)'!J368)</f>
        <v xml:space="preserve"> </v>
      </c>
      <c r="K384" s="544">
        <f>'M&amp;V (ORÇ)'!K368</f>
        <v>0</v>
      </c>
      <c r="L384" s="543">
        <f>'M&amp;V (ORÇ)'!L368</f>
        <v>0</v>
      </c>
      <c r="M384" s="131">
        <f t="shared" si="26"/>
        <v>0</v>
      </c>
      <c r="N384" s="133">
        <f t="shared" si="27"/>
        <v>0</v>
      </c>
      <c r="O384" s="132"/>
      <c r="P384" s="132"/>
    </row>
    <row r="385" spans="2:16" x14ac:dyDescent="0.25">
      <c r="B385" s="128">
        <v>13</v>
      </c>
      <c r="C385" s="1075" t="str">
        <f>IF(ISBLANK('M&amp;V (ORÇ)'!C369)," ",'M&amp;V (ORÇ)'!C369)</f>
        <v xml:space="preserve"> </v>
      </c>
      <c r="D385" s="1076"/>
      <c r="E385" s="1076"/>
      <c r="F385" s="1076"/>
      <c r="G385" s="1076"/>
      <c r="H385" s="1077"/>
      <c r="I385" s="542" t="str">
        <f>IF(ISBLANK('M&amp;V (ORÇ)'!I369)," ",'M&amp;V (ORÇ)'!I369)</f>
        <v xml:space="preserve"> </v>
      </c>
      <c r="J385" s="542" t="str">
        <f>IF(ISBLANK('M&amp;V (ORÇ)'!J369)," ",'M&amp;V (ORÇ)'!J369)</f>
        <v xml:space="preserve"> </v>
      </c>
      <c r="K385" s="544">
        <f>'M&amp;V (ORÇ)'!K369</f>
        <v>0</v>
      </c>
      <c r="L385" s="543">
        <f>'M&amp;V (ORÇ)'!L369</f>
        <v>0</v>
      </c>
      <c r="M385" s="131">
        <f t="shared" si="26"/>
        <v>0</v>
      </c>
      <c r="N385" s="133">
        <f t="shared" si="27"/>
        <v>0</v>
      </c>
      <c r="O385" s="132"/>
      <c r="P385" s="132"/>
    </row>
    <row r="386" spans="2:16" x14ac:dyDescent="0.25">
      <c r="B386" s="128">
        <v>14</v>
      </c>
      <c r="C386" s="1075" t="str">
        <f>IF(ISBLANK('M&amp;V (ORÇ)'!C370)," ",'M&amp;V (ORÇ)'!C370)</f>
        <v xml:space="preserve"> </v>
      </c>
      <c r="D386" s="1076"/>
      <c r="E386" s="1076"/>
      <c r="F386" s="1076"/>
      <c r="G386" s="1076"/>
      <c r="H386" s="1077"/>
      <c r="I386" s="542" t="str">
        <f>IF(ISBLANK('M&amp;V (ORÇ)'!I370)," ",'M&amp;V (ORÇ)'!I370)</f>
        <v xml:space="preserve"> </v>
      </c>
      <c r="J386" s="542" t="str">
        <f>IF(ISBLANK('M&amp;V (ORÇ)'!J370)," ",'M&amp;V (ORÇ)'!J370)</f>
        <v xml:space="preserve"> </v>
      </c>
      <c r="K386" s="544">
        <f>'M&amp;V (ORÇ)'!K370</f>
        <v>0</v>
      </c>
      <c r="L386" s="543">
        <f>'M&amp;V (ORÇ)'!L370</f>
        <v>0</v>
      </c>
      <c r="M386" s="131">
        <f t="shared" si="26"/>
        <v>0</v>
      </c>
      <c r="N386" s="133">
        <f t="shared" si="27"/>
        <v>0</v>
      </c>
      <c r="O386" s="132"/>
      <c r="P386" s="132"/>
    </row>
    <row r="387" spans="2:16" x14ac:dyDescent="0.25">
      <c r="B387" s="128">
        <v>15</v>
      </c>
      <c r="C387" s="1075" t="str">
        <f>IF(ISBLANK('M&amp;V (ORÇ)'!C371)," ",'M&amp;V (ORÇ)'!C371)</f>
        <v xml:space="preserve"> </v>
      </c>
      <c r="D387" s="1076"/>
      <c r="E387" s="1076"/>
      <c r="F387" s="1076"/>
      <c r="G387" s="1076"/>
      <c r="H387" s="1077"/>
      <c r="I387" s="542" t="str">
        <f>IF(ISBLANK('M&amp;V (ORÇ)'!I371)," ",'M&amp;V (ORÇ)'!I371)</f>
        <v xml:space="preserve"> </v>
      </c>
      <c r="J387" s="542" t="str">
        <f>IF(ISBLANK('M&amp;V (ORÇ)'!J371)," ",'M&amp;V (ORÇ)'!J371)</f>
        <v xml:space="preserve"> </v>
      </c>
      <c r="K387" s="544">
        <f>'M&amp;V (ORÇ)'!K371</f>
        <v>0</v>
      </c>
      <c r="L387" s="543">
        <f>'M&amp;V (ORÇ)'!L371</f>
        <v>0</v>
      </c>
      <c r="M387" s="131">
        <f t="shared" si="26"/>
        <v>0</v>
      </c>
      <c r="N387" s="133">
        <f t="shared" si="27"/>
        <v>0</v>
      </c>
      <c r="O387" s="132"/>
      <c r="P387" s="132"/>
    </row>
    <row r="388" spans="2:16" x14ac:dyDescent="0.25">
      <c r="B388" s="128">
        <v>16</v>
      </c>
      <c r="C388" s="1075" t="str">
        <f>IF(ISBLANK('M&amp;V (ORÇ)'!C372)," ",'M&amp;V (ORÇ)'!C372)</f>
        <v xml:space="preserve"> </v>
      </c>
      <c r="D388" s="1076"/>
      <c r="E388" s="1076"/>
      <c r="F388" s="1076"/>
      <c r="G388" s="1076"/>
      <c r="H388" s="1077"/>
      <c r="I388" s="542" t="str">
        <f>IF(ISBLANK('M&amp;V (ORÇ)'!I372)," ",'M&amp;V (ORÇ)'!I372)</f>
        <v xml:space="preserve"> </v>
      </c>
      <c r="J388" s="542" t="str">
        <f>IF(ISBLANK('M&amp;V (ORÇ)'!J372)," ",'M&amp;V (ORÇ)'!J372)</f>
        <v xml:space="preserve"> </v>
      </c>
      <c r="K388" s="544">
        <f>'M&amp;V (ORÇ)'!K372</f>
        <v>0</v>
      </c>
      <c r="L388" s="543">
        <f>'M&amp;V (ORÇ)'!L372</f>
        <v>0</v>
      </c>
      <c r="M388" s="131">
        <f t="shared" si="26"/>
        <v>0</v>
      </c>
      <c r="N388" s="133">
        <f t="shared" si="27"/>
        <v>0</v>
      </c>
      <c r="O388" s="132"/>
      <c r="P388" s="132"/>
    </row>
    <row r="389" spans="2:16" x14ac:dyDescent="0.25">
      <c r="B389" s="128">
        <v>17</v>
      </c>
      <c r="C389" s="1075" t="str">
        <f>IF(ISBLANK('M&amp;V (ORÇ)'!C373)," ",'M&amp;V (ORÇ)'!C373)</f>
        <v xml:space="preserve"> </v>
      </c>
      <c r="D389" s="1076"/>
      <c r="E389" s="1076"/>
      <c r="F389" s="1076"/>
      <c r="G389" s="1076"/>
      <c r="H389" s="1077"/>
      <c r="I389" s="542" t="str">
        <f>IF(ISBLANK('M&amp;V (ORÇ)'!I373)," ",'M&amp;V (ORÇ)'!I373)</f>
        <v xml:space="preserve"> </v>
      </c>
      <c r="J389" s="542" t="str">
        <f>IF(ISBLANK('M&amp;V (ORÇ)'!J373)," ",'M&amp;V (ORÇ)'!J373)</f>
        <v xml:space="preserve"> </v>
      </c>
      <c r="K389" s="544">
        <f>'M&amp;V (ORÇ)'!K373</f>
        <v>0</v>
      </c>
      <c r="L389" s="543">
        <f>'M&amp;V (ORÇ)'!L373</f>
        <v>0</v>
      </c>
      <c r="M389" s="131">
        <f t="shared" si="26"/>
        <v>0</v>
      </c>
      <c r="N389" s="133">
        <f t="shared" si="27"/>
        <v>0</v>
      </c>
      <c r="O389" s="132"/>
      <c r="P389" s="132"/>
    </row>
    <row r="390" spans="2:16" x14ac:dyDescent="0.25">
      <c r="B390" s="128">
        <v>18</v>
      </c>
      <c r="C390" s="1075" t="str">
        <f>IF(ISBLANK('M&amp;V (ORÇ)'!C374)," ",'M&amp;V (ORÇ)'!C374)</f>
        <v xml:space="preserve"> </v>
      </c>
      <c r="D390" s="1076"/>
      <c r="E390" s="1076"/>
      <c r="F390" s="1076"/>
      <c r="G390" s="1076"/>
      <c r="H390" s="1077"/>
      <c r="I390" s="542" t="str">
        <f>IF(ISBLANK('M&amp;V (ORÇ)'!I374)," ",'M&amp;V (ORÇ)'!I374)</f>
        <v xml:space="preserve"> </v>
      </c>
      <c r="J390" s="542" t="str">
        <f>IF(ISBLANK('M&amp;V (ORÇ)'!J374)," ",'M&amp;V (ORÇ)'!J374)</f>
        <v xml:space="preserve"> </v>
      </c>
      <c r="K390" s="544">
        <f>'M&amp;V (ORÇ)'!K374</f>
        <v>0</v>
      </c>
      <c r="L390" s="543">
        <f>'M&amp;V (ORÇ)'!L374</f>
        <v>0</v>
      </c>
      <c r="M390" s="131">
        <f t="shared" si="26"/>
        <v>0</v>
      </c>
      <c r="N390" s="133">
        <f t="shared" si="27"/>
        <v>0</v>
      </c>
      <c r="O390" s="132"/>
      <c r="P390" s="132"/>
    </row>
    <row r="391" spans="2:16" x14ac:dyDescent="0.25">
      <c r="B391" s="128">
        <v>19</v>
      </c>
      <c r="C391" s="1075" t="str">
        <f>IF(ISBLANK('M&amp;V (ORÇ)'!C375)," ",'M&amp;V (ORÇ)'!C375)</f>
        <v xml:space="preserve"> </v>
      </c>
      <c r="D391" s="1076"/>
      <c r="E391" s="1076"/>
      <c r="F391" s="1076"/>
      <c r="G391" s="1076"/>
      <c r="H391" s="1077"/>
      <c r="I391" s="542" t="str">
        <f>IF(ISBLANK('M&amp;V (ORÇ)'!I375)," ",'M&amp;V (ORÇ)'!I375)</f>
        <v xml:space="preserve"> </v>
      </c>
      <c r="J391" s="542" t="str">
        <f>IF(ISBLANK('M&amp;V (ORÇ)'!J375)," ",'M&amp;V (ORÇ)'!J375)</f>
        <v xml:space="preserve"> </v>
      </c>
      <c r="K391" s="544">
        <f>'M&amp;V (ORÇ)'!K375</f>
        <v>0</v>
      </c>
      <c r="L391" s="543">
        <f>'M&amp;V (ORÇ)'!L375</f>
        <v>0</v>
      </c>
      <c r="M391" s="131">
        <f t="shared" si="26"/>
        <v>0</v>
      </c>
      <c r="N391" s="133">
        <f t="shared" si="27"/>
        <v>0</v>
      </c>
      <c r="O391" s="132"/>
      <c r="P391" s="132"/>
    </row>
    <row r="392" spans="2:16" x14ac:dyDescent="0.25">
      <c r="B392" s="128">
        <v>20</v>
      </c>
      <c r="C392" s="1075" t="str">
        <f>IF(ISBLANK('M&amp;V (ORÇ)'!C376)," ",'M&amp;V (ORÇ)'!C376)</f>
        <v xml:space="preserve"> </v>
      </c>
      <c r="D392" s="1076"/>
      <c r="E392" s="1076"/>
      <c r="F392" s="1076"/>
      <c r="G392" s="1076"/>
      <c r="H392" s="1077"/>
      <c r="I392" s="542" t="str">
        <f>IF(ISBLANK('M&amp;V (ORÇ)'!I376)," ",'M&amp;V (ORÇ)'!I376)</f>
        <v xml:space="preserve"> </v>
      </c>
      <c r="J392" s="542" t="str">
        <f>IF(ISBLANK('M&amp;V (ORÇ)'!J376)," ",'M&amp;V (ORÇ)'!J376)</f>
        <v xml:space="preserve"> </v>
      </c>
      <c r="K392" s="544">
        <f>'M&amp;V (ORÇ)'!K376</f>
        <v>0</v>
      </c>
      <c r="L392" s="543">
        <f>'M&amp;V (ORÇ)'!L376</f>
        <v>0</v>
      </c>
      <c r="M392" s="131">
        <f t="shared" si="26"/>
        <v>0</v>
      </c>
      <c r="N392" s="133">
        <f t="shared" si="27"/>
        <v>0</v>
      </c>
      <c r="O392" s="132"/>
      <c r="P392" s="132"/>
    </row>
    <row r="393" spans="2:16" x14ac:dyDescent="0.25">
      <c r="B393" s="134"/>
      <c r="C393" s="1078" t="s">
        <v>256</v>
      </c>
      <c r="D393" s="1078"/>
      <c r="E393" s="1078"/>
      <c r="F393" s="1078"/>
      <c r="G393" s="1078"/>
      <c r="H393" s="1078"/>
      <c r="I393" s="1078"/>
      <c r="J393" s="1078"/>
      <c r="K393" s="1078"/>
      <c r="L393" s="1079"/>
      <c r="M393" s="135">
        <f>SUM(M373:M382)</f>
        <v>0</v>
      </c>
      <c r="N393" s="136">
        <f>SUM(N373:N382)</f>
        <v>0</v>
      </c>
      <c r="O393" s="136">
        <f>SUM(O373:O382)</f>
        <v>0</v>
      </c>
      <c r="P393" s="136">
        <f>SUM(P373:P382)</f>
        <v>0</v>
      </c>
    </row>
    <row r="394" spans="2:16" x14ac:dyDescent="0.25">
      <c r="B394" s="137"/>
      <c r="C394" s="1111" t="s">
        <v>257</v>
      </c>
      <c r="D394" s="1111"/>
      <c r="E394" s="1111"/>
      <c r="F394" s="1111"/>
      <c r="G394" s="1111"/>
      <c r="H394" s="1111"/>
      <c r="I394" s="1111"/>
      <c r="J394" s="1111"/>
      <c r="K394" s="1111"/>
      <c r="L394" s="1112"/>
      <c r="M394" s="138">
        <f>SUM(M370,M393)</f>
        <v>0</v>
      </c>
      <c r="N394" s="139">
        <f>SUM(N370,N393)</f>
        <v>0</v>
      </c>
      <c r="O394" s="139">
        <f>SUM(O370,O393)</f>
        <v>0</v>
      </c>
      <c r="P394" s="139">
        <f>SUM(P370,P393)</f>
        <v>0</v>
      </c>
    </row>
    <row r="395" spans="2:16" x14ac:dyDescent="0.25">
      <c r="B395" s="1060" t="s">
        <v>689</v>
      </c>
      <c r="C395" s="1061"/>
      <c r="D395" s="1061"/>
      <c r="E395" s="1061"/>
      <c r="F395" s="1061"/>
      <c r="G395" s="1061"/>
      <c r="H395" s="1061"/>
      <c r="I395" s="1061"/>
      <c r="J395" s="1061"/>
      <c r="K395" s="1061"/>
      <c r="L395" s="1061"/>
      <c r="M395" s="1061"/>
      <c r="N395" s="1061"/>
      <c r="O395" s="1061"/>
      <c r="P395" s="1062"/>
    </row>
    <row r="396" spans="2:16" x14ac:dyDescent="0.25">
      <c r="B396" s="1104" t="s">
        <v>234</v>
      </c>
      <c r="C396" s="1105"/>
      <c r="D396" s="1105"/>
      <c r="E396" s="1105"/>
      <c r="F396" s="1105"/>
      <c r="G396" s="1105"/>
      <c r="H396" s="1105"/>
      <c r="I396" s="1105"/>
      <c r="J396" s="1105"/>
      <c r="K396" s="1105"/>
      <c r="L396" s="1105"/>
      <c r="M396" s="1105"/>
      <c r="N396" s="1105"/>
      <c r="O396" s="1105" t="str">
        <f>B396</f>
        <v>PERÍODO DE REFERÊNCIA</v>
      </c>
      <c r="P396" s="1106"/>
    </row>
    <row r="397" spans="2:16" x14ac:dyDescent="0.25">
      <c r="B397" s="1043" t="s">
        <v>235</v>
      </c>
      <c r="C397" s="1044"/>
      <c r="D397" s="1044"/>
      <c r="E397" s="1044"/>
      <c r="F397" s="1044"/>
      <c r="G397" s="1044"/>
      <c r="H397" s="1045"/>
      <c r="I397" s="125" t="s">
        <v>236</v>
      </c>
      <c r="J397" s="126" t="s">
        <v>237</v>
      </c>
      <c r="K397" s="126" t="s">
        <v>238</v>
      </c>
      <c r="L397" s="126" t="s">
        <v>239</v>
      </c>
      <c r="M397" s="126" t="s">
        <v>0</v>
      </c>
      <c r="N397" s="328" t="s">
        <v>796</v>
      </c>
      <c r="O397" s="328" t="s">
        <v>240</v>
      </c>
      <c r="P397" s="329" t="s">
        <v>241</v>
      </c>
    </row>
    <row r="398" spans="2:16" x14ac:dyDescent="0.25">
      <c r="B398" s="128">
        <v>1</v>
      </c>
      <c r="C398" s="1075" t="str">
        <f>IF(ISBLANK('M&amp;V (ORÇ)'!C380)," ",'M&amp;V (ORÇ)'!C380)</f>
        <v xml:space="preserve"> </v>
      </c>
      <c r="D398" s="1076"/>
      <c r="E398" s="1076"/>
      <c r="F398" s="1076"/>
      <c r="G398" s="1076"/>
      <c r="H398" s="1077"/>
      <c r="I398" s="542" t="str">
        <f>IF(ISBLANK('M&amp;V (ORÇ)'!I380)," ",'M&amp;V (ORÇ)'!I380)</f>
        <v xml:space="preserve"> </v>
      </c>
      <c r="J398" s="542" t="str">
        <f>IF(ISBLANK('M&amp;V (ORÇ)'!J380)," ",'M&amp;V (ORÇ)'!J380)</f>
        <v xml:space="preserve"> </v>
      </c>
      <c r="K398" s="544">
        <f>'M&amp;V (ORÇ)'!K380</f>
        <v>0</v>
      </c>
      <c r="L398" s="543">
        <f>'M&amp;V (ORÇ)'!L380</f>
        <v>0</v>
      </c>
      <c r="M398" s="131">
        <f t="shared" ref="M398:M417" si="28">IF(J398="",0,K398*L398)</f>
        <v>0</v>
      </c>
      <c r="N398" s="133">
        <f t="shared" ref="N398:N417" si="29">M398-O398-P398</f>
        <v>0</v>
      </c>
      <c r="O398" s="132"/>
      <c r="P398" s="132"/>
    </row>
    <row r="399" spans="2:16" x14ac:dyDescent="0.25">
      <c r="B399" s="128">
        <v>2</v>
      </c>
      <c r="C399" s="1075" t="str">
        <f>IF(ISBLANK('M&amp;V (ORÇ)'!C381)," ",'M&amp;V (ORÇ)'!C381)</f>
        <v xml:space="preserve"> </v>
      </c>
      <c r="D399" s="1076"/>
      <c r="E399" s="1076"/>
      <c r="F399" s="1076"/>
      <c r="G399" s="1076"/>
      <c r="H399" s="1077"/>
      <c r="I399" s="542" t="str">
        <f>IF(ISBLANK('M&amp;V (ORÇ)'!I381)," ",'M&amp;V (ORÇ)'!I381)</f>
        <v xml:space="preserve"> </v>
      </c>
      <c r="J399" s="542" t="str">
        <f>IF(ISBLANK('M&amp;V (ORÇ)'!J381)," ",'M&amp;V (ORÇ)'!J381)</f>
        <v xml:space="preserve"> </v>
      </c>
      <c r="K399" s="544">
        <f>'M&amp;V (ORÇ)'!K381</f>
        <v>0</v>
      </c>
      <c r="L399" s="543">
        <f>'M&amp;V (ORÇ)'!L381</f>
        <v>0</v>
      </c>
      <c r="M399" s="131">
        <f t="shared" si="28"/>
        <v>0</v>
      </c>
      <c r="N399" s="133">
        <f t="shared" si="29"/>
        <v>0</v>
      </c>
      <c r="O399" s="132"/>
      <c r="P399" s="132"/>
    </row>
    <row r="400" spans="2:16" x14ac:dyDescent="0.25">
      <c r="B400" s="128">
        <v>3</v>
      </c>
      <c r="C400" s="1075" t="str">
        <f>IF(ISBLANK('M&amp;V (ORÇ)'!C382)," ",'M&amp;V (ORÇ)'!C382)</f>
        <v xml:space="preserve"> </v>
      </c>
      <c r="D400" s="1076"/>
      <c r="E400" s="1076"/>
      <c r="F400" s="1076"/>
      <c r="G400" s="1076"/>
      <c r="H400" s="1077"/>
      <c r="I400" s="542" t="str">
        <f>IF(ISBLANK('M&amp;V (ORÇ)'!I382)," ",'M&amp;V (ORÇ)'!I382)</f>
        <v xml:space="preserve"> </v>
      </c>
      <c r="J400" s="542" t="str">
        <f>IF(ISBLANK('M&amp;V (ORÇ)'!J382)," ",'M&amp;V (ORÇ)'!J382)</f>
        <v xml:space="preserve"> </v>
      </c>
      <c r="K400" s="544">
        <f>'M&amp;V (ORÇ)'!K382</f>
        <v>0</v>
      </c>
      <c r="L400" s="543">
        <f>'M&amp;V (ORÇ)'!L382</f>
        <v>0</v>
      </c>
      <c r="M400" s="131">
        <f t="shared" si="28"/>
        <v>0</v>
      </c>
      <c r="N400" s="133">
        <f t="shared" si="29"/>
        <v>0</v>
      </c>
      <c r="O400" s="132"/>
      <c r="P400" s="132"/>
    </row>
    <row r="401" spans="2:16" x14ac:dyDescent="0.25">
      <c r="B401" s="128">
        <v>4</v>
      </c>
      <c r="C401" s="1075" t="str">
        <f>IF(ISBLANK('M&amp;V (ORÇ)'!C383)," ",'M&amp;V (ORÇ)'!C383)</f>
        <v xml:space="preserve"> </v>
      </c>
      <c r="D401" s="1076"/>
      <c r="E401" s="1076"/>
      <c r="F401" s="1076"/>
      <c r="G401" s="1076"/>
      <c r="H401" s="1077"/>
      <c r="I401" s="542" t="str">
        <f>IF(ISBLANK('M&amp;V (ORÇ)'!I383)," ",'M&amp;V (ORÇ)'!I383)</f>
        <v xml:space="preserve"> </v>
      </c>
      <c r="J401" s="542" t="str">
        <f>IF(ISBLANK('M&amp;V (ORÇ)'!J383)," ",'M&amp;V (ORÇ)'!J383)</f>
        <v xml:space="preserve"> </v>
      </c>
      <c r="K401" s="544">
        <f>'M&amp;V (ORÇ)'!K383</f>
        <v>0</v>
      </c>
      <c r="L401" s="543">
        <f>'M&amp;V (ORÇ)'!L383</f>
        <v>0</v>
      </c>
      <c r="M401" s="131">
        <f t="shared" si="28"/>
        <v>0</v>
      </c>
      <c r="N401" s="133">
        <f t="shared" si="29"/>
        <v>0</v>
      </c>
      <c r="O401" s="132"/>
      <c r="P401" s="132"/>
    </row>
    <row r="402" spans="2:16" x14ac:dyDescent="0.25">
      <c r="B402" s="128">
        <v>5</v>
      </c>
      <c r="C402" s="1075" t="str">
        <f>IF(ISBLANK('M&amp;V (ORÇ)'!C384)," ",'M&amp;V (ORÇ)'!C384)</f>
        <v xml:space="preserve"> </v>
      </c>
      <c r="D402" s="1076"/>
      <c r="E402" s="1076"/>
      <c r="F402" s="1076"/>
      <c r="G402" s="1076"/>
      <c r="H402" s="1077"/>
      <c r="I402" s="542" t="str">
        <f>IF(ISBLANK('M&amp;V (ORÇ)'!I384)," ",'M&amp;V (ORÇ)'!I384)</f>
        <v xml:space="preserve"> </v>
      </c>
      <c r="J402" s="542" t="str">
        <f>IF(ISBLANK('M&amp;V (ORÇ)'!J384)," ",'M&amp;V (ORÇ)'!J384)</f>
        <v xml:space="preserve"> </v>
      </c>
      <c r="K402" s="544">
        <f>'M&amp;V (ORÇ)'!K384</f>
        <v>0</v>
      </c>
      <c r="L402" s="543">
        <f>'M&amp;V (ORÇ)'!L384</f>
        <v>0</v>
      </c>
      <c r="M402" s="131">
        <f t="shared" si="28"/>
        <v>0</v>
      </c>
      <c r="N402" s="133">
        <f t="shared" si="29"/>
        <v>0</v>
      </c>
      <c r="O402" s="132"/>
      <c r="P402" s="132"/>
    </row>
    <row r="403" spans="2:16" x14ac:dyDescent="0.25">
      <c r="B403" s="128">
        <v>6</v>
      </c>
      <c r="C403" s="1075" t="str">
        <f>IF(ISBLANK('M&amp;V (ORÇ)'!C385)," ",'M&amp;V (ORÇ)'!C385)</f>
        <v xml:space="preserve"> </v>
      </c>
      <c r="D403" s="1076"/>
      <c r="E403" s="1076"/>
      <c r="F403" s="1076"/>
      <c r="G403" s="1076"/>
      <c r="H403" s="1077"/>
      <c r="I403" s="542" t="str">
        <f>IF(ISBLANK('M&amp;V (ORÇ)'!I385)," ",'M&amp;V (ORÇ)'!I385)</f>
        <v xml:space="preserve"> </v>
      </c>
      <c r="J403" s="542" t="str">
        <f>IF(ISBLANK('M&amp;V (ORÇ)'!J385)," ",'M&amp;V (ORÇ)'!J385)</f>
        <v xml:space="preserve"> </v>
      </c>
      <c r="K403" s="544">
        <f>'M&amp;V (ORÇ)'!K385</f>
        <v>0</v>
      </c>
      <c r="L403" s="543">
        <f>'M&amp;V (ORÇ)'!L385</f>
        <v>0</v>
      </c>
      <c r="M403" s="131">
        <f t="shared" si="28"/>
        <v>0</v>
      </c>
      <c r="N403" s="133">
        <f t="shared" si="29"/>
        <v>0</v>
      </c>
      <c r="O403" s="132"/>
      <c r="P403" s="132"/>
    </row>
    <row r="404" spans="2:16" x14ac:dyDescent="0.25">
      <c r="B404" s="128">
        <v>7</v>
      </c>
      <c r="C404" s="1075" t="str">
        <f>IF(ISBLANK('M&amp;V (ORÇ)'!C386)," ",'M&amp;V (ORÇ)'!C386)</f>
        <v xml:space="preserve"> </v>
      </c>
      <c r="D404" s="1076"/>
      <c r="E404" s="1076"/>
      <c r="F404" s="1076"/>
      <c r="G404" s="1076"/>
      <c r="H404" s="1077"/>
      <c r="I404" s="542" t="str">
        <f>IF(ISBLANK('M&amp;V (ORÇ)'!I386)," ",'M&amp;V (ORÇ)'!I386)</f>
        <v xml:space="preserve"> </v>
      </c>
      <c r="J404" s="542" t="str">
        <f>IF(ISBLANK('M&amp;V (ORÇ)'!J386)," ",'M&amp;V (ORÇ)'!J386)</f>
        <v xml:space="preserve"> </v>
      </c>
      <c r="K404" s="544">
        <f>'M&amp;V (ORÇ)'!K386</f>
        <v>0</v>
      </c>
      <c r="L404" s="543">
        <f>'M&amp;V (ORÇ)'!L386</f>
        <v>0</v>
      </c>
      <c r="M404" s="131">
        <f t="shared" si="28"/>
        <v>0</v>
      </c>
      <c r="N404" s="133">
        <f t="shared" si="29"/>
        <v>0</v>
      </c>
      <c r="O404" s="132"/>
      <c r="P404" s="132"/>
    </row>
    <row r="405" spans="2:16" x14ac:dyDescent="0.25">
      <c r="B405" s="128">
        <v>8</v>
      </c>
      <c r="C405" s="1075" t="str">
        <f>IF(ISBLANK('M&amp;V (ORÇ)'!C387)," ",'M&amp;V (ORÇ)'!C387)</f>
        <v xml:space="preserve"> </v>
      </c>
      <c r="D405" s="1076"/>
      <c r="E405" s="1076"/>
      <c r="F405" s="1076"/>
      <c r="G405" s="1076"/>
      <c r="H405" s="1077"/>
      <c r="I405" s="542" t="str">
        <f>IF(ISBLANK('M&amp;V (ORÇ)'!I387)," ",'M&amp;V (ORÇ)'!I387)</f>
        <v xml:space="preserve"> </v>
      </c>
      <c r="J405" s="542" t="str">
        <f>IF(ISBLANK('M&amp;V (ORÇ)'!J387)," ",'M&amp;V (ORÇ)'!J387)</f>
        <v xml:space="preserve"> </v>
      </c>
      <c r="K405" s="544">
        <f>'M&amp;V (ORÇ)'!K387</f>
        <v>0</v>
      </c>
      <c r="L405" s="543">
        <f>'M&amp;V (ORÇ)'!L387</f>
        <v>0</v>
      </c>
      <c r="M405" s="131">
        <f t="shared" si="28"/>
        <v>0</v>
      </c>
      <c r="N405" s="133">
        <f t="shared" si="29"/>
        <v>0</v>
      </c>
      <c r="O405" s="132"/>
      <c r="P405" s="132"/>
    </row>
    <row r="406" spans="2:16" x14ac:dyDescent="0.25">
      <c r="B406" s="128">
        <v>9</v>
      </c>
      <c r="C406" s="1075" t="str">
        <f>IF(ISBLANK('M&amp;V (ORÇ)'!C388)," ",'M&amp;V (ORÇ)'!C388)</f>
        <v xml:space="preserve"> </v>
      </c>
      <c r="D406" s="1076"/>
      <c r="E406" s="1076"/>
      <c r="F406" s="1076"/>
      <c r="G406" s="1076"/>
      <c r="H406" s="1077"/>
      <c r="I406" s="542" t="str">
        <f>IF(ISBLANK('M&amp;V (ORÇ)'!I388)," ",'M&amp;V (ORÇ)'!I388)</f>
        <v xml:space="preserve"> </v>
      </c>
      <c r="J406" s="542" t="str">
        <f>IF(ISBLANK('M&amp;V (ORÇ)'!J388)," ",'M&amp;V (ORÇ)'!J388)</f>
        <v xml:space="preserve"> </v>
      </c>
      <c r="K406" s="544">
        <f>'M&amp;V (ORÇ)'!K388</f>
        <v>0</v>
      </c>
      <c r="L406" s="543">
        <f>'M&amp;V (ORÇ)'!L388</f>
        <v>0</v>
      </c>
      <c r="M406" s="131">
        <f t="shared" si="28"/>
        <v>0</v>
      </c>
      <c r="N406" s="133">
        <f t="shared" si="29"/>
        <v>0</v>
      </c>
      <c r="O406" s="132"/>
      <c r="P406" s="132"/>
    </row>
    <row r="407" spans="2:16" x14ac:dyDescent="0.25">
      <c r="B407" s="128">
        <v>10</v>
      </c>
      <c r="C407" s="1075" t="str">
        <f>IF(ISBLANK('M&amp;V (ORÇ)'!C389)," ",'M&amp;V (ORÇ)'!C389)</f>
        <v xml:space="preserve"> </v>
      </c>
      <c r="D407" s="1076"/>
      <c r="E407" s="1076"/>
      <c r="F407" s="1076"/>
      <c r="G407" s="1076"/>
      <c r="H407" s="1077"/>
      <c r="I407" s="542" t="str">
        <f>IF(ISBLANK('M&amp;V (ORÇ)'!I389)," ",'M&amp;V (ORÇ)'!I389)</f>
        <v xml:space="preserve"> </v>
      </c>
      <c r="J407" s="542" t="str">
        <f>IF(ISBLANK('M&amp;V (ORÇ)'!J389)," ",'M&amp;V (ORÇ)'!J389)</f>
        <v xml:space="preserve"> </v>
      </c>
      <c r="K407" s="544">
        <f>'M&amp;V (ORÇ)'!K389</f>
        <v>0</v>
      </c>
      <c r="L407" s="543">
        <f>'M&amp;V (ORÇ)'!L389</f>
        <v>0</v>
      </c>
      <c r="M407" s="131">
        <f t="shared" si="28"/>
        <v>0</v>
      </c>
      <c r="N407" s="133">
        <f t="shared" si="29"/>
        <v>0</v>
      </c>
      <c r="O407" s="132"/>
      <c r="P407" s="132"/>
    </row>
    <row r="408" spans="2:16" x14ac:dyDescent="0.25">
      <c r="B408" s="128">
        <v>11</v>
      </c>
      <c r="C408" s="1075" t="str">
        <f>IF(ISBLANK('M&amp;V (ORÇ)'!C390)," ",'M&amp;V (ORÇ)'!C390)</f>
        <v xml:space="preserve"> </v>
      </c>
      <c r="D408" s="1076"/>
      <c r="E408" s="1076"/>
      <c r="F408" s="1076"/>
      <c r="G408" s="1076"/>
      <c r="H408" s="1077"/>
      <c r="I408" s="542" t="str">
        <f>IF(ISBLANK('M&amp;V (ORÇ)'!I390)," ",'M&amp;V (ORÇ)'!I390)</f>
        <v xml:space="preserve"> </v>
      </c>
      <c r="J408" s="542" t="str">
        <f>IF(ISBLANK('M&amp;V (ORÇ)'!J390)," ",'M&amp;V (ORÇ)'!J390)</f>
        <v xml:space="preserve"> </v>
      </c>
      <c r="K408" s="544">
        <f>'M&amp;V (ORÇ)'!K390</f>
        <v>0</v>
      </c>
      <c r="L408" s="543">
        <f>'M&amp;V (ORÇ)'!L390</f>
        <v>0</v>
      </c>
      <c r="M408" s="131">
        <f t="shared" si="28"/>
        <v>0</v>
      </c>
      <c r="N408" s="133">
        <f t="shared" si="29"/>
        <v>0</v>
      </c>
      <c r="O408" s="132"/>
      <c r="P408" s="132"/>
    </row>
    <row r="409" spans="2:16" x14ac:dyDescent="0.25">
      <c r="B409" s="128">
        <v>12</v>
      </c>
      <c r="C409" s="1075" t="str">
        <f>IF(ISBLANK('M&amp;V (ORÇ)'!C391)," ",'M&amp;V (ORÇ)'!C391)</f>
        <v xml:space="preserve"> </v>
      </c>
      <c r="D409" s="1076"/>
      <c r="E409" s="1076"/>
      <c r="F409" s="1076"/>
      <c r="G409" s="1076"/>
      <c r="H409" s="1077"/>
      <c r="I409" s="542" t="str">
        <f>IF(ISBLANK('M&amp;V (ORÇ)'!I391)," ",'M&amp;V (ORÇ)'!I391)</f>
        <v xml:space="preserve"> </v>
      </c>
      <c r="J409" s="542" t="str">
        <f>IF(ISBLANK('M&amp;V (ORÇ)'!J391)," ",'M&amp;V (ORÇ)'!J391)</f>
        <v xml:space="preserve"> </v>
      </c>
      <c r="K409" s="544">
        <f>'M&amp;V (ORÇ)'!K391</f>
        <v>0</v>
      </c>
      <c r="L409" s="543">
        <f>'M&amp;V (ORÇ)'!L391</f>
        <v>0</v>
      </c>
      <c r="M409" s="131">
        <f t="shared" si="28"/>
        <v>0</v>
      </c>
      <c r="N409" s="133">
        <f t="shared" si="29"/>
        <v>0</v>
      </c>
      <c r="O409" s="132"/>
      <c r="P409" s="132"/>
    </row>
    <row r="410" spans="2:16" x14ac:dyDescent="0.25">
      <c r="B410" s="128">
        <v>13</v>
      </c>
      <c r="C410" s="1075" t="str">
        <f>IF(ISBLANK('M&amp;V (ORÇ)'!C392)," ",'M&amp;V (ORÇ)'!C392)</f>
        <v xml:space="preserve"> </v>
      </c>
      <c r="D410" s="1076"/>
      <c r="E410" s="1076"/>
      <c r="F410" s="1076"/>
      <c r="G410" s="1076"/>
      <c r="H410" s="1077"/>
      <c r="I410" s="542" t="str">
        <f>IF(ISBLANK('M&amp;V (ORÇ)'!I392)," ",'M&amp;V (ORÇ)'!I392)</f>
        <v xml:space="preserve"> </v>
      </c>
      <c r="J410" s="542" t="str">
        <f>IF(ISBLANK('M&amp;V (ORÇ)'!J392)," ",'M&amp;V (ORÇ)'!J392)</f>
        <v xml:space="preserve"> </v>
      </c>
      <c r="K410" s="544">
        <f>'M&amp;V (ORÇ)'!K392</f>
        <v>0</v>
      </c>
      <c r="L410" s="543">
        <f>'M&amp;V (ORÇ)'!L392</f>
        <v>0</v>
      </c>
      <c r="M410" s="131">
        <f t="shared" si="28"/>
        <v>0</v>
      </c>
      <c r="N410" s="133">
        <f t="shared" si="29"/>
        <v>0</v>
      </c>
      <c r="O410" s="132"/>
      <c r="P410" s="132"/>
    </row>
    <row r="411" spans="2:16" x14ac:dyDescent="0.25">
      <c r="B411" s="128">
        <v>14</v>
      </c>
      <c r="C411" s="1075" t="str">
        <f>IF(ISBLANK('M&amp;V (ORÇ)'!C393)," ",'M&amp;V (ORÇ)'!C393)</f>
        <v xml:space="preserve"> </v>
      </c>
      <c r="D411" s="1076"/>
      <c r="E411" s="1076"/>
      <c r="F411" s="1076"/>
      <c r="G411" s="1076"/>
      <c r="H411" s="1077"/>
      <c r="I411" s="542" t="str">
        <f>IF(ISBLANK('M&amp;V (ORÇ)'!I393)," ",'M&amp;V (ORÇ)'!I393)</f>
        <v xml:space="preserve"> </v>
      </c>
      <c r="J411" s="542" t="str">
        <f>IF(ISBLANK('M&amp;V (ORÇ)'!J393)," ",'M&amp;V (ORÇ)'!J393)</f>
        <v xml:space="preserve"> </v>
      </c>
      <c r="K411" s="544">
        <f>'M&amp;V (ORÇ)'!K393</f>
        <v>0</v>
      </c>
      <c r="L411" s="543">
        <f>'M&amp;V (ORÇ)'!L393</f>
        <v>0</v>
      </c>
      <c r="M411" s="131">
        <f t="shared" si="28"/>
        <v>0</v>
      </c>
      <c r="N411" s="133">
        <f t="shared" si="29"/>
        <v>0</v>
      </c>
      <c r="O411" s="132"/>
      <c r="P411" s="132"/>
    </row>
    <row r="412" spans="2:16" x14ac:dyDescent="0.25">
      <c r="B412" s="128">
        <v>15</v>
      </c>
      <c r="C412" s="1075" t="str">
        <f>IF(ISBLANK('M&amp;V (ORÇ)'!C394)," ",'M&amp;V (ORÇ)'!C394)</f>
        <v xml:space="preserve"> </v>
      </c>
      <c r="D412" s="1076"/>
      <c r="E412" s="1076"/>
      <c r="F412" s="1076"/>
      <c r="G412" s="1076"/>
      <c r="H412" s="1077"/>
      <c r="I412" s="542" t="str">
        <f>IF(ISBLANK('M&amp;V (ORÇ)'!I394)," ",'M&amp;V (ORÇ)'!I394)</f>
        <v xml:space="preserve"> </v>
      </c>
      <c r="J412" s="542" t="str">
        <f>IF(ISBLANK('M&amp;V (ORÇ)'!J394)," ",'M&amp;V (ORÇ)'!J394)</f>
        <v xml:space="preserve"> </v>
      </c>
      <c r="K412" s="544">
        <f>'M&amp;V (ORÇ)'!K394</f>
        <v>0</v>
      </c>
      <c r="L412" s="543">
        <f>'M&amp;V (ORÇ)'!L394</f>
        <v>0</v>
      </c>
      <c r="M412" s="131">
        <f t="shared" si="28"/>
        <v>0</v>
      </c>
      <c r="N412" s="133">
        <f t="shared" si="29"/>
        <v>0</v>
      </c>
      <c r="O412" s="132"/>
      <c r="P412" s="132"/>
    </row>
    <row r="413" spans="2:16" x14ac:dyDescent="0.25">
      <c r="B413" s="128">
        <v>16</v>
      </c>
      <c r="C413" s="1075" t="str">
        <f>IF(ISBLANK('M&amp;V (ORÇ)'!C395)," ",'M&amp;V (ORÇ)'!C395)</f>
        <v xml:space="preserve"> </v>
      </c>
      <c r="D413" s="1076"/>
      <c r="E413" s="1076"/>
      <c r="F413" s="1076"/>
      <c r="G413" s="1076"/>
      <c r="H413" s="1077"/>
      <c r="I413" s="542" t="str">
        <f>IF(ISBLANK('M&amp;V (ORÇ)'!I395)," ",'M&amp;V (ORÇ)'!I395)</f>
        <v xml:space="preserve"> </v>
      </c>
      <c r="J413" s="542" t="str">
        <f>IF(ISBLANK('M&amp;V (ORÇ)'!J395)," ",'M&amp;V (ORÇ)'!J395)</f>
        <v xml:space="preserve"> </v>
      </c>
      <c r="K413" s="544">
        <f>'M&amp;V (ORÇ)'!K395</f>
        <v>0</v>
      </c>
      <c r="L413" s="543">
        <f>'M&amp;V (ORÇ)'!L395</f>
        <v>0</v>
      </c>
      <c r="M413" s="131">
        <f t="shared" si="28"/>
        <v>0</v>
      </c>
      <c r="N413" s="133">
        <f t="shared" si="29"/>
        <v>0</v>
      </c>
      <c r="O413" s="132"/>
      <c r="P413" s="132"/>
    </row>
    <row r="414" spans="2:16" x14ac:dyDescent="0.25">
      <c r="B414" s="128">
        <v>17</v>
      </c>
      <c r="C414" s="1075" t="str">
        <f>IF(ISBLANK('M&amp;V (ORÇ)'!C396)," ",'M&amp;V (ORÇ)'!C396)</f>
        <v xml:space="preserve"> </v>
      </c>
      <c r="D414" s="1076"/>
      <c r="E414" s="1076"/>
      <c r="F414" s="1076"/>
      <c r="G414" s="1076"/>
      <c r="H414" s="1077"/>
      <c r="I414" s="542" t="str">
        <f>IF(ISBLANK('M&amp;V (ORÇ)'!I396)," ",'M&amp;V (ORÇ)'!I396)</f>
        <v xml:space="preserve"> </v>
      </c>
      <c r="J414" s="542" t="str">
        <f>IF(ISBLANK('M&amp;V (ORÇ)'!J396)," ",'M&amp;V (ORÇ)'!J396)</f>
        <v xml:space="preserve"> </v>
      </c>
      <c r="K414" s="544">
        <f>'M&amp;V (ORÇ)'!K396</f>
        <v>0</v>
      </c>
      <c r="L414" s="543">
        <f>'M&amp;V (ORÇ)'!L396</f>
        <v>0</v>
      </c>
      <c r="M414" s="131">
        <f t="shared" si="28"/>
        <v>0</v>
      </c>
      <c r="N414" s="133">
        <f t="shared" si="29"/>
        <v>0</v>
      </c>
      <c r="O414" s="132"/>
      <c r="P414" s="132"/>
    </row>
    <row r="415" spans="2:16" x14ac:dyDescent="0.25">
      <c r="B415" s="128">
        <v>18</v>
      </c>
      <c r="C415" s="1075" t="str">
        <f>IF(ISBLANK('M&amp;V (ORÇ)'!C397)," ",'M&amp;V (ORÇ)'!C397)</f>
        <v xml:space="preserve"> </v>
      </c>
      <c r="D415" s="1076"/>
      <c r="E415" s="1076"/>
      <c r="F415" s="1076"/>
      <c r="G415" s="1076"/>
      <c r="H415" s="1077"/>
      <c r="I415" s="542" t="str">
        <f>IF(ISBLANK('M&amp;V (ORÇ)'!I397)," ",'M&amp;V (ORÇ)'!I397)</f>
        <v xml:space="preserve"> </v>
      </c>
      <c r="J415" s="542" t="str">
        <f>IF(ISBLANK('M&amp;V (ORÇ)'!J397)," ",'M&amp;V (ORÇ)'!J397)</f>
        <v xml:space="preserve"> </v>
      </c>
      <c r="K415" s="544">
        <f>'M&amp;V (ORÇ)'!K397</f>
        <v>0</v>
      </c>
      <c r="L415" s="543">
        <f>'M&amp;V (ORÇ)'!L397</f>
        <v>0</v>
      </c>
      <c r="M415" s="131">
        <f t="shared" si="28"/>
        <v>0</v>
      </c>
      <c r="N415" s="133">
        <f t="shared" si="29"/>
        <v>0</v>
      </c>
      <c r="O415" s="132"/>
      <c r="P415" s="132"/>
    </row>
    <row r="416" spans="2:16" x14ac:dyDescent="0.25">
      <c r="B416" s="128">
        <v>19</v>
      </c>
      <c r="C416" s="1075" t="str">
        <f>IF(ISBLANK('M&amp;V (ORÇ)'!C398)," ",'M&amp;V (ORÇ)'!C398)</f>
        <v xml:space="preserve"> </v>
      </c>
      <c r="D416" s="1076"/>
      <c r="E416" s="1076"/>
      <c r="F416" s="1076"/>
      <c r="G416" s="1076"/>
      <c r="H416" s="1077"/>
      <c r="I416" s="542" t="str">
        <f>IF(ISBLANK('M&amp;V (ORÇ)'!I398)," ",'M&amp;V (ORÇ)'!I398)</f>
        <v xml:space="preserve"> </v>
      </c>
      <c r="J416" s="542" t="str">
        <f>IF(ISBLANK('M&amp;V (ORÇ)'!J398)," ",'M&amp;V (ORÇ)'!J398)</f>
        <v xml:space="preserve"> </v>
      </c>
      <c r="K416" s="544">
        <f>'M&amp;V (ORÇ)'!K398</f>
        <v>0</v>
      </c>
      <c r="L416" s="543">
        <f>'M&amp;V (ORÇ)'!L398</f>
        <v>0</v>
      </c>
      <c r="M416" s="131">
        <f t="shared" si="28"/>
        <v>0</v>
      </c>
      <c r="N416" s="133">
        <f t="shared" si="29"/>
        <v>0</v>
      </c>
      <c r="O416" s="132"/>
      <c r="P416" s="132"/>
    </row>
    <row r="417" spans="2:16" x14ac:dyDescent="0.25">
      <c r="B417" s="128">
        <v>20</v>
      </c>
      <c r="C417" s="1075" t="str">
        <f>IF(ISBLANK('M&amp;V (ORÇ)'!C399)," ",'M&amp;V (ORÇ)'!C399)</f>
        <v xml:space="preserve"> </v>
      </c>
      <c r="D417" s="1076"/>
      <c r="E417" s="1076"/>
      <c r="F417" s="1076"/>
      <c r="G417" s="1076"/>
      <c r="H417" s="1077"/>
      <c r="I417" s="542" t="str">
        <f>IF(ISBLANK('M&amp;V (ORÇ)'!I399)," ",'M&amp;V (ORÇ)'!I399)</f>
        <v xml:space="preserve"> </v>
      </c>
      <c r="J417" s="542" t="str">
        <f>IF(ISBLANK('M&amp;V (ORÇ)'!J399)," ",'M&amp;V (ORÇ)'!J399)</f>
        <v xml:space="preserve"> </v>
      </c>
      <c r="K417" s="544">
        <f>'M&amp;V (ORÇ)'!K399</f>
        <v>0</v>
      </c>
      <c r="L417" s="543">
        <f>'M&amp;V (ORÇ)'!L399</f>
        <v>0</v>
      </c>
      <c r="M417" s="131">
        <f t="shared" si="28"/>
        <v>0</v>
      </c>
      <c r="N417" s="133">
        <f t="shared" si="29"/>
        <v>0</v>
      </c>
      <c r="O417" s="132"/>
      <c r="P417" s="132"/>
    </row>
    <row r="418" spans="2:16" x14ac:dyDescent="0.25">
      <c r="B418" s="134"/>
      <c r="C418" s="1078" t="s">
        <v>258</v>
      </c>
      <c r="D418" s="1078"/>
      <c r="E418" s="1078"/>
      <c r="F418" s="1078"/>
      <c r="G418" s="1078"/>
      <c r="H418" s="1078"/>
      <c r="I418" s="1078"/>
      <c r="J418" s="1078"/>
      <c r="K418" s="1078"/>
      <c r="L418" s="1079"/>
      <c r="M418" s="135">
        <f>SUM(M398:M407)</f>
        <v>0</v>
      </c>
      <c r="N418" s="136">
        <f>SUM(N398:N407)</f>
        <v>0</v>
      </c>
      <c r="O418" s="136">
        <f>SUM(O398:O407)</f>
        <v>0</v>
      </c>
      <c r="P418" s="136">
        <f>SUM(P398:P407)</f>
        <v>0</v>
      </c>
    </row>
    <row r="419" spans="2:16" x14ac:dyDescent="0.25">
      <c r="B419" s="1104" t="s">
        <v>243</v>
      </c>
      <c r="C419" s="1105"/>
      <c r="D419" s="1105"/>
      <c r="E419" s="1105"/>
      <c r="F419" s="1105"/>
      <c r="G419" s="1105"/>
      <c r="H419" s="1105"/>
      <c r="I419" s="1105"/>
      <c r="J419" s="1105"/>
      <c r="K419" s="1105"/>
      <c r="L419" s="1105"/>
      <c r="M419" s="1105"/>
      <c r="N419" s="1105"/>
      <c r="O419" s="1105" t="str">
        <f>B419</f>
        <v>PERÍODO PÓS-RETROFIT</v>
      </c>
      <c r="P419" s="1106"/>
    </row>
    <row r="420" spans="2:16" x14ac:dyDescent="0.25">
      <c r="B420" s="1043" t="s">
        <v>235</v>
      </c>
      <c r="C420" s="1044"/>
      <c r="D420" s="1044"/>
      <c r="E420" s="1044"/>
      <c r="F420" s="1044"/>
      <c r="G420" s="1044"/>
      <c r="H420" s="1045"/>
      <c r="I420" s="125" t="s">
        <v>236</v>
      </c>
      <c r="J420" s="126" t="s">
        <v>237</v>
      </c>
      <c r="K420" s="126" t="s">
        <v>238</v>
      </c>
      <c r="L420" s="126" t="s">
        <v>239</v>
      </c>
      <c r="M420" s="126" t="s">
        <v>0</v>
      </c>
      <c r="N420" s="328" t="s">
        <v>796</v>
      </c>
      <c r="O420" s="328" t="s">
        <v>240</v>
      </c>
      <c r="P420" s="329" t="s">
        <v>241</v>
      </c>
    </row>
    <row r="421" spans="2:16" x14ac:dyDescent="0.25">
      <c r="B421" s="128">
        <v>1</v>
      </c>
      <c r="C421" s="1075" t="str">
        <f>IF(ISBLANK('M&amp;V (ORÇ)'!C402)," ",'M&amp;V (ORÇ)'!C402)</f>
        <v xml:space="preserve"> </v>
      </c>
      <c r="D421" s="1076"/>
      <c r="E421" s="1076"/>
      <c r="F421" s="1076"/>
      <c r="G421" s="1076"/>
      <c r="H421" s="1077"/>
      <c r="I421" s="542" t="str">
        <f>IF(ISBLANK('M&amp;V (ORÇ)'!I402)," ",'M&amp;V (ORÇ)'!I402)</f>
        <v xml:space="preserve"> </v>
      </c>
      <c r="J421" s="542" t="str">
        <f>IF(ISBLANK('M&amp;V (ORÇ)'!J402)," ",'M&amp;V (ORÇ)'!J402)</f>
        <v xml:space="preserve"> </v>
      </c>
      <c r="K421" s="544">
        <f>'M&amp;V (ORÇ)'!K402</f>
        <v>0</v>
      </c>
      <c r="L421" s="543">
        <f>'M&amp;V (ORÇ)'!L402</f>
        <v>0</v>
      </c>
      <c r="M421" s="131">
        <f t="shared" ref="M421:M440" si="30">IF(J421="",0,K421*L421)</f>
        <v>0</v>
      </c>
      <c r="N421" s="133">
        <f t="shared" ref="N421:N440" si="31">M421-O421-P421</f>
        <v>0</v>
      </c>
      <c r="O421" s="132"/>
      <c r="P421" s="132"/>
    </row>
    <row r="422" spans="2:16" x14ac:dyDescent="0.25">
      <c r="B422" s="128">
        <v>2</v>
      </c>
      <c r="C422" s="1075" t="str">
        <f>IF(ISBLANK('M&amp;V (ORÇ)'!C403)," ",'M&amp;V (ORÇ)'!C403)</f>
        <v xml:space="preserve"> </v>
      </c>
      <c r="D422" s="1076"/>
      <c r="E422" s="1076"/>
      <c r="F422" s="1076"/>
      <c r="G422" s="1076"/>
      <c r="H422" s="1077"/>
      <c r="I422" s="542" t="str">
        <f>IF(ISBLANK('M&amp;V (ORÇ)'!I403)," ",'M&amp;V (ORÇ)'!I403)</f>
        <v xml:space="preserve"> </v>
      </c>
      <c r="J422" s="542" t="str">
        <f>IF(ISBLANK('M&amp;V (ORÇ)'!J403)," ",'M&amp;V (ORÇ)'!J403)</f>
        <v xml:space="preserve"> </v>
      </c>
      <c r="K422" s="544">
        <f>'M&amp;V (ORÇ)'!K403</f>
        <v>0</v>
      </c>
      <c r="L422" s="543">
        <f>'M&amp;V (ORÇ)'!L403</f>
        <v>0</v>
      </c>
      <c r="M422" s="131">
        <f t="shared" si="30"/>
        <v>0</v>
      </c>
      <c r="N422" s="133">
        <f t="shared" si="31"/>
        <v>0</v>
      </c>
      <c r="O422" s="132"/>
      <c r="P422" s="132"/>
    </row>
    <row r="423" spans="2:16" x14ac:dyDescent="0.25">
      <c r="B423" s="128">
        <v>3</v>
      </c>
      <c r="C423" s="1075" t="str">
        <f>IF(ISBLANK('M&amp;V (ORÇ)'!C404)," ",'M&amp;V (ORÇ)'!C404)</f>
        <v xml:space="preserve"> </v>
      </c>
      <c r="D423" s="1076"/>
      <c r="E423" s="1076"/>
      <c r="F423" s="1076"/>
      <c r="G423" s="1076"/>
      <c r="H423" s="1077"/>
      <c r="I423" s="542" t="str">
        <f>IF(ISBLANK('M&amp;V (ORÇ)'!I404)," ",'M&amp;V (ORÇ)'!I404)</f>
        <v xml:space="preserve"> </v>
      </c>
      <c r="J423" s="542" t="str">
        <f>IF(ISBLANK('M&amp;V (ORÇ)'!J404)," ",'M&amp;V (ORÇ)'!J404)</f>
        <v xml:space="preserve"> </v>
      </c>
      <c r="K423" s="544">
        <f>'M&amp;V (ORÇ)'!K404</f>
        <v>0</v>
      </c>
      <c r="L423" s="543">
        <f>'M&amp;V (ORÇ)'!L404</f>
        <v>0</v>
      </c>
      <c r="M423" s="131">
        <f t="shared" si="30"/>
        <v>0</v>
      </c>
      <c r="N423" s="133">
        <f t="shared" si="31"/>
        <v>0</v>
      </c>
      <c r="O423" s="132"/>
      <c r="P423" s="132"/>
    </row>
    <row r="424" spans="2:16" x14ac:dyDescent="0.25">
      <c r="B424" s="128">
        <v>4</v>
      </c>
      <c r="C424" s="1075" t="str">
        <f>IF(ISBLANK('M&amp;V (ORÇ)'!C405)," ",'M&amp;V (ORÇ)'!C405)</f>
        <v xml:space="preserve"> </v>
      </c>
      <c r="D424" s="1076"/>
      <c r="E424" s="1076"/>
      <c r="F424" s="1076"/>
      <c r="G424" s="1076"/>
      <c r="H424" s="1077"/>
      <c r="I424" s="542" t="str">
        <f>IF(ISBLANK('M&amp;V (ORÇ)'!I405)," ",'M&amp;V (ORÇ)'!I405)</f>
        <v xml:space="preserve"> </v>
      </c>
      <c r="J424" s="542" t="str">
        <f>IF(ISBLANK('M&amp;V (ORÇ)'!J405)," ",'M&amp;V (ORÇ)'!J405)</f>
        <v xml:space="preserve"> </v>
      </c>
      <c r="K424" s="544">
        <f>'M&amp;V (ORÇ)'!K405</f>
        <v>0</v>
      </c>
      <c r="L424" s="543">
        <f>'M&amp;V (ORÇ)'!L405</f>
        <v>0</v>
      </c>
      <c r="M424" s="131">
        <f t="shared" si="30"/>
        <v>0</v>
      </c>
      <c r="N424" s="133">
        <f t="shared" si="31"/>
        <v>0</v>
      </c>
      <c r="O424" s="132"/>
      <c r="P424" s="132"/>
    </row>
    <row r="425" spans="2:16" x14ac:dyDescent="0.25">
      <c r="B425" s="128">
        <v>5</v>
      </c>
      <c r="C425" s="1075" t="str">
        <f>IF(ISBLANK('M&amp;V (ORÇ)'!C406)," ",'M&amp;V (ORÇ)'!C406)</f>
        <v xml:space="preserve"> </v>
      </c>
      <c r="D425" s="1076"/>
      <c r="E425" s="1076"/>
      <c r="F425" s="1076"/>
      <c r="G425" s="1076"/>
      <c r="H425" s="1077"/>
      <c r="I425" s="542" t="str">
        <f>IF(ISBLANK('M&amp;V (ORÇ)'!I406)," ",'M&amp;V (ORÇ)'!I406)</f>
        <v xml:space="preserve"> </v>
      </c>
      <c r="J425" s="542" t="str">
        <f>IF(ISBLANK('M&amp;V (ORÇ)'!J406)," ",'M&amp;V (ORÇ)'!J406)</f>
        <v xml:space="preserve"> </v>
      </c>
      <c r="K425" s="544">
        <f>'M&amp;V (ORÇ)'!K406</f>
        <v>0</v>
      </c>
      <c r="L425" s="543">
        <f>'M&amp;V (ORÇ)'!L406</f>
        <v>0</v>
      </c>
      <c r="M425" s="131">
        <f t="shared" si="30"/>
        <v>0</v>
      </c>
      <c r="N425" s="133">
        <f t="shared" si="31"/>
        <v>0</v>
      </c>
      <c r="O425" s="132"/>
      <c r="P425" s="132"/>
    </row>
    <row r="426" spans="2:16" x14ac:dyDescent="0.25">
      <c r="B426" s="128">
        <v>6</v>
      </c>
      <c r="C426" s="1075" t="str">
        <f>IF(ISBLANK('M&amp;V (ORÇ)'!C407)," ",'M&amp;V (ORÇ)'!C407)</f>
        <v xml:space="preserve"> </v>
      </c>
      <c r="D426" s="1076"/>
      <c r="E426" s="1076"/>
      <c r="F426" s="1076"/>
      <c r="G426" s="1076"/>
      <c r="H426" s="1077"/>
      <c r="I426" s="542" t="str">
        <f>IF(ISBLANK('M&amp;V (ORÇ)'!I407)," ",'M&amp;V (ORÇ)'!I407)</f>
        <v xml:space="preserve"> </v>
      </c>
      <c r="J426" s="542" t="str">
        <f>IF(ISBLANK('M&amp;V (ORÇ)'!J407)," ",'M&amp;V (ORÇ)'!J407)</f>
        <v xml:space="preserve"> </v>
      </c>
      <c r="K426" s="544">
        <f>'M&amp;V (ORÇ)'!K407</f>
        <v>0</v>
      </c>
      <c r="L426" s="543">
        <f>'M&amp;V (ORÇ)'!L407</f>
        <v>0</v>
      </c>
      <c r="M426" s="131">
        <f t="shared" si="30"/>
        <v>0</v>
      </c>
      <c r="N426" s="133">
        <f t="shared" si="31"/>
        <v>0</v>
      </c>
      <c r="O426" s="132"/>
      <c r="P426" s="132"/>
    </row>
    <row r="427" spans="2:16" x14ac:dyDescent="0.25">
      <c r="B427" s="128">
        <v>7</v>
      </c>
      <c r="C427" s="1075" t="str">
        <f>IF(ISBLANK('M&amp;V (ORÇ)'!C408)," ",'M&amp;V (ORÇ)'!C408)</f>
        <v xml:space="preserve"> </v>
      </c>
      <c r="D427" s="1076"/>
      <c r="E427" s="1076"/>
      <c r="F427" s="1076"/>
      <c r="G427" s="1076"/>
      <c r="H427" s="1077"/>
      <c r="I427" s="542" t="str">
        <f>IF(ISBLANK('M&amp;V (ORÇ)'!I408)," ",'M&amp;V (ORÇ)'!I408)</f>
        <v xml:space="preserve"> </v>
      </c>
      <c r="J427" s="542" t="str">
        <f>IF(ISBLANK('M&amp;V (ORÇ)'!J408)," ",'M&amp;V (ORÇ)'!J408)</f>
        <v xml:space="preserve"> </v>
      </c>
      <c r="K427" s="544">
        <f>'M&amp;V (ORÇ)'!K408</f>
        <v>0</v>
      </c>
      <c r="L427" s="543">
        <f>'M&amp;V (ORÇ)'!L408</f>
        <v>0</v>
      </c>
      <c r="M427" s="131">
        <f t="shared" si="30"/>
        <v>0</v>
      </c>
      <c r="N427" s="133">
        <f t="shared" si="31"/>
        <v>0</v>
      </c>
      <c r="O427" s="132"/>
      <c r="P427" s="132"/>
    </row>
    <row r="428" spans="2:16" x14ac:dyDescent="0.25">
      <c r="B428" s="128">
        <v>8</v>
      </c>
      <c r="C428" s="1075" t="str">
        <f>IF(ISBLANK('M&amp;V (ORÇ)'!C409)," ",'M&amp;V (ORÇ)'!C409)</f>
        <v xml:space="preserve"> </v>
      </c>
      <c r="D428" s="1076"/>
      <c r="E428" s="1076"/>
      <c r="F428" s="1076"/>
      <c r="G428" s="1076"/>
      <c r="H428" s="1077"/>
      <c r="I428" s="542" t="str">
        <f>IF(ISBLANK('M&amp;V (ORÇ)'!I409)," ",'M&amp;V (ORÇ)'!I409)</f>
        <v xml:space="preserve"> </v>
      </c>
      <c r="J428" s="542" t="str">
        <f>IF(ISBLANK('M&amp;V (ORÇ)'!J409)," ",'M&amp;V (ORÇ)'!J409)</f>
        <v xml:space="preserve"> </v>
      </c>
      <c r="K428" s="544">
        <f>'M&amp;V (ORÇ)'!K409</f>
        <v>0</v>
      </c>
      <c r="L428" s="543">
        <f>'M&amp;V (ORÇ)'!L409</f>
        <v>0</v>
      </c>
      <c r="M428" s="131">
        <f t="shared" si="30"/>
        <v>0</v>
      </c>
      <c r="N428" s="133">
        <f t="shared" si="31"/>
        <v>0</v>
      </c>
      <c r="O428" s="132"/>
      <c r="P428" s="132"/>
    </row>
    <row r="429" spans="2:16" x14ac:dyDescent="0.25">
      <c r="B429" s="128">
        <v>9</v>
      </c>
      <c r="C429" s="1075" t="str">
        <f>IF(ISBLANK('M&amp;V (ORÇ)'!C410)," ",'M&amp;V (ORÇ)'!C410)</f>
        <v xml:space="preserve"> </v>
      </c>
      <c r="D429" s="1076"/>
      <c r="E429" s="1076"/>
      <c r="F429" s="1076"/>
      <c r="G429" s="1076"/>
      <c r="H429" s="1077"/>
      <c r="I429" s="542" t="str">
        <f>IF(ISBLANK('M&amp;V (ORÇ)'!I410)," ",'M&amp;V (ORÇ)'!I410)</f>
        <v xml:space="preserve"> </v>
      </c>
      <c r="J429" s="542" t="str">
        <f>IF(ISBLANK('M&amp;V (ORÇ)'!J410)," ",'M&amp;V (ORÇ)'!J410)</f>
        <v xml:space="preserve"> </v>
      </c>
      <c r="K429" s="544">
        <f>'M&amp;V (ORÇ)'!K410</f>
        <v>0</v>
      </c>
      <c r="L429" s="543">
        <f>'M&amp;V (ORÇ)'!L410</f>
        <v>0</v>
      </c>
      <c r="M429" s="131">
        <f t="shared" si="30"/>
        <v>0</v>
      </c>
      <c r="N429" s="133">
        <f t="shared" si="31"/>
        <v>0</v>
      </c>
      <c r="O429" s="132"/>
      <c r="P429" s="132"/>
    </row>
    <row r="430" spans="2:16" x14ac:dyDescent="0.25">
      <c r="B430" s="128">
        <v>10</v>
      </c>
      <c r="C430" s="1075" t="str">
        <f>IF(ISBLANK('M&amp;V (ORÇ)'!C411)," ",'M&amp;V (ORÇ)'!C411)</f>
        <v xml:space="preserve"> </v>
      </c>
      <c r="D430" s="1076"/>
      <c r="E430" s="1076"/>
      <c r="F430" s="1076"/>
      <c r="G430" s="1076"/>
      <c r="H430" s="1077"/>
      <c r="I430" s="542" t="str">
        <f>IF(ISBLANK('M&amp;V (ORÇ)'!I411)," ",'M&amp;V (ORÇ)'!I411)</f>
        <v xml:space="preserve"> </v>
      </c>
      <c r="J430" s="542" t="str">
        <f>IF(ISBLANK('M&amp;V (ORÇ)'!J411)," ",'M&amp;V (ORÇ)'!J411)</f>
        <v xml:space="preserve"> </v>
      </c>
      <c r="K430" s="544">
        <f>'M&amp;V (ORÇ)'!K411</f>
        <v>0</v>
      </c>
      <c r="L430" s="543">
        <f>'M&amp;V (ORÇ)'!L411</f>
        <v>0</v>
      </c>
      <c r="M430" s="131">
        <f t="shared" si="30"/>
        <v>0</v>
      </c>
      <c r="N430" s="133">
        <f t="shared" si="31"/>
        <v>0</v>
      </c>
      <c r="O430" s="132"/>
      <c r="P430" s="132"/>
    </row>
    <row r="431" spans="2:16" x14ac:dyDescent="0.25">
      <c r="B431" s="128">
        <v>11</v>
      </c>
      <c r="C431" s="1075" t="str">
        <f>IF(ISBLANK('M&amp;V (ORÇ)'!C412)," ",'M&amp;V (ORÇ)'!C412)</f>
        <v xml:space="preserve"> </v>
      </c>
      <c r="D431" s="1076"/>
      <c r="E431" s="1076"/>
      <c r="F431" s="1076"/>
      <c r="G431" s="1076"/>
      <c r="H431" s="1077"/>
      <c r="I431" s="542" t="str">
        <f>IF(ISBLANK('M&amp;V (ORÇ)'!I412)," ",'M&amp;V (ORÇ)'!I412)</f>
        <v xml:space="preserve"> </v>
      </c>
      <c r="J431" s="542" t="str">
        <f>IF(ISBLANK('M&amp;V (ORÇ)'!J412)," ",'M&amp;V (ORÇ)'!J412)</f>
        <v xml:space="preserve"> </v>
      </c>
      <c r="K431" s="544">
        <f>'M&amp;V (ORÇ)'!K412</f>
        <v>0</v>
      </c>
      <c r="L431" s="543">
        <f>'M&amp;V (ORÇ)'!L412</f>
        <v>0</v>
      </c>
      <c r="M431" s="131">
        <f t="shared" si="30"/>
        <v>0</v>
      </c>
      <c r="N431" s="133">
        <f t="shared" si="31"/>
        <v>0</v>
      </c>
      <c r="O431" s="132"/>
      <c r="P431" s="132"/>
    </row>
    <row r="432" spans="2:16" x14ac:dyDescent="0.25">
      <c r="B432" s="128">
        <v>12</v>
      </c>
      <c r="C432" s="1075" t="str">
        <f>IF(ISBLANK('M&amp;V (ORÇ)'!C413)," ",'M&amp;V (ORÇ)'!C413)</f>
        <v xml:space="preserve"> </v>
      </c>
      <c r="D432" s="1076"/>
      <c r="E432" s="1076"/>
      <c r="F432" s="1076"/>
      <c r="G432" s="1076"/>
      <c r="H432" s="1077"/>
      <c r="I432" s="542" t="str">
        <f>IF(ISBLANK('M&amp;V (ORÇ)'!I413)," ",'M&amp;V (ORÇ)'!I413)</f>
        <v xml:space="preserve"> </v>
      </c>
      <c r="J432" s="542" t="str">
        <f>IF(ISBLANK('M&amp;V (ORÇ)'!J413)," ",'M&amp;V (ORÇ)'!J413)</f>
        <v xml:space="preserve"> </v>
      </c>
      <c r="K432" s="544">
        <f>'M&amp;V (ORÇ)'!K413</f>
        <v>0</v>
      </c>
      <c r="L432" s="543">
        <f>'M&amp;V (ORÇ)'!L413</f>
        <v>0</v>
      </c>
      <c r="M432" s="131">
        <f t="shared" si="30"/>
        <v>0</v>
      </c>
      <c r="N432" s="133">
        <f t="shared" si="31"/>
        <v>0</v>
      </c>
      <c r="O432" s="132"/>
      <c r="P432" s="132"/>
    </row>
    <row r="433" spans="2:16" x14ac:dyDescent="0.25">
      <c r="B433" s="128">
        <v>13</v>
      </c>
      <c r="C433" s="1075" t="str">
        <f>IF(ISBLANK('M&amp;V (ORÇ)'!C414)," ",'M&amp;V (ORÇ)'!C414)</f>
        <v xml:space="preserve"> </v>
      </c>
      <c r="D433" s="1076"/>
      <c r="E433" s="1076"/>
      <c r="F433" s="1076"/>
      <c r="G433" s="1076"/>
      <c r="H433" s="1077"/>
      <c r="I433" s="542" t="str">
        <f>IF(ISBLANK('M&amp;V (ORÇ)'!I414)," ",'M&amp;V (ORÇ)'!I414)</f>
        <v xml:space="preserve"> </v>
      </c>
      <c r="J433" s="542" t="str">
        <f>IF(ISBLANK('M&amp;V (ORÇ)'!J414)," ",'M&amp;V (ORÇ)'!J414)</f>
        <v xml:space="preserve"> </v>
      </c>
      <c r="K433" s="544">
        <f>'M&amp;V (ORÇ)'!K414</f>
        <v>0</v>
      </c>
      <c r="L433" s="543">
        <f>'M&amp;V (ORÇ)'!L414</f>
        <v>0</v>
      </c>
      <c r="M433" s="131">
        <f t="shared" si="30"/>
        <v>0</v>
      </c>
      <c r="N433" s="133">
        <f t="shared" si="31"/>
        <v>0</v>
      </c>
      <c r="O433" s="132"/>
      <c r="P433" s="132"/>
    </row>
    <row r="434" spans="2:16" x14ac:dyDescent="0.25">
      <c r="B434" s="128">
        <v>14</v>
      </c>
      <c r="C434" s="1075" t="str">
        <f>IF(ISBLANK('M&amp;V (ORÇ)'!C415)," ",'M&amp;V (ORÇ)'!C415)</f>
        <v xml:space="preserve"> </v>
      </c>
      <c r="D434" s="1076"/>
      <c r="E434" s="1076"/>
      <c r="F434" s="1076"/>
      <c r="G434" s="1076"/>
      <c r="H434" s="1077"/>
      <c r="I434" s="542" t="str">
        <f>IF(ISBLANK('M&amp;V (ORÇ)'!I415)," ",'M&amp;V (ORÇ)'!I415)</f>
        <v xml:space="preserve"> </v>
      </c>
      <c r="J434" s="542" t="str">
        <f>IF(ISBLANK('M&amp;V (ORÇ)'!J415)," ",'M&amp;V (ORÇ)'!J415)</f>
        <v xml:space="preserve"> </v>
      </c>
      <c r="K434" s="544">
        <f>'M&amp;V (ORÇ)'!K415</f>
        <v>0</v>
      </c>
      <c r="L434" s="543">
        <f>'M&amp;V (ORÇ)'!L415</f>
        <v>0</v>
      </c>
      <c r="M434" s="131">
        <f t="shared" si="30"/>
        <v>0</v>
      </c>
      <c r="N434" s="133">
        <f t="shared" si="31"/>
        <v>0</v>
      </c>
      <c r="O434" s="132"/>
      <c r="P434" s="132"/>
    </row>
    <row r="435" spans="2:16" x14ac:dyDescent="0.25">
      <c r="B435" s="128">
        <v>15</v>
      </c>
      <c r="C435" s="1075" t="str">
        <f>IF(ISBLANK('M&amp;V (ORÇ)'!C416)," ",'M&amp;V (ORÇ)'!C416)</f>
        <v xml:space="preserve"> </v>
      </c>
      <c r="D435" s="1076"/>
      <c r="E435" s="1076"/>
      <c r="F435" s="1076"/>
      <c r="G435" s="1076"/>
      <c r="H435" s="1077"/>
      <c r="I435" s="542" t="str">
        <f>IF(ISBLANK('M&amp;V (ORÇ)'!I416)," ",'M&amp;V (ORÇ)'!I416)</f>
        <v xml:space="preserve"> </v>
      </c>
      <c r="J435" s="542" t="str">
        <f>IF(ISBLANK('M&amp;V (ORÇ)'!J416)," ",'M&amp;V (ORÇ)'!J416)</f>
        <v xml:space="preserve"> </v>
      </c>
      <c r="K435" s="544">
        <f>'M&amp;V (ORÇ)'!K416</f>
        <v>0</v>
      </c>
      <c r="L435" s="543">
        <f>'M&amp;V (ORÇ)'!L416</f>
        <v>0</v>
      </c>
      <c r="M435" s="131">
        <f t="shared" si="30"/>
        <v>0</v>
      </c>
      <c r="N435" s="133">
        <f t="shared" si="31"/>
        <v>0</v>
      </c>
      <c r="O435" s="132"/>
      <c r="P435" s="132"/>
    </row>
    <row r="436" spans="2:16" x14ac:dyDescent="0.25">
      <c r="B436" s="128">
        <v>16</v>
      </c>
      <c r="C436" s="1075" t="str">
        <f>IF(ISBLANK('M&amp;V (ORÇ)'!C417)," ",'M&amp;V (ORÇ)'!C417)</f>
        <v xml:space="preserve"> </v>
      </c>
      <c r="D436" s="1076"/>
      <c r="E436" s="1076"/>
      <c r="F436" s="1076"/>
      <c r="G436" s="1076"/>
      <c r="H436" s="1077"/>
      <c r="I436" s="542" t="str">
        <f>IF(ISBLANK('M&amp;V (ORÇ)'!I417)," ",'M&amp;V (ORÇ)'!I417)</f>
        <v xml:space="preserve"> </v>
      </c>
      <c r="J436" s="542" t="str">
        <f>IF(ISBLANK('M&amp;V (ORÇ)'!J417)," ",'M&amp;V (ORÇ)'!J417)</f>
        <v xml:space="preserve"> </v>
      </c>
      <c r="K436" s="544">
        <f>'M&amp;V (ORÇ)'!K417</f>
        <v>0</v>
      </c>
      <c r="L436" s="543">
        <f>'M&amp;V (ORÇ)'!L417</f>
        <v>0</v>
      </c>
      <c r="M436" s="131">
        <f t="shared" si="30"/>
        <v>0</v>
      </c>
      <c r="N436" s="133">
        <f t="shared" si="31"/>
        <v>0</v>
      </c>
      <c r="O436" s="132"/>
      <c r="P436" s="132"/>
    </row>
    <row r="437" spans="2:16" x14ac:dyDescent="0.25">
      <c r="B437" s="128">
        <v>17</v>
      </c>
      <c r="C437" s="1075" t="str">
        <f>IF(ISBLANK('M&amp;V (ORÇ)'!C418)," ",'M&amp;V (ORÇ)'!C418)</f>
        <v xml:space="preserve"> </v>
      </c>
      <c r="D437" s="1076"/>
      <c r="E437" s="1076"/>
      <c r="F437" s="1076"/>
      <c r="G437" s="1076"/>
      <c r="H437" s="1077"/>
      <c r="I437" s="542" t="str">
        <f>IF(ISBLANK('M&amp;V (ORÇ)'!I418)," ",'M&amp;V (ORÇ)'!I418)</f>
        <v xml:space="preserve"> </v>
      </c>
      <c r="J437" s="542" t="str">
        <f>IF(ISBLANK('M&amp;V (ORÇ)'!J418)," ",'M&amp;V (ORÇ)'!J418)</f>
        <v xml:space="preserve"> </v>
      </c>
      <c r="K437" s="544">
        <f>'M&amp;V (ORÇ)'!K418</f>
        <v>0</v>
      </c>
      <c r="L437" s="543">
        <f>'M&amp;V (ORÇ)'!L418</f>
        <v>0</v>
      </c>
      <c r="M437" s="131">
        <f t="shared" si="30"/>
        <v>0</v>
      </c>
      <c r="N437" s="133">
        <f t="shared" si="31"/>
        <v>0</v>
      </c>
      <c r="O437" s="132"/>
      <c r="P437" s="132"/>
    </row>
    <row r="438" spans="2:16" x14ac:dyDescent="0.25">
      <c r="B438" s="128">
        <v>18</v>
      </c>
      <c r="C438" s="1075" t="str">
        <f>IF(ISBLANK('M&amp;V (ORÇ)'!C419)," ",'M&amp;V (ORÇ)'!C419)</f>
        <v xml:space="preserve"> </v>
      </c>
      <c r="D438" s="1076"/>
      <c r="E438" s="1076"/>
      <c r="F438" s="1076"/>
      <c r="G438" s="1076"/>
      <c r="H438" s="1077"/>
      <c r="I438" s="542" t="str">
        <f>IF(ISBLANK('M&amp;V (ORÇ)'!I419)," ",'M&amp;V (ORÇ)'!I419)</f>
        <v xml:space="preserve"> </v>
      </c>
      <c r="J438" s="542" t="str">
        <f>IF(ISBLANK('M&amp;V (ORÇ)'!J419)," ",'M&amp;V (ORÇ)'!J419)</f>
        <v xml:space="preserve"> </v>
      </c>
      <c r="K438" s="544">
        <f>'M&amp;V (ORÇ)'!K419</f>
        <v>0</v>
      </c>
      <c r="L438" s="543">
        <f>'M&amp;V (ORÇ)'!L419</f>
        <v>0</v>
      </c>
      <c r="M438" s="131">
        <f t="shared" si="30"/>
        <v>0</v>
      </c>
      <c r="N438" s="133">
        <f t="shared" si="31"/>
        <v>0</v>
      </c>
      <c r="O438" s="132"/>
      <c r="P438" s="132"/>
    </row>
    <row r="439" spans="2:16" x14ac:dyDescent="0.25">
      <c r="B439" s="128">
        <v>19</v>
      </c>
      <c r="C439" s="1075" t="str">
        <f>IF(ISBLANK('M&amp;V (ORÇ)'!C420)," ",'M&amp;V (ORÇ)'!C420)</f>
        <v xml:space="preserve"> </v>
      </c>
      <c r="D439" s="1076"/>
      <c r="E439" s="1076"/>
      <c r="F439" s="1076"/>
      <c r="G439" s="1076"/>
      <c r="H439" s="1077"/>
      <c r="I439" s="542" t="str">
        <f>IF(ISBLANK('M&amp;V (ORÇ)'!I420)," ",'M&amp;V (ORÇ)'!I420)</f>
        <v xml:space="preserve"> </v>
      </c>
      <c r="J439" s="542" t="str">
        <f>IF(ISBLANK('M&amp;V (ORÇ)'!J420)," ",'M&amp;V (ORÇ)'!J420)</f>
        <v xml:space="preserve"> </v>
      </c>
      <c r="K439" s="544">
        <f>'M&amp;V (ORÇ)'!K420</f>
        <v>0</v>
      </c>
      <c r="L439" s="543">
        <f>'M&amp;V (ORÇ)'!L420</f>
        <v>0</v>
      </c>
      <c r="M439" s="131">
        <f t="shared" si="30"/>
        <v>0</v>
      </c>
      <c r="N439" s="133">
        <f t="shared" si="31"/>
        <v>0</v>
      </c>
      <c r="O439" s="132"/>
      <c r="P439" s="132"/>
    </row>
    <row r="440" spans="2:16" x14ac:dyDescent="0.25">
      <c r="B440" s="128">
        <v>20</v>
      </c>
      <c r="C440" s="1075" t="str">
        <f>IF(ISBLANK('M&amp;V (ORÇ)'!C421)," ",'M&amp;V (ORÇ)'!C421)</f>
        <v xml:space="preserve"> </v>
      </c>
      <c r="D440" s="1076"/>
      <c r="E440" s="1076"/>
      <c r="F440" s="1076"/>
      <c r="G440" s="1076"/>
      <c r="H440" s="1077"/>
      <c r="I440" s="542" t="str">
        <f>IF(ISBLANK('M&amp;V (ORÇ)'!I421)," ",'M&amp;V (ORÇ)'!I421)</f>
        <v xml:space="preserve"> </v>
      </c>
      <c r="J440" s="542" t="str">
        <f>IF(ISBLANK('M&amp;V (ORÇ)'!J421)," ",'M&amp;V (ORÇ)'!J421)</f>
        <v xml:space="preserve"> </v>
      </c>
      <c r="K440" s="544">
        <f>'M&amp;V (ORÇ)'!K421</f>
        <v>0</v>
      </c>
      <c r="L440" s="543">
        <f>'M&amp;V (ORÇ)'!L421</f>
        <v>0</v>
      </c>
      <c r="M440" s="131">
        <f t="shared" si="30"/>
        <v>0</v>
      </c>
      <c r="N440" s="133">
        <f t="shared" si="31"/>
        <v>0</v>
      </c>
      <c r="O440" s="132"/>
      <c r="P440" s="132"/>
    </row>
    <row r="441" spans="2:16" x14ac:dyDescent="0.25">
      <c r="B441" s="134"/>
      <c r="C441" s="1078" t="s">
        <v>259</v>
      </c>
      <c r="D441" s="1078"/>
      <c r="E441" s="1078"/>
      <c r="F441" s="1078"/>
      <c r="G441" s="1078"/>
      <c r="H441" s="1078"/>
      <c r="I441" s="1078"/>
      <c r="J441" s="1078"/>
      <c r="K441" s="1078"/>
      <c r="L441" s="1079"/>
      <c r="M441" s="135">
        <f>SUM(M421:M430)</f>
        <v>0</v>
      </c>
      <c r="N441" s="136">
        <f>SUM(N421:N430)</f>
        <v>0</v>
      </c>
      <c r="O441" s="136">
        <f>SUM(O421:O430)</f>
        <v>0</v>
      </c>
      <c r="P441" s="136">
        <f>SUM(P421:P430)</f>
        <v>0</v>
      </c>
    </row>
    <row r="442" spans="2:16" x14ac:dyDescent="0.25">
      <c r="B442" s="137"/>
      <c r="C442" s="1111" t="s">
        <v>260</v>
      </c>
      <c r="D442" s="1111"/>
      <c r="E442" s="1111"/>
      <c r="F442" s="1111"/>
      <c r="G442" s="1111"/>
      <c r="H442" s="1111"/>
      <c r="I442" s="1111"/>
      <c r="J442" s="1111"/>
      <c r="K442" s="1111"/>
      <c r="L442" s="1112"/>
      <c r="M442" s="138">
        <f>SUM(M418,M441)</f>
        <v>0</v>
      </c>
      <c r="N442" s="139">
        <f>SUM(N418,N441)</f>
        <v>0</v>
      </c>
      <c r="O442" s="139">
        <f>SUM(O418,O441)</f>
        <v>0</v>
      </c>
      <c r="P442" s="139">
        <f>SUM(P418,P441)</f>
        <v>0</v>
      </c>
    </row>
    <row r="443" spans="2:16" x14ac:dyDescent="0.25">
      <c r="B443" s="1060" t="s">
        <v>993</v>
      </c>
      <c r="C443" s="1061"/>
      <c r="D443" s="1061"/>
      <c r="E443" s="1061"/>
      <c r="F443" s="1061"/>
      <c r="G443" s="1061"/>
      <c r="H443" s="1061"/>
      <c r="I443" s="1061"/>
      <c r="J443" s="1061"/>
      <c r="K443" s="1061"/>
      <c r="L443" s="1061"/>
      <c r="M443" s="1061"/>
      <c r="N443" s="1061"/>
      <c r="O443" s="1061"/>
      <c r="P443" s="1062"/>
    </row>
    <row r="444" spans="2:16" x14ac:dyDescent="0.25">
      <c r="B444" s="1104" t="s">
        <v>243</v>
      </c>
      <c r="C444" s="1105"/>
      <c r="D444" s="1105"/>
      <c r="E444" s="1105"/>
      <c r="F444" s="1105"/>
      <c r="G444" s="1105"/>
      <c r="H444" s="1105"/>
      <c r="I444" s="1105"/>
      <c r="J444" s="1105"/>
      <c r="K444" s="1105"/>
      <c r="L444" s="1105"/>
      <c r="M444" s="1105"/>
      <c r="N444" s="1105"/>
      <c r="O444" s="1105" t="str">
        <f>B444</f>
        <v>PERÍODO PÓS-RETROFIT</v>
      </c>
      <c r="P444" s="1106"/>
    </row>
    <row r="445" spans="2:16" x14ac:dyDescent="0.25">
      <c r="B445" s="1043" t="s">
        <v>235</v>
      </c>
      <c r="C445" s="1044"/>
      <c r="D445" s="1044"/>
      <c r="E445" s="1044"/>
      <c r="F445" s="1044"/>
      <c r="G445" s="1044"/>
      <c r="H445" s="1045"/>
      <c r="I445" s="557" t="s">
        <v>236</v>
      </c>
      <c r="J445" s="126" t="s">
        <v>237</v>
      </c>
      <c r="K445" s="126" t="s">
        <v>238</v>
      </c>
      <c r="L445" s="126" t="s">
        <v>239</v>
      </c>
      <c r="M445" s="126" t="s">
        <v>0</v>
      </c>
      <c r="N445" s="328" t="s">
        <v>796</v>
      </c>
      <c r="O445" s="328" t="s">
        <v>240</v>
      </c>
      <c r="P445" s="329" t="s">
        <v>241</v>
      </c>
    </row>
    <row r="446" spans="2:16" x14ac:dyDescent="0.25">
      <c r="B446" s="128">
        <v>1</v>
      </c>
      <c r="C446" s="1075" t="str">
        <f>IF(ISBLANK('M&amp;V (ORÇ)'!C425)," ",'M&amp;V (ORÇ)'!C425)</f>
        <v>Sistema fotovoltaico</v>
      </c>
      <c r="D446" s="1076"/>
      <c r="E446" s="1076"/>
      <c r="F446" s="1076"/>
      <c r="G446" s="1076"/>
      <c r="H446" s="1077"/>
      <c r="I446" s="542">
        <f>IF(ISBLANK('M&amp;V (ORÇ)'!I425)," ",'M&amp;V (ORÇ)'!I425)</f>
        <v>1</v>
      </c>
      <c r="J446" s="542">
        <f>IF(ISBLANK('M&amp;V (ORÇ)'!J425)," ",'M&amp;V (ORÇ)'!J425)</f>
        <v>1</v>
      </c>
      <c r="K446" s="544">
        <f>'M&amp;V (ORÇ)'!K425</f>
        <v>1</v>
      </c>
      <c r="L446" s="543">
        <f>'M&amp;V (ORÇ)'!L425</f>
        <v>2500</v>
      </c>
      <c r="M446" s="131">
        <f>IF(J446="",0,K446*L446)</f>
        <v>2500</v>
      </c>
      <c r="N446" s="133">
        <f t="shared" ref="N446:N465" si="32">M446-O446-P446</f>
        <v>2500</v>
      </c>
      <c r="O446" s="132"/>
      <c r="P446" s="132"/>
    </row>
    <row r="447" spans="2:16" x14ac:dyDescent="0.25">
      <c r="B447" s="128">
        <v>2</v>
      </c>
      <c r="C447" s="1075" t="str">
        <f>IF(ISBLANK('M&amp;V (ORÇ)'!C426)," ",'M&amp;V (ORÇ)'!C426)</f>
        <v xml:space="preserve"> </v>
      </c>
      <c r="D447" s="1076"/>
      <c r="E447" s="1076"/>
      <c r="F447" s="1076"/>
      <c r="G447" s="1076"/>
      <c r="H447" s="1077"/>
      <c r="I447" s="542" t="str">
        <f>IF(ISBLANK('M&amp;V (ORÇ)'!I426)," ",'M&amp;V (ORÇ)'!I426)</f>
        <v xml:space="preserve"> </v>
      </c>
      <c r="J447" s="542" t="str">
        <f>IF(ISBLANK('M&amp;V (ORÇ)'!J426)," ",'M&amp;V (ORÇ)'!J426)</f>
        <v xml:space="preserve"> </v>
      </c>
      <c r="K447" s="544">
        <f>'M&amp;V (ORÇ)'!K426</f>
        <v>0</v>
      </c>
      <c r="L447" s="543">
        <f>'M&amp;V (ORÇ)'!L426</f>
        <v>0</v>
      </c>
      <c r="M447" s="131">
        <f t="shared" ref="M447:M465" si="33">IF(J447="",0,K447*L447)</f>
        <v>0</v>
      </c>
      <c r="N447" s="133">
        <f t="shared" si="32"/>
        <v>0</v>
      </c>
      <c r="O447" s="132"/>
      <c r="P447" s="132"/>
    </row>
    <row r="448" spans="2:16" x14ac:dyDescent="0.25">
      <c r="B448" s="128">
        <v>3</v>
      </c>
      <c r="C448" s="1075" t="str">
        <f>IF(ISBLANK('M&amp;V (ORÇ)'!C427)," ",'M&amp;V (ORÇ)'!C427)</f>
        <v xml:space="preserve"> </v>
      </c>
      <c r="D448" s="1076"/>
      <c r="E448" s="1076"/>
      <c r="F448" s="1076"/>
      <c r="G448" s="1076"/>
      <c r="H448" s="1077"/>
      <c r="I448" s="542" t="str">
        <f>IF(ISBLANK('M&amp;V (ORÇ)'!I427)," ",'M&amp;V (ORÇ)'!I427)</f>
        <v xml:space="preserve"> </v>
      </c>
      <c r="J448" s="542" t="str">
        <f>IF(ISBLANK('M&amp;V (ORÇ)'!J427)," ",'M&amp;V (ORÇ)'!J427)</f>
        <v xml:space="preserve"> </v>
      </c>
      <c r="K448" s="544">
        <f>'M&amp;V (ORÇ)'!K427</f>
        <v>0</v>
      </c>
      <c r="L448" s="543">
        <f>'M&amp;V (ORÇ)'!L427</f>
        <v>0</v>
      </c>
      <c r="M448" s="131">
        <f t="shared" si="33"/>
        <v>0</v>
      </c>
      <c r="N448" s="133">
        <f t="shared" si="32"/>
        <v>0</v>
      </c>
      <c r="O448" s="132"/>
      <c r="P448" s="132"/>
    </row>
    <row r="449" spans="2:16" x14ac:dyDescent="0.25">
      <c r="B449" s="128">
        <v>4</v>
      </c>
      <c r="C449" s="1075" t="str">
        <f>IF(ISBLANK('M&amp;V (ORÇ)'!C428)," ",'M&amp;V (ORÇ)'!C428)</f>
        <v xml:space="preserve"> </v>
      </c>
      <c r="D449" s="1076"/>
      <c r="E449" s="1076"/>
      <c r="F449" s="1076"/>
      <c r="G449" s="1076"/>
      <c r="H449" s="1077"/>
      <c r="I449" s="542" t="str">
        <f>IF(ISBLANK('M&amp;V (ORÇ)'!I428)," ",'M&amp;V (ORÇ)'!I428)</f>
        <v xml:space="preserve"> </v>
      </c>
      <c r="J449" s="542" t="str">
        <f>IF(ISBLANK('M&amp;V (ORÇ)'!J428)," ",'M&amp;V (ORÇ)'!J428)</f>
        <v xml:space="preserve"> </v>
      </c>
      <c r="K449" s="544">
        <f>'M&amp;V (ORÇ)'!K428</f>
        <v>0</v>
      </c>
      <c r="L449" s="543">
        <f>'M&amp;V (ORÇ)'!L428</f>
        <v>0</v>
      </c>
      <c r="M449" s="131">
        <f t="shared" si="33"/>
        <v>0</v>
      </c>
      <c r="N449" s="133">
        <f t="shared" si="32"/>
        <v>0</v>
      </c>
      <c r="O449" s="132"/>
      <c r="P449" s="132"/>
    </row>
    <row r="450" spans="2:16" x14ac:dyDescent="0.25">
      <c r="B450" s="128">
        <v>5</v>
      </c>
      <c r="C450" s="1075" t="str">
        <f>IF(ISBLANK('M&amp;V (ORÇ)'!C429)," ",'M&amp;V (ORÇ)'!C429)</f>
        <v xml:space="preserve"> </v>
      </c>
      <c r="D450" s="1076"/>
      <c r="E450" s="1076"/>
      <c r="F450" s="1076"/>
      <c r="G450" s="1076"/>
      <c r="H450" s="1077"/>
      <c r="I450" s="542" t="str">
        <f>IF(ISBLANK('M&amp;V (ORÇ)'!I429)," ",'M&amp;V (ORÇ)'!I429)</f>
        <v xml:space="preserve"> </v>
      </c>
      <c r="J450" s="542" t="str">
        <f>IF(ISBLANK('M&amp;V (ORÇ)'!J429)," ",'M&amp;V (ORÇ)'!J429)</f>
        <v xml:space="preserve"> </v>
      </c>
      <c r="K450" s="544">
        <f>'M&amp;V (ORÇ)'!K429</f>
        <v>0</v>
      </c>
      <c r="L450" s="543">
        <f>'M&amp;V (ORÇ)'!L429</f>
        <v>0</v>
      </c>
      <c r="M450" s="131">
        <f t="shared" si="33"/>
        <v>0</v>
      </c>
      <c r="N450" s="133">
        <f t="shared" si="32"/>
        <v>0</v>
      </c>
      <c r="O450" s="132"/>
      <c r="P450" s="132"/>
    </row>
    <row r="451" spans="2:16" x14ac:dyDescent="0.25">
      <c r="B451" s="128">
        <v>6</v>
      </c>
      <c r="C451" s="1075" t="str">
        <f>IF(ISBLANK('M&amp;V (ORÇ)'!C430)," ",'M&amp;V (ORÇ)'!C430)</f>
        <v xml:space="preserve"> </v>
      </c>
      <c r="D451" s="1076"/>
      <c r="E451" s="1076"/>
      <c r="F451" s="1076"/>
      <c r="G451" s="1076"/>
      <c r="H451" s="1077"/>
      <c r="I451" s="542" t="str">
        <f>IF(ISBLANK('M&amp;V (ORÇ)'!I430)," ",'M&amp;V (ORÇ)'!I430)</f>
        <v xml:space="preserve"> </v>
      </c>
      <c r="J451" s="542" t="str">
        <f>IF(ISBLANK('M&amp;V (ORÇ)'!J430)," ",'M&amp;V (ORÇ)'!J430)</f>
        <v xml:space="preserve"> </v>
      </c>
      <c r="K451" s="544">
        <f>'M&amp;V (ORÇ)'!K430</f>
        <v>0</v>
      </c>
      <c r="L451" s="543">
        <f>'M&amp;V (ORÇ)'!L430</f>
        <v>0</v>
      </c>
      <c r="M451" s="131">
        <f t="shared" si="33"/>
        <v>0</v>
      </c>
      <c r="N451" s="133">
        <f t="shared" si="32"/>
        <v>0</v>
      </c>
      <c r="O451" s="132"/>
      <c r="P451" s="132"/>
    </row>
    <row r="452" spans="2:16" x14ac:dyDescent="0.25">
      <c r="B452" s="128">
        <v>7</v>
      </c>
      <c r="C452" s="1075" t="str">
        <f>IF(ISBLANK('M&amp;V (ORÇ)'!C431)," ",'M&amp;V (ORÇ)'!C431)</f>
        <v xml:space="preserve"> </v>
      </c>
      <c r="D452" s="1076"/>
      <c r="E452" s="1076"/>
      <c r="F452" s="1076"/>
      <c r="G452" s="1076"/>
      <c r="H452" s="1077"/>
      <c r="I452" s="542" t="str">
        <f>IF(ISBLANK('M&amp;V (ORÇ)'!I431)," ",'M&amp;V (ORÇ)'!I431)</f>
        <v xml:space="preserve"> </v>
      </c>
      <c r="J452" s="542" t="str">
        <f>IF(ISBLANK('M&amp;V (ORÇ)'!J431)," ",'M&amp;V (ORÇ)'!J431)</f>
        <v xml:space="preserve"> </v>
      </c>
      <c r="K452" s="544">
        <f>'M&amp;V (ORÇ)'!K431</f>
        <v>0</v>
      </c>
      <c r="L452" s="543">
        <f>'M&amp;V (ORÇ)'!L431</f>
        <v>0</v>
      </c>
      <c r="M452" s="131">
        <f t="shared" si="33"/>
        <v>0</v>
      </c>
      <c r="N452" s="133">
        <f t="shared" si="32"/>
        <v>0</v>
      </c>
      <c r="O452" s="132"/>
      <c r="P452" s="132"/>
    </row>
    <row r="453" spans="2:16" x14ac:dyDescent="0.25">
      <c r="B453" s="128">
        <v>8</v>
      </c>
      <c r="C453" s="1075" t="str">
        <f>IF(ISBLANK('M&amp;V (ORÇ)'!C432)," ",'M&amp;V (ORÇ)'!C432)</f>
        <v xml:space="preserve"> </v>
      </c>
      <c r="D453" s="1076"/>
      <c r="E453" s="1076"/>
      <c r="F453" s="1076"/>
      <c r="G453" s="1076"/>
      <c r="H453" s="1077"/>
      <c r="I453" s="542" t="str">
        <f>IF(ISBLANK('M&amp;V (ORÇ)'!I432)," ",'M&amp;V (ORÇ)'!I432)</f>
        <v xml:space="preserve"> </v>
      </c>
      <c r="J453" s="542" t="str">
        <f>IF(ISBLANK('M&amp;V (ORÇ)'!J432)," ",'M&amp;V (ORÇ)'!J432)</f>
        <v xml:space="preserve"> </v>
      </c>
      <c r="K453" s="544">
        <f>'M&amp;V (ORÇ)'!K432</f>
        <v>0</v>
      </c>
      <c r="L453" s="543">
        <f>'M&amp;V (ORÇ)'!L432</f>
        <v>0</v>
      </c>
      <c r="M453" s="131">
        <f t="shared" si="33"/>
        <v>0</v>
      </c>
      <c r="N453" s="133">
        <f t="shared" si="32"/>
        <v>0</v>
      </c>
      <c r="O453" s="132"/>
      <c r="P453" s="132"/>
    </row>
    <row r="454" spans="2:16" x14ac:dyDescent="0.25">
      <c r="B454" s="128">
        <v>9</v>
      </c>
      <c r="C454" s="1075" t="str">
        <f>IF(ISBLANK('M&amp;V (ORÇ)'!C433)," ",'M&amp;V (ORÇ)'!C433)</f>
        <v xml:space="preserve"> </v>
      </c>
      <c r="D454" s="1076"/>
      <c r="E454" s="1076"/>
      <c r="F454" s="1076"/>
      <c r="G454" s="1076"/>
      <c r="H454" s="1077"/>
      <c r="I454" s="542" t="str">
        <f>IF(ISBLANK('M&amp;V (ORÇ)'!I433)," ",'M&amp;V (ORÇ)'!I433)</f>
        <v xml:space="preserve"> </v>
      </c>
      <c r="J454" s="542" t="str">
        <f>IF(ISBLANK('M&amp;V (ORÇ)'!J433)," ",'M&amp;V (ORÇ)'!J433)</f>
        <v xml:space="preserve"> </v>
      </c>
      <c r="K454" s="544">
        <f>'M&amp;V (ORÇ)'!K433</f>
        <v>0</v>
      </c>
      <c r="L454" s="543">
        <f>'M&amp;V (ORÇ)'!L433</f>
        <v>0</v>
      </c>
      <c r="M454" s="131">
        <f t="shared" si="33"/>
        <v>0</v>
      </c>
      <c r="N454" s="133">
        <f t="shared" si="32"/>
        <v>0</v>
      </c>
      <c r="O454" s="132"/>
      <c r="P454" s="132"/>
    </row>
    <row r="455" spans="2:16" x14ac:dyDescent="0.25">
      <c r="B455" s="128">
        <v>10</v>
      </c>
      <c r="C455" s="1075" t="str">
        <f>IF(ISBLANK('M&amp;V (ORÇ)'!C434)," ",'M&amp;V (ORÇ)'!C434)</f>
        <v xml:space="preserve"> </v>
      </c>
      <c r="D455" s="1076"/>
      <c r="E455" s="1076"/>
      <c r="F455" s="1076"/>
      <c r="G455" s="1076"/>
      <c r="H455" s="1077"/>
      <c r="I455" s="542" t="str">
        <f>IF(ISBLANK('M&amp;V (ORÇ)'!I434)," ",'M&amp;V (ORÇ)'!I434)</f>
        <v xml:space="preserve"> </v>
      </c>
      <c r="J455" s="542" t="str">
        <f>IF(ISBLANK('M&amp;V (ORÇ)'!J434)," ",'M&amp;V (ORÇ)'!J434)</f>
        <v xml:space="preserve"> </v>
      </c>
      <c r="K455" s="544">
        <f>'M&amp;V (ORÇ)'!K434</f>
        <v>0</v>
      </c>
      <c r="L455" s="543">
        <f>'M&amp;V (ORÇ)'!L434</f>
        <v>0</v>
      </c>
      <c r="M455" s="131">
        <f t="shared" si="33"/>
        <v>0</v>
      </c>
      <c r="N455" s="133">
        <f t="shared" si="32"/>
        <v>0</v>
      </c>
      <c r="O455" s="132"/>
      <c r="P455" s="132"/>
    </row>
    <row r="456" spans="2:16" x14ac:dyDescent="0.25">
      <c r="B456" s="128">
        <v>11</v>
      </c>
      <c r="C456" s="1075" t="str">
        <f>IF(ISBLANK('M&amp;V (ORÇ)'!C435)," ",'M&amp;V (ORÇ)'!C435)</f>
        <v xml:space="preserve"> </v>
      </c>
      <c r="D456" s="1076"/>
      <c r="E456" s="1076"/>
      <c r="F456" s="1076"/>
      <c r="G456" s="1076"/>
      <c r="H456" s="1077"/>
      <c r="I456" s="542" t="str">
        <f>IF(ISBLANK('M&amp;V (ORÇ)'!I435)," ",'M&amp;V (ORÇ)'!I435)</f>
        <v xml:space="preserve"> </v>
      </c>
      <c r="J456" s="542" t="str">
        <f>IF(ISBLANK('M&amp;V (ORÇ)'!J435)," ",'M&amp;V (ORÇ)'!J435)</f>
        <v xml:space="preserve"> </v>
      </c>
      <c r="K456" s="544">
        <f>'M&amp;V (ORÇ)'!K435</f>
        <v>0</v>
      </c>
      <c r="L456" s="543">
        <f>'M&amp;V (ORÇ)'!L435</f>
        <v>0</v>
      </c>
      <c r="M456" s="131">
        <f t="shared" si="33"/>
        <v>0</v>
      </c>
      <c r="N456" s="133">
        <f t="shared" si="32"/>
        <v>0</v>
      </c>
      <c r="O456" s="132"/>
      <c r="P456" s="132"/>
    </row>
    <row r="457" spans="2:16" x14ac:dyDescent="0.25">
      <c r="B457" s="128">
        <v>12</v>
      </c>
      <c r="C457" s="1075" t="str">
        <f>IF(ISBLANK('M&amp;V (ORÇ)'!C436)," ",'M&amp;V (ORÇ)'!C436)</f>
        <v xml:space="preserve"> </v>
      </c>
      <c r="D457" s="1076"/>
      <c r="E457" s="1076"/>
      <c r="F457" s="1076"/>
      <c r="G457" s="1076"/>
      <c r="H457" s="1077"/>
      <c r="I457" s="542" t="str">
        <f>IF(ISBLANK('M&amp;V (ORÇ)'!I436)," ",'M&amp;V (ORÇ)'!I436)</f>
        <v xml:space="preserve"> </v>
      </c>
      <c r="J457" s="542" t="str">
        <f>IF(ISBLANK('M&amp;V (ORÇ)'!J436)," ",'M&amp;V (ORÇ)'!J436)</f>
        <v xml:space="preserve"> </v>
      </c>
      <c r="K457" s="544">
        <f>'M&amp;V (ORÇ)'!K436</f>
        <v>0</v>
      </c>
      <c r="L457" s="543">
        <f>'M&amp;V (ORÇ)'!L436</f>
        <v>0</v>
      </c>
      <c r="M457" s="131">
        <f t="shared" si="33"/>
        <v>0</v>
      </c>
      <c r="N457" s="133">
        <f t="shared" si="32"/>
        <v>0</v>
      </c>
      <c r="O457" s="132"/>
      <c r="P457" s="132"/>
    </row>
    <row r="458" spans="2:16" x14ac:dyDescent="0.25">
      <c r="B458" s="128">
        <v>13</v>
      </c>
      <c r="C458" s="1075" t="str">
        <f>IF(ISBLANK('M&amp;V (ORÇ)'!C437)," ",'M&amp;V (ORÇ)'!C437)</f>
        <v xml:space="preserve"> </v>
      </c>
      <c r="D458" s="1076"/>
      <c r="E458" s="1076"/>
      <c r="F458" s="1076"/>
      <c r="G458" s="1076"/>
      <c r="H458" s="1077"/>
      <c r="I458" s="542" t="str">
        <f>IF(ISBLANK('M&amp;V (ORÇ)'!I437)," ",'M&amp;V (ORÇ)'!I437)</f>
        <v xml:space="preserve"> </v>
      </c>
      <c r="J458" s="542" t="str">
        <f>IF(ISBLANK('M&amp;V (ORÇ)'!J437)," ",'M&amp;V (ORÇ)'!J437)</f>
        <v xml:space="preserve"> </v>
      </c>
      <c r="K458" s="544">
        <f>'M&amp;V (ORÇ)'!K437</f>
        <v>0</v>
      </c>
      <c r="L458" s="543">
        <f>'M&amp;V (ORÇ)'!L437</f>
        <v>0</v>
      </c>
      <c r="M458" s="131">
        <f t="shared" si="33"/>
        <v>0</v>
      </c>
      <c r="N458" s="133">
        <f t="shared" si="32"/>
        <v>0</v>
      </c>
      <c r="O458" s="132"/>
      <c r="P458" s="132"/>
    </row>
    <row r="459" spans="2:16" x14ac:dyDescent="0.25">
      <c r="B459" s="128">
        <v>14</v>
      </c>
      <c r="C459" s="1075" t="str">
        <f>IF(ISBLANK('M&amp;V (ORÇ)'!C438)," ",'M&amp;V (ORÇ)'!C438)</f>
        <v xml:space="preserve"> </v>
      </c>
      <c r="D459" s="1076"/>
      <c r="E459" s="1076"/>
      <c r="F459" s="1076"/>
      <c r="G459" s="1076"/>
      <c r="H459" s="1077"/>
      <c r="I459" s="542" t="str">
        <f>IF(ISBLANK('M&amp;V (ORÇ)'!I438)," ",'M&amp;V (ORÇ)'!I438)</f>
        <v xml:space="preserve"> </v>
      </c>
      <c r="J459" s="542" t="str">
        <f>IF(ISBLANK('M&amp;V (ORÇ)'!J438)," ",'M&amp;V (ORÇ)'!J438)</f>
        <v xml:space="preserve"> </v>
      </c>
      <c r="K459" s="544">
        <f>'M&amp;V (ORÇ)'!K438</f>
        <v>0</v>
      </c>
      <c r="L459" s="543">
        <f>'M&amp;V (ORÇ)'!L438</f>
        <v>0</v>
      </c>
      <c r="M459" s="131">
        <f t="shared" si="33"/>
        <v>0</v>
      </c>
      <c r="N459" s="133">
        <f t="shared" si="32"/>
        <v>0</v>
      </c>
      <c r="O459" s="132"/>
      <c r="P459" s="132"/>
    </row>
    <row r="460" spans="2:16" x14ac:dyDescent="0.25">
      <c r="B460" s="128">
        <v>15</v>
      </c>
      <c r="C460" s="1075" t="str">
        <f>IF(ISBLANK('M&amp;V (ORÇ)'!C439)," ",'M&amp;V (ORÇ)'!C439)</f>
        <v xml:space="preserve"> </v>
      </c>
      <c r="D460" s="1076"/>
      <c r="E460" s="1076"/>
      <c r="F460" s="1076"/>
      <c r="G460" s="1076"/>
      <c r="H460" s="1077"/>
      <c r="I460" s="542" t="str">
        <f>IF(ISBLANK('M&amp;V (ORÇ)'!I439)," ",'M&amp;V (ORÇ)'!I439)</f>
        <v xml:space="preserve"> </v>
      </c>
      <c r="J460" s="542" t="str">
        <f>IF(ISBLANK('M&amp;V (ORÇ)'!J439)," ",'M&amp;V (ORÇ)'!J439)</f>
        <v xml:space="preserve"> </v>
      </c>
      <c r="K460" s="544">
        <f>'M&amp;V (ORÇ)'!K439</f>
        <v>0</v>
      </c>
      <c r="L460" s="543">
        <f>'M&amp;V (ORÇ)'!L439</f>
        <v>0</v>
      </c>
      <c r="M460" s="131">
        <f t="shared" si="33"/>
        <v>0</v>
      </c>
      <c r="N460" s="133">
        <f t="shared" si="32"/>
        <v>0</v>
      </c>
      <c r="O460" s="132"/>
      <c r="P460" s="132"/>
    </row>
    <row r="461" spans="2:16" x14ac:dyDescent="0.25">
      <c r="B461" s="128">
        <v>16</v>
      </c>
      <c r="C461" s="1075" t="str">
        <f>IF(ISBLANK('M&amp;V (ORÇ)'!C440)," ",'M&amp;V (ORÇ)'!C440)</f>
        <v xml:space="preserve"> </v>
      </c>
      <c r="D461" s="1076"/>
      <c r="E461" s="1076"/>
      <c r="F461" s="1076"/>
      <c r="G461" s="1076"/>
      <c r="H461" s="1077"/>
      <c r="I461" s="542" t="str">
        <f>IF(ISBLANK('M&amp;V (ORÇ)'!I440)," ",'M&amp;V (ORÇ)'!I440)</f>
        <v xml:space="preserve"> </v>
      </c>
      <c r="J461" s="542" t="str">
        <f>IF(ISBLANK('M&amp;V (ORÇ)'!J440)," ",'M&amp;V (ORÇ)'!J440)</f>
        <v xml:space="preserve"> </v>
      </c>
      <c r="K461" s="544">
        <f>'M&amp;V (ORÇ)'!K440</f>
        <v>0</v>
      </c>
      <c r="L461" s="543">
        <f>'M&amp;V (ORÇ)'!L440</f>
        <v>0</v>
      </c>
      <c r="M461" s="131">
        <f t="shared" si="33"/>
        <v>0</v>
      </c>
      <c r="N461" s="133">
        <f t="shared" si="32"/>
        <v>0</v>
      </c>
      <c r="O461" s="132"/>
      <c r="P461" s="132"/>
    </row>
    <row r="462" spans="2:16" x14ac:dyDescent="0.25">
      <c r="B462" s="128">
        <v>17</v>
      </c>
      <c r="C462" s="1075" t="str">
        <f>IF(ISBLANK('M&amp;V (ORÇ)'!C441)," ",'M&amp;V (ORÇ)'!C441)</f>
        <v xml:space="preserve"> </v>
      </c>
      <c r="D462" s="1076"/>
      <c r="E462" s="1076"/>
      <c r="F462" s="1076"/>
      <c r="G462" s="1076"/>
      <c r="H462" s="1077"/>
      <c r="I462" s="542" t="str">
        <f>IF(ISBLANK('M&amp;V (ORÇ)'!I441)," ",'M&amp;V (ORÇ)'!I441)</f>
        <v xml:space="preserve"> </v>
      </c>
      <c r="J462" s="542" t="str">
        <f>IF(ISBLANK('M&amp;V (ORÇ)'!J441)," ",'M&amp;V (ORÇ)'!J441)</f>
        <v xml:space="preserve"> </v>
      </c>
      <c r="K462" s="544">
        <f>'M&amp;V (ORÇ)'!K441</f>
        <v>0</v>
      </c>
      <c r="L462" s="543">
        <f>'M&amp;V (ORÇ)'!L441</f>
        <v>0</v>
      </c>
      <c r="M462" s="131">
        <f t="shared" si="33"/>
        <v>0</v>
      </c>
      <c r="N462" s="133">
        <f t="shared" si="32"/>
        <v>0</v>
      </c>
      <c r="O462" s="132"/>
      <c r="P462" s="132"/>
    </row>
    <row r="463" spans="2:16" x14ac:dyDescent="0.25">
      <c r="B463" s="128">
        <v>18</v>
      </c>
      <c r="C463" s="1075" t="str">
        <f>IF(ISBLANK('M&amp;V (ORÇ)'!C442)," ",'M&amp;V (ORÇ)'!C442)</f>
        <v xml:space="preserve"> </v>
      </c>
      <c r="D463" s="1076"/>
      <c r="E463" s="1076"/>
      <c r="F463" s="1076"/>
      <c r="G463" s="1076"/>
      <c r="H463" s="1077"/>
      <c r="I463" s="542" t="str">
        <f>IF(ISBLANK('M&amp;V (ORÇ)'!I442)," ",'M&amp;V (ORÇ)'!I442)</f>
        <v xml:space="preserve"> </v>
      </c>
      <c r="J463" s="542" t="str">
        <f>IF(ISBLANK('M&amp;V (ORÇ)'!J442)," ",'M&amp;V (ORÇ)'!J442)</f>
        <v xml:space="preserve"> </v>
      </c>
      <c r="K463" s="544">
        <f>'M&amp;V (ORÇ)'!K442</f>
        <v>0</v>
      </c>
      <c r="L463" s="543">
        <f>'M&amp;V (ORÇ)'!L442</f>
        <v>0</v>
      </c>
      <c r="M463" s="131">
        <f t="shared" si="33"/>
        <v>0</v>
      </c>
      <c r="N463" s="133">
        <f t="shared" si="32"/>
        <v>0</v>
      </c>
      <c r="O463" s="132"/>
      <c r="P463" s="132"/>
    </row>
    <row r="464" spans="2:16" x14ac:dyDescent="0.25">
      <c r="B464" s="128">
        <v>19</v>
      </c>
      <c r="C464" s="1075" t="str">
        <f>IF(ISBLANK('M&amp;V (ORÇ)'!C443)," ",'M&amp;V (ORÇ)'!C443)</f>
        <v xml:space="preserve"> </v>
      </c>
      <c r="D464" s="1076"/>
      <c r="E464" s="1076"/>
      <c r="F464" s="1076"/>
      <c r="G464" s="1076"/>
      <c r="H464" s="1077"/>
      <c r="I464" s="542" t="str">
        <f>IF(ISBLANK('M&amp;V (ORÇ)'!I443)," ",'M&amp;V (ORÇ)'!I443)</f>
        <v xml:space="preserve"> </v>
      </c>
      <c r="J464" s="542" t="str">
        <f>IF(ISBLANK('M&amp;V (ORÇ)'!J443)," ",'M&amp;V (ORÇ)'!J443)</f>
        <v xml:space="preserve"> </v>
      </c>
      <c r="K464" s="544">
        <f>'M&amp;V (ORÇ)'!K443</f>
        <v>0</v>
      </c>
      <c r="L464" s="543">
        <f>'M&amp;V (ORÇ)'!L443</f>
        <v>0</v>
      </c>
      <c r="M464" s="131">
        <f t="shared" si="33"/>
        <v>0</v>
      </c>
      <c r="N464" s="133">
        <f t="shared" si="32"/>
        <v>0</v>
      </c>
      <c r="O464" s="132"/>
      <c r="P464" s="132"/>
    </row>
    <row r="465" spans="2:16" x14ac:dyDescent="0.25">
      <c r="B465" s="128">
        <v>20</v>
      </c>
      <c r="C465" s="1075" t="str">
        <f>IF(ISBLANK('M&amp;V (ORÇ)'!C444)," ",'M&amp;V (ORÇ)'!C444)</f>
        <v xml:space="preserve"> </v>
      </c>
      <c r="D465" s="1076"/>
      <c r="E465" s="1076"/>
      <c r="F465" s="1076"/>
      <c r="G465" s="1076"/>
      <c r="H465" s="1077"/>
      <c r="I465" s="542" t="str">
        <f>IF(ISBLANK('M&amp;V (ORÇ)'!I444)," ",'M&amp;V (ORÇ)'!I444)</f>
        <v xml:space="preserve"> </v>
      </c>
      <c r="J465" s="542" t="str">
        <f>IF(ISBLANK('M&amp;V (ORÇ)'!J444)," ",'M&amp;V (ORÇ)'!J444)</f>
        <v xml:space="preserve"> </v>
      </c>
      <c r="K465" s="544">
        <f>'M&amp;V (ORÇ)'!K444</f>
        <v>0</v>
      </c>
      <c r="L465" s="543">
        <f>'M&amp;V (ORÇ)'!L444</f>
        <v>0</v>
      </c>
      <c r="M465" s="131">
        <f t="shared" si="33"/>
        <v>0</v>
      </c>
      <c r="N465" s="133">
        <f t="shared" si="32"/>
        <v>0</v>
      </c>
      <c r="O465" s="132"/>
      <c r="P465" s="132"/>
    </row>
    <row r="466" spans="2:16" x14ac:dyDescent="0.25">
      <c r="B466" s="137"/>
      <c r="C466" s="1111" t="s">
        <v>1030</v>
      </c>
      <c r="D466" s="1111"/>
      <c r="E466" s="1111"/>
      <c r="F466" s="1111"/>
      <c r="G466" s="1111"/>
      <c r="H466" s="1111"/>
      <c r="I466" s="1111"/>
      <c r="J466" s="1111"/>
      <c r="K466" s="1111"/>
      <c r="L466" s="1112"/>
      <c r="M466" s="138">
        <f>SUM(M446:M455)</f>
        <v>2500</v>
      </c>
      <c r="N466" s="139">
        <f>SUM(N446:N455)</f>
        <v>2500</v>
      </c>
      <c r="O466" s="139">
        <f>SUM(O446:O455)</f>
        <v>0</v>
      </c>
      <c r="P466" s="139">
        <f>SUM(P446:P455)</f>
        <v>0</v>
      </c>
    </row>
    <row r="467" spans="2:16" x14ac:dyDescent="0.25">
      <c r="B467" s="140"/>
      <c r="C467" s="1080" t="s">
        <v>680</v>
      </c>
      <c r="D467" s="1080"/>
      <c r="E467" s="1080"/>
      <c r="F467" s="1080"/>
      <c r="G467" s="1080"/>
      <c r="H467" s="1080"/>
      <c r="I467" s="1080"/>
      <c r="J467" s="1080"/>
      <c r="K467" s="1080"/>
      <c r="L467" s="1081"/>
      <c r="M467" s="141">
        <f>SUM(M114,M162,M270,M318,M346,M394,M442,M466)</f>
        <v>9364</v>
      </c>
      <c r="N467" s="141">
        <f t="shared" ref="N467:P467" si="34">SUM(N114,N162,N270,N318,N346,N394,N442,N466)</f>
        <v>9364</v>
      </c>
      <c r="O467" s="141">
        <f t="shared" si="34"/>
        <v>0</v>
      </c>
      <c r="P467" s="141">
        <f t="shared" si="34"/>
        <v>0</v>
      </c>
    </row>
  </sheetData>
  <sheetProtection algorithmName="SHA-512" hashValue="ENXB2P8Ao+f0udgFVZUs0MbCqmqUTwgkLIBzzZgwzbWKSnqlXYVUF4aZEckoA7EsZmKfEwO1ph6+Wg4qL2kxgQ==" saltValue="fdhg+FWBrJi+fKgxm0nczg==" spinCount="100000" sheet="1" objects="1" scenarios="1"/>
  <mergeCells count="465">
    <mergeCell ref="R3:T3"/>
    <mergeCell ref="R4:T4"/>
    <mergeCell ref="C465:H465"/>
    <mergeCell ref="C466:L466"/>
    <mergeCell ref="C456:H456"/>
    <mergeCell ref="C457:H457"/>
    <mergeCell ref="C458:H458"/>
    <mergeCell ref="C459:H459"/>
    <mergeCell ref="C460:H460"/>
    <mergeCell ref="C461:H461"/>
    <mergeCell ref="C462:H462"/>
    <mergeCell ref="C463:H463"/>
    <mergeCell ref="C464:H464"/>
    <mergeCell ref="C447:H447"/>
    <mergeCell ref="C448:H448"/>
    <mergeCell ref="C449:H449"/>
    <mergeCell ref="C450:H450"/>
    <mergeCell ref="C451:H451"/>
    <mergeCell ref="C452:H452"/>
    <mergeCell ref="C453:H453"/>
    <mergeCell ref="C454:H454"/>
    <mergeCell ref="C455:H455"/>
    <mergeCell ref="C108:H108"/>
    <mergeCell ref="C109:H109"/>
    <mergeCell ref="C110:H110"/>
    <mergeCell ref="C111:H111"/>
    <mergeCell ref="C112:H112"/>
    <mergeCell ref="C102:H102"/>
    <mergeCell ref="C103:H103"/>
    <mergeCell ref="C104:H104"/>
    <mergeCell ref="C105:H105"/>
    <mergeCell ref="C106:H106"/>
    <mergeCell ref="C107:H107"/>
    <mergeCell ref="C96:H96"/>
    <mergeCell ref="C97:H97"/>
    <mergeCell ref="C98:H98"/>
    <mergeCell ref="C99:H99"/>
    <mergeCell ref="C100:H100"/>
    <mergeCell ref="C101:H101"/>
    <mergeCell ref="C90:H90"/>
    <mergeCell ref="C91:H91"/>
    <mergeCell ref="C92:H92"/>
    <mergeCell ref="C93:H93"/>
    <mergeCell ref="C94:H94"/>
    <mergeCell ref="C95:H95"/>
    <mergeCell ref="C83:H83"/>
    <mergeCell ref="C84:H84"/>
    <mergeCell ref="C85:H85"/>
    <mergeCell ref="C43:H43"/>
    <mergeCell ref="C44:H44"/>
    <mergeCell ref="C45:H45"/>
    <mergeCell ref="C46:H46"/>
    <mergeCell ref="C47:H47"/>
    <mergeCell ref="C48:H48"/>
    <mergeCell ref="C57:H57"/>
    <mergeCell ref="C58:H58"/>
    <mergeCell ref="C59:H59"/>
    <mergeCell ref="C64:H64"/>
    <mergeCell ref="C65:H65"/>
    <mergeCell ref="C66:H66"/>
    <mergeCell ref="C67:H67"/>
    <mergeCell ref="C68:H68"/>
    <mergeCell ref="C69:H69"/>
    <mergeCell ref="C52:H52"/>
    <mergeCell ref="C60:L60"/>
    <mergeCell ref="C63:H63"/>
    <mergeCell ref="C53:H53"/>
    <mergeCell ref="C54:H54"/>
    <mergeCell ref="C300:H300"/>
    <mergeCell ref="C301:H301"/>
    <mergeCell ref="C312:H312"/>
    <mergeCell ref="C313:H313"/>
    <mergeCell ref="C314:H314"/>
    <mergeCell ref="B347:P347"/>
    <mergeCell ref="C261:H261"/>
    <mergeCell ref="C262:H262"/>
    <mergeCell ref="C263:H263"/>
    <mergeCell ref="C264:H264"/>
    <mergeCell ref="C265:H265"/>
    <mergeCell ref="C266:H266"/>
    <mergeCell ref="C293:H293"/>
    <mergeCell ref="C287:H287"/>
    <mergeCell ref="C288:H288"/>
    <mergeCell ref="C289:H289"/>
    <mergeCell ref="C285:H285"/>
    <mergeCell ref="C286:H286"/>
    <mergeCell ref="C284:H284"/>
    <mergeCell ref="C267:H267"/>
    <mergeCell ref="C268:H268"/>
    <mergeCell ref="C344:H344"/>
    <mergeCell ref="C345:L345"/>
    <mergeCell ref="C346:L346"/>
    <mergeCell ref="C257:H257"/>
    <mergeCell ref="C258:H258"/>
    <mergeCell ref="C259:H259"/>
    <mergeCell ref="C260:H260"/>
    <mergeCell ref="C249:H249"/>
    <mergeCell ref="C250:H250"/>
    <mergeCell ref="C251:H251"/>
    <mergeCell ref="C252:H252"/>
    <mergeCell ref="C253:H253"/>
    <mergeCell ref="C254:H254"/>
    <mergeCell ref="C248:H248"/>
    <mergeCell ref="C237:H237"/>
    <mergeCell ref="C238:H238"/>
    <mergeCell ref="C239:H239"/>
    <mergeCell ref="C240:H240"/>
    <mergeCell ref="C241:H241"/>
    <mergeCell ref="C242:H242"/>
    <mergeCell ref="C255:H255"/>
    <mergeCell ref="C256:H256"/>
    <mergeCell ref="C200:H200"/>
    <mergeCell ref="C201:H201"/>
    <mergeCell ref="C214:H214"/>
    <mergeCell ref="C215:H215"/>
    <mergeCell ref="C208:H208"/>
    <mergeCell ref="C209:H209"/>
    <mergeCell ref="C210:H210"/>
    <mergeCell ref="C211:H211"/>
    <mergeCell ref="C212:H212"/>
    <mergeCell ref="C213:H213"/>
    <mergeCell ref="B163:P163"/>
    <mergeCell ref="B271:P271"/>
    <mergeCell ref="B319:P319"/>
    <mergeCell ref="B395:P395"/>
    <mergeCell ref="C315:H315"/>
    <mergeCell ref="C316:H316"/>
    <mergeCell ref="C307:H307"/>
    <mergeCell ref="C308:H308"/>
    <mergeCell ref="C309:H309"/>
    <mergeCell ref="C310:H310"/>
    <mergeCell ref="C311:H311"/>
    <mergeCell ref="C302:H302"/>
    <mergeCell ref="C303:H303"/>
    <mergeCell ref="C304:H304"/>
    <mergeCell ref="C305:H305"/>
    <mergeCell ref="C306:H306"/>
    <mergeCell ref="C297:H297"/>
    <mergeCell ref="C298:H298"/>
    <mergeCell ref="C299:H299"/>
    <mergeCell ref="C290:H290"/>
    <mergeCell ref="C291:H291"/>
    <mergeCell ref="C292:H292"/>
    <mergeCell ref="C190:H190"/>
    <mergeCell ref="C191:H191"/>
    <mergeCell ref="C430:H430"/>
    <mergeCell ref="C441:L441"/>
    <mergeCell ref="C442:L442"/>
    <mergeCell ref="C467:L467"/>
    <mergeCell ref="C424:H424"/>
    <mergeCell ref="C425:H425"/>
    <mergeCell ref="C426:H426"/>
    <mergeCell ref="C427:H427"/>
    <mergeCell ref="C428:H428"/>
    <mergeCell ref="C429:H429"/>
    <mergeCell ref="C431:H431"/>
    <mergeCell ref="C432:H432"/>
    <mergeCell ref="C433:H433"/>
    <mergeCell ref="C434:H434"/>
    <mergeCell ref="C435:H435"/>
    <mergeCell ref="C436:H436"/>
    <mergeCell ref="C437:H437"/>
    <mergeCell ref="C438:H438"/>
    <mergeCell ref="C439:H439"/>
    <mergeCell ref="C440:H440"/>
    <mergeCell ref="B443:P443"/>
    <mergeCell ref="B444:P444"/>
    <mergeCell ref="B445:H445"/>
    <mergeCell ref="C446:H446"/>
    <mergeCell ref="B420:H420"/>
    <mergeCell ref="C421:H421"/>
    <mergeCell ref="C422:H422"/>
    <mergeCell ref="C423:H423"/>
    <mergeCell ref="C403:H403"/>
    <mergeCell ref="C404:H404"/>
    <mergeCell ref="C405:H405"/>
    <mergeCell ref="C406:H406"/>
    <mergeCell ref="C407:H407"/>
    <mergeCell ref="C418:L418"/>
    <mergeCell ref="C408:H408"/>
    <mergeCell ref="C409:H409"/>
    <mergeCell ref="C410:H410"/>
    <mergeCell ref="C411:H411"/>
    <mergeCell ref="C412:H412"/>
    <mergeCell ref="C413:H413"/>
    <mergeCell ref="C414:H414"/>
    <mergeCell ref="C415:H415"/>
    <mergeCell ref="C416:H416"/>
    <mergeCell ref="C417:H417"/>
    <mergeCell ref="B397:H397"/>
    <mergeCell ref="C398:H398"/>
    <mergeCell ref="C399:H399"/>
    <mergeCell ref="C400:H400"/>
    <mergeCell ref="C401:H401"/>
    <mergeCell ref="C402:H402"/>
    <mergeCell ref="C382:H382"/>
    <mergeCell ref="C393:L393"/>
    <mergeCell ref="C394:L394"/>
    <mergeCell ref="C389:H389"/>
    <mergeCell ref="C390:H390"/>
    <mergeCell ref="C391:H391"/>
    <mergeCell ref="C392:H392"/>
    <mergeCell ref="C376:H376"/>
    <mergeCell ref="C377:H377"/>
    <mergeCell ref="C378:H378"/>
    <mergeCell ref="C379:H379"/>
    <mergeCell ref="C380:H380"/>
    <mergeCell ref="C381:H381"/>
    <mergeCell ref="B372:H372"/>
    <mergeCell ref="C373:H373"/>
    <mergeCell ref="C374:H374"/>
    <mergeCell ref="C375:H375"/>
    <mergeCell ref="C355:H355"/>
    <mergeCell ref="C356:H356"/>
    <mergeCell ref="C357:H357"/>
    <mergeCell ref="C358:H358"/>
    <mergeCell ref="C359:H359"/>
    <mergeCell ref="C370:L370"/>
    <mergeCell ref="B349:H349"/>
    <mergeCell ref="C350:H350"/>
    <mergeCell ref="C351:H351"/>
    <mergeCell ref="C352:H352"/>
    <mergeCell ref="C353:H353"/>
    <mergeCell ref="C354:H354"/>
    <mergeCell ref="C338:H338"/>
    <mergeCell ref="C339:H339"/>
    <mergeCell ref="C340:H340"/>
    <mergeCell ref="C341:H341"/>
    <mergeCell ref="C342:H342"/>
    <mergeCell ref="C343:H343"/>
    <mergeCell ref="B334:H334"/>
    <mergeCell ref="C335:H335"/>
    <mergeCell ref="C336:H336"/>
    <mergeCell ref="C337:H337"/>
    <mergeCell ref="C327:H327"/>
    <mergeCell ref="C328:H328"/>
    <mergeCell ref="C329:H329"/>
    <mergeCell ref="C330:H330"/>
    <mergeCell ref="C331:H331"/>
    <mergeCell ref="C332:L332"/>
    <mergeCell ref="B321:H321"/>
    <mergeCell ref="C322:H322"/>
    <mergeCell ref="C323:H323"/>
    <mergeCell ref="C324:H324"/>
    <mergeCell ref="C325:H325"/>
    <mergeCell ref="C326:H326"/>
    <mergeCell ref="C317:L317"/>
    <mergeCell ref="C318:L318"/>
    <mergeCell ref="B296:H296"/>
    <mergeCell ref="C176:H176"/>
    <mergeCell ref="C177:H177"/>
    <mergeCell ref="C178:H178"/>
    <mergeCell ref="C179:H179"/>
    <mergeCell ref="C280:H280"/>
    <mergeCell ref="C281:H281"/>
    <mergeCell ref="C282:H282"/>
    <mergeCell ref="C283:H283"/>
    <mergeCell ref="C294:L294"/>
    <mergeCell ref="C274:H274"/>
    <mergeCell ref="C275:H275"/>
    <mergeCell ref="C276:H276"/>
    <mergeCell ref="C277:H277"/>
    <mergeCell ref="C278:H278"/>
    <mergeCell ref="C279:H279"/>
    <mergeCell ref="C270:L270"/>
    <mergeCell ref="B273:H273"/>
    <mergeCell ref="C224:H224"/>
    <mergeCell ref="C207:H207"/>
    <mergeCell ref="C196:H196"/>
    <mergeCell ref="C197:H197"/>
    <mergeCell ref="C269:L269"/>
    <mergeCell ref="C233:H233"/>
    <mergeCell ref="C234:H234"/>
    <mergeCell ref="C235:H235"/>
    <mergeCell ref="C236:H236"/>
    <mergeCell ref="B218:H218"/>
    <mergeCell ref="C219:H219"/>
    <mergeCell ref="C220:H220"/>
    <mergeCell ref="C221:H221"/>
    <mergeCell ref="C222:H222"/>
    <mergeCell ref="C223:H223"/>
    <mergeCell ref="C229:H229"/>
    <mergeCell ref="C230:H230"/>
    <mergeCell ref="C231:H231"/>
    <mergeCell ref="C232:H232"/>
    <mergeCell ref="C225:H225"/>
    <mergeCell ref="C226:H226"/>
    <mergeCell ref="C227:H227"/>
    <mergeCell ref="C228:H228"/>
    <mergeCell ref="C243:H243"/>
    <mergeCell ref="C244:H244"/>
    <mergeCell ref="C245:H245"/>
    <mergeCell ref="C246:H246"/>
    <mergeCell ref="C247:H247"/>
    <mergeCell ref="C174:H174"/>
    <mergeCell ref="C175:H175"/>
    <mergeCell ref="C216:L216"/>
    <mergeCell ref="C180:H180"/>
    <mergeCell ref="C181:H181"/>
    <mergeCell ref="C182:H182"/>
    <mergeCell ref="C183:H183"/>
    <mergeCell ref="C192:H192"/>
    <mergeCell ref="C193:H193"/>
    <mergeCell ref="C194:H194"/>
    <mergeCell ref="C195:H195"/>
    <mergeCell ref="C184:H184"/>
    <mergeCell ref="C185:H185"/>
    <mergeCell ref="C186:H186"/>
    <mergeCell ref="C187:H187"/>
    <mergeCell ref="C188:H188"/>
    <mergeCell ref="C189:H189"/>
    <mergeCell ref="C202:H202"/>
    <mergeCell ref="C203:H203"/>
    <mergeCell ref="C204:H204"/>
    <mergeCell ref="C205:H205"/>
    <mergeCell ref="C206:H206"/>
    <mergeCell ref="C198:H198"/>
    <mergeCell ref="C199:H199"/>
    <mergeCell ref="C167:H167"/>
    <mergeCell ref="C168:H168"/>
    <mergeCell ref="C169:H169"/>
    <mergeCell ref="C170:H170"/>
    <mergeCell ref="C171:H171"/>
    <mergeCell ref="C172:H172"/>
    <mergeCell ref="B165:H165"/>
    <mergeCell ref="C166:H166"/>
    <mergeCell ref="C173:H173"/>
    <mergeCell ref="C161:L161"/>
    <mergeCell ref="C162:L162"/>
    <mergeCell ref="C151:H151"/>
    <mergeCell ref="C152:H152"/>
    <mergeCell ref="C153:H153"/>
    <mergeCell ref="C154:H154"/>
    <mergeCell ref="C141:H141"/>
    <mergeCell ref="C142:H142"/>
    <mergeCell ref="C143:H143"/>
    <mergeCell ref="C144:H144"/>
    <mergeCell ref="C145:H145"/>
    <mergeCell ref="C146:H146"/>
    <mergeCell ref="C155:H155"/>
    <mergeCell ref="C156:H156"/>
    <mergeCell ref="C157:H157"/>
    <mergeCell ref="C158:H158"/>
    <mergeCell ref="C159:H159"/>
    <mergeCell ref="C160:H160"/>
    <mergeCell ref="C147:H147"/>
    <mergeCell ref="C148:H148"/>
    <mergeCell ref="C149:H149"/>
    <mergeCell ref="C150:H150"/>
    <mergeCell ref="C126:H126"/>
    <mergeCell ref="C127:H127"/>
    <mergeCell ref="C138:L138"/>
    <mergeCell ref="B140:H140"/>
    <mergeCell ref="C136:H136"/>
    <mergeCell ref="C137:H137"/>
    <mergeCell ref="C120:H120"/>
    <mergeCell ref="C121:H121"/>
    <mergeCell ref="C122:H122"/>
    <mergeCell ref="C123:H123"/>
    <mergeCell ref="C124:H124"/>
    <mergeCell ref="C125:H125"/>
    <mergeCell ref="C128:H128"/>
    <mergeCell ref="C129:H129"/>
    <mergeCell ref="C130:H130"/>
    <mergeCell ref="C131:H131"/>
    <mergeCell ref="C132:H132"/>
    <mergeCell ref="C133:H133"/>
    <mergeCell ref="C134:H134"/>
    <mergeCell ref="C135:H135"/>
    <mergeCell ref="C37:H37"/>
    <mergeCell ref="B117:H117"/>
    <mergeCell ref="C118:H118"/>
    <mergeCell ref="C119:H119"/>
    <mergeCell ref="C73:H73"/>
    <mergeCell ref="C74:H74"/>
    <mergeCell ref="C75:H75"/>
    <mergeCell ref="C76:H76"/>
    <mergeCell ref="C70:H70"/>
    <mergeCell ref="C71:H71"/>
    <mergeCell ref="C72:H72"/>
    <mergeCell ref="C113:L113"/>
    <mergeCell ref="C114:L114"/>
    <mergeCell ref="C77:H77"/>
    <mergeCell ref="C78:H78"/>
    <mergeCell ref="C79:H79"/>
    <mergeCell ref="C80:H80"/>
    <mergeCell ref="B115:P115"/>
    <mergeCell ref="C81:H81"/>
    <mergeCell ref="C82:H82"/>
    <mergeCell ref="C86:H86"/>
    <mergeCell ref="C87:H87"/>
    <mergeCell ref="C88:H88"/>
    <mergeCell ref="C89:H89"/>
    <mergeCell ref="C36:H36"/>
    <mergeCell ref="C49:H49"/>
    <mergeCell ref="C50:H50"/>
    <mergeCell ref="C51:H51"/>
    <mergeCell ref="C55:H55"/>
    <mergeCell ref="C56:H56"/>
    <mergeCell ref="C13:H13"/>
    <mergeCell ref="C14:H14"/>
    <mergeCell ref="C15:H15"/>
    <mergeCell ref="C16:H16"/>
    <mergeCell ref="C17:H17"/>
    <mergeCell ref="C18:H18"/>
    <mergeCell ref="C25:H25"/>
    <mergeCell ref="C26:H26"/>
    <mergeCell ref="C27:H27"/>
    <mergeCell ref="C28:H28"/>
    <mergeCell ref="C29:H29"/>
    <mergeCell ref="C30:H30"/>
    <mergeCell ref="C19:H19"/>
    <mergeCell ref="C20:H20"/>
    <mergeCell ref="C21:H21"/>
    <mergeCell ref="C22:H22"/>
    <mergeCell ref="C23:H23"/>
    <mergeCell ref="C24:H24"/>
    <mergeCell ref="B2:P2"/>
    <mergeCell ref="N3:P5"/>
    <mergeCell ref="B8:P8"/>
    <mergeCell ref="B61:P61"/>
    <mergeCell ref="B116:P116"/>
    <mergeCell ref="B139:P139"/>
    <mergeCell ref="B164:P164"/>
    <mergeCell ref="B217:P217"/>
    <mergeCell ref="B9:H9"/>
    <mergeCell ref="C10:H10"/>
    <mergeCell ref="C11:H11"/>
    <mergeCell ref="C12:H12"/>
    <mergeCell ref="B62:H62"/>
    <mergeCell ref="B7:P7"/>
    <mergeCell ref="C38:H38"/>
    <mergeCell ref="C39:H39"/>
    <mergeCell ref="C40:H40"/>
    <mergeCell ref="C41:H41"/>
    <mergeCell ref="C42:H42"/>
    <mergeCell ref="C31:H31"/>
    <mergeCell ref="C32:H32"/>
    <mergeCell ref="C33:H33"/>
    <mergeCell ref="C34:H34"/>
    <mergeCell ref="C35:H35"/>
    <mergeCell ref="B272:P272"/>
    <mergeCell ref="B295:P295"/>
    <mergeCell ref="B320:P320"/>
    <mergeCell ref="B333:P333"/>
    <mergeCell ref="B348:P348"/>
    <mergeCell ref="B371:P371"/>
    <mergeCell ref="B396:P396"/>
    <mergeCell ref="B419:P419"/>
    <mergeCell ref="C360:H360"/>
    <mergeCell ref="C361:H361"/>
    <mergeCell ref="C362:H362"/>
    <mergeCell ref="C363:H363"/>
    <mergeCell ref="C364:H364"/>
    <mergeCell ref="C365:H365"/>
    <mergeCell ref="C366:H366"/>
    <mergeCell ref="C367:H367"/>
    <mergeCell ref="C368:H368"/>
    <mergeCell ref="C369:H369"/>
    <mergeCell ref="C383:H383"/>
    <mergeCell ref="C384:H384"/>
    <mergeCell ref="C385:H385"/>
    <mergeCell ref="C386:H386"/>
    <mergeCell ref="C387:H387"/>
    <mergeCell ref="C388:H388"/>
  </mergeCells>
  <conditionalFormatting sqref="V4">
    <cfRule type="cellIs" dxfId="141" priority="1" stopIfTrue="1" operator="greaterThan">
      <formula>$E4</formula>
    </cfRule>
    <cfRule type="cellIs" dxfId="140" priority="2" stopIfTrue="1" operator="lessThanOrEqual">
      <formula>$E4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B2:P44"/>
  <sheetViews>
    <sheetView zoomScale="90" zoomScaleNormal="90" workbookViewId="0">
      <pane xSplit="10" ySplit="4" topLeftCell="K5" activePane="bottomRight" state="frozen"/>
      <selection activeCell="H20" sqref="H20"/>
      <selection pane="topRight" activeCell="H20" sqref="H20"/>
      <selection pane="bottomLeft" activeCell="H20" sqref="H20"/>
      <selection pane="bottomRight" activeCell="K6" sqref="K6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9" width="12.42578125" style="509" customWidth="1"/>
    <col min="10" max="10" width="20.140625" style="509" bestFit="1" customWidth="1"/>
    <col min="11" max="16" width="28.42578125" style="509" customWidth="1"/>
    <col min="17" max="16384" width="9.140625" style="509"/>
  </cols>
  <sheetData>
    <row r="2" spans="2:16" ht="22.5" customHeight="1" x14ac:dyDescent="0.2">
      <c r="B2" s="1023" t="s">
        <v>936</v>
      </c>
      <c r="C2" s="1006"/>
      <c r="D2" s="1006"/>
      <c r="E2" s="1006"/>
      <c r="F2" s="1006"/>
      <c r="G2" s="1006"/>
      <c r="H2" s="1006"/>
      <c r="I2" s="1006"/>
      <c r="J2" s="1006"/>
      <c r="K2" s="548"/>
      <c r="L2" s="548"/>
      <c r="M2" s="548"/>
      <c r="N2" s="548"/>
      <c r="O2" s="548"/>
      <c r="P2" s="548"/>
    </row>
    <row r="3" spans="2:16" s="510" customFormat="1" ht="15" customHeight="1" x14ac:dyDescent="0.2">
      <c r="B3" s="1001" t="s">
        <v>937</v>
      </c>
      <c r="C3" s="1002"/>
      <c r="D3" s="1002"/>
      <c r="E3" s="1002"/>
      <c r="F3" s="1002"/>
      <c r="G3" s="1002"/>
      <c r="H3" s="1002"/>
      <c r="I3" s="1002"/>
      <c r="J3" s="1002"/>
      <c r="K3" s="521" t="s">
        <v>917</v>
      </c>
      <c r="L3" s="521" t="s">
        <v>926</v>
      </c>
      <c r="M3" s="521" t="s">
        <v>927</v>
      </c>
      <c r="N3" s="521" t="s">
        <v>943</v>
      </c>
      <c r="O3" s="521" t="s">
        <v>944</v>
      </c>
      <c r="P3" s="521" t="s">
        <v>945</v>
      </c>
    </row>
    <row r="4" spans="2:16" ht="15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916</v>
      </c>
      <c r="K4" s="501" t="s">
        <v>239</v>
      </c>
      <c r="L4" s="501" t="s">
        <v>239</v>
      </c>
      <c r="M4" s="501" t="s">
        <v>239</v>
      </c>
      <c r="N4" s="501" t="s">
        <v>239</v>
      </c>
      <c r="O4" s="501" t="s">
        <v>239</v>
      </c>
      <c r="P4" s="501" t="s">
        <v>239</v>
      </c>
    </row>
    <row r="5" spans="2:16" x14ac:dyDescent="0.2">
      <c r="B5" s="503">
        <v>1</v>
      </c>
      <c r="C5" s="1030" t="s">
        <v>1427</v>
      </c>
      <c r="D5" s="999"/>
      <c r="E5" s="999"/>
      <c r="F5" s="999"/>
      <c r="G5" s="999"/>
      <c r="H5" s="1000"/>
      <c r="I5" s="514">
        <v>1</v>
      </c>
      <c r="J5" s="520">
        <f>IFERROR(SMALL(K5:P5,1),0)</f>
        <v>9999</v>
      </c>
      <c r="K5" s="515">
        <v>9999</v>
      </c>
      <c r="L5" s="515"/>
      <c r="M5" s="515"/>
      <c r="N5" s="515"/>
      <c r="O5" s="515"/>
      <c r="P5" s="515"/>
    </row>
    <row r="6" spans="2:16" x14ac:dyDescent="0.2">
      <c r="B6" s="503">
        <v>2</v>
      </c>
      <c r="C6" s="1030"/>
      <c r="D6" s="999"/>
      <c r="E6" s="999"/>
      <c r="F6" s="999"/>
      <c r="G6" s="999"/>
      <c r="H6" s="1000"/>
      <c r="I6" s="767"/>
      <c r="J6" s="520">
        <f t="shared" ref="J6:J14" si="0">IFERROR(SMALL(K6:P6,1),0)</f>
        <v>0</v>
      </c>
      <c r="K6" s="515"/>
      <c r="L6" s="515"/>
      <c r="M6" s="515"/>
      <c r="N6" s="515"/>
      <c r="O6" s="515"/>
      <c r="P6" s="515"/>
    </row>
    <row r="7" spans="2:16" x14ac:dyDescent="0.2">
      <c r="B7" s="503">
        <v>3</v>
      </c>
      <c r="C7" s="1030"/>
      <c r="D7" s="999"/>
      <c r="E7" s="999"/>
      <c r="F7" s="999"/>
      <c r="G7" s="999"/>
      <c r="H7" s="1000"/>
      <c r="I7" s="514"/>
      <c r="J7" s="520">
        <f t="shared" si="0"/>
        <v>0</v>
      </c>
      <c r="K7" s="515"/>
      <c r="L7" s="515"/>
      <c r="M7" s="515"/>
      <c r="N7" s="515"/>
      <c r="O7" s="515"/>
      <c r="P7" s="515"/>
    </row>
    <row r="8" spans="2:16" x14ac:dyDescent="0.2">
      <c r="B8" s="503">
        <v>4</v>
      </c>
      <c r="C8" s="1030"/>
      <c r="D8" s="999"/>
      <c r="E8" s="999"/>
      <c r="F8" s="999"/>
      <c r="G8" s="999"/>
      <c r="H8" s="1000"/>
      <c r="I8" s="514"/>
      <c r="J8" s="520">
        <f t="shared" si="0"/>
        <v>0</v>
      </c>
      <c r="K8" s="768"/>
      <c r="L8" s="768"/>
      <c r="M8" s="515"/>
      <c r="N8" s="515"/>
      <c r="O8" s="515"/>
      <c r="P8" s="515"/>
    </row>
    <row r="9" spans="2:16" x14ac:dyDescent="0.2">
      <c r="B9" s="503">
        <v>5</v>
      </c>
      <c r="C9" s="999"/>
      <c r="D9" s="999"/>
      <c r="E9" s="999"/>
      <c r="F9" s="999"/>
      <c r="G9" s="999"/>
      <c r="H9" s="1000"/>
      <c r="I9" s="514"/>
      <c r="J9" s="520">
        <f t="shared" si="0"/>
        <v>0</v>
      </c>
      <c r="K9" s="515"/>
      <c r="L9" s="515"/>
      <c r="M9" s="515"/>
      <c r="N9" s="515"/>
      <c r="O9" s="515"/>
      <c r="P9" s="515"/>
    </row>
    <row r="10" spans="2:16" x14ac:dyDescent="0.2">
      <c r="B10" s="503">
        <v>6</v>
      </c>
      <c r="C10" s="999"/>
      <c r="D10" s="999"/>
      <c r="E10" s="999"/>
      <c r="F10" s="999"/>
      <c r="G10" s="999"/>
      <c r="H10" s="1000"/>
      <c r="I10" s="514"/>
      <c r="J10" s="520">
        <f t="shared" si="0"/>
        <v>0</v>
      </c>
      <c r="K10" s="515"/>
      <c r="L10" s="515"/>
      <c r="M10" s="515"/>
      <c r="N10" s="515"/>
      <c r="O10" s="515"/>
      <c r="P10" s="515"/>
    </row>
    <row r="11" spans="2:16" x14ac:dyDescent="0.2">
      <c r="B11" s="503">
        <v>7</v>
      </c>
      <c r="C11" s="999"/>
      <c r="D11" s="999"/>
      <c r="E11" s="999"/>
      <c r="F11" s="999"/>
      <c r="G11" s="999"/>
      <c r="H11" s="1000"/>
      <c r="I11" s="514"/>
      <c r="J11" s="520">
        <f t="shared" si="0"/>
        <v>0</v>
      </c>
      <c r="K11" s="515"/>
      <c r="L11" s="515"/>
      <c r="M11" s="515"/>
      <c r="N11" s="515"/>
      <c r="O11" s="515"/>
      <c r="P11" s="515"/>
    </row>
    <row r="12" spans="2:16" x14ac:dyDescent="0.2">
      <c r="B12" s="503">
        <v>8</v>
      </c>
      <c r="C12" s="999"/>
      <c r="D12" s="999"/>
      <c r="E12" s="999"/>
      <c r="F12" s="999"/>
      <c r="G12" s="999"/>
      <c r="H12" s="1000"/>
      <c r="I12" s="514"/>
      <c r="J12" s="520">
        <f t="shared" si="0"/>
        <v>0</v>
      </c>
      <c r="K12" s="515"/>
      <c r="L12" s="515"/>
      <c r="M12" s="515"/>
      <c r="N12" s="515"/>
      <c r="O12" s="515"/>
      <c r="P12" s="515"/>
    </row>
    <row r="13" spans="2:16" x14ac:dyDescent="0.2">
      <c r="B13" s="503">
        <v>9</v>
      </c>
      <c r="C13" s="999"/>
      <c r="D13" s="999"/>
      <c r="E13" s="999"/>
      <c r="F13" s="999"/>
      <c r="G13" s="999"/>
      <c r="H13" s="1000"/>
      <c r="I13" s="514"/>
      <c r="J13" s="520">
        <f t="shared" si="0"/>
        <v>0</v>
      </c>
      <c r="K13" s="515"/>
      <c r="L13" s="515"/>
      <c r="M13" s="515"/>
      <c r="N13" s="515"/>
      <c r="O13" s="515"/>
      <c r="P13" s="515"/>
    </row>
    <row r="14" spans="2:16" x14ac:dyDescent="0.2">
      <c r="B14" s="517">
        <v>10</v>
      </c>
      <c r="C14" s="1031"/>
      <c r="D14" s="1031"/>
      <c r="E14" s="1031"/>
      <c r="F14" s="1031"/>
      <c r="G14" s="1031"/>
      <c r="H14" s="1032"/>
      <c r="I14" s="518"/>
      <c r="J14" s="520">
        <f t="shared" si="0"/>
        <v>0</v>
      </c>
      <c r="K14" s="519"/>
      <c r="L14" s="519"/>
      <c r="M14" s="519"/>
      <c r="N14" s="519"/>
      <c r="O14" s="519"/>
      <c r="P14" s="519"/>
    </row>
    <row r="15" spans="2:16" s="510" customFormat="1" ht="15" customHeight="1" x14ac:dyDescent="0.2">
      <c r="B15" s="516"/>
      <c r="C15" s="1007" t="s">
        <v>928</v>
      </c>
      <c r="D15" s="1007"/>
      <c r="E15" s="1007"/>
      <c r="F15" s="1007"/>
      <c r="G15" s="1007"/>
      <c r="H15" s="1007"/>
      <c r="I15" s="1007"/>
      <c r="J15" s="1007"/>
      <c r="K15" s="521" t="s">
        <v>917</v>
      </c>
      <c r="L15" s="521" t="s">
        <v>926</v>
      </c>
      <c r="M15" s="521" t="s">
        <v>927</v>
      </c>
      <c r="N15" s="521" t="s">
        <v>943</v>
      </c>
      <c r="O15" s="521" t="s">
        <v>944</v>
      </c>
      <c r="P15" s="521" t="s">
        <v>945</v>
      </c>
    </row>
    <row r="16" spans="2:16" ht="15" customHeight="1" x14ac:dyDescent="0.2">
      <c r="B16" s="993" t="s">
        <v>918</v>
      </c>
      <c r="C16" s="994"/>
      <c r="D16" s="994"/>
      <c r="E16" s="994"/>
      <c r="F16" s="994"/>
      <c r="G16" s="994"/>
      <c r="H16" s="994"/>
      <c r="I16" s="994"/>
      <c r="J16" s="995"/>
      <c r="K16" s="810" t="s">
        <v>1420</v>
      </c>
      <c r="L16" s="535"/>
      <c r="M16" s="535"/>
      <c r="N16" s="535"/>
      <c r="O16" s="535"/>
      <c r="P16" s="535"/>
    </row>
    <row r="17" spans="2:16" ht="15" customHeight="1" x14ac:dyDescent="0.2">
      <c r="B17" s="993" t="s">
        <v>919</v>
      </c>
      <c r="C17" s="994"/>
      <c r="D17" s="994"/>
      <c r="E17" s="994"/>
      <c r="F17" s="994"/>
      <c r="G17" s="994"/>
      <c r="H17" s="994"/>
      <c r="I17" s="994"/>
      <c r="J17" s="995"/>
      <c r="K17" s="810">
        <v>30849093000194</v>
      </c>
      <c r="L17" s="536"/>
      <c r="M17" s="536"/>
      <c r="N17" s="536"/>
      <c r="O17" s="536"/>
      <c r="P17" s="536"/>
    </row>
    <row r="18" spans="2:16" ht="15" customHeight="1" x14ac:dyDescent="0.2">
      <c r="B18" s="993" t="s">
        <v>920</v>
      </c>
      <c r="C18" s="994"/>
      <c r="D18" s="994"/>
      <c r="E18" s="994"/>
      <c r="F18" s="994"/>
      <c r="G18" s="994"/>
      <c r="H18" s="994"/>
      <c r="I18" s="994"/>
      <c r="J18" s="995"/>
      <c r="K18" s="537">
        <v>44729</v>
      </c>
      <c r="L18" s="537"/>
      <c r="M18" s="537"/>
      <c r="N18" s="537"/>
      <c r="O18" s="537"/>
      <c r="P18" s="537"/>
    </row>
    <row r="19" spans="2:16" ht="15" customHeight="1" x14ac:dyDescent="0.2">
      <c r="B19" s="993" t="s">
        <v>921</v>
      </c>
      <c r="C19" s="994"/>
      <c r="D19" s="994"/>
      <c r="E19" s="994"/>
      <c r="F19" s="994"/>
      <c r="G19" s="994"/>
      <c r="H19" s="994"/>
      <c r="I19" s="994"/>
      <c r="J19" s="995"/>
      <c r="K19" s="537">
        <v>44821</v>
      </c>
      <c r="L19" s="537"/>
      <c r="M19" s="537"/>
      <c r="N19" s="537"/>
      <c r="O19" s="537"/>
      <c r="P19" s="537"/>
    </row>
    <row r="20" spans="2:16" ht="15" customHeight="1" x14ac:dyDescent="0.2">
      <c r="B20" s="993" t="s">
        <v>922</v>
      </c>
      <c r="C20" s="994"/>
      <c r="D20" s="994"/>
      <c r="E20" s="994"/>
      <c r="F20" s="994"/>
      <c r="G20" s="994"/>
      <c r="H20" s="994"/>
      <c r="I20" s="994"/>
      <c r="J20" s="995"/>
      <c r="K20" s="535" t="s">
        <v>1421</v>
      </c>
      <c r="L20" s="535"/>
      <c r="M20" s="535"/>
      <c r="N20" s="535"/>
      <c r="O20" s="535"/>
      <c r="P20" s="535"/>
    </row>
    <row r="21" spans="2:16" ht="15" x14ac:dyDescent="0.2">
      <c r="B21" s="993" t="s">
        <v>923</v>
      </c>
      <c r="C21" s="994"/>
      <c r="D21" s="994"/>
      <c r="E21" s="994"/>
      <c r="F21" s="994"/>
      <c r="G21" s="994"/>
      <c r="H21" s="994"/>
      <c r="I21" s="994"/>
      <c r="J21" s="995"/>
      <c r="K21" s="811" t="s">
        <v>1422</v>
      </c>
      <c r="L21" s="538"/>
      <c r="M21" s="538"/>
      <c r="N21" s="538"/>
      <c r="O21" s="538"/>
      <c r="P21" s="538"/>
    </row>
    <row r="22" spans="2:16" ht="15" x14ac:dyDescent="0.2">
      <c r="B22" s="993" t="s">
        <v>924</v>
      </c>
      <c r="C22" s="994"/>
      <c r="D22" s="994"/>
      <c r="E22" s="994"/>
      <c r="F22" s="994"/>
      <c r="G22" s="994"/>
      <c r="H22" s="994"/>
      <c r="I22" s="994"/>
      <c r="J22" s="995"/>
      <c r="K22" s="539" t="s">
        <v>1423</v>
      </c>
      <c r="L22" s="539"/>
      <c r="M22" s="539"/>
      <c r="N22" s="539"/>
      <c r="O22" s="539"/>
      <c r="P22" s="539"/>
    </row>
    <row r="23" spans="2:16" ht="15" customHeight="1" x14ac:dyDescent="0.2">
      <c r="B23" s="1008" t="s">
        <v>925</v>
      </c>
      <c r="C23" s="1009"/>
      <c r="D23" s="1009"/>
      <c r="E23" s="1009"/>
      <c r="F23" s="1009"/>
      <c r="G23" s="1009"/>
      <c r="H23" s="1009"/>
      <c r="I23" s="1009"/>
      <c r="J23" s="1010"/>
      <c r="K23" s="1113" t="s">
        <v>915</v>
      </c>
      <c r="L23" s="1114"/>
      <c r="M23" s="1115"/>
      <c r="N23" s="1113" t="s">
        <v>915</v>
      </c>
      <c r="O23" s="1114"/>
      <c r="P23" s="1115"/>
    </row>
    <row r="24" spans="2:16" ht="15" x14ac:dyDescent="0.2">
      <c r="B24" s="1001" t="s">
        <v>938</v>
      </c>
      <c r="C24" s="1002"/>
      <c r="D24" s="1002"/>
      <c r="E24" s="1002"/>
      <c r="F24" s="1002"/>
      <c r="G24" s="1002"/>
      <c r="H24" s="1002"/>
      <c r="I24" s="1002"/>
      <c r="J24" s="1002"/>
      <c r="K24" s="521" t="s">
        <v>917</v>
      </c>
      <c r="L24" s="521" t="s">
        <v>926</v>
      </c>
      <c r="M24" s="521" t="s">
        <v>927</v>
      </c>
      <c r="N24" s="521" t="s">
        <v>943</v>
      </c>
      <c r="O24" s="521" t="s">
        <v>944</v>
      </c>
      <c r="P24" s="521" t="s">
        <v>945</v>
      </c>
    </row>
    <row r="25" spans="2:16" ht="15" x14ac:dyDescent="0.25">
      <c r="B25" s="1003" t="s">
        <v>914</v>
      </c>
      <c r="C25" s="1004"/>
      <c r="D25" s="1004"/>
      <c r="E25" s="1004"/>
      <c r="F25" s="1004"/>
      <c r="G25" s="1004"/>
      <c r="H25" s="1005"/>
      <c r="I25" s="500" t="s">
        <v>16</v>
      </c>
      <c r="J25" s="500" t="s">
        <v>916</v>
      </c>
      <c r="K25" s="501" t="s">
        <v>239</v>
      </c>
      <c r="L25" s="501"/>
      <c r="M25" s="501"/>
      <c r="N25" s="501"/>
      <c r="O25" s="501"/>
      <c r="P25" s="501"/>
    </row>
    <row r="26" spans="2:16" x14ac:dyDescent="0.2">
      <c r="B26" s="503">
        <v>1</v>
      </c>
      <c r="C26" s="1030"/>
      <c r="D26" s="999"/>
      <c r="E26" s="999"/>
      <c r="F26" s="999"/>
      <c r="G26" s="999"/>
      <c r="H26" s="1000"/>
      <c r="I26" s="514"/>
      <c r="J26" s="504">
        <f>IFERROR(SMALL(K26:P26,1),0)</f>
        <v>0</v>
      </c>
      <c r="K26" s="515"/>
      <c r="L26" s="515"/>
      <c r="M26" s="515"/>
      <c r="N26" s="515"/>
      <c r="O26" s="515"/>
      <c r="P26" s="515"/>
    </row>
    <row r="27" spans="2:16" x14ac:dyDescent="0.2">
      <c r="B27" s="503">
        <v>2</v>
      </c>
      <c r="C27" s="1030"/>
      <c r="D27" s="999"/>
      <c r="E27" s="999"/>
      <c r="F27" s="999"/>
      <c r="G27" s="999"/>
      <c r="H27" s="1000"/>
      <c r="I27" s="514"/>
      <c r="J27" s="504">
        <f t="shared" ref="J27:J35" si="1">IFERROR(SMALL(K27:P27,1),0)</f>
        <v>0</v>
      </c>
      <c r="K27" s="515"/>
      <c r="L27" s="515"/>
      <c r="M27" s="515"/>
      <c r="N27" s="515"/>
      <c r="O27" s="515"/>
      <c r="P27" s="515"/>
    </row>
    <row r="28" spans="2:16" x14ac:dyDescent="0.2">
      <c r="B28" s="503">
        <v>3</v>
      </c>
      <c r="C28" s="1030"/>
      <c r="D28" s="999"/>
      <c r="E28" s="999"/>
      <c r="F28" s="999"/>
      <c r="G28" s="999"/>
      <c r="H28" s="1000"/>
      <c r="I28" s="514"/>
      <c r="J28" s="504">
        <f t="shared" si="1"/>
        <v>0</v>
      </c>
      <c r="K28" s="515"/>
      <c r="L28" s="515"/>
      <c r="M28" s="515"/>
      <c r="N28" s="515"/>
      <c r="O28" s="515"/>
      <c r="P28" s="515"/>
    </row>
    <row r="29" spans="2:16" x14ac:dyDescent="0.2">
      <c r="B29" s="503">
        <v>4</v>
      </c>
      <c r="C29" s="1030"/>
      <c r="D29" s="999"/>
      <c r="E29" s="999"/>
      <c r="F29" s="999"/>
      <c r="G29" s="999"/>
      <c r="H29" s="1000"/>
      <c r="I29" s="514"/>
      <c r="J29" s="504">
        <f t="shared" si="1"/>
        <v>0</v>
      </c>
      <c r="K29" s="515"/>
      <c r="L29" s="515"/>
      <c r="M29" s="515"/>
      <c r="N29" s="515"/>
      <c r="O29" s="515"/>
      <c r="P29" s="515"/>
    </row>
    <row r="30" spans="2:16" x14ac:dyDescent="0.2">
      <c r="B30" s="503">
        <v>5</v>
      </c>
      <c r="C30" s="999"/>
      <c r="D30" s="999"/>
      <c r="E30" s="999"/>
      <c r="F30" s="999"/>
      <c r="G30" s="999"/>
      <c r="H30" s="1000"/>
      <c r="I30" s="514"/>
      <c r="J30" s="504">
        <f t="shared" si="1"/>
        <v>0</v>
      </c>
      <c r="K30" s="515"/>
      <c r="L30" s="515"/>
      <c r="M30" s="515"/>
      <c r="N30" s="515"/>
      <c r="O30" s="515"/>
      <c r="P30" s="515"/>
    </row>
    <row r="31" spans="2:16" x14ac:dyDescent="0.2">
      <c r="B31" s="503">
        <v>6</v>
      </c>
      <c r="C31" s="999"/>
      <c r="D31" s="999"/>
      <c r="E31" s="999"/>
      <c r="F31" s="999"/>
      <c r="G31" s="999"/>
      <c r="H31" s="1000"/>
      <c r="I31" s="514"/>
      <c r="J31" s="504">
        <f t="shared" si="1"/>
        <v>0</v>
      </c>
      <c r="K31" s="515"/>
      <c r="L31" s="515"/>
      <c r="M31" s="515"/>
      <c r="N31" s="515"/>
      <c r="O31" s="515"/>
      <c r="P31" s="515"/>
    </row>
    <row r="32" spans="2:16" x14ac:dyDescent="0.2">
      <c r="B32" s="503">
        <v>7</v>
      </c>
      <c r="C32" s="999"/>
      <c r="D32" s="999"/>
      <c r="E32" s="999"/>
      <c r="F32" s="999"/>
      <c r="G32" s="999"/>
      <c r="H32" s="1000"/>
      <c r="I32" s="514"/>
      <c r="J32" s="504">
        <f t="shared" si="1"/>
        <v>0</v>
      </c>
      <c r="K32" s="515"/>
      <c r="L32" s="515"/>
      <c r="M32" s="515"/>
      <c r="N32" s="515"/>
      <c r="O32" s="515"/>
      <c r="P32" s="515"/>
    </row>
    <row r="33" spans="2:16" x14ac:dyDescent="0.2">
      <c r="B33" s="503">
        <v>8</v>
      </c>
      <c r="C33" s="999"/>
      <c r="D33" s="999"/>
      <c r="E33" s="999"/>
      <c r="F33" s="999"/>
      <c r="G33" s="999"/>
      <c r="H33" s="1000"/>
      <c r="I33" s="514"/>
      <c r="J33" s="504">
        <f t="shared" si="1"/>
        <v>0</v>
      </c>
      <c r="K33" s="515"/>
      <c r="L33" s="515"/>
      <c r="M33" s="515"/>
      <c r="N33" s="515"/>
      <c r="O33" s="515"/>
      <c r="P33" s="515"/>
    </row>
    <row r="34" spans="2:16" x14ac:dyDescent="0.2">
      <c r="B34" s="503">
        <v>9</v>
      </c>
      <c r="C34" s="999"/>
      <c r="D34" s="999"/>
      <c r="E34" s="999"/>
      <c r="F34" s="999"/>
      <c r="G34" s="999"/>
      <c r="H34" s="1000"/>
      <c r="I34" s="514"/>
      <c r="J34" s="504">
        <f t="shared" si="1"/>
        <v>0</v>
      </c>
      <c r="K34" s="515"/>
      <c r="L34" s="515"/>
      <c r="M34" s="515"/>
      <c r="N34" s="515"/>
      <c r="O34" s="515"/>
      <c r="P34" s="515"/>
    </row>
    <row r="35" spans="2:16" x14ac:dyDescent="0.2">
      <c r="B35" s="517">
        <v>10</v>
      </c>
      <c r="C35" s="1031"/>
      <c r="D35" s="1031"/>
      <c r="E35" s="1031"/>
      <c r="F35" s="1031"/>
      <c r="G35" s="1031"/>
      <c r="H35" s="1032"/>
      <c r="I35" s="518"/>
      <c r="J35" s="504">
        <f t="shared" si="1"/>
        <v>0</v>
      </c>
      <c r="K35" s="519"/>
      <c r="L35" s="519"/>
      <c r="M35" s="519"/>
      <c r="N35" s="519"/>
      <c r="O35" s="519"/>
      <c r="P35" s="519"/>
    </row>
    <row r="36" spans="2:16" ht="15" x14ac:dyDescent="0.2">
      <c r="B36" s="516"/>
      <c r="C36" s="1007" t="s">
        <v>928</v>
      </c>
      <c r="D36" s="1007"/>
      <c r="E36" s="1007"/>
      <c r="F36" s="1007"/>
      <c r="G36" s="1007"/>
      <c r="H36" s="1007"/>
      <c r="I36" s="1007"/>
      <c r="J36" s="1007"/>
      <c r="K36" s="521" t="s">
        <v>917</v>
      </c>
      <c r="L36" s="521" t="s">
        <v>926</v>
      </c>
      <c r="M36" s="521" t="s">
        <v>927</v>
      </c>
      <c r="N36" s="521" t="s">
        <v>943</v>
      </c>
      <c r="O36" s="521" t="s">
        <v>944</v>
      </c>
      <c r="P36" s="521" t="s">
        <v>945</v>
      </c>
    </row>
    <row r="37" spans="2:16" ht="15" x14ac:dyDescent="0.2">
      <c r="B37" s="993" t="s">
        <v>918</v>
      </c>
      <c r="C37" s="994"/>
      <c r="D37" s="994"/>
      <c r="E37" s="994"/>
      <c r="F37" s="994"/>
      <c r="G37" s="994"/>
      <c r="H37" s="994"/>
      <c r="I37" s="994"/>
      <c r="J37" s="995"/>
      <c r="K37" s="535"/>
      <c r="L37" s="535"/>
      <c r="M37" s="535"/>
      <c r="N37" s="535"/>
      <c r="O37" s="535"/>
      <c r="P37" s="535"/>
    </row>
    <row r="38" spans="2:16" ht="15" x14ac:dyDescent="0.2">
      <c r="B38" s="993" t="s">
        <v>919</v>
      </c>
      <c r="C38" s="994"/>
      <c r="D38" s="994"/>
      <c r="E38" s="994"/>
      <c r="F38" s="994"/>
      <c r="G38" s="994"/>
      <c r="H38" s="994"/>
      <c r="I38" s="994"/>
      <c r="J38" s="995"/>
      <c r="K38" s="536"/>
      <c r="L38" s="536"/>
      <c r="M38" s="536"/>
      <c r="N38" s="536"/>
      <c r="O38" s="536"/>
      <c r="P38" s="536"/>
    </row>
    <row r="39" spans="2:16" ht="15" x14ac:dyDescent="0.2">
      <c r="B39" s="993" t="s">
        <v>920</v>
      </c>
      <c r="C39" s="994"/>
      <c r="D39" s="994"/>
      <c r="E39" s="994"/>
      <c r="F39" s="994"/>
      <c r="G39" s="994"/>
      <c r="H39" s="994"/>
      <c r="I39" s="994"/>
      <c r="J39" s="995"/>
      <c r="K39" s="537"/>
      <c r="L39" s="537"/>
      <c r="M39" s="537"/>
      <c r="N39" s="537"/>
      <c r="O39" s="537"/>
      <c r="P39" s="537"/>
    </row>
    <row r="40" spans="2:16" ht="15" x14ac:dyDescent="0.2">
      <c r="B40" s="993" t="s">
        <v>921</v>
      </c>
      <c r="C40" s="994"/>
      <c r="D40" s="994"/>
      <c r="E40" s="994"/>
      <c r="F40" s="994"/>
      <c r="G40" s="994"/>
      <c r="H40" s="994"/>
      <c r="I40" s="994"/>
      <c r="J40" s="995"/>
      <c r="K40" s="537"/>
      <c r="L40" s="537"/>
      <c r="M40" s="537"/>
      <c r="N40" s="537"/>
      <c r="O40" s="537"/>
      <c r="P40" s="537"/>
    </row>
    <row r="41" spans="2:16" ht="15" x14ac:dyDescent="0.2">
      <c r="B41" s="993" t="s">
        <v>922</v>
      </c>
      <c r="C41" s="994"/>
      <c r="D41" s="994"/>
      <c r="E41" s="994"/>
      <c r="F41" s="994"/>
      <c r="G41" s="994"/>
      <c r="H41" s="994"/>
      <c r="I41" s="994"/>
      <c r="J41" s="995"/>
      <c r="K41" s="535"/>
      <c r="L41" s="535"/>
      <c r="M41" s="535"/>
      <c r="N41" s="535"/>
      <c r="O41" s="535"/>
      <c r="P41" s="535"/>
    </row>
    <row r="42" spans="2:16" ht="15" x14ac:dyDescent="0.2">
      <c r="B42" s="993" t="s">
        <v>923</v>
      </c>
      <c r="C42" s="994"/>
      <c r="D42" s="994"/>
      <c r="E42" s="994"/>
      <c r="F42" s="994"/>
      <c r="G42" s="994"/>
      <c r="H42" s="994"/>
      <c r="I42" s="994"/>
      <c r="J42" s="995"/>
      <c r="K42" s="538"/>
      <c r="L42" s="538"/>
      <c r="M42" s="538"/>
      <c r="N42" s="538"/>
      <c r="O42" s="538"/>
      <c r="P42" s="538"/>
    </row>
    <row r="43" spans="2:16" ht="15" x14ac:dyDescent="0.2">
      <c r="B43" s="993" t="s">
        <v>924</v>
      </c>
      <c r="C43" s="994"/>
      <c r="D43" s="994"/>
      <c r="E43" s="994"/>
      <c r="F43" s="994"/>
      <c r="G43" s="994"/>
      <c r="H43" s="994"/>
      <c r="I43" s="994"/>
      <c r="J43" s="995"/>
      <c r="K43" s="539"/>
      <c r="L43" s="539"/>
      <c r="M43" s="539"/>
      <c r="N43" s="539"/>
      <c r="O43" s="539"/>
      <c r="P43" s="539"/>
    </row>
    <row r="44" spans="2:16" ht="15" customHeight="1" x14ac:dyDescent="0.2">
      <c r="B44" s="1008" t="s">
        <v>925</v>
      </c>
      <c r="C44" s="1009"/>
      <c r="D44" s="1009"/>
      <c r="E44" s="1009"/>
      <c r="F44" s="1009"/>
      <c r="G44" s="1009"/>
      <c r="H44" s="1009"/>
      <c r="I44" s="1009"/>
      <c r="J44" s="1010"/>
      <c r="K44" s="1113" t="s">
        <v>915</v>
      </c>
      <c r="L44" s="1114"/>
      <c r="M44" s="1115"/>
      <c r="N44" s="1113" t="s">
        <v>915</v>
      </c>
      <c r="O44" s="1114"/>
      <c r="P44" s="1115"/>
    </row>
  </sheetData>
  <sheetProtection password="C9A4" sheet="1" objects="1" scenarios="1"/>
  <mergeCells count="47">
    <mergeCell ref="N23:P23"/>
    <mergeCell ref="N44:P44"/>
    <mergeCell ref="B43:J43"/>
    <mergeCell ref="B44:J44"/>
    <mergeCell ref="K44:M44"/>
    <mergeCell ref="B37:J37"/>
    <mergeCell ref="B38:J38"/>
    <mergeCell ref="B39:J39"/>
    <mergeCell ref="B40:J40"/>
    <mergeCell ref="B41:J41"/>
    <mergeCell ref="B42:J42"/>
    <mergeCell ref="K23:M23"/>
    <mergeCell ref="C36:J36"/>
    <mergeCell ref="C33:H33"/>
    <mergeCell ref="C34:H34"/>
    <mergeCell ref="B25:H25"/>
    <mergeCell ref="C35:H35"/>
    <mergeCell ref="B24:J24"/>
    <mergeCell ref="C28:H28"/>
    <mergeCell ref="C29:H29"/>
    <mergeCell ref="C32:H32"/>
    <mergeCell ref="C26:H26"/>
    <mergeCell ref="C27:H27"/>
    <mergeCell ref="C30:H30"/>
    <mergeCell ref="C31:H31"/>
    <mergeCell ref="C14:H14"/>
    <mergeCell ref="C15:J15"/>
    <mergeCell ref="B16:J16"/>
    <mergeCell ref="B17:J17"/>
    <mergeCell ref="B18:J18"/>
    <mergeCell ref="B19:J19"/>
    <mergeCell ref="B20:J20"/>
    <mergeCell ref="B21:J21"/>
    <mergeCell ref="B22:J22"/>
    <mergeCell ref="B23:J23"/>
    <mergeCell ref="C13:H13"/>
    <mergeCell ref="B2:J2"/>
    <mergeCell ref="B3:J3"/>
    <mergeCell ref="B4:H4"/>
    <mergeCell ref="C5:H5"/>
    <mergeCell ref="C6:H6"/>
    <mergeCell ref="C7:H7"/>
    <mergeCell ref="C8:H8"/>
    <mergeCell ref="C9:H9"/>
    <mergeCell ref="C10:H10"/>
    <mergeCell ref="C11:H11"/>
    <mergeCell ref="C12:H12"/>
  </mergeCells>
  <conditionalFormatting sqref="K5:P14">
    <cfRule type="cellIs" dxfId="139" priority="2" operator="lessThan">
      <formula>0</formula>
    </cfRule>
  </conditionalFormatting>
  <conditionalFormatting sqref="K26:P35">
    <cfRule type="cellIs" dxfId="13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W40"/>
  <sheetViews>
    <sheetView zoomScale="90" zoomScaleNormal="90" workbookViewId="0">
      <selection activeCell="M5" sqref="M5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9" width="12.42578125" style="509" customWidth="1"/>
    <col min="10" max="10" width="13.42578125" style="509" bestFit="1" customWidth="1"/>
    <col min="11" max="12" width="15.42578125" style="509" customWidth="1"/>
    <col min="13" max="14" width="14.42578125" style="509" customWidth="1"/>
    <col min="15" max="16384" width="9.140625" style="509"/>
  </cols>
  <sheetData>
    <row r="2" spans="2:23" ht="22.5" customHeight="1" x14ac:dyDescent="0.2">
      <c r="B2" s="1023" t="s">
        <v>951</v>
      </c>
      <c r="C2" s="1006"/>
      <c r="D2" s="1006"/>
      <c r="E2" s="1006"/>
      <c r="F2" s="1006"/>
      <c r="G2" s="1006"/>
      <c r="H2" s="1006"/>
      <c r="I2" s="1006"/>
      <c r="J2" s="1006"/>
      <c r="K2" s="1006"/>
      <c r="L2" s="1006"/>
      <c r="M2" s="1006"/>
      <c r="N2" s="1006"/>
    </row>
    <row r="3" spans="2:23" s="510" customFormat="1" ht="15" customHeight="1" x14ac:dyDescent="0.2">
      <c r="B3" s="1001" t="s">
        <v>939</v>
      </c>
      <c r="C3" s="1002"/>
      <c r="D3" s="1002"/>
      <c r="E3" s="1002"/>
      <c r="F3" s="1002"/>
      <c r="G3" s="1002"/>
      <c r="H3" s="1002"/>
      <c r="I3" s="1002"/>
      <c r="J3" s="1002"/>
      <c r="K3" s="1016"/>
      <c r="L3" s="1001" t="s">
        <v>214</v>
      </c>
      <c r="M3" s="1002"/>
      <c r="N3" s="1016"/>
      <c r="Q3" s="912" t="s">
        <v>885</v>
      </c>
      <c r="R3" s="912"/>
      <c r="S3" s="912"/>
      <c r="T3" s="912"/>
      <c r="U3" s="912"/>
      <c r="V3" s="88" t="s">
        <v>143</v>
      </c>
      <c r="W3" s="88" t="s">
        <v>144</v>
      </c>
    </row>
    <row r="4" spans="2:23" ht="15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239</v>
      </c>
      <c r="K4" s="502" t="s">
        <v>0</v>
      </c>
      <c r="L4" s="500" t="s">
        <v>796</v>
      </c>
      <c r="M4" s="501" t="s">
        <v>240</v>
      </c>
      <c r="N4" s="501" t="s">
        <v>241</v>
      </c>
      <c r="Q4" s="1122" t="s">
        <v>880</v>
      </c>
      <c r="R4" s="1122"/>
      <c r="S4" s="1122"/>
      <c r="T4" s="1122"/>
      <c r="U4" s="1122"/>
      <c r="V4" s="81">
        <f>'Custo Contábil'!E30</f>
        <v>0.05</v>
      </c>
      <c r="W4" s="82">
        <f>'Custo Contábil'!F30</f>
        <v>4.9995499954999544E-2</v>
      </c>
    </row>
    <row r="5" spans="2:23" x14ac:dyDescent="0.2">
      <c r="B5" s="503">
        <v>1</v>
      </c>
      <c r="C5" s="1017" t="str">
        <f>IF(ISBLANK('Treinamento (ORÇ)'!C5:H5)," ",'Treinamento (ORÇ)'!C5:H5)</f>
        <v>treinamento</v>
      </c>
      <c r="D5" s="1018"/>
      <c r="E5" s="1018"/>
      <c r="F5" s="1018"/>
      <c r="G5" s="1018"/>
      <c r="H5" s="1019"/>
      <c r="I5" s="725">
        <f>'Treinamento (ORÇ)'!I5</f>
        <v>1</v>
      </c>
      <c r="J5" s="504">
        <f>'Treinamento (ORÇ)'!J5</f>
        <v>9999</v>
      </c>
      <c r="K5" s="505">
        <f t="shared" ref="K5:K14" si="0">I5*J5</f>
        <v>9999</v>
      </c>
      <c r="L5" s="504">
        <f t="shared" ref="L5:L14" si="1">K5-M5-N5</f>
        <v>9999</v>
      </c>
      <c r="M5" s="515"/>
      <c r="N5" s="515"/>
    </row>
    <row r="6" spans="2:23" x14ac:dyDescent="0.2">
      <c r="B6" s="503">
        <v>2</v>
      </c>
      <c r="C6" s="1017" t="str">
        <f>IF(ISBLANK('Treinamento (ORÇ)'!C6:H6)," ",'Treinamento (ORÇ)'!C6:H6)</f>
        <v xml:space="preserve"> </v>
      </c>
      <c r="D6" s="1018"/>
      <c r="E6" s="1018"/>
      <c r="F6" s="1018"/>
      <c r="G6" s="1018"/>
      <c r="H6" s="1019"/>
      <c r="I6" s="725">
        <f>'Treinamento (ORÇ)'!I6</f>
        <v>0</v>
      </c>
      <c r="J6" s="504">
        <f>'Treinamento (ORÇ)'!J6</f>
        <v>0</v>
      </c>
      <c r="K6" s="505">
        <f t="shared" si="0"/>
        <v>0</v>
      </c>
      <c r="L6" s="504">
        <f t="shared" si="1"/>
        <v>0</v>
      </c>
      <c r="M6" s="515"/>
      <c r="N6" s="515"/>
    </row>
    <row r="7" spans="2:23" x14ac:dyDescent="0.2">
      <c r="B7" s="503">
        <v>3</v>
      </c>
      <c r="C7" s="1017" t="str">
        <f>IF(ISBLANK('Treinamento (ORÇ)'!C7:H7)," ",'Treinamento (ORÇ)'!C7:H7)</f>
        <v xml:space="preserve"> </v>
      </c>
      <c r="D7" s="1018"/>
      <c r="E7" s="1018"/>
      <c r="F7" s="1018"/>
      <c r="G7" s="1018"/>
      <c r="H7" s="1019"/>
      <c r="I7" s="725">
        <f>'Treinamento (ORÇ)'!I7</f>
        <v>0</v>
      </c>
      <c r="J7" s="504">
        <f>'Treinamento (ORÇ)'!J7</f>
        <v>0</v>
      </c>
      <c r="K7" s="505">
        <f t="shared" si="0"/>
        <v>0</v>
      </c>
      <c r="L7" s="504">
        <f t="shared" si="1"/>
        <v>0</v>
      </c>
      <c r="M7" s="515"/>
      <c r="N7" s="515"/>
    </row>
    <row r="8" spans="2:23" x14ac:dyDescent="0.2">
      <c r="B8" s="503">
        <v>4</v>
      </c>
      <c r="C8" s="1017" t="str">
        <f>IF(ISBLANK('Treinamento (ORÇ)'!C8:H8)," ",'Treinamento (ORÇ)'!C8:H8)</f>
        <v xml:space="preserve"> </v>
      </c>
      <c r="D8" s="1018"/>
      <c r="E8" s="1018"/>
      <c r="F8" s="1018"/>
      <c r="G8" s="1018"/>
      <c r="H8" s="1019"/>
      <c r="I8" s="725">
        <f>'Treinamento (ORÇ)'!I8</f>
        <v>0</v>
      </c>
      <c r="J8" s="504">
        <f>'Treinamento (ORÇ)'!J8</f>
        <v>0</v>
      </c>
      <c r="K8" s="505">
        <f t="shared" si="0"/>
        <v>0</v>
      </c>
      <c r="L8" s="504">
        <f t="shared" si="1"/>
        <v>0</v>
      </c>
      <c r="M8" s="768"/>
      <c r="N8" s="768"/>
    </row>
    <row r="9" spans="2:23" x14ac:dyDescent="0.2">
      <c r="B9" s="503">
        <v>5</v>
      </c>
      <c r="C9" s="1017" t="str">
        <f>IF(ISBLANK('Treinamento (ORÇ)'!C9:H9)," ",'Treinamento (ORÇ)'!C9:H9)</f>
        <v xml:space="preserve"> </v>
      </c>
      <c r="D9" s="1018"/>
      <c r="E9" s="1018"/>
      <c r="F9" s="1018"/>
      <c r="G9" s="1018"/>
      <c r="H9" s="1019"/>
      <c r="I9" s="725">
        <f>'Treinamento (ORÇ)'!I9</f>
        <v>0</v>
      </c>
      <c r="J9" s="504">
        <f>'Treinamento (ORÇ)'!J9</f>
        <v>0</v>
      </c>
      <c r="K9" s="505">
        <f t="shared" si="0"/>
        <v>0</v>
      </c>
      <c r="L9" s="504">
        <f t="shared" si="1"/>
        <v>0</v>
      </c>
      <c r="M9" s="515"/>
      <c r="N9" s="515"/>
    </row>
    <row r="10" spans="2:23" x14ac:dyDescent="0.2">
      <c r="B10" s="503">
        <v>6</v>
      </c>
      <c r="C10" s="1017" t="str">
        <f>IF(ISBLANK('Treinamento (ORÇ)'!C10:H10)," ",'Treinamento (ORÇ)'!C10:H10)</f>
        <v xml:space="preserve"> </v>
      </c>
      <c r="D10" s="1018"/>
      <c r="E10" s="1018"/>
      <c r="F10" s="1018"/>
      <c r="G10" s="1018"/>
      <c r="H10" s="1019"/>
      <c r="I10" s="725">
        <f>'Treinamento (ORÇ)'!I10</f>
        <v>0</v>
      </c>
      <c r="J10" s="504">
        <f>'Treinamento (ORÇ)'!J10</f>
        <v>0</v>
      </c>
      <c r="K10" s="505">
        <f t="shared" si="0"/>
        <v>0</v>
      </c>
      <c r="L10" s="504">
        <f t="shared" si="1"/>
        <v>0</v>
      </c>
      <c r="M10" s="515"/>
      <c r="N10" s="515"/>
    </row>
    <row r="11" spans="2:23" x14ac:dyDescent="0.2">
      <c r="B11" s="503">
        <v>7</v>
      </c>
      <c r="C11" s="1017" t="str">
        <f>IF(ISBLANK('Treinamento (ORÇ)'!C11:H11)," ",'Treinamento (ORÇ)'!C11:H11)</f>
        <v xml:space="preserve"> </v>
      </c>
      <c r="D11" s="1018"/>
      <c r="E11" s="1018"/>
      <c r="F11" s="1018"/>
      <c r="G11" s="1018"/>
      <c r="H11" s="1019"/>
      <c r="I11" s="725">
        <f>'Treinamento (ORÇ)'!I11</f>
        <v>0</v>
      </c>
      <c r="J11" s="504">
        <f>'Treinamento (ORÇ)'!J11</f>
        <v>0</v>
      </c>
      <c r="K11" s="505">
        <f t="shared" si="0"/>
        <v>0</v>
      </c>
      <c r="L11" s="504">
        <f t="shared" si="1"/>
        <v>0</v>
      </c>
      <c r="M11" s="515"/>
      <c r="N11" s="515"/>
    </row>
    <row r="12" spans="2:23" x14ac:dyDescent="0.2">
      <c r="B12" s="503">
        <v>8</v>
      </c>
      <c r="C12" s="1017" t="str">
        <f>IF(ISBLANK('Treinamento (ORÇ)'!C12:H12)," ",'Treinamento (ORÇ)'!C12:H12)</f>
        <v xml:space="preserve"> </v>
      </c>
      <c r="D12" s="1018"/>
      <c r="E12" s="1018"/>
      <c r="F12" s="1018"/>
      <c r="G12" s="1018"/>
      <c r="H12" s="1019"/>
      <c r="I12" s="725">
        <f>'Treinamento (ORÇ)'!I12</f>
        <v>0</v>
      </c>
      <c r="J12" s="504">
        <f>'Treinamento (ORÇ)'!J12</f>
        <v>0</v>
      </c>
      <c r="K12" s="505">
        <f t="shared" si="0"/>
        <v>0</v>
      </c>
      <c r="L12" s="504">
        <f t="shared" si="1"/>
        <v>0</v>
      </c>
      <c r="M12" s="515"/>
      <c r="N12" s="515"/>
    </row>
    <row r="13" spans="2:23" x14ac:dyDescent="0.2">
      <c r="B13" s="503">
        <v>9</v>
      </c>
      <c r="C13" s="1017" t="str">
        <f>IF(ISBLANK('Treinamento (ORÇ)'!C13:H13)," ",'Treinamento (ORÇ)'!C13:H13)</f>
        <v xml:space="preserve"> </v>
      </c>
      <c r="D13" s="1018"/>
      <c r="E13" s="1018"/>
      <c r="F13" s="1018"/>
      <c r="G13" s="1018"/>
      <c r="H13" s="1019"/>
      <c r="I13" s="725">
        <f>'Treinamento (ORÇ)'!I13</f>
        <v>0</v>
      </c>
      <c r="J13" s="504">
        <f>'Treinamento (ORÇ)'!J13</f>
        <v>0</v>
      </c>
      <c r="K13" s="505">
        <f t="shared" si="0"/>
        <v>0</v>
      </c>
      <c r="L13" s="504">
        <f t="shared" si="1"/>
        <v>0</v>
      </c>
      <c r="M13" s="515"/>
      <c r="N13" s="515"/>
    </row>
    <row r="14" spans="2:23" x14ac:dyDescent="0.2">
      <c r="B14" s="503">
        <v>10</v>
      </c>
      <c r="C14" s="1017" t="str">
        <f>IF(ISBLANK('Treinamento (ORÇ)'!C14:H14)," ",'Treinamento (ORÇ)'!C14:H14)</f>
        <v xml:space="preserve"> </v>
      </c>
      <c r="D14" s="1018"/>
      <c r="E14" s="1018"/>
      <c r="F14" s="1018"/>
      <c r="G14" s="1018"/>
      <c r="H14" s="1019"/>
      <c r="I14" s="725">
        <f>'Treinamento (ORÇ)'!I14</f>
        <v>0</v>
      </c>
      <c r="J14" s="504">
        <f>'Treinamento (ORÇ)'!J14</f>
        <v>0</v>
      </c>
      <c r="K14" s="505">
        <f t="shared" si="0"/>
        <v>0</v>
      </c>
      <c r="L14" s="504">
        <f t="shared" si="1"/>
        <v>0</v>
      </c>
      <c r="M14" s="515"/>
      <c r="N14" s="515"/>
    </row>
    <row r="15" spans="2:23" s="510" customFormat="1" ht="15" customHeight="1" x14ac:dyDescent="0.2">
      <c r="B15" s="1116" t="s">
        <v>941</v>
      </c>
      <c r="C15" s="1117"/>
      <c r="D15" s="1117"/>
      <c r="E15" s="1117"/>
      <c r="F15" s="1117"/>
      <c r="G15" s="1117"/>
      <c r="H15" s="1117"/>
      <c r="I15" s="1117"/>
      <c r="J15" s="1118"/>
      <c r="K15" s="552">
        <f>SUM(K5:K14)</f>
        <v>9999</v>
      </c>
      <c r="L15" s="552">
        <f>SUM(L5:L14)</f>
        <v>9999</v>
      </c>
      <c r="M15" s="552">
        <f>SUM(M5:M14)</f>
        <v>0</v>
      </c>
      <c r="N15" s="552">
        <f>SUM(N5:N14)</f>
        <v>0</v>
      </c>
    </row>
    <row r="16" spans="2:23" s="510" customFormat="1" ht="15" customHeight="1" x14ac:dyDescent="0.2">
      <c r="B16" s="1001" t="s">
        <v>938</v>
      </c>
      <c r="C16" s="1002"/>
      <c r="D16" s="1002"/>
      <c r="E16" s="1002"/>
      <c r="F16" s="1002"/>
      <c r="G16" s="1002"/>
      <c r="H16" s="1002"/>
      <c r="I16" s="1002"/>
      <c r="J16" s="1002"/>
      <c r="K16" s="1016"/>
      <c r="L16" s="1001" t="s">
        <v>214</v>
      </c>
      <c r="M16" s="1002"/>
      <c r="N16" s="1016"/>
    </row>
    <row r="17" spans="2:14" ht="15" x14ac:dyDescent="0.25">
      <c r="B17" s="1003" t="s">
        <v>914</v>
      </c>
      <c r="C17" s="1004"/>
      <c r="D17" s="1004"/>
      <c r="E17" s="1004"/>
      <c r="F17" s="1004"/>
      <c r="G17" s="1004"/>
      <c r="H17" s="1005"/>
      <c r="I17" s="500" t="s">
        <v>16</v>
      </c>
      <c r="J17" s="500" t="s">
        <v>239</v>
      </c>
      <c r="K17" s="502" t="s">
        <v>0</v>
      </c>
      <c r="L17" s="500" t="s">
        <v>796</v>
      </c>
      <c r="M17" s="501" t="s">
        <v>240</v>
      </c>
      <c r="N17" s="501" t="s">
        <v>241</v>
      </c>
    </row>
    <row r="18" spans="2:14" x14ac:dyDescent="0.2">
      <c r="B18" s="503">
        <v>1</v>
      </c>
      <c r="C18" s="1017" t="str">
        <f>IF(ISBLANK('Treinamento (ORÇ)'!C26:H26)," ",'Treinamento (ORÇ)'!C18:H18)</f>
        <v xml:space="preserve"> </v>
      </c>
      <c r="D18" s="1018"/>
      <c r="E18" s="1018"/>
      <c r="F18" s="1018"/>
      <c r="G18" s="1018"/>
      <c r="H18" s="1019"/>
      <c r="I18" s="725">
        <f>'Treinamento (ORÇ)'!I26</f>
        <v>0</v>
      </c>
      <c r="J18" s="725">
        <f>'Treinamento (ORÇ)'!J26</f>
        <v>0</v>
      </c>
      <c r="K18" s="505">
        <f t="shared" ref="K18:K27" si="2">I18*J18</f>
        <v>0</v>
      </c>
      <c r="L18" s="504">
        <f t="shared" ref="L18:L27" si="3">K18-M18-N18</f>
        <v>0</v>
      </c>
      <c r="M18" s="515"/>
      <c r="N18" s="515"/>
    </row>
    <row r="19" spans="2:14" x14ac:dyDescent="0.2">
      <c r="B19" s="503">
        <v>2</v>
      </c>
      <c r="C19" s="1017" t="str">
        <f>IF(ISBLANK('Treinamento (ORÇ)'!C27:H27)," ",'Treinamento (ORÇ)'!C19:H19)</f>
        <v xml:space="preserve"> </v>
      </c>
      <c r="D19" s="1018"/>
      <c r="E19" s="1018"/>
      <c r="F19" s="1018"/>
      <c r="G19" s="1018"/>
      <c r="H19" s="1019"/>
      <c r="I19" s="725">
        <f>'Treinamento (ORÇ)'!I27</f>
        <v>0</v>
      </c>
      <c r="J19" s="725">
        <f>'Treinamento (ORÇ)'!J27</f>
        <v>0</v>
      </c>
      <c r="K19" s="505">
        <f t="shared" si="2"/>
        <v>0</v>
      </c>
      <c r="L19" s="504">
        <f t="shared" si="3"/>
        <v>0</v>
      </c>
      <c r="M19" s="515"/>
      <c r="N19" s="515"/>
    </row>
    <row r="20" spans="2:14" x14ac:dyDescent="0.2">
      <c r="B20" s="503">
        <v>3</v>
      </c>
      <c r="C20" s="1017" t="str">
        <f>IF(ISBLANK('Treinamento (ORÇ)'!C28:H28)," ",'Treinamento (ORÇ)'!C20:H20)</f>
        <v xml:space="preserve"> </v>
      </c>
      <c r="D20" s="1018"/>
      <c r="E20" s="1018"/>
      <c r="F20" s="1018"/>
      <c r="G20" s="1018"/>
      <c r="H20" s="1019"/>
      <c r="I20" s="725">
        <f>'Treinamento (ORÇ)'!I28</f>
        <v>0</v>
      </c>
      <c r="J20" s="725">
        <f>'Treinamento (ORÇ)'!J28</f>
        <v>0</v>
      </c>
      <c r="K20" s="505">
        <f t="shared" si="2"/>
        <v>0</v>
      </c>
      <c r="L20" s="504">
        <f t="shared" si="3"/>
        <v>0</v>
      </c>
      <c r="M20" s="515"/>
      <c r="N20" s="515"/>
    </row>
    <row r="21" spans="2:14" x14ac:dyDescent="0.2">
      <c r="B21" s="503">
        <v>4</v>
      </c>
      <c r="C21" s="1017" t="str">
        <f>IF(ISBLANK('Treinamento (ORÇ)'!C29:H29)," ",'Treinamento (ORÇ)'!C21:H21)</f>
        <v xml:space="preserve"> </v>
      </c>
      <c r="D21" s="1018"/>
      <c r="E21" s="1018"/>
      <c r="F21" s="1018"/>
      <c r="G21" s="1018"/>
      <c r="H21" s="1019"/>
      <c r="I21" s="725">
        <f>'Treinamento (ORÇ)'!I29</f>
        <v>0</v>
      </c>
      <c r="J21" s="725">
        <f>'Treinamento (ORÇ)'!J29</f>
        <v>0</v>
      </c>
      <c r="K21" s="505">
        <f t="shared" si="2"/>
        <v>0</v>
      </c>
      <c r="L21" s="504">
        <f t="shared" si="3"/>
        <v>0</v>
      </c>
      <c r="M21" s="515"/>
      <c r="N21" s="515"/>
    </row>
    <row r="22" spans="2:14" x14ac:dyDescent="0.2">
      <c r="B22" s="503">
        <v>5</v>
      </c>
      <c r="C22" s="1017" t="str">
        <f>IF(ISBLANK('Treinamento (ORÇ)'!C30:H30)," ",'Treinamento (ORÇ)'!C22:H22)</f>
        <v xml:space="preserve"> </v>
      </c>
      <c r="D22" s="1018"/>
      <c r="E22" s="1018"/>
      <c r="F22" s="1018"/>
      <c r="G22" s="1018"/>
      <c r="H22" s="1019"/>
      <c r="I22" s="725">
        <f>'Treinamento (ORÇ)'!I30</f>
        <v>0</v>
      </c>
      <c r="J22" s="725">
        <f>'Treinamento (ORÇ)'!J30</f>
        <v>0</v>
      </c>
      <c r="K22" s="505">
        <f t="shared" si="2"/>
        <v>0</v>
      </c>
      <c r="L22" s="504">
        <f t="shared" si="3"/>
        <v>0</v>
      </c>
      <c r="M22" s="515"/>
      <c r="N22" s="515"/>
    </row>
    <row r="23" spans="2:14" x14ac:dyDescent="0.2">
      <c r="B23" s="503">
        <v>6</v>
      </c>
      <c r="C23" s="1017" t="str">
        <f>IF(ISBLANK('Treinamento (ORÇ)'!C31:H31)," ",'Treinamento (ORÇ)'!C23:H23)</f>
        <v xml:space="preserve"> </v>
      </c>
      <c r="D23" s="1018"/>
      <c r="E23" s="1018"/>
      <c r="F23" s="1018"/>
      <c r="G23" s="1018"/>
      <c r="H23" s="1019"/>
      <c r="I23" s="725">
        <f>'Treinamento (ORÇ)'!I31</f>
        <v>0</v>
      </c>
      <c r="J23" s="725">
        <f>'Treinamento (ORÇ)'!J31</f>
        <v>0</v>
      </c>
      <c r="K23" s="505">
        <f t="shared" si="2"/>
        <v>0</v>
      </c>
      <c r="L23" s="504">
        <f t="shared" si="3"/>
        <v>0</v>
      </c>
      <c r="M23" s="515"/>
      <c r="N23" s="515"/>
    </row>
    <row r="24" spans="2:14" x14ac:dyDescent="0.2">
      <c r="B24" s="503">
        <v>7</v>
      </c>
      <c r="C24" s="1017" t="str">
        <f>IF(ISBLANK('Treinamento (ORÇ)'!C32:H32)," ",'Treinamento (ORÇ)'!C24:H24)</f>
        <v xml:space="preserve"> </v>
      </c>
      <c r="D24" s="1018"/>
      <c r="E24" s="1018"/>
      <c r="F24" s="1018"/>
      <c r="G24" s="1018"/>
      <c r="H24" s="1019"/>
      <c r="I24" s="725">
        <f>'Treinamento (ORÇ)'!I32</f>
        <v>0</v>
      </c>
      <c r="J24" s="725">
        <f>'Treinamento (ORÇ)'!J32</f>
        <v>0</v>
      </c>
      <c r="K24" s="505">
        <f t="shared" si="2"/>
        <v>0</v>
      </c>
      <c r="L24" s="504">
        <f t="shared" si="3"/>
        <v>0</v>
      </c>
      <c r="M24" s="515"/>
      <c r="N24" s="515"/>
    </row>
    <row r="25" spans="2:14" x14ac:dyDescent="0.2">
      <c r="B25" s="503">
        <v>8</v>
      </c>
      <c r="C25" s="1017" t="str">
        <f>IF(ISBLANK('Treinamento (ORÇ)'!C33:H33)," ",'Treinamento (ORÇ)'!C25:H25)</f>
        <v xml:space="preserve"> </v>
      </c>
      <c r="D25" s="1018"/>
      <c r="E25" s="1018"/>
      <c r="F25" s="1018"/>
      <c r="G25" s="1018"/>
      <c r="H25" s="1019"/>
      <c r="I25" s="725">
        <f>'Treinamento (ORÇ)'!I33</f>
        <v>0</v>
      </c>
      <c r="J25" s="725">
        <f>'Treinamento (ORÇ)'!J33</f>
        <v>0</v>
      </c>
      <c r="K25" s="505">
        <f t="shared" si="2"/>
        <v>0</v>
      </c>
      <c r="L25" s="504">
        <f t="shared" si="3"/>
        <v>0</v>
      </c>
      <c r="M25" s="515"/>
      <c r="N25" s="515"/>
    </row>
    <row r="26" spans="2:14" x14ac:dyDescent="0.2">
      <c r="B26" s="503">
        <v>9</v>
      </c>
      <c r="C26" s="1017" t="str">
        <f>IF(ISBLANK('Treinamento (ORÇ)'!C34:H34)," ",'Treinamento (ORÇ)'!C26:H26)</f>
        <v xml:space="preserve"> </v>
      </c>
      <c r="D26" s="1018"/>
      <c r="E26" s="1018"/>
      <c r="F26" s="1018"/>
      <c r="G26" s="1018"/>
      <c r="H26" s="1019"/>
      <c r="I26" s="725">
        <f>'Treinamento (ORÇ)'!I34</f>
        <v>0</v>
      </c>
      <c r="J26" s="725">
        <f>'Treinamento (ORÇ)'!J34</f>
        <v>0</v>
      </c>
      <c r="K26" s="505">
        <f t="shared" si="2"/>
        <v>0</v>
      </c>
      <c r="L26" s="504">
        <f t="shared" si="3"/>
        <v>0</v>
      </c>
      <c r="M26" s="515"/>
      <c r="N26" s="515"/>
    </row>
    <row r="27" spans="2:14" x14ac:dyDescent="0.2">
      <c r="B27" s="503">
        <v>10</v>
      </c>
      <c r="C27" s="1017" t="str">
        <f>IF(ISBLANK('Treinamento (ORÇ)'!C35:H35)," ",'Treinamento (ORÇ)'!C27:H27)</f>
        <v xml:space="preserve"> </v>
      </c>
      <c r="D27" s="1018"/>
      <c r="E27" s="1018"/>
      <c r="F27" s="1018"/>
      <c r="G27" s="1018"/>
      <c r="H27" s="1019"/>
      <c r="I27" s="725">
        <f>'Treinamento (ORÇ)'!I35</f>
        <v>0</v>
      </c>
      <c r="J27" s="725">
        <f>'Treinamento (ORÇ)'!J35</f>
        <v>0</v>
      </c>
      <c r="K27" s="505">
        <f t="shared" si="2"/>
        <v>0</v>
      </c>
      <c r="L27" s="504">
        <f t="shared" si="3"/>
        <v>0</v>
      </c>
      <c r="M27" s="515"/>
      <c r="N27" s="515"/>
    </row>
    <row r="28" spans="2:14" s="510" customFormat="1" ht="15" customHeight="1" x14ac:dyDescent="0.2">
      <c r="B28" s="1116" t="s">
        <v>940</v>
      </c>
      <c r="C28" s="1117"/>
      <c r="D28" s="1117"/>
      <c r="E28" s="1117"/>
      <c r="F28" s="1117"/>
      <c r="G28" s="1117"/>
      <c r="H28" s="1117"/>
      <c r="I28" s="1117"/>
      <c r="J28" s="1118"/>
      <c r="K28" s="552">
        <f>SUM(K18:K27)</f>
        <v>0</v>
      </c>
      <c r="L28" s="552">
        <f>SUM(L18:L27)</f>
        <v>0</v>
      </c>
      <c r="M28" s="552">
        <f>SUM(M18:M27)</f>
        <v>0</v>
      </c>
      <c r="N28" s="552">
        <f>SUM(N18:N27)</f>
        <v>0</v>
      </c>
    </row>
    <row r="29" spans="2:14" s="510" customFormat="1" ht="15" customHeight="1" x14ac:dyDescent="0.2">
      <c r="B29" s="1119" t="s">
        <v>942</v>
      </c>
      <c r="C29" s="1120"/>
      <c r="D29" s="1120"/>
      <c r="E29" s="1120"/>
      <c r="F29" s="1120"/>
      <c r="G29" s="1120"/>
      <c r="H29" s="1120"/>
      <c r="I29" s="1120"/>
      <c r="J29" s="1121"/>
      <c r="K29" s="553">
        <f>SUM(K28,K15)</f>
        <v>9999</v>
      </c>
      <c r="L29" s="553">
        <f>SUM(L28,L15)</f>
        <v>9999</v>
      </c>
      <c r="M29" s="553">
        <f t="shared" ref="M29:N29" si="4">SUM(M28,M15)</f>
        <v>0</v>
      </c>
      <c r="N29" s="553">
        <f t="shared" si="4"/>
        <v>0</v>
      </c>
    </row>
    <row r="30" spans="2:14" s="510" customFormat="1" ht="15" customHeight="1" x14ac:dyDescent="0.2">
      <c r="B30" s="1001" t="s">
        <v>910</v>
      </c>
      <c r="C30" s="1002"/>
      <c r="D30" s="1002"/>
      <c r="E30" s="1002"/>
      <c r="F30" s="1002"/>
      <c r="G30" s="1002"/>
      <c r="H30" s="1002"/>
      <c r="I30" s="1002"/>
      <c r="J30" s="1002"/>
      <c r="K30" s="1016"/>
      <c r="L30" s="1001" t="s">
        <v>214</v>
      </c>
      <c r="M30" s="1002"/>
      <c r="N30" s="1016"/>
    </row>
    <row r="31" spans="2:14" s="510" customFormat="1" ht="15" customHeight="1" x14ac:dyDescent="0.25">
      <c r="B31" s="1027" t="s">
        <v>912</v>
      </c>
      <c r="C31" s="1028"/>
      <c r="D31" s="1028"/>
      <c r="E31" s="1028"/>
      <c r="F31" s="1028"/>
      <c r="G31" s="1028"/>
      <c r="H31" s="1028"/>
      <c r="I31" s="1028"/>
      <c r="J31" s="1029"/>
      <c r="K31" s="511" t="s">
        <v>0</v>
      </c>
      <c r="L31" s="512" t="s">
        <v>796</v>
      </c>
      <c r="M31" s="513" t="s">
        <v>240</v>
      </c>
      <c r="N31" s="513" t="s">
        <v>241</v>
      </c>
    </row>
    <row r="32" spans="2:14" ht="15" x14ac:dyDescent="0.25">
      <c r="B32" s="506"/>
      <c r="C32" s="1014" t="s">
        <v>61</v>
      </c>
      <c r="D32" s="1014"/>
      <c r="E32" s="1014"/>
      <c r="F32" s="1014"/>
      <c r="G32" s="1014"/>
      <c r="H32" s="1014"/>
      <c r="I32" s="1014"/>
      <c r="J32" s="1015"/>
      <c r="K32" s="507">
        <f>SUM(L32:N32)</f>
        <v>1023.3108063622431</v>
      </c>
      <c r="L32" s="507">
        <f>'Custo Contábil'!$D$37*L$29</f>
        <v>1023.3108063622431</v>
      </c>
      <c r="M32" s="507">
        <f>'Custo Contábil'!$D$37*M$29</f>
        <v>0</v>
      </c>
      <c r="N32" s="507">
        <f>'Custo Contábil'!$D$37*N$29</f>
        <v>0</v>
      </c>
    </row>
    <row r="33" spans="2:14" ht="15" x14ac:dyDescent="0.25">
      <c r="B33" s="506"/>
      <c r="C33" s="1014" t="s">
        <v>203</v>
      </c>
      <c r="D33" s="1014"/>
      <c r="E33" s="1014"/>
      <c r="F33" s="1014"/>
      <c r="G33" s="1014"/>
      <c r="H33" s="1014"/>
      <c r="I33" s="1014"/>
      <c r="J33" s="1015"/>
      <c r="K33" s="507">
        <f t="shared" ref="K33:K39" si="5">SUM(L33:N33)</f>
        <v>0</v>
      </c>
      <c r="L33" s="507">
        <f>'Custo Contábil'!$E$37*L$29</f>
        <v>0</v>
      </c>
      <c r="M33" s="507">
        <f>'Custo Contábil'!$E$37*M$29</f>
        <v>0</v>
      </c>
      <c r="N33" s="507">
        <f>'Custo Contábil'!$E$37*N$29</f>
        <v>0</v>
      </c>
    </row>
    <row r="34" spans="2:14" ht="15" x14ac:dyDescent="0.25">
      <c r="B34" s="506"/>
      <c r="C34" s="1014" t="s">
        <v>41</v>
      </c>
      <c r="D34" s="1014"/>
      <c r="E34" s="1014"/>
      <c r="F34" s="1014"/>
      <c r="G34" s="1014"/>
      <c r="H34" s="1014"/>
      <c r="I34" s="1014"/>
      <c r="J34" s="1015"/>
      <c r="K34" s="507">
        <f t="shared" si="5"/>
        <v>0</v>
      </c>
      <c r="L34" s="507">
        <f>'Custo Contábil'!$F$37*L$29</f>
        <v>0</v>
      </c>
      <c r="M34" s="507">
        <f>'Custo Contábil'!$F$37*M$29</f>
        <v>0</v>
      </c>
      <c r="N34" s="507">
        <f>'Custo Contábil'!$F$37*N$29</f>
        <v>0</v>
      </c>
    </row>
    <row r="35" spans="2:14" ht="15" x14ac:dyDescent="0.25">
      <c r="B35" s="506"/>
      <c r="C35" s="1014" t="s">
        <v>222</v>
      </c>
      <c r="D35" s="1014"/>
      <c r="E35" s="1014"/>
      <c r="F35" s="1014"/>
      <c r="G35" s="1014"/>
      <c r="H35" s="1014"/>
      <c r="I35" s="1014"/>
      <c r="J35" s="1015"/>
      <c r="K35" s="507">
        <f t="shared" si="5"/>
        <v>0</v>
      </c>
      <c r="L35" s="507">
        <f>'Custo Contábil'!$G$37*L$29</f>
        <v>0</v>
      </c>
      <c r="M35" s="507">
        <f>'Custo Contábil'!$G$37*M$29</f>
        <v>0</v>
      </c>
      <c r="N35" s="507">
        <f>'Custo Contábil'!$G$37*N$29</f>
        <v>0</v>
      </c>
    </row>
    <row r="36" spans="2:14" ht="15" x14ac:dyDescent="0.25">
      <c r="B36" s="506"/>
      <c r="C36" s="1014" t="s">
        <v>205</v>
      </c>
      <c r="D36" s="1014"/>
      <c r="E36" s="1014"/>
      <c r="F36" s="1014"/>
      <c r="G36" s="1014"/>
      <c r="H36" s="1014"/>
      <c r="I36" s="1014"/>
      <c r="J36" s="1015"/>
      <c r="K36" s="507">
        <f t="shared" si="5"/>
        <v>0</v>
      </c>
      <c r="L36" s="507">
        <f>'Custo Contábil'!$H$37*L$29</f>
        <v>0</v>
      </c>
      <c r="M36" s="507">
        <f>'Custo Contábil'!$H$37*M$29</f>
        <v>0</v>
      </c>
      <c r="N36" s="507">
        <f>'Custo Contábil'!$H$37*N$29</f>
        <v>0</v>
      </c>
    </row>
    <row r="37" spans="2:14" ht="15" x14ac:dyDescent="0.25">
      <c r="B37" s="506"/>
      <c r="C37" s="1014" t="s">
        <v>135</v>
      </c>
      <c r="D37" s="1014"/>
      <c r="E37" s="1014"/>
      <c r="F37" s="1014"/>
      <c r="G37" s="1014"/>
      <c r="H37" s="1014"/>
      <c r="I37" s="1014"/>
      <c r="J37" s="1015"/>
      <c r="K37" s="507">
        <f t="shared" si="5"/>
        <v>0</v>
      </c>
      <c r="L37" s="507">
        <f>'Custo Contábil'!$I$37*L$29</f>
        <v>0</v>
      </c>
      <c r="M37" s="507">
        <f>'Custo Contábil'!$I$37*M$29</f>
        <v>0</v>
      </c>
      <c r="N37" s="507">
        <f>'Custo Contábil'!$I$37*N$29</f>
        <v>0</v>
      </c>
    </row>
    <row r="38" spans="2:14" ht="15" x14ac:dyDescent="0.25">
      <c r="B38" s="506"/>
      <c r="C38" s="1014" t="s">
        <v>134</v>
      </c>
      <c r="D38" s="1014"/>
      <c r="E38" s="1014"/>
      <c r="F38" s="1014"/>
      <c r="G38" s="1014"/>
      <c r="H38" s="1014"/>
      <c r="I38" s="1014"/>
      <c r="J38" s="1015"/>
      <c r="K38" s="507">
        <f t="shared" si="5"/>
        <v>0</v>
      </c>
      <c r="L38" s="507">
        <f>'Custo Contábil'!$J$37*L$29</f>
        <v>0</v>
      </c>
      <c r="M38" s="507">
        <f>'Custo Contábil'!$J$37*M$29</f>
        <v>0</v>
      </c>
      <c r="N38" s="507">
        <f>'Custo Contábil'!$J$37*N$29</f>
        <v>0</v>
      </c>
    </row>
    <row r="39" spans="2:14" ht="15" x14ac:dyDescent="0.25">
      <c r="B39" s="506"/>
      <c r="C39" s="1014" t="s">
        <v>994</v>
      </c>
      <c r="D39" s="1014"/>
      <c r="E39" s="1014"/>
      <c r="F39" s="1014"/>
      <c r="G39" s="1014"/>
      <c r="H39" s="1014"/>
      <c r="I39" s="1014"/>
      <c r="J39" s="1015"/>
      <c r="K39" s="507">
        <f t="shared" si="5"/>
        <v>8975.689193637756</v>
      </c>
      <c r="L39" s="507">
        <f>'Custo Contábil'!$K$37*L$29</f>
        <v>8975.689193637756</v>
      </c>
      <c r="M39" s="507">
        <f>'Custo Contábil'!$K$37*M$29</f>
        <v>0</v>
      </c>
      <c r="N39" s="507">
        <f>'Custo Contábil'!$K$37*N$29</f>
        <v>0</v>
      </c>
    </row>
    <row r="40" spans="2:14" ht="15" x14ac:dyDescent="0.25">
      <c r="B40" s="1020" t="s">
        <v>937</v>
      </c>
      <c r="C40" s="1021"/>
      <c r="D40" s="1021"/>
      <c r="E40" s="1021"/>
      <c r="F40" s="1021"/>
      <c r="G40" s="1021"/>
      <c r="H40" s="1021"/>
      <c r="I40" s="1021"/>
      <c r="J40" s="1022"/>
      <c r="K40" s="508">
        <f>K15</f>
        <v>9999</v>
      </c>
      <c r="L40" s="508">
        <f>L15</f>
        <v>9999</v>
      </c>
      <c r="M40" s="508">
        <f>M15</f>
        <v>0</v>
      </c>
      <c r="N40" s="508">
        <f>N15</f>
        <v>0</v>
      </c>
    </row>
  </sheetData>
  <sheetProtection password="C9E8" sheet="1" objects="1" scenarios="1"/>
  <mergeCells count="44">
    <mergeCell ref="Q3:U3"/>
    <mergeCell ref="Q4:U4"/>
    <mergeCell ref="C38:J38"/>
    <mergeCell ref="B40:J40"/>
    <mergeCell ref="C34:J34"/>
    <mergeCell ref="C35:J35"/>
    <mergeCell ref="C36:J36"/>
    <mergeCell ref="C37:J37"/>
    <mergeCell ref="C39:J39"/>
    <mergeCell ref="C32:J32"/>
    <mergeCell ref="C33:J33"/>
    <mergeCell ref="B31:J31"/>
    <mergeCell ref="B16:K16"/>
    <mergeCell ref="L16:N16"/>
    <mergeCell ref="B17:H17"/>
    <mergeCell ref="C18:H18"/>
    <mergeCell ref="C19:H19"/>
    <mergeCell ref="C27:H27"/>
    <mergeCell ref="B28:J28"/>
    <mergeCell ref="B29:J29"/>
    <mergeCell ref="C13:H13"/>
    <mergeCell ref="C14:H14"/>
    <mergeCell ref="B15:J15"/>
    <mergeCell ref="C20:H20"/>
    <mergeCell ref="C21:H21"/>
    <mergeCell ref="C22:H22"/>
    <mergeCell ref="B30:K30"/>
    <mergeCell ref="L30:N30"/>
    <mergeCell ref="C23:H23"/>
    <mergeCell ref="C24:H24"/>
    <mergeCell ref="C25:H25"/>
    <mergeCell ref="C26:H26"/>
    <mergeCell ref="C12:H12"/>
    <mergeCell ref="B2:N2"/>
    <mergeCell ref="B3:K3"/>
    <mergeCell ref="L3:N3"/>
    <mergeCell ref="B4:H4"/>
    <mergeCell ref="C5:H5"/>
    <mergeCell ref="C6:H6"/>
    <mergeCell ref="C7:H7"/>
    <mergeCell ref="C8:H8"/>
    <mergeCell ref="C9:H9"/>
    <mergeCell ref="C10:H10"/>
    <mergeCell ref="C11:H11"/>
  </mergeCells>
  <conditionalFormatting sqref="K5:N29 K32:N40">
    <cfRule type="cellIs" dxfId="137" priority="5" operator="lessThan">
      <formula>0</formula>
    </cfRule>
  </conditionalFormatting>
  <conditionalFormatting sqref="W4">
    <cfRule type="cellIs" dxfId="136" priority="1" stopIfTrue="1" operator="greaterThan">
      <formula>$E4</formula>
    </cfRule>
    <cfRule type="cellIs" dxfId="135" priority="2" stopIfTrue="1" operator="lessThanOrEqual">
      <formula>$E4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tabColor theme="6" tint="-0.249977111117893"/>
  </sheetPr>
  <dimension ref="B2:O20"/>
  <sheetViews>
    <sheetView showGridLines="0" topLeftCell="C1" zoomScaleNormal="100" workbookViewId="0">
      <selection activeCell="E7" sqref="E7"/>
    </sheetView>
  </sheetViews>
  <sheetFormatPr defaultColWidth="9.140625" defaultRowHeight="15" customHeight="1" x14ac:dyDescent="0.25"/>
  <cols>
    <col min="1" max="1" width="3.42578125" style="407" customWidth="1"/>
    <col min="2" max="2" width="3.42578125" style="407" bestFit="1" customWidth="1"/>
    <col min="3" max="3" width="20.42578125" style="407" customWidth="1"/>
    <col min="4" max="11" width="16.42578125" style="407" customWidth="1"/>
    <col min="12" max="12" width="10.42578125" style="407" customWidth="1"/>
    <col min="13" max="13" width="7.42578125" style="407" bestFit="1" customWidth="1"/>
    <col min="14" max="14" width="8.42578125" style="407" customWidth="1"/>
    <col min="15" max="15" width="8.42578125" style="407" bestFit="1" customWidth="1"/>
    <col min="16" max="16384" width="9.140625" style="407"/>
  </cols>
  <sheetData>
    <row r="2" spans="2:15" ht="22.5" customHeight="1" x14ac:dyDescent="0.25">
      <c r="B2" s="1141" t="s">
        <v>783</v>
      </c>
      <c r="C2" s="1142"/>
      <c r="D2" s="1142"/>
      <c r="E2" s="1142"/>
      <c r="F2" s="1142"/>
      <c r="G2" s="1142"/>
      <c r="H2" s="1142"/>
      <c r="I2" s="1142"/>
      <c r="J2" s="1142"/>
      <c r="K2" s="1142"/>
      <c r="L2" s="1142"/>
      <c r="M2" s="1142"/>
      <c r="N2" s="1142"/>
      <c r="O2" s="1143"/>
    </row>
    <row r="3" spans="2:15" ht="15" customHeight="1" x14ac:dyDescent="0.25">
      <c r="B3" s="142"/>
      <c r="C3" s="143"/>
      <c r="D3" s="146" t="s">
        <v>61</v>
      </c>
      <c r="E3" s="147" t="s">
        <v>721</v>
      </c>
      <c r="F3" s="148" t="s">
        <v>41</v>
      </c>
      <c r="G3" s="147" t="s">
        <v>62</v>
      </c>
      <c r="H3" s="149" t="s">
        <v>722</v>
      </c>
      <c r="I3" s="147" t="s">
        <v>723</v>
      </c>
      <c r="J3" s="147" t="s">
        <v>134</v>
      </c>
      <c r="K3" s="150" t="s">
        <v>994</v>
      </c>
      <c r="L3" s="151"/>
      <c r="M3" s="1140" t="s">
        <v>781</v>
      </c>
      <c r="N3" s="1140"/>
      <c r="O3" s="152"/>
    </row>
    <row r="4" spans="2:15" ht="17.25" customHeight="1" x14ac:dyDescent="0.25">
      <c r="B4" s="1133" t="s">
        <v>148</v>
      </c>
      <c r="C4" s="610" t="s">
        <v>268</v>
      </c>
      <c r="D4" s="153">
        <f>IlumBenef!G62</f>
        <v>0.03</v>
      </c>
      <c r="E4" s="153">
        <f>CondAmbBenef!G64</f>
        <v>0</v>
      </c>
      <c r="F4" s="153">
        <f>MotorBenef!G64</f>
        <v>0</v>
      </c>
      <c r="G4" s="153">
        <f>RefrigBenef!G60</f>
        <v>0</v>
      </c>
      <c r="H4" s="153">
        <f>SolarBenef!G42</f>
        <v>0</v>
      </c>
      <c r="I4" s="153">
        <f>HospBenef!G64</f>
        <v>0</v>
      </c>
      <c r="J4" s="153">
        <f>OutrosBenef!G58</f>
        <v>0</v>
      </c>
      <c r="K4" s="153">
        <f>FIBenef!G42</f>
        <v>0</v>
      </c>
      <c r="L4" s="154" t="s">
        <v>718</v>
      </c>
      <c r="M4" s="1134">
        <f>Apoio!AN7+Apoio!AR7</f>
        <v>0</v>
      </c>
      <c r="N4" s="1135"/>
      <c r="O4" s="155" t="s">
        <v>32</v>
      </c>
    </row>
    <row r="5" spans="2:15" ht="17.25" customHeight="1" x14ac:dyDescent="0.25">
      <c r="B5" s="1133"/>
      <c r="C5" s="610" t="s">
        <v>270</v>
      </c>
      <c r="D5" s="153">
        <f>IlumBenef!G63</f>
        <v>1.36</v>
      </c>
      <c r="E5" s="153">
        <f>CondAmbBenef!G65</f>
        <v>0</v>
      </c>
      <c r="F5" s="153">
        <f>MotorBenef!G65</f>
        <v>0</v>
      </c>
      <c r="G5" s="153">
        <f>RefrigBenef!G61</f>
        <v>0</v>
      </c>
      <c r="H5" s="153">
        <f>SolarBenef!G43</f>
        <v>0</v>
      </c>
      <c r="I5" s="153">
        <f>HospBenef!G65</f>
        <v>0</v>
      </c>
      <c r="J5" s="153">
        <f>OutrosBenef!G59</f>
        <v>0</v>
      </c>
      <c r="K5" s="153">
        <f>FIBenef!G43</f>
        <v>0</v>
      </c>
      <c r="L5" s="154" t="s">
        <v>718</v>
      </c>
      <c r="M5" s="1134">
        <f>Apoio!AO7+Apoio!AS7</f>
        <v>0</v>
      </c>
      <c r="N5" s="1135"/>
      <c r="O5" s="155" t="s">
        <v>32</v>
      </c>
    </row>
    <row r="6" spans="2:15" ht="17.25" customHeight="1" x14ac:dyDescent="0.25">
      <c r="B6" s="1144"/>
      <c r="C6" s="611" t="s">
        <v>271</v>
      </c>
      <c r="D6" s="153">
        <f>IlumBenef!G61</f>
        <v>1.39</v>
      </c>
      <c r="E6" s="153">
        <f>CondAmbBenef!G63</f>
        <v>0</v>
      </c>
      <c r="F6" s="153">
        <f>MotorBenef!G63</f>
        <v>0</v>
      </c>
      <c r="G6" s="153">
        <f>RefrigBenef!G59</f>
        <v>0</v>
      </c>
      <c r="H6" s="153">
        <f>SolarBenef!G41</f>
        <v>0</v>
      </c>
      <c r="I6" s="153">
        <f>HospBenef!G63</f>
        <v>0</v>
      </c>
      <c r="J6" s="153">
        <f>OutrosBenef!G57</f>
        <v>0</v>
      </c>
      <c r="K6" s="153">
        <f>FIBenef!G41</f>
        <v>3.94</v>
      </c>
      <c r="L6" s="154" t="s">
        <v>718</v>
      </c>
      <c r="M6" s="1140" t="s">
        <v>774</v>
      </c>
      <c r="N6" s="1140"/>
      <c r="O6" s="152"/>
    </row>
    <row r="7" spans="2:15" ht="17.25" customHeight="1" x14ac:dyDescent="0.25">
      <c r="B7" s="1132" t="s">
        <v>717</v>
      </c>
      <c r="C7" s="612" t="s">
        <v>268</v>
      </c>
      <c r="D7" s="153">
        <f>IlumBenef!G65</f>
        <v>0.54</v>
      </c>
      <c r="E7" s="153">
        <f>CondAmbBenef!G67</f>
        <v>0</v>
      </c>
      <c r="F7" s="153">
        <f>MotorBenef!G67</f>
        <v>0</v>
      </c>
      <c r="G7" s="153">
        <f>RefrigBenef!G63</f>
        <v>0</v>
      </c>
      <c r="H7" s="153">
        <f>SolarBenef!G45</f>
        <v>0</v>
      </c>
      <c r="I7" s="153">
        <f>HospBenef!G67</f>
        <v>0</v>
      </c>
      <c r="J7" s="153">
        <f>OutrosBenef!G61</f>
        <v>0</v>
      </c>
      <c r="K7" s="153">
        <f>FIBenef!G45</f>
        <v>0</v>
      </c>
      <c r="L7" s="154" t="s">
        <v>712</v>
      </c>
      <c r="M7" s="1134">
        <f>Apoio!AP7</f>
        <v>0</v>
      </c>
      <c r="N7" s="1135"/>
      <c r="O7" s="155" t="s">
        <v>219</v>
      </c>
    </row>
    <row r="8" spans="2:15" ht="17.25" customHeight="1" x14ac:dyDescent="0.25">
      <c r="B8" s="1133"/>
      <c r="C8" s="610" t="s">
        <v>270</v>
      </c>
      <c r="D8" s="153">
        <f>IlumBenef!G66</f>
        <v>13.12</v>
      </c>
      <c r="E8" s="153">
        <f>CondAmbBenef!G68</f>
        <v>0</v>
      </c>
      <c r="F8" s="153">
        <f>MotorBenef!G68</f>
        <v>0</v>
      </c>
      <c r="G8" s="153">
        <f>RefrigBenef!G64</f>
        <v>0</v>
      </c>
      <c r="H8" s="153">
        <f>SolarBenef!G46</f>
        <v>0</v>
      </c>
      <c r="I8" s="153">
        <f>HospBenef!G68</f>
        <v>0</v>
      </c>
      <c r="J8" s="153">
        <f>OutrosBenef!G62</f>
        <v>0</v>
      </c>
      <c r="K8" s="153">
        <f>FIBenef!G46</f>
        <v>25</v>
      </c>
      <c r="L8" s="154" t="s">
        <v>712</v>
      </c>
      <c r="M8" s="1134">
        <f>Apoio!AQ7</f>
        <v>0</v>
      </c>
      <c r="N8" s="1135"/>
      <c r="O8" s="155" t="s">
        <v>219</v>
      </c>
    </row>
    <row r="9" spans="2:15" ht="17.25" customHeight="1" x14ac:dyDescent="0.25">
      <c r="B9" s="1133"/>
      <c r="C9" s="610" t="s">
        <v>271</v>
      </c>
      <c r="D9" s="153">
        <f>IlumBenef!G64</f>
        <v>13.12</v>
      </c>
      <c r="E9" s="153">
        <f>CondAmbBenef!G66</f>
        <v>0</v>
      </c>
      <c r="F9" s="153">
        <f>MotorBenef!G66</f>
        <v>0</v>
      </c>
      <c r="G9" s="153">
        <f>RefrigBenef!G62</f>
        <v>0</v>
      </c>
      <c r="H9" s="153">
        <f>SolarBenef!G44</f>
        <v>0</v>
      </c>
      <c r="I9" s="153">
        <f>HospBenef!G66</f>
        <v>0</v>
      </c>
      <c r="J9" s="153">
        <f>OutrosBenef!G60</f>
        <v>0</v>
      </c>
      <c r="K9" s="153">
        <f>FIBenef!G44</f>
        <v>25</v>
      </c>
      <c r="L9" s="320"/>
      <c r="M9" s="1127" t="s">
        <v>784</v>
      </c>
      <c r="N9" s="1127"/>
      <c r="O9" s="321"/>
    </row>
    <row r="10" spans="2:15" ht="8.25" customHeight="1" x14ac:dyDescent="0.25">
      <c r="B10" s="297"/>
      <c r="C10" s="608"/>
      <c r="D10" s="298"/>
      <c r="E10" s="156"/>
      <c r="F10" s="156"/>
      <c r="G10" s="156"/>
      <c r="H10" s="156"/>
      <c r="I10" s="156"/>
      <c r="J10" s="156"/>
      <c r="K10" s="156"/>
      <c r="L10" s="320"/>
      <c r="M10" s="1128"/>
      <c r="N10" s="1128"/>
      <c r="O10" s="321"/>
    </row>
    <row r="11" spans="2:15" ht="15" customHeight="1" x14ac:dyDescent="0.25">
      <c r="B11" s="144"/>
      <c r="C11" s="610" t="s">
        <v>272</v>
      </c>
      <c r="D11" s="157">
        <f>(D4*$M$4)+(D5*$M$5)+(D7*$M$7)+(D8*$M$8)</f>
        <v>0</v>
      </c>
      <c r="E11" s="157">
        <f t="shared" ref="E11:I11" si="0">(E4*$M$4)+(E5*$M$5)+(E7*$M$7)+(E8*$M$8)</f>
        <v>0</v>
      </c>
      <c r="F11" s="157">
        <f t="shared" si="0"/>
        <v>0</v>
      </c>
      <c r="G11" s="157">
        <f t="shared" si="0"/>
        <v>0</v>
      </c>
      <c r="H11" s="157">
        <f t="shared" si="0"/>
        <v>0</v>
      </c>
      <c r="I11" s="157">
        <f t="shared" si="0"/>
        <v>0</v>
      </c>
      <c r="J11" s="157">
        <f>(J4*$M$4)+(J5*$M$5)+(J7*$M$7)+(J8*$M$8)</f>
        <v>0</v>
      </c>
      <c r="K11" s="157">
        <f>(K4*$M$4)+(K5*$M$5)+(K7*$M$7)+(K8*$M$8)</f>
        <v>0</v>
      </c>
      <c r="L11" s="154"/>
      <c r="M11" s="1125">
        <f>SUM(D11:K11)</f>
        <v>0</v>
      </c>
      <c r="N11" s="1125"/>
      <c r="O11" s="152"/>
    </row>
    <row r="12" spans="2:15" ht="15" customHeight="1" x14ac:dyDescent="0.25">
      <c r="B12" s="144"/>
      <c r="C12" s="610" t="s">
        <v>273</v>
      </c>
      <c r="D12" s="158">
        <f>IlumCusto!V112</f>
        <v>16.074847828187323</v>
      </c>
      <c r="E12" s="158">
        <f>CondAmbCusto!V52</f>
        <v>0</v>
      </c>
      <c r="F12" s="158">
        <f>MotorCusto!V112</f>
        <v>0</v>
      </c>
      <c r="G12" s="158">
        <f>RefrigCusto!V52</f>
        <v>0</v>
      </c>
      <c r="H12" s="158">
        <f>SolarCusto!V52</f>
        <v>0</v>
      </c>
      <c r="I12" s="158">
        <f>HospCusto!V52</f>
        <v>0</v>
      </c>
      <c r="J12" s="158">
        <f>OutrosCusto!V52</f>
        <v>0</v>
      </c>
      <c r="K12" s="158">
        <f>FICusto!V52</f>
        <v>17.68963251998893</v>
      </c>
      <c r="L12" s="154" t="s">
        <v>274</v>
      </c>
      <c r="M12" s="1126">
        <f>IFERROR(SUM(D13:K13)/SUM(D6:K6),0)</f>
        <v>17.268516061901831</v>
      </c>
      <c r="N12" s="1126"/>
      <c r="O12" s="155" t="s">
        <v>274</v>
      </c>
    </row>
    <row r="13" spans="2:15" ht="15" customHeight="1" x14ac:dyDescent="0.25">
      <c r="B13" s="144"/>
      <c r="C13" s="145"/>
      <c r="D13" s="296">
        <f t="shared" ref="D13:K13" si="1">D12*D6</f>
        <v>22.344038481180377</v>
      </c>
      <c r="E13" s="296">
        <f t="shared" si="1"/>
        <v>0</v>
      </c>
      <c r="F13" s="296">
        <f t="shared" si="1"/>
        <v>0</v>
      </c>
      <c r="G13" s="296">
        <f t="shared" si="1"/>
        <v>0</v>
      </c>
      <c r="H13" s="296">
        <f t="shared" si="1"/>
        <v>0</v>
      </c>
      <c r="I13" s="296">
        <f t="shared" si="1"/>
        <v>0</v>
      </c>
      <c r="J13" s="296">
        <f t="shared" si="1"/>
        <v>0</v>
      </c>
      <c r="K13" s="296">
        <f t="shared" si="1"/>
        <v>69.697152128756386</v>
      </c>
      <c r="L13" s="151"/>
      <c r="M13" s="150"/>
      <c r="N13" s="150"/>
      <c r="O13" s="152"/>
    </row>
    <row r="14" spans="2:15" ht="15" customHeight="1" x14ac:dyDescent="0.25">
      <c r="B14" s="1129" t="s">
        <v>782</v>
      </c>
      <c r="C14" s="1130"/>
      <c r="D14" s="1130"/>
      <c r="E14" s="1130"/>
      <c r="F14" s="1130"/>
      <c r="G14" s="1130"/>
      <c r="H14" s="1130"/>
      <c r="I14" s="1130"/>
      <c r="J14" s="1130"/>
      <c r="K14" s="1130"/>
      <c r="L14" s="1130"/>
      <c r="M14" s="1130"/>
      <c r="N14" s="1130"/>
      <c r="O14" s="1131"/>
    </row>
    <row r="15" spans="2:15" ht="15" customHeight="1" x14ac:dyDescent="0.25">
      <c r="B15" s="159"/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0"/>
      <c r="O15" s="162"/>
    </row>
    <row r="16" spans="2:15" ht="15" customHeight="1" x14ac:dyDescent="0.25">
      <c r="B16" s="1136" t="s">
        <v>275</v>
      </c>
      <c r="C16" s="1137"/>
      <c r="D16" s="160">
        <f>Apoio!J38</f>
        <v>0</v>
      </c>
      <c r="E16" s="145"/>
      <c r="F16" s="1123" t="s">
        <v>276</v>
      </c>
      <c r="G16" s="1124"/>
      <c r="H16" s="161">
        <f>IFERROR(SUM(D13:K13)/SUM(D6:K6),0)</f>
        <v>17.268516061901831</v>
      </c>
      <c r="I16" s="156" t="s">
        <v>274</v>
      </c>
      <c r="J16" s="1138" t="s">
        <v>692</v>
      </c>
      <c r="K16" s="1139"/>
      <c r="L16" s="408">
        <v>0.06</v>
      </c>
      <c r="M16" s="145" t="s">
        <v>891</v>
      </c>
      <c r="N16" s="150"/>
      <c r="O16" s="162"/>
    </row>
    <row r="17" spans="2:15" ht="15" customHeight="1" x14ac:dyDescent="0.25">
      <c r="B17" s="144"/>
      <c r="C17" s="608" t="s">
        <v>277</v>
      </c>
      <c r="D17" s="157">
        <f>'Custo Contábil'!F20-SUM('Custo Contábil'!F6)</f>
        <v>193330.00000000003</v>
      </c>
      <c r="E17" s="145"/>
      <c r="F17" s="1123" t="s">
        <v>278</v>
      </c>
      <c r="G17" s="1124"/>
      <c r="H17" s="163">
        <f>IFERROR(ROUNDUP(D18/H19,0),0)</f>
        <v>0</v>
      </c>
      <c r="I17" s="151" t="s">
        <v>279</v>
      </c>
      <c r="J17" s="151"/>
      <c r="K17" s="608" t="s">
        <v>724</v>
      </c>
      <c r="L17" s="408">
        <v>0</v>
      </c>
      <c r="M17" s="145" t="s">
        <v>280</v>
      </c>
      <c r="N17" s="150"/>
      <c r="O17" s="162"/>
    </row>
    <row r="18" spans="2:15" ht="15" customHeight="1" x14ac:dyDescent="0.25">
      <c r="B18" s="144"/>
      <c r="C18" s="608" t="s">
        <v>281</v>
      </c>
      <c r="D18" s="157">
        <f>ContrDesemp!D17*D16</f>
        <v>0</v>
      </c>
      <c r="E18" s="145"/>
      <c r="F18" s="1123" t="s">
        <v>282</v>
      </c>
      <c r="G18" s="1124"/>
      <c r="H18" s="163">
        <f>ROUNDUP($H$16*12,0)</f>
        <v>208</v>
      </c>
      <c r="I18" s="156" t="s">
        <v>279</v>
      </c>
      <c r="J18" s="156"/>
      <c r="K18" s="151"/>
      <c r="L18" s="156"/>
      <c r="M18" s="164"/>
      <c r="N18" s="151"/>
      <c r="O18" s="165"/>
    </row>
    <row r="19" spans="2:15" ht="15" customHeight="1" x14ac:dyDescent="0.25">
      <c r="B19" s="159"/>
      <c r="C19" s="609" t="s">
        <v>884</v>
      </c>
      <c r="D19" s="157">
        <f>IFERROR(D18/H17,0)</f>
        <v>0</v>
      </c>
      <c r="E19" s="145"/>
      <c r="F19" s="1123" t="s">
        <v>272</v>
      </c>
      <c r="G19" s="1124"/>
      <c r="H19" s="157">
        <f>SUM($D$11:$K$11)</f>
        <v>0</v>
      </c>
      <c r="I19" s="319"/>
      <c r="J19" s="319"/>
      <c r="K19" s="318"/>
      <c r="L19" s="151"/>
      <c r="M19" s="151"/>
      <c r="N19" s="151"/>
      <c r="O19" s="165"/>
    </row>
    <row r="20" spans="2:15" ht="15" customHeight="1" x14ac:dyDescent="0.25">
      <c r="B20" s="166"/>
      <c r="C20" s="167"/>
      <c r="D20" s="167"/>
      <c r="E20" s="167"/>
      <c r="F20" s="168"/>
      <c r="G20" s="168"/>
      <c r="H20" s="168"/>
      <c r="I20" s="168"/>
      <c r="J20" s="168"/>
      <c r="K20" s="168"/>
      <c r="L20" s="169"/>
      <c r="M20" s="170"/>
      <c r="N20" s="168"/>
      <c r="O20" s="171"/>
    </row>
  </sheetData>
  <sheetProtection algorithmName="SHA-512" hashValue="0zrZI/RGw9ABZIBgig6f6JGVCvjdSnKkYQj67yX9/5UqDc8YaW43sbzk+LbIAzyKmPJmr1EIifhq1MQktHkcJQ==" saltValue="cDKGUy1MLt844Pv8K8kFcQ==" spinCount="100000" sheet="1" objects="1" scenarios="1"/>
  <mergeCells count="19">
    <mergeCell ref="M3:N3"/>
    <mergeCell ref="M4:N4"/>
    <mergeCell ref="M5:N5"/>
    <mergeCell ref="B2:O2"/>
    <mergeCell ref="B4:B6"/>
    <mergeCell ref="M6:N6"/>
    <mergeCell ref="F19:G19"/>
    <mergeCell ref="M11:N11"/>
    <mergeCell ref="M12:N12"/>
    <mergeCell ref="M9:N10"/>
    <mergeCell ref="B14:O14"/>
    <mergeCell ref="B7:B9"/>
    <mergeCell ref="M7:N7"/>
    <mergeCell ref="M8:N8"/>
    <mergeCell ref="B16:C16"/>
    <mergeCell ref="J16:K16"/>
    <mergeCell ref="F16:G16"/>
    <mergeCell ref="F17:G17"/>
    <mergeCell ref="F18:G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B2:P161"/>
  <sheetViews>
    <sheetView showGridLines="0" zoomScale="90" zoomScaleNormal="90" workbookViewId="0">
      <pane ySplit="4" topLeftCell="A137" activePane="bottomLeft" state="frozen"/>
      <selection activeCell="H20" sqref="H20"/>
      <selection pane="bottomLeft" activeCell="K151" sqref="K151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1.42578125" style="409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1157" t="s">
        <v>950</v>
      </c>
      <c r="C2" s="1158"/>
      <c r="D2" s="1158"/>
      <c r="E2" s="1158"/>
      <c r="F2" s="1158"/>
      <c r="G2" s="1158"/>
      <c r="H2" s="1158"/>
      <c r="I2" s="1158"/>
      <c r="J2" s="1158"/>
      <c r="K2" s="572"/>
      <c r="L2" s="572"/>
      <c r="M2" s="573"/>
      <c r="N2" s="572"/>
      <c r="O2" s="572"/>
      <c r="P2" s="573"/>
    </row>
    <row r="3" spans="2:16" ht="15" hidden="1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 t="str">
        <f>IlumBenef!H24</f>
        <v>led tubular 16 W</v>
      </c>
      <c r="D8" s="1148"/>
      <c r="E8" s="1148"/>
      <c r="F8" s="1148"/>
      <c r="G8" s="1148"/>
      <c r="H8" s="726">
        <f>25000/IlumBenef!H32</f>
        <v>12.800819252432156</v>
      </c>
      <c r="I8" s="807">
        <f>[5]IlumBenef!H26</f>
        <v>160</v>
      </c>
      <c r="J8" s="546">
        <f>IFERROR(SMALL(K8:P8,1),0)</f>
        <v>24.83</v>
      </c>
      <c r="K8" s="343">
        <f>7895.25/290</f>
        <v>27.225000000000001</v>
      </c>
      <c r="L8" s="343">
        <f>8639.1/290</f>
        <v>29.790000000000003</v>
      </c>
      <c r="M8" s="343">
        <v>24.83</v>
      </c>
      <c r="N8" s="343"/>
      <c r="O8" s="343"/>
      <c r="P8" s="343"/>
    </row>
    <row r="9" spans="2:16" ht="15" customHeight="1" outlineLevel="1" x14ac:dyDescent="0.25">
      <c r="B9" s="175">
        <v>2</v>
      </c>
      <c r="C9" s="1147" t="str">
        <f>IlumBenef!I24</f>
        <v>led tubular 16 W</v>
      </c>
      <c r="D9" s="1148"/>
      <c r="E9" s="1148"/>
      <c r="F9" s="1148"/>
      <c r="G9" s="1148"/>
      <c r="H9" s="808">
        <v>20</v>
      </c>
      <c r="I9" s="809">
        <f>[5]IlumBenef!I26</f>
        <v>28</v>
      </c>
      <c r="J9" s="546">
        <f t="shared" ref="J9:J72" si="0">IFERROR(SMALL(K9:P9,1),0)</f>
        <v>24.83</v>
      </c>
      <c r="K9" s="343">
        <f t="shared" ref="K9:K12" si="1">7895.25/290</f>
        <v>27.225000000000001</v>
      </c>
      <c r="L9" s="343">
        <f t="shared" ref="L9:L12" si="2">8639.1/290</f>
        <v>29.790000000000003</v>
      </c>
      <c r="M9" s="343">
        <v>24.83</v>
      </c>
      <c r="N9" s="343"/>
      <c r="O9" s="343"/>
      <c r="P9" s="343"/>
    </row>
    <row r="10" spans="2:16" ht="15" customHeight="1" outlineLevel="1" x14ac:dyDescent="0.25">
      <c r="B10" s="173">
        <v>3</v>
      </c>
      <c r="C10" s="1147" t="str">
        <f>IlumBenef!J24</f>
        <v>led tubular 16 W</v>
      </c>
      <c r="D10" s="1148"/>
      <c r="E10" s="1148"/>
      <c r="F10" s="1148"/>
      <c r="G10" s="1148"/>
      <c r="H10" s="808">
        <v>20</v>
      </c>
      <c r="I10" s="809">
        <f>[5]IlumBenef!J26</f>
        <v>8</v>
      </c>
      <c r="J10" s="546">
        <f t="shared" si="0"/>
        <v>24.83</v>
      </c>
      <c r="K10" s="343">
        <f t="shared" si="1"/>
        <v>27.225000000000001</v>
      </c>
      <c r="L10" s="343">
        <f t="shared" si="2"/>
        <v>29.790000000000003</v>
      </c>
      <c r="M10" s="343">
        <v>24.83</v>
      </c>
      <c r="N10" s="343"/>
      <c r="O10" s="343"/>
      <c r="P10" s="343"/>
    </row>
    <row r="11" spans="2:16" ht="15" customHeight="1" outlineLevel="1" x14ac:dyDescent="0.25">
      <c r="B11" s="175">
        <v>4</v>
      </c>
      <c r="C11" s="1147" t="str">
        <f>IlumBenef!K24</f>
        <v>Led tubular 16 W</v>
      </c>
      <c r="D11" s="1148"/>
      <c r="E11" s="1148"/>
      <c r="F11" s="1148"/>
      <c r="G11" s="1148"/>
      <c r="H11" s="808">
        <v>20</v>
      </c>
      <c r="I11" s="809">
        <f>[5]IlumBenef!K26</f>
        <v>64</v>
      </c>
      <c r="J11" s="546">
        <f t="shared" si="0"/>
        <v>24.83</v>
      </c>
      <c r="K11" s="343">
        <f t="shared" si="1"/>
        <v>27.225000000000001</v>
      </c>
      <c r="L11" s="343">
        <f t="shared" si="2"/>
        <v>29.790000000000003</v>
      </c>
      <c r="M11" s="343">
        <v>24.83</v>
      </c>
      <c r="N11" s="343"/>
      <c r="O11" s="343"/>
      <c r="P11" s="343"/>
    </row>
    <row r="12" spans="2:16" ht="15" customHeight="1" outlineLevel="1" x14ac:dyDescent="0.25">
      <c r="B12" s="173">
        <v>5</v>
      </c>
      <c r="C12" s="1147" t="str">
        <f>IlumBenef!L24</f>
        <v>Led tubular 16W</v>
      </c>
      <c r="D12" s="1148"/>
      <c r="E12" s="1148"/>
      <c r="F12" s="1148"/>
      <c r="G12" s="1148"/>
      <c r="H12" s="808">
        <v>20</v>
      </c>
      <c r="I12" s="809">
        <f>[5]IlumBenef!L26</f>
        <v>30</v>
      </c>
      <c r="J12" s="546">
        <f t="shared" si="0"/>
        <v>24.83</v>
      </c>
      <c r="K12" s="343">
        <f t="shared" si="1"/>
        <v>27.225000000000001</v>
      </c>
      <c r="L12" s="343">
        <f t="shared" si="2"/>
        <v>29.790000000000003</v>
      </c>
      <c r="M12" s="343">
        <v>24.83</v>
      </c>
      <c r="N12" s="343"/>
      <c r="O12" s="343"/>
      <c r="P12" s="343"/>
    </row>
    <row r="13" spans="2:16" ht="15" customHeight="1" outlineLevel="1" x14ac:dyDescent="0.25">
      <c r="B13" s="175">
        <v>6</v>
      </c>
      <c r="C13" s="1147" t="str">
        <f>IlumBenef!M24</f>
        <v>Led tubular 8W</v>
      </c>
      <c r="D13" s="1148"/>
      <c r="E13" s="1148"/>
      <c r="F13" s="1148"/>
      <c r="G13" s="1148"/>
      <c r="H13" s="808">
        <f>25000/IlumBenef!M32</f>
        <v>12.800819252432156</v>
      </c>
      <c r="I13" s="809">
        <f>[5]IlumBenef!M26</f>
        <v>8</v>
      </c>
      <c r="J13" s="546">
        <f t="shared" si="0"/>
        <v>17.559999999999999</v>
      </c>
      <c r="K13" s="343">
        <f>2647.92/118</f>
        <v>22.44</v>
      </c>
      <c r="L13" s="343">
        <f>3295.74/118</f>
        <v>27.93</v>
      </c>
      <c r="M13" s="343">
        <v>17.559999999999999</v>
      </c>
      <c r="N13" s="343"/>
      <c r="O13" s="343"/>
      <c r="P13" s="343"/>
    </row>
    <row r="14" spans="2:16" ht="15" customHeight="1" outlineLevel="1" x14ac:dyDescent="0.25">
      <c r="B14" s="173">
        <v>7</v>
      </c>
      <c r="C14" s="1147" t="str">
        <f>IlumBenef!N24</f>
        <v>Led tubular 8W</v>
      </c>
      <c r="D14" s="1148"/>
      <c r="E14" s="1148"/>
      <c r="F14" s="1148"/>
      <c r="G14" s="1148"/>
      <c r="H14" s="808">
        <f>25000/IlumBenef!N32</f>
        <v>6.8756875687568755</v>
      </c>
      <c r="I14" s="809">
        <f>[5]IlumBenef!N26</f>
        <v>8</v>
      </c>
      <c r="J14" s="546">
        <f t="shared" si="0"/>
        <v>17.559999999999999</v>
      </c>
      <c r="K14" s="343">
        <f t="shared" ref="K14:K15" si="3">2647.92/118</f>
        <v>22.44</v>
      </c>
      <c r="L14" s="343">
        <f t="shared" ref="L14:L15" si="4">3295.74/118</f>
        <v>27.93</v>
      </c>
      <c r="M14" s="343">
        <v>17.559999999999999</v>
      </c>
      <c r="N14" s="343"/>
      <c r="O14" s="343"/>
      <c r="P14" s="343"/>
    </row>
    <row r="15" spans="2:16" ht="15" customHeight="1" outlineLevel="1" x14ac:dyDescent="0.25">
      <c r="B15" s="175">
        <v>8</v>
      </c>
      <c r="C15" s="1147" t="str">
        <f>IlumBenef!O24</f>
        <v>Led tubular 8W</v>
      </c>
      <c r="D15" s="1148"/>
      <c r="E15" s="1148"/>
      <c r="F15" s="1148"/>
      <c r="G15" s="1148"/>
      <c r="H15" s="808">
        <v>20</v>
      </c>
      <c r="I15" s="809">
        <f>[5]IlumBenef!O26</f>
        <v>102</v>
      </c>
      <c r="J15" s="546">
        <f t="shared" si="0"/>
        <v>17.559999999999999</v>
      </c>
      <c r="K15" s="343">
        <f t="shared" si="3"/>
        <v>22.44</v>
      </c>
      <c r="L15" s="343">
        <f t="shared" si="4"/>
        <v>27.93</v>
      </c>
      <c r="M15" s="343">
        <v>17.559999999999999</v>
      </c>
      <c r="N15" s="343"/>
      <c r="O15" s="343"/>
      <c r="P15" s="343"/>
    </row>
    <row r="16" spans="2:16" ht="15" customHeight="1" outlineLevel="1" x14ac:dyDescent="0.25">
      <c r="B16" s="173">
        <v>9</v>
      </c>
      <c r="C16" s="1147" t="str">
        <f>IlumBenef!P24</f>
        <v>Led bulbo 8W</v>
      </c>
      <c r="D16" s="1148"/>
      <c r="E16" s="1148"/>
      <c r="F16" s="1148"/>
      <c r="G16" s="1148"/>
      <c r="H16" s="808">
        <f>25000/IlumBenef!P32</f>
        <v>12.800819252432156</v>
      </c>
      <c r="I16" s="809">
        <f>[5]IlumBenef!P26</f>
        <v>12</v>
      </c>
      <c r="J16" s="546">
        <f t="shared" si="0"/>
        <v>11.26</v>
      </c>
      <c r="K16" s="343">
        <f>878.15/68</f>
        <v>12.913970588235294</v>
      </c>
      <c r="L16" s="343">
        <v>12.91</v>
      </c>
      <c r="M16" s="343">
        <v>11.26</v>
      </c>
      <c r="N16" s="343"/>
      <c r="O16" s="343"/>
      <c r="P16" s="343"/>
    </row>
    <row r="17" spans="2:16" ht="15" customHeight="1" outlineLevel="1" x14ac:dyDescent="0.25">
      <c r="B17" s="175">
        <v>10</v>
      </c>
      <c r="C17" s="1147" t="str">
        <f>IlumBenef!Q24</f>
        <v>Led Bulbo 8W</v>
      </c>
      <c r="D17" s="1148"/>
      <c r="E17" s="1148"/>
      <c r="F17" s="1148"/>
      <c r="G17" s="1148"/>
      <c r="H17" s="808">
        <v>20</v>
      </c>
      <c r="I17" s="809">
        <f>[5]IlumBenef!Q26</f>
        <v>46</v>
      </c>
      <c r="J17" s="546">
        <f t="shared" si="0"/>
        <v>11.26</v>
      </c>
      <c r="K17" s="343">
        <f t="shared" ref="K17:K19" si="5">878.15/68</f>
        <v>12.913970588235294</v>
      </c>
      <c r="L17" s="343">
        <v>12.91</v>
      </c>
      <c r="M17" s="343">
        <v>11.26</v>
      </c>
      <c r="N17" s="343"/>
      <c r="O17" s="343"/>
      <c r="P17" s="343"/>
    </row>
    <row r="18" spans="2:16" ht="15" customHeight="1" outlineLevel="1" x14ac:dyDescent="0.25">
      <c r="B18" s="173">
        <v>11</v>
      </c>
      <c r="C18" s="1147" t="str">
        <f>IlumBenef!R24</f>
        <v>Led bulbo 8W</v>
      </c>
      <c r="D18" s="1148"/>
      <c r="E18" s="1148"/>
      <c r="F18" s="1148"/>
      <c r="G18" s="1148"/>
      <c r="H18" s="808">
        <f>25000/IlumBenef!R32</f>
        <v>6.8756875687568755</v>
      </c>
      <c r="I18" s="809">
        <f>[5]IlumBenef!R26</f>
        <v>9</v>
      </c>
      <c r="J18" s="546">
        <f t="shared" si="0"/>
        <v>11.26</v>
      </c>
      <c r="K18" s="343">
        <f t="shared" si="5"/>
        <v>12.913970588235294</v>
      </c>
      <c r="L18" s="343">
        <v>12.91</v>
      </c>
      <c r="M18" s="343">
        <v>11.26</v>
      </c>
      <c r="N18" s="343"/>
      <c r="O18" s="343"/>
      <c r="P18" s="343"/>
    </row>
    <row r="19" spans="2:16" ht="15" customHeight="1" outlineLevel="1" x14ac:dyDescent="0.25">
      <c r="B19" s="175">
        <v>12</v>
      </c>
      <c r="C19" s="1147" t="str">
        <f>IlumBenef!S24</f>
        <v>Led bulbo 8W</v>
      </c>
      <c r="D19" s="1148"/>
      <c r="E19" s="1148"/>
      <c r="F19" s="1148"/>
      <c r="G19" s="1148"/>
      <c r="H19" s="808">
        <f>25000/IlumBenef!S32</f>
        <v>12.800819252432156</v>
      </c>
      <c r="I19" s="809">
        <f>[5]IlumBenef!S26</f>
        <v>1</v>
      </c>
      <c r="J19" s="546">
        <f t="shared" si="0"/>
        <v>11.26</v>
      </c>
      <c r="K19" s="343">
        <f t="shared" si="5"/>
        <v>12.913970588235294</v>
      </c>
      <c r="L19" s="343">
        <v>12.91</v>
      </c>
      <c r="M19" s="343">
        <v>11.26</v>
      </c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ht="15" customHeight="1" outlineLevel="1" x14ac:dyDescent="0.25">
      <c r="B48" s="173">
        <v>41</v>
      </c>
      <c r="C48" s="1147"/>
      <c r="D48" s="1148"/>
      <c r="E48" s="1148"/>
      <c r="F48" s="1148"/>
      <c r="G48" s="1148"/>
      <c r="H48" s="176"/>
      <c r="I48" s="33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6" ht="15" customHeight="1" outlineLevel="1" x14ac:dyDescent="0.25">
      <c r="B49" s="175">
        <v>42</v>
      </c>
      <c r="C49" s="1147"/>
      <c r="D49" s="1148"/>
      <c r="E49" s="1148"/>
      <c r="F49" s="1148"/>
      <c r="G49" s="1148"/>
      <c r="H49" s="176"/>
      <c r="I49" s="336"/>
      <c r="J49" s="546">
        <f t="shared" si="0"/>
        <v>0</v>
      </c>
      <c r="K49" s="343"/>
      <c r="L49" s="343"/>
      <c r="M49" s="343"/>
      <c r="N49" s="343"/>
      <c r="O49" s="343"/>
      <c r="P49" s="343"/>
    </row>
    <row r="50" spans="2:16" ht="15" customHeight="1" outlineLevel="1" x14ac:dyDescent="0.25">
      <c r="B50" s="173">
        <v>43</v>
      </c>
      <c r="C50" s="1147"/>
      <c r="D50" s="1148"/>
      <c r="E50" s="1148"/>
      <c r="F50" s="1148"/>
      <c r="G50" s="1148"/>
      <c r="H50" s="176"/>
      <c r="I50" s="336"/>
      <c r="J50" s="546">
        <f t="shared" si="0"/>
        <v>0</v>
      </c>
      <c r="K50" s="343"/>
      <c r="L50" s="343"/>
      <c r="M50" s="343"/>
      <c r="N50" s="343"/>
      <c r="O50" s="343"/>
      <c r="P50" s="343"/>
    </row>
    <row r="51" spans="2:16" ht="15" customHeight="1" outlineLevel="1" x14ac:dyDescent="0.25">
      <c r="B51" s="175">
        <v>44</v>
      </c>
      <c r="C51" s="1147"/>
      <c r="D51" s="1148"/>
      <c r="E51" s="1148"/>
      <c r="F51" s="1148"/>
      <c r="G51" s="1148"/>
      <c r="H51" s="176"/>
      <c r="I51" s="336"/>
      <c r="J51" s="546">
        <f t="shared" si="0"/>
        <v>0</v>
      </c>
      <c r="K51" s="343"/>
      <c r="L51" s="343"/>
      <c r="M51" s="343"/>
      <c r="N51" s="343"/>
      <c r="O51" s="343"/>
      <c r="P51" s="343"/>
    </row>
    <row r="52" spans="2:16" ht="15" customHeight="1" outlineLevel="1" x14ac:dyDescent="0.25">
      <c r="B52" s="173">
        <v>45</v>
      </c>
      <c r="C52" s="1147"/>
      <c r="D52" s="1148"/>
      <c r="E52" s="1148"/>
      <c r="F52" s="1148"/>
      <c r="G52" s="1148"/>
      <c r="H52" s="176"/>
      <c r="I52" s="336"/>
      <c r="J52" s="546">
        <f t="shared" si="0"/>
        <v>0</v>
      </c>
      <c r="K52" s="343"/>
      <c r="L52" s="343"/>
      <c r="M52" s="343"/>
      <c r="N52" s="343"/>
      <c r="O52" s="343"/>
      <c r="P52" s="343"/>
    </row>
    <row r="53" spans="2:16" ht="15" customHeight="1" outlineLevel="1" x14ac:dyDescent="0.25">
      <c r="B53" s="175">
        <v>46</v>
      </c>
      <c r="C53" s="1147"/>
      <c r="D53" s="1148"/>
      <c r="E53" s="1148"/>
      <c r="F53" s="1148"/>
      <c r="G53" s="1148"/>
      <c r="H53" s="176"/>
      <c r="I53" s="336"/>
      <c r="J53" s="546">
        <f t="shared" si="0"/>
        <v>0</v>
      </c>
      <c r="K53" s="343"/>
      <c r="L53" s="343"/>
      <c r="M53" s="343"/>
      <c r="N53" s="343"/>
      <c r="O53" s="343"/>
      <c r="P53" s="343"/>
    </row>
    <row r="54" spans="2:16" ht="15" customHeight="1" outlineLevel="1" x14ac:dyDescent="0.25">
      <c r="B54" s="173">
        <v>47</v>
      </c>
      <c r="C54" s="1147"/>
      <c r="D54" s="1148"/>
      <c r="E54" s="1148"/>
      <c r="F54" s="1148"/>
      <c r="G54" s="1148"/>
      <c r="H54" s="176"/>
      <c r="I54" s="336"/>
      <c r="J54" s="546">
        <f t="shared" si="0"/>
        <v>0</v>
      </c>
      <c r="K54" s="343"/>
      <c r="L54" s="343"/>
      <c r="M54" s="343"/>
      <c r="N54" s="343"/>
      <c r="O54" s="343"/>
      <c r="P54" s="343"/>
    </row>
    <row r="55" spans="2:16" ht="15" customHeight="1" outlineLevel="1" x14ac:dyDescent="0.25">
      <c r="B55" s="175">
        <v>48</v>
      </c>
      <c r="C55" s="1147"/>
      <c r="D55" s="1148"/>
      <c r="E55" s="1148"/>
      <c r="F55" s="1148"/>
      <c r="G55" s="1148"/>
      <c r="H55" s="176"/>
      <c r="I55" s="336"/>
      <c r="J55" s="546">
        <f t="shared" si="0"/>
        <v>0</v>
      </c>
      <c r="K55" s="343"/>
      <c r="L55" s="343"/>
      <c r="M55" s="343"/>
      <c r="N55" s="343"/>
      <c r="O55" s="343"/>
      <c r="P55" s="343"/>
    </row>
    <row r="56" spans="2:16" ht="15" customHeight="1" outlineLevel="1" x14ac:dyDescent="0.25">
      <c r="B56" s="173">
        <v>49</v>
      </c>
      <c r="C56" s="1147"/>
      <c r="D56" s="1148"/>
      <c r="E56" s="1148"/>
      <c r="F56" s="1148"/>
      <c r="G56" s="1148"/>
      <c r="H56" s="176"/>
      <c r="I56" s="336"/>
      <c r="J56" s="546">
        <f t="shared" si="0"/>
        <v>0</v>
      </c>
      <c r="K56" s="343"/>
      <c r="L56" s="343"/>
      <c r="M56" s="343"/>
      <c r="N56" s="343"/>
      <c r="O56" s="343"/>
      <c r="P56" s="343"/>
    </row>
    <row r="57" spans="2:16" ht="15" customHeight="1" outlineLevel="1" x14ac:dyDescent="0.25">
      <c r="B57" s="175">
        <v>50</v>
      </c>
      <c r="C57" s="1147"/>
      <c r="D57" s="1148"/>
      <c r="E57" s="1148"/>
      <c r="F57" s="1148"/>
      <c r="G57" s="1148"/>
      <c r="H57" s="342"/>
      <c r="I57" s="336"/>
      <c r="J57" s="546">
        <f t="shared" si="0"/>
        <v>0</v>
      </c>
      <c r="K57" s="343"/>
      <c r="L57" s="343"/>
      <c r="M57" s="343"/>
      <c r="N57" s="343"/>
      <c r="O57" s="343"/>
      <c r="P57" s="343"/>
    </row>
    <row r="58" spans="2:16" ht="15" customHeight="1" outlineLevel="1" x14ac:dyDescent="0.25">
      <c r="B58" s="173">
        <v>51</v>
      </c>
      <c r="C58" s="1147"/>
      <c r="D58" s="1148"/>
      <c r="E58" s="1148"/>
      <c r="F58" s="1148"/>
      <c r="G58" s="1148"/>
      <c r="H58" s="176"/>
      <c r="I58" s="336"/>
      <c r="J58" s="546">
        <f t="shared" si="0"/>
        <v>0</v>
      </c>
      <c r="K58" s="343"/>
      <c r="L58" s="343"/>
      <c r="M58" s="343"/>
      <c r="N58" s="343"/>
      <c r="O58" s="343"/>
      <c r="P58" s="343"/>
    </row>
    <row r="59" spans="2:16" ht="15" customHeight="1" outlineLevel="1" x14ac:dyDescent="0.25">
      <c r="B59" s="175">
        <v>52</v>
      </c>
      <c r="C59" s="1147"/>
      <c r="D59" s="1148"/>
      <c r="E59" s="1148"/>
      <c r="F59" s="1148"/>
      <c r="G59" s="1148"/>
      <c r="H59" s="176"/>
      <c r="I59" s="336"/>
      <c r="J59" s="546">
        <f t="shared" si="0"/>
        <v>0</v>
      </c>
      <c r="K59" s="343"/>
      <c r="L59" s="343"/>
      <c r="M59" s="343"/>
      <c r="N59" s="343"/>
      <c r="O59" s="343"/>
      <c r="P59" s="343"/>
    </row>
    <row r="60" spans="2:16" ht="15" customHeight="1" outlineLevel="1" x14ac:dyDescent="0.25">
      <c r="B60" s="173">
        <v>53</v>
      </c>
      <c r="C60" s="1147"/>
      <c r="D60" s="1148"/>
      <c r="E60" s="1148"/>
      <c r="F60" s="1148"/>
      <c r="G60" s="1148"/>
      <c r="H60" s="342"/>
      <c r="I60" s="336"/>
      <c r="J60" s="546">
        <f t="shared" si="0"/>
        <v>0</v>
      </c>
      <c r="K60" s="343"/>
      <c r="L60" s="343"/>
      <c r="M60" s="343"/>
      <c r="N60" s="343"/>
      <c r="O60" s="343"/>
      <c r="P60" s="343"/>
    </row>
    <row r="61" spans="2:16" ht="15" customHeight="1" outlineLevel="1" x14ac:dyDescent="0.25">
      <c r="B61" s="175">
        <v>54</v>
      </c>
      <c r="C61" s="1147"/>
      <c r="D61" s="1148"/>
      <c r="E61" s="1148"/>
      <c r="F61" s="1148"/>
      <c r="G61" s="1148"/>
      <c r="H61" s="176"/>
      <c r="I61" s="336"/>
      <c r="J61" s="546">
        <f t="shared" si="0"/>
        <v>0</v>
      </c>
      <c r="K61" s="343"/>
      <c r="L61" s="343"/>
      <c r="M61" s="343"/>
      <c r="N61" s="343"/>
      <c r="O61" s="343"/>
      <c r="P61" s="343"/>
    </row>
    <row r="62" spans="2:16" ht="15" customHeight="1" outlineLevel="1" x14ac:dyDescent="0.25">
      <c r="B62" s="173">
        <v>55</v>
      </c>
      <c r="C62" s="1147"/>
      <c r="D62" s="1148"/>
      <c r="E62" s="1148"/>
      <c r="F62" s="1148"/>
      <c r="G62" s="1148"/>
      <c r="H62" s="176"/>
      <c r="I62" s="336"/>
      <c r="J62" s="546">
        <f t="shared" si="0"/>
        <v>0</v>
      </c>
      <c r="K62" s="343"/>
      <c r="L62" s="343"/>
      <c r="M62" s="343"/>
      <c r="N62" s="343"/>
      <c r="O62" s="343"/>
      <c r="P62" s="343"/>
    </row>
    <row r="63" spans="2:16" ht="15" customHeight="1" outlineLevel="1" x14ac:dyDescent="0.25">
      <c r="B63" s="175">
        <v>56</v>
      </c>
      <c r="C63" s="1147"/>
      <c r="D63" s="1148"/>
      <c r="E63" s="1148"/>
      <c r="F63" s="1148"/>
      <c r="G63" s="1148"/>
      <c r="H63" s="176"/>
      <c r="I63" s="336"/>
      <c r="J63" s="546">
        <f t="shared" si="0"/>
        <v>0</v>
      </c>
      <c r="K63" s="343"/>
      <c r="L63" s="343"/>
      <c r="M63" s="343"/>
      <c r="N63" s="343"/>
      <c r="O63" s="343"/>
      <c r="P63" s="343"/>
    </row>
    <row r="64" spans="2:16" ht="15" customHeight="1" outlineLevel="1" x14ac:dyDescent="0.25">
      <c r="B64" s="173">
        <v>57</v>
      </c>
      <c r="C64" s="1147"/>
      <c r="D64" s="1148"/>
      <c r="E64" s="1148"/>
      <c r="F64" s="1148"/>
      <c r="G64" s="1148"/>
      <c r="H64" s="176"/>
      <c r="I64" s="336"/>
      <c r="J64" s="546">
        <f t="shared" si="0"/>
        <v>0</v>
      </c>
      <c r="K64" s="343"/>
      <c r="L64" s="343"/>
      <c r="M64" s="343"/>
      <c r="N64" s="343"/>
      <c r="O64" s="343"/>
      <c r="P64" s="343"/>
    </row>
    <row r="65" spans="2:16" ht="15" customHeight="1" outlineLevel="1" x14ac:dyDescent="0.25">
      <c r="B65" s="175">
        <v>58</v>
      </c>
      <c r="C65" s="1147"/>
      <c r="D65" s="1148"/>
      <c r="E65" s="1148"/>
      <c r="F65" s="1148"/>
      <c r="G65" s="1148"/>
      <c r="H65" s="176"/>
      <c r="I65" s="336"/>
      <c r="J65" s="546">
        <f t="shared" si="0"/>
        <v>0</v>
      </c>
      <c r="K65" s="343"/>
      <c r="L65" s="343"/>
      <c r="M65" s="343"/>
      <c r="N65" s="343"/>
      <c r="O65" s="343"/>
      <c r="P65" s="343"/>
    </row>
    <row r="66" spans="2:16" ht="15" customHeight="1" outlineLevel="1" x14ac:dyDescent="0.25">
      <c r="B66" s="173">
        <v>59</v>
      </c>
      <c r="C66" s="1147"/>
      <c r="D66" s="1148"/>
      <c r="E66" s="1148"/>
      <c r="F66" s="1148"/>
      <c r="G66" s="1148"/>
      <c r="H66" s="176"/>
      <c r="I66" s="336"/>
      <c r="J66" s="546">
        <f t="shared" si="0"/>
        <v>0</v>
      </c>
      <c r="K66" s="343"/>
      <c r="L66" s="343"/>
      <c r="M66" s="343"/>
      <c r="N66" s="343"/>
      <c r="O66" s="343"/>
      <c r="P66" s="343"/>
    </row>
    <row r="67" spans="2:16" ht="15" customHeight="1" outlineLevel="1" x14ac:dyDescent="0.25">
      <c r="B67" s="175">
        <v>60</v>
      </c>
      <c r="C67" s="1147"/>
      <c r="D67" s="1148"/>
      <c r="E67" s="1148"/>
      <c r="F67" s="1148"/>
      <c r="G67" s="1148"/>
      <c r="H67" s="176"/>
      <c r="I67" s="336"/>
      <c r="J67" s="546">
        <f t="shared" si="0"/>
        <v>0</v>
      </c>
      <c r="K67" s="343"/>
      <c r="L67" s="343"/>
      <c r="M67" s="343"/>
      <c r="N67" s="343"/>
      <c r="O67" s="343"/>
      <c r="P67" s="343"/>
    </row>
    <row r="68" spans="2:16" ht="15" customHeight="1" outlineLevel="1" x14ac:dyDescent="0.25">
      <c r="B68" s="173">
        <v>61</v>
      </c>
      <c r="C68" s="1147"/>
      <c r="D68" s="1148"/>
      <c r="E68" s="1148"/>
      <c r="F68" s="1148"/>
      <c r="G68" s="1148"/>
      <c r="H68" s="176"/>
      <c r="I68" s="336"/>
      <c r="J68" s="546">
        <f t="shared" si="0"/>
        <v>0</v>
      </c>
      <c r="K68" s="343"/>
      <c r="L68" s="343"/>
      <c r="M68" s="343"/>
      <c r="N68" s="343"/>
      <c r="O68" s="343"/>
      <c r="P68" s="343"/>
    </row>
    <row r="69" spans="2:16" ht="15" customHeight="1" outlineLevel="1" x14ac:dyDescent="0.25">
      <c r="B69" s="175">
        <v>62</v>
      </c>
      <c r="C69" s="1147"/>
      <c r="D69" s="1148"/>
      <c r="E69" s="1148"/>
      <c r="F69" s="1148"/>
      <c r="G69" s="1148"/>
      <c r="H69" s="176"/>
      <c r="I69" s="336"/>
      <c r="J69" s="546">
        <f t="shared" si="0"/>
        <v>0</v>
      </c>
      <c r="K69" s="343"/>
      <c r="L69" s="343"/>
      <c r="M69" s="343"/>
      <c r="N69" s="343"/>
      <c r="O69" s="343"/>
      <c r="P69" s="343"/>
    </row>
    <row r="70" spans="2:16" ht="15" customHeight="1" outlineLevel="1" x14ac:dyDescent="0.25">
      <c r="B70" s="173">
        <v>63</v>
      </c>
      <c r="C70" s="1147"/>
      <c r="D70" s="1148"/>
      <c r="E70" s="1148"/>
      <c r="F70" s="1148"/>
      <c r="G70" s="1148"/>
      <c r="H70" s="176"/>
      <c r="I70" s="336"/>
      <c r="J70" s="546">
        <f t="shared" si="0"/>
        <v>0</v>
      </c>
      <c r="K70" s="343"/>
      <c r="L70" s="343"/>
      <c r="M70" s="343"/>
      <c r="N70" s="343"/>
      <c r="O70" s="343"/>
      <c r="P70" s="343"/>
    </row>
    <row r="71" spans="2:16" ht="15" customHeight="1" outlineLevel="1" x14ac:dyDescent="0.25">
      <c r="B71" s="175">
        <v>64</v>
      </c>
      <c r="C71" s="1147"/>
      <c r="D71" s="1148"/>
      <c r="E71" s="1148"/>
      <c r="F71" s="1148"/>
      <c r="G71" s="1148"/>
      <c r="H71" s="176"/>
      <c r="I71" s="336"/>
      <c r="J71" s="546">
        <f t="shared" si="0"/>
        <v>0</v>
      </c>
      <c r="K71" s="343"/>
      <c r="L71" s="343"/>
      <c r="M71" s="343"/>
      <c r="N71" s="343"/>
      <c r="O71" s="343"/>
      <c r="P71" s="343"/>
    </row>
    <row r="72" spans="2:16" ht="15" customHeight="1" outlineLevel="1" x14ac:dyDescent="0.25">
      <c r="B72" s="173">
        <v>65</v>
      </c>
      <c r="C72" s="1147"/>
      <c r="D72" s="1148"/>
      <c r="E72" s="1148"/>
      <c r="F72" s="1148"/>
      <c r="G72" s="1148"/>
      <c r="H72" s="176"/>
      <c r="I72" s="336"/>
      <c r="J72" s="546">
        <f t="shared" si="0"/>
        <v>0</v>
      </c>
      <c r="K72" s="343"/>
      <c r="L72" s="343"/>
      <c r="M72" s="343"/>
      <c r="N72" s="343"/>
      <c r="O72" s="343"/>
      <c r="P72" s="343"/>
    </row>
    <row r="73" spans="2:16" ht="15" customHeight="1" outlineLevel="1" x14ac:dyDescent="0.25">
      <c r="B73" s="175">
        <v>66</v>
      </c>
      <c r="C73" s="1147"/>
      <c r="D73" s="1148"/>
      <c r="E73" s="1148"/>
      <c r="F73" s="1148"/>
      <c r="G73" s="1148"/>
      <c r="H73" s="176"/>
      <c r="I73" s="336"/>
      <c r="J73" s="546">
        <f t="shared" ref="J73:J108" si="6">IFERROR(SMALL(K73:P73,1),0)</f>
        <v>0</v>
      </c>
      <c r="K73" s="343"/>
      <c r="L73" s="343"/>
      <c r="M73" s="343"/>
      <c r="N73" s="343"/>
      <c r="O73" s="343"/>
      <c r="P73" s="343"/>
    </row>
    <row r="74" spans="2:16" ht="15" customHeight="1" outlineLevel="1" x14ac:dyDescent="0.25">
      <c r="B74" s="173">
        <v>67</v>
      </c>
      <c r="C74" s="1147"/>
      <c r="D74" s="1148"/>
      <c r="E74" s="1148"/>
      <c r="F74" s="1148"/>
      <c r="G74" s="1148"/>
      <c r="H74" s="176"/>
      <c r="I74" s="336"/>
      <c r="J74" s="546">
        <f t="shared" si="6"/>
        <v>0</v>
      </c>
      <c r="K74" s="343"/>
      <c r="L74" s="343"/>
      <c r="M74" s="343"/>
      <c r="N74" s="343"/>
      <c r="O74" s="343"/>
      <c r="P74" s="343"/>
    </row>
    <row r="75" spans="2:16" ht="15" customHeight="1" outlineLevel="1" x14ac:dyDescent="0.25">
      <c r="B75" s="175">
        <v>68</v>
      </c>
      <c r="C75" s="1147"/>
      <c r="D75" s="1148"/>
      <c r="E75" s="1148"/>
      <c r="F75" s="1148"/>
      <c r="G75" s="1148"/>
      <c r="H75" s="176"/>
      <c r="I75" s="336"/>
      <c r="J75" s="546">
        <f t="shared" si="6"/>
        <v>0</v>
      </c>
      <c r="K75" s="343"/>
      <c r="L75" s="343"/>
      <c r="M75" s="343"/>
      <c r="N75" s="343"/>
      <c r="O75" s="343"/>
      <c r="P75" s="343"/>
    </row>
    <row r="76" spans="2:16" ht="15" customHeight="1" outlineLevel="1" x14ac:dyDescent="0.25">
      <c r="B76" s="173">
        <v>69</v>
      </c>
      <c r="C76" s="1147"/>
      <c r="D76" s="1148"/>
      <c r="E76" s="1148"/>
      <c r="F76" s="1148"/>
      <c r="G76" s="1148"/>
      <c r="H76" s="176"/>
      <c r="I76" s="336"/>
      <c r="J76" s="546">
        <f t="shared" si="6"/>
        <v>0</v>
      </c>
      <c r="K76" s="343"/>
      <c r="L76" s="343"/>
      <c r="M76" s="343"/>
      <c r="N76" s="343"/>
      <c r="O76" s="343"/>
      <c r="P76" s="343"/>
    </row>
    <row r="77" spans="2:16" ht="15" customHeight="1" outlineLevel="1" x14ac:dyDescent="0.25">
      <c r="B77" s="175">
        <v>70</v>
      </c>
      <c r="C77" s="1147"/>
      <c r="D77" s="1148"/>
      <c r="E77" s="1148"/>
      <c r="F77" s="1148"/>
      <c r="G77" s="1148"/>
      <c r="H77" s="176"/>
      <c r="I77" s="336"/>
      <c r="J77" s="546">
        <f t="shared" si="6"/>
        <v>0</v>
      </c>
      <c r="K77" s="343"/>
      <c r="L77" s="343"/>
      <c r="M77" s="343"/>
      <c r="N77" s="343"/>
      <c r="O77" s="343"/>
      <c r="P77" s="343"/>
    </row>
    <row r="78" spans="2:16" ht="15" customHeight="1" outlineLevel="1" x14ac:dyDescent="0.25">
      <c r="B78" s="173">
        <v>71</v>
      </c>
      <c r="C78" s="1147"/>
      <c r="D78" s="1148"/>
      <c r="E78" s="1148"/>
      <c r="F78" s="1148"/>
      <c r="G78" s="1148"/>
      <c r="H78" s="176"/>
      <c r="I78" s="336"/>
      <c r="J78" s="546">
        <f t="shared" si="6"/>
        <v>0</v>
      </c>
      <c r="K78" s="343"/>
      <c r="L78" s="343"/>
      <c r="M78" s="343"/>
      <c r="N78" s="343"/>
      <c r="O78" s="343"/>
      <c r="P78" s="343"/>
    </row>
    <row r="79" spans="2:16" ht="15" customHeight="1" outlineLevel="1" x14ac:dyDescent="0.25">
      <c r="B79" s="175">
        <v>72</v>
      </c>
      <c r="C79" s="1147"/>
      <c r="D79" s="1148"/>
      <c r="E79" s="1148"/>
      <c r="F79" s="1148"/>
      <c r="G79" s="1148"/>
      <c r="H79" s="176"/>
      <c r="I79" s="336"/>
      <c r="J79" s="546">
        <f t="shared" si="6"/>
        <v>0</v>
      </c>
      <c r="K79" s="343"/>
      <c r="L79" s="343"/>
      <c r="M79" s="343"/>
      <c r="N79" s="343"/>
      <c r="O79" s="343"/>
      <c r="P79" s="343"/>
    </row>
    <row r="80" spans="2:16" ht="15" customHeight="1" outlineLevel="1" x14ac:dyDescent="0.25">
      <c r="B80" s="173">
        <v>73</v>
      </c>
      <c r="C80" s="1147"/>
      <c r="D80" s="1148"/>
      <c r="E80" s="1148"/>
      <c r="F80" s="1148"/>
      <c r="G80" s="1148"/>
      <c r="H80" s="176"/>
      <c r="I80" s="336"/>
      <c r="J80" s="546">
        <f t="shared" si="6"/>
        <v>0</v>
      </c>
      <c r="K80" s="343"/>
      <c r="L80" s="343"/>
      <c r="M80" s="343"/>
      <c r="N80" s="343"/>
      <c r="O80" s="343"/>
      <c r="P80" s="343"/>
    </row>
    <row r="81" spans="2:16" ht="15" customHeight="1" outlineLevel="1" x14ac:dyDescent="0.25">
      <c r="B81" s="175">
        <v>74</v>
      </c>
      <c r="C81" s="1147"/>
      <c r="D81" s="1148"/>
      <c r="E81" s="1148"/>
      <c r="F81" s="1148"/>
      <c r="G81" s="1148"/>
      <c r="H81" s="176"/>
      <c r="I81" s="336"/>
      <c r="J81" s="546">
        <f t="shared" si="6"/>
        <v>0</v>
      </c>
      <c r="K81" s="343"/>
      <c r="L81" s="343"/>
      <c r="M81" s="343"/>
      <c r="N81" s="343"/>
      <c r="O81" s="343"/>
      <c r="P81" s="343"/>
    </row>
    <row r="82" spans="2:16" ht="15" customHeight="1" outlineLevel="1" x14ac:dyDescent="0.25">
      <c r="B82" s="173">
        <v>75</v>
      </c>
      <c r="C82" s="1147"/>
      <c r="D82" s="1148"/>
      <c r="E82" s="1148"/>
      <c r="F82" s="1148"/>
      <c r="G82" s="1148"/>
      <c r="H82" s="176"/>
      <c r="I82" s="336"/>
      <c r="J82" s="546">
        <f t="shared" si="6"/>
        <v>0</v>
      </c>
      <c r="K82" s="343"/>
      <c r="L82" s="343"/>
      <c r="M82" s="343"/>
      <c r="N82" s="343"/>
      <c r="O82" s="343"/>
      <c r="P82" s="343"/>
    </row>
    <row r="83" spans="2:16" ht="15" customHeight="1" outlineLevel="1" x14ac:dyDescent="0.25">
      <c r="B83" s="175">
        <v>76</v>
      </c>
      <c r="C83" s="1147"/>
      <c r="D83" s="1148"/>
      <c r="E83" s="1148"/>
      <c r="F83" s="1148"/>
      <c r="G83" s="1148"/>
      <c r="H83" s="176"/>
      <c r="I83" s="336"/>
      <c r="J83" s="546">
        <f t="shared" si="6"/>
        <v>0</v>
      </c>
      <c r="K83" s="343"/>
      <c r="L83" s="343"/>
      <c r="M83" s="343"/>
      <c r="N83" s="343"/>
      <c r="O83" s="343"/>
      <c r="P83" s="343"/>
    </row>
    <row r="84" spans="2:16" ht="15" customHeight="1" outlineLevel="1" x14ac:dyDescent="0.25">
      <c r="B84" s="173">
        <v>77</v>
      </c>
      <c r="C84" s="1147"/>
      <c r="D84" s="1148"/>
      <c r="E84" s="1148"/>
      <c r="F84" s="1148"/>
      <c r="G84" s="1148"/>
      <c r="H84" s="176"/>
      <c r="I84" s="336"/>
      <c r="J84" s="546">
        <f t="shared" si="6"/>
        <v>0</v>
      </c>
      <c r="K84" s="343"/>
      <c r="L84" s="343"/>
      <c r="M84" s="343"/>
      <c r="N84" s="343"/>
      <c r="O84" s="343"/>
      <c r="P84" s="343"/>
    </row>
    <row r="85" spans="2:16" ht="15" customHeight="1" outlineLevel="1" x14ac:dyDescent="0.25">
      <c r="B85" s="175">
        <v>78</v>
      </c>
      <c r="C85" s="1147"/>
      <c r="D85" s="1148"/>
      <c r="E85" s="1148"/>
      <c r="F85" s="1148"/>
      <c r="G85" s="1148"/>
      <c r="H85" s="176"/>
      <c r="I85" s="336"/>
      <c r="J85" s="546">
        <f t="shared" si="6"/>
        <v>0</v>
      </c>
      <c r="K85" s="343"/>
      <c r="L85" s="343"/>
      <c r="M85" s="343"/>
      <c r="N85" s="343"/>
      <c r="O85" s="343"/>
      <c r="P85" s="343"/>
    </row>
    <row r="86" spans="2:16" ht="15" customHeight="1" outlineLevel="1" x14ac:dyDescent="0.25">
      <c r="B86" s="173">
        <v>79</v>
      </c>
      <c r="C86" s="1147"/>
      <c r="D86" s="1148"/>
      <c r="E86" s="1148"/>
      <c r="F86" s="1148"/>
      <c r="G86" s="1148"/>
      <c r="H86" s="176"/>
      <c r="I86" s="336"/>
      <c r="J86" s="546">
        <f t="shared" si="6"/>
        <v>0</v>
      </c>
      <c r="K86" s="343"/>
      <c r="L86" s="343"/>
      <c r="M86" s="343"/>
      <c r="N86" s="343"/>
      <c r="O86" s="343"/>
      <c r="P86" s="343"/>
    </row>
    <row r="87" spans="2:16" ht="15" customHeight="1" outlineLevel="1" x14ac:dyDescent="0.25">
      <c r="B87" s="175">
        <v>80</v>
      </c>
      <c r="C87" s="1147"/>
      <c r="D87" s="1148"/>
      <c r="E87" s="1148"/>
      <c r="F87" s="1148"/>
      <c r="G87" s="1148"/>
      <c r="H87" s="176"/>
      <c r="I87" s="336"/>
      <c r="J87" s="546">
        <f t="shared" si="6"/>
        <v>0</v>
      </c>
      <c r="K87" s="343"/>
      <c r="L87" s="343"/>
      <c r="M87" s="343"/>
      <c r="N87" s="343"/>
      <c r="O87" s="343"/>
      <c r="P87" s="343"/>
    </row>
    <row r="88" spans="2:16" ht="15" customHeight="1" outlineLevel="1" x14ac:dyDescent="0.25">
      <c r="B88" s="173">
        <v>81</v>
      </c>
      <c r="C88" s="1147"/>
      <c r="D88" s="1148"/>
      <c r="E88" s="1148"/>
      <c r="F88" s="1148"/>
      <c r="G88" s="1148"/>
      <c r="H88" s="176"/>
      <c r="I88" s="336"/>
      <c r="J88" s="546">
        <f t="shared" si="6"/>
        <v>0</v>
      </c>
      <c r="K88" s="343"/>
      <c r="L88" s="343"/>
      <c r="M88" s="343"/>
      <c r="N88" s="343"/>
      <c r="O88" s="343"/>
      <c r="P88" s="343"/>
    </row>
    <row r="89" spans="2:16" ht="15" customHeight="1" outlineLevel="1" x14ac:dyDescent="0.25">
      <c r="B89" s="175">
        <v>82</v>
      </c>
      <c r="C89" s="1147"/>
      <c r="D89" s="1148"/>
      <c r="E89" s="1148"/>
      <c r="F89" s="1148"/>
      <c r="G89" s="1148"/>
      <c r="H89" s="176"/>
      <c r="I89" s="336"/>
      <c r="J89" s="546">
        <f t="shared" si="6"/>
        <v>0</v>
      </c>
      <c r="K89" s="343"/>
      <c r="L89" s="343"/>
      <c r="M89" s="343"/>
      <c r="N89" s="343"/>
      <c r="O89" s="343"/>
      <c r="P89" s="343"/>
    </row>
    <row r="90" spans="2:16" ht="15" customHeight="1" outlineLevel="1" x14ac:dyDescent="0.25">
      <c r="B90" s="173">
        <v>83</v>
      </c>
      <c r="C90" s="1147"/>
      <c r="D90" s="1148"/>
      <c r="E90" s="1148"/>
      <c r="F90" s="1148"/>
      <c r="G90" s="1148"/>
      <c r="H90" s="176"/>
      <c r="I90" s="336"/>
      <c r="J90" s="546">
        <f t="shared" si="6"/>
        <v>0</v>
      </c>
      <c r="K90" s="343"/>
      <c r="L90" s="343"/>
      <c r="M90" s="343"/>
      <c r="N90" s="343"/>
      <c r="O90" s="343"/>
      <c r="P90" s="343"/>
    </row>
    <row r="91" spans="2:16" ht="15" customHeight="1" outlineLevel="1" x14ac:dyDescent="0.25">
      <c r="B91" s="175">
        <v>84</v>
      </c>
      <c r="C91" s="1147"/>
      <c r="D91" s="1148"/>
      <c r="E91" s="1148"/>
      <c r="F91" s="1148"/>
      <c r="G91" s="1148"/>
      <c r="H91" s="176"/>
      <c r="I91" s="336"/>
      <c r="J91" s="546">
        <f t="shared" si="6"/>
        <v>0</v>
      </c>
      <c r="K91" s="343"/>
      <c r="L91" s="343"/>
      <c r="M91" s="343"/>
      <c r="N91" s="343"/>
      <c r="O91" s="343"/>
      <c r="P91" s="343"/>
    </row>
    <row r="92" spans="2:16" ht="15" customHeight="1" outlineLevel="1" x14ac:dyDescent="0.25">
      <c r="B92" s="173">
        <v>85</v>
      </c>
      <c r="C92" s="1147"/>
      <c r="D92" s="1148"/>
      <c r="E92" s="1148"/>
      <c r="F92" s="1148"/>
      <c r="G92" s="1148"/>
      <c r="H92" s="176"/>
      <c r="I92" s="336"/>
      <c r="J92" s="546">
        <f t="shared" si="6"/>
        <v>0</v>
      </c>
      <c r="K92" s="343"/>
      <c r="L92" s="343"/>
      <c r="M92" s="343"/>
      <c r="N92" s="343"/>
      <c r="O92" s="343"/>
      <c r="P92" s="343"/>
    </row>
    <row r="93" spans="2:16" ht="15" customHeight="1" outlineLevel="1" x14ac:dyDescent="0.25">
      <c r="B93" s="175">
        <v>86</v>
      </c>
      <c r="C93" s="1147"/>
      <c r="D93" s="1148"/>
      <c r="E93" s="1148"/>
      <c r="F93" s="1148"/>
      <c r="G93" s="1148"/>
      <c r="H93" s="176"/>
      <c r="I93" s="336"/>
      <c r="J93" s="546">
        <f t="shared" si="6"/>
        <v>0</v>
      </c>
      <c r="K93" s="343"/>
      <c r="L93" s="343"/>
      <c r="M93" s="343"/>
      <c r="N93" s="343"/>
      <c r="O93" s="343"/>
      <c r="P93" s="343"/>
    </row>
    <row r="94" spans="2:16" ht="15" customHeight="1" outlineLevel="1" x14ac:dyDescent="0.25">
      <c r="B94" s="173">
        <v>87</v>
      </c>
      <c r="C94" s="1147"/>
      <c r="D94" s="1148"/>
      <c r="E94" s="1148"/>
      <c r="F94" s="1148"/>
      <c r="G94" s="1148"/>
      <c r="H94" s="176"/>
      <c r="I94" s="336"/>
      <c r="J94" s="546">
        <f t="shared" si="6"/>
        <v>0</v>
      </c>
      <c r="K94" s="343"/>
      <c r="L94" s="343"/>
      <c r="M94" s="343"/>
      <c r="N94" s="343"/>
      <c r="O94" s="343"/>
      <c r="P94" s="343"/>
    </row>
    <row r="95" spans="2:16" ht="15" customHeight="1" outlineLevel="1" x14ac:dyDescent="0.25">
      <c r="B95" s="175">
        <v>88</v>
      </c>
      <c r="C95" s="1147"/>
      <c r="D95" s="1148"/>
      <c r="E95" s="1148"/>
      <c r="F95" s="1148"/>
      <c r="G95" s="1148"/>
      <c r="H95" s="176"/>
      <c r="I95" s="336"/>
      <c r="J95" s="546">
        <f t="shared" si="6"/>
        <v>0</v>
      </c>
      <c r="K95" s="343"/>
      <c r="L95" s="343"/>
      <c r="M95" s="343"/>
      <c r="N95" s="343"/>
      <c r="O95" s="343"/>
      <c r="P95" s="343"/>
    </row>
    <row r="96" spans="2:16" ht="15" customHeight="1" outlineLevel="1" x14ac:dyDescent="0.25">
      <c r="B96" s="173">
        <v>89</v>
      </c>
      <c r="C96" s="1147"/>
      <c r="D96" s="1148"/>
      <c r="E96" s="1148"/>
      <c r="F96" s="1148"/>
      <c r="G96" s="1148"/>
      <c r="H96" s="176"/>
      <c r="I96" s="336"/>
      <c r="J96" s="546">
        <f t="shared" si="6"/>
        <v>0</v>
      </c>
      <c r="K96" s="343"/>
      <c r="L96" s="343"/>
      <c r="M96" s="343"/>
      <c r="N96" s="343"/>
      <c r="O96" s="343"/>
      <c r="P96" s="343"/>
    </row>
    <row r="97" spans="2:16" ht="15" customHeight="1" outlineLevel="1" x14ac:dyDescent="0.25">
      <c r="B97" s="175">
        <v>90</v>
      </c>
      <c r="C97" s="1147"/>
      <c r="D97" s="1148"/>
      <c r="E97" s="1148"/>
      <c r="F97" s="1148"/>
      <c r="G97" s="1148"/>
      <c r="H97" s="176"/>
      <c r="I97" s="336"/>
      <c r="J97" s="546">
        <f t="shared" si="6"/>
        <v>0</v>
      </c>
      <c r="K97" s="343"/>
      <c r="L97" s="343"/>
      <c r="M97" s="343"/>
      <c r="N97" s="343"/>
      <c r="O97" s="343"/>
      <c r="P97" s="343"/>
    </row>
    <row r="98" spans="2:16" ht="15" customHeight="1" outlineLevel="1" x14ac:dyDescent="0.25">
      <c r="B98" s="173">
        <v>91</v>
      </c>
      <c r="C98" s="1147"/>
      <c r="D98" s="1148"/>
      <c r="E98" s="1148"/>
      <c r="F98" s="1148"/>
      <c r="G98" s="1148"/>
      <c r="H98" s="176"/>
      <c r="I98" s="336"/>
      <c r="J98" s="546">
        <f t="shared" si="6"/>
        <v>0</v>
      </c>
      <c r="K98" s="343"/>
      <c r="L98" s="343"/>
      <c r="M98" s="343"/>
      <c r="N98" s="343"/>
      <c r="O98" s="343"/>
      <c r="P98" s="343"/>
    </row>
    <row r="99" spans="2:16" ht="15" customHeight="1" outlineLevel="1" x14ac:dyDescent="0.25">
      <c r="B99" s="175">
        <v>92</v>
      </c>
      <c r="C99" s="1147"/>
      <c r="D99" s="1148"/>
      <c r="E99" s="1148"/>
      <c r="F99" s="1148"/>
      <c r="G99" s="1148"/>
      <c r="H99" s="176"/>
      <c r="I99" s="336"/>
      <c r="J99" s="546">
        <f t="shared" si="6"/>
        <v>0</v>
      </c>
      <c r="K99" s="343"/>
      <c r="L99" s="343"/>
      <c r="M99" s="343"/>
      <c r="N99" s="343"/>
      <c r="O99" s="343"/>
      <c r="P99" s="343"/>
    </row>
    <row r="100" spans="2:16" ht="15" customHeight="1" outlineLevel="1" x14ac:dyDescent="0.25">
      <c r="B100" s="173">
        <v>93</v>
      </c>
      <c r="C100" s="1147"/>
      <c r="D100" s="1148"/>
      <c r="E100" s="1148"/>
      <c r="F100" s="1148"/>
      <c r="G100" s="1148"/>
      <c r="H100" s="176"/>
      <c r="I100" s="336"/>
      <c r="J100" s="546">
        <f t="shared" si="6"/>
        <v>0</v>
      </c>
      <c r="K100" s="343"/>
      <c r="L100" s="343"/>
      <c r="M100" s="343"/>
      <c r="N100" s="343"/>
      <c r="O100" s="343"/>
      <c r="P100" s="343"/>
    </row>
    <row r="101" spans="2:16" ht="15" customHeight="1" outlineLevel="1" x14ac:dyDescent="0.25">
      <c r="B101" s="175">
        <v>94</v>
      </c>
      <c r="C101" s="1147"/>
      <c r="D101" s="1148"/>
      <c r="E101" s="1148"/>
      <c r="F101" s="1148"/>
      <c r="G101" s="1148"/>
      <c r="H101" s="176"/>
      <c r="I101" s="336"/>
      <c r="J101" s="546">
        <f t="shared" si="6"/>
        <v>0</v>
      </c>
      <c r="K101" s="343"/>
      <c r="L101" s="343"/>
      <c r="M101" s="343"/>
      <c r="N101" s="343"/>
      <c r="O101" s="343"/>
      <c r="P101" s="343"/>
    </row>
    <row r="102" spans="2:16" ht="15" customHeight="1" outlineLevel="1" x14ac:dyDescent="0.25">
      <c r="B102" s="173">
        <v>95</v>
      </c>
      <c r="C102" s="1147"/>
      <c r="D102" s="1148"/>
      <c r="E102" s="1148"/>
      <c r="F102" s="1148"/>
      <c r="G102" s="1148"/>
      <c r="H102" s="176"/>
      <c r="I102" s="336"/>
      <c r="J102" s="546">
        <f t="shared" si="6"/>
        <v>0</v>
      </c>
      <c r="K102" s="343"/>
      <c r="L102" s="343"/>
      <c r="M102" s="343"/>
      <c r="N102" s="343"/>
      <c r="O102" s="343"/>
      <c r="P102" s="343"/>
    </row>
    <row r="103" spans="2:16" ht="15" customHeight="1" outlineLevel="1" x14ac:dyDescent="0.25">
      <c r="B103" s="175">
        <v>96</v>
      </c>
      <c r="C103" s="1147"/>
      <c r="D103" s="1148"/>
      <c r="E103" s="1148"/>
      <c r="F103" s="1148"/>
      <c r="G103" s="1148"/>
      <c r="H103" s="176"/>
      <c r="I103" s="336"/>
      <c r="J103" s="546">
        <f t="shared" si="6"/>
        <v>0</v>
      </c>
      <c r="K103" s="343"/>
      <c r="L103" s="343"/>
      <c r="M103" s="343"/>
      <c r="N103" s="343"/>
      <c r="O103" s="343"/>
      <c r="P103" s="343"/>
    </row>
    <row r="104" spans="2:16" ht="15" customHeight="1" outlineLevel="1" x14ac:dyDescent="0.25">
      <c r="B104" s="173">
        <v>97</v>
      </c>
      <c r="C104" s="1147"/>
      <c r="D104" s="1148"/>
      <c r="E104" s="1148"/>
      <c r="F104" s="1148"/>
      <c r="G104" s="1148"/>
      <c r="H104" s="176"/>
      <c r="I104" s="336"/>
      <c r="J104" s="546">
        <f t="shared" si="6"/>
        <v>0</v>
      </c>
      <c r="K104" s="343"/>
      <c r="L104" s="343"/>
      <c r="M104" s="343"/>
      <c r="N104" s="343"/>
      <c r="O104" s="343"/>
      <c r="P104" s="343"/>
    </row>
    <row r="105" spans="2:16" ht="15" customHeight="1" outlineLevel="1" x14ac:dyDescent="0.25">
      <c r="B105" s="175">
        <v>98</v>
      </c>
      <c r="C105" s="1147"/>
      <c r="D105" s="1148"/>
      <c r="E105" s="1148"/>
      <c r="F105" s="1148"/>
      <c r="G105" s="1148"/>
      <c r="H105" s="176"/>
      <c r="I105" s="336"/>
      <c r="J105" s="546">
        <f t="shared" si="6"/>
        <v>0</v>
      </c>
      <c r="K105" s="343"/>
      <c r="L105" s="343"/>
      <c r="M105" s="343"/>
      <c r="N105" s="343"/>
      <c r="O105" s="343"/>
      <c r="P105" s="343"/>
    </row>
    <row r="106" spans="2:16" ht="15" customHeight="1" outlineLevel="1" x14ac:dyDescent="0.25">
      <c r="B106" s="173">
        <v>99</v>
      </c>
      <c r="C106" s="1147"/>
      <c r="D106" s="1148"/>
      <c r="E106" s="1148"/>
      <c r="F106" s="1148"/>
      <c r="G106" s="1148"/>
      <c r="H106" s="176"/>
      <c r="I106" s="336"/>
      <c r="J106" s="546">
        <f t="shared" si="6"/>
        <v>0</v>
      </c>
      <c r="K106" s="343"/>
      <c r="L106" s="343"/>
      <c r="M106" s="343"/>
      <c r="N106" s="343"/>
      <c r="O106" s="343"/>
      <c r="P106" s="343"/>
    </row>
    <row r="107" spans="2:16" ht="15" customHeight="1" outlineLevel="1" x14ac:dyDescent="0.25">
      <c r="B107" s="175">
        <v>100</v>
      </c>
      <c r="C107" s="1147"/>
      <c r="D107" s="1148"/>
      <c r="E107" s="1148"/>
      <c r="F107" s="1148"/>
      <c r="G107" s="1148"/>
      <c r="H107" s="176"/>
      <c r="I107" s="336"/>
      <c r="J107" s="546">
        <f t="shared" si="6"/>
        <v>0</v>
      </c>
      <c r="K107" s="343"/>
      <c r="L107" s="343"/>
      <c r="M107" s="343"/>
      <c r="N107" s="343"/>
      <c r="O107" s="343"/>
      <c r="P107" s="343"/>
    </row>
    <row r="108" spans="2:16" x14ac:dyDescent="0.25">
      <c r="B108" s="173"/>
      <c r="C108" s="1152" t="s">
        <v>289</v>
      </c>
      <c r="D108" s="1153"/>
      <c r="E108" s="1153"/>
      <c r="F108" s="1153"/>
      <c r="G108" s="1153"/>
      <c r="H108" s="177">
        <v>20</v>
      </c>
      <c r="I108" s="336"/>
      <c r="J108" s="546">
        <f t="shared" si="6"/>
        <v>0</v>
      </c>
      <c r="K108" s="343"/>
      <c r="L108" s="343"/>
      <c r="M108" s="343"/>
      <c r="N108" s="343"/>
      <c r="O108" s="343"/>
      <c r="P108" s="343"/>
    </row>
    <row r="109" spans="2:16" s="510" customFormat="1" ht="15" customHeight="1" x14ac:dyDescent="0.2">
      <c r="B109" s="516"/>
      <c r="C109" s="1007" t="s">
        <v>928</v>
      </c>
      <c r="D109" s="1007"/>
      <c r="E109" s="1007"/>
      <c r="F109" s="1007"/>
      <c r="G109" s="1007"/>
      <c r="H109" s="1007"/>
      <c r="I109" s="1007"/>
      <c r="J109" s="1007"/>
      <c r="K109" s="521" t="s">
        <v>917</v>
      </c>
      <c r="L109" s="521" t="s">
        <v>926</v>
      </c>
      <c r="M109" s="521" t="s">
        <v>927</v>
      </c>
      <c r="N109" s="521" t="s">
        <v>943</v>
      </c>
      <c r="O109" s="521" t="s">
        <v>944</v>
      </c>
      <c r="P109" s="521" t="s">
        <v>945</v>
      </c>
    </row>
    <row r="110" spans="2:16" s="509" customFormat="1" ht="15" customHeight="1" x14ac:dyDescent="0.2">
      <c r="B110" s="993" t="s">
        <v>918</v>
      </c>
      <c r="C110" s="994"/>
      <c r="D110" s="994"/>
      <c r="E110" s="994"/>
      <c r="F110" s="994"/>
      <c r="G110" s="994"/>
      <c r="H110" s="994"/>
      <c r="I110" s="994"/>
      <c r="J110" s="995"/>
      <c r="K110" s="535" t="s">
        <v>1379</v>
      </c>
      <c r="L110" s="535" t="s">
        <v>1380</v>
      </c>
      <c r="M110" s="535"/>
      <c r="N110" s="535"/>
      <c r="O110" s="535"/>
      <c r="P110" s="535"/>
    </row>
    <row r="111" spans="2:16" s="509" customFormat="1" ht="15" customHeight="1" x14ac:dyDescent="0.2">
      <c r="B111" s="993" t="s">
        <v>919</v>
      </c>
      <c r="C111" s="994"/>
      <c r="D111" s="994"/>
      <c r="E111" s="994"/>
      <c r="F111" s="994"/>
      <c r="G111" s="994"/>
      <c r="H111" s="994"/>
      <c r="I111" s="994"/>
      <c r="J111" s="995"/>
      <c r="K111" s="810">
        <v>88611264000122</v>
      </c>
      <c r="L111" s="810">
        <v>4016079000197</v>
      </c>
      <c r="M111" s="536"/>
      <c r="N111" s="536"/>
      <c r="O111" s="536"/>
      <c r="P111" s="536"/>
    </row>
    <row r="112" spans="2:16" s="509" customFormat="1" ht="15" customHeight="1" x14ac:dyDescent="0.2">
      <c r="B112" s="993" t="s">
        <v>920</v>
      </c>
      <c r="C112" s="994"/>
      <c r="D112" s="994"/>
      <c r="E112" s="994"/>
      <c r="F112" s="994"/>
      <c r="G112" s="994"/>
      <c r="H112" s="994"/>
      <c r="I112" s="994"/>
      <c r="J112" s="995"/>
      <c r="K112" s="537">
        <v>44728</v>
      </c>
      <c r="L112" s="537">
        <v>44729</v>
      </c>
      <c r="M112" s="537"/>
      <c r="N112" s="537"/>
      <c r="O112" s="537"/>
      <c r="P112" s="537"/>
    </row>
    <row r="113" spans="2:16" s="509" customFormat="1" ht="15" customHeight="1" x14ac:dyDescent="0.2">
      <c r="B113" s="993" t="s">
        <v>921</v>
      </c>
      <c r="C113" s="994"/>
      <c r="D113" s="994"/>
      <c r="E113" s="994"/>
      <c r="F113" s="994"/>
      <c r="G113" s="994"/>
      <c r="H113" s="994"/>
      <c r="I113" s="994"/>
      <c r="J113" s="995"/>
      <c r="K113" s="537">
        <v>44758</v>
      </c>
      <c r="L113" s="537">
        <v>44759</v>
      </c>
      <c r="M113" s="537"/>
      <c r="N113" s="537"/>
      <c r="O113" s="537"/>
      <c r="P113" s="537"/>
    </row>
    <row r="114" spans="2:16" s="509" customFormat="1" ht="15" customHeight="1" x14ac:dyDescent="0.2">
      <c r="B114" s="993" t="s">
        <v>922</v>
      </c>
      <c r="C114" s="994"/>
      <c r="D114" s="994"/>
      <c r="E114" s="994"/>
      <c r="F114" s="994"/>
      <c r="G114" s="994"/>
      <c r="H114" s="994"/>
      <c r="I114" s="994"/>
      <c r="J114" s="995"/>
      <c r="K114" s="535" t="s">
        <v>1381</v>
      </c>
      <c r="L114" s="535" t="s">
        <v>1382</v>
      </c>
      <c r="M114" s="535"/>
      <c r="N114" s="535"/>
      <c r="O114" s="535"/>
      <c r="P114" s="535"/>
    </row>
    <row r="115" spans="2:16" s="509" customFormat="1" x14ac:dyDescent="0.2">
      <c r="B115" s="993" t="s">
        <v>923</v>
      </c>
      <c r="C115" s="994"/>
      <c r="D115" s="994"/>
      <c r="E115" s="994"/>
      <c r="F115" s="994"/>
      <c r="G115" s="994"/>
      <c r="H115" s="994"/>
      <c r="I115" s="994"/>
      <c r="J115" s="995"/>
      <c r="K115" s="811" t="s">
        <v>1383</v>
      </c>
      <c r="L115" s="811">
        <v>196805040</v>
      </c>
      <c r="M115" s="538"/>
      <c r="N115" s="538"/>
      <c r="O115" s="538"/>
      <c r="P115" s="538"/>
    </row>
    <row r="116" spans="2:16" s="509" customFormat="1" x14ac:dyDescent="0.2">
      <c r="B116" s="993" t="s">
        <v>924</v>
      </c>
      <c r="C116" s="994"/>
      <c r="D116" s="994"/>
      <c r="E116" s="994"/>
      <c r="F116" s="994"/>
      <c r="G116" s="994"/>
      <c r="H116" s="994"/>
      <c r="I116" s="994"/>
      <c r="J116" s="995"/>
      <c r="K116" s="539" t="s">
        <v>1384</v>
      </c>
      <c r="L116" s="539" t="s">
        <v>1385</v>
      </c>
      <c r="M116" s="539"/>
      <c r="N116" s="539"/>
      <c r="O116" s="539"/>
      <c r="P116" s="539"/>
    </row>
    <row r="117" spans="2:16" s="575" customFormat="1" ht="15" customHeight="1" x14ac:dyDescent="0.2">
      <c r="B117" s="1154" t="s">
        <v>925</v>
      </c>
      <c r="C117" s="1155"/>
      <c r="D117" s="1155"/>
      <c r="E117" s="1155"/>
      <c r="F117" s="1155"/>
      <c r="G117" s="1155"/>
      <c r="H117" s="1155"/>
      <c r="I117" s="1155"/>
      <c r="J117" s="1156"/>
      <c r="K117" s="1097" t="s">
        <v>915</v>
      </c>
      <c r="L117" s="1097"/>
      <c r="M117" s="1097"/>
      <c r="N117" s="1097" t="s">
        <v>915</v>
      </c>
      <c r="O117" s="1097"/>
      <c r="P117" s="1097"/>
    </row>
    <row r="118" spans="2:16" x14ac:dyDescent="0.25">
      <c r="B118" s="1161" t="s">
        <v>292</v>
      </c>
      <c r="C118" s="1162"/>
      <c r="D118" s="1162"/>
      <c r="E118" s="1162"/>
      <c r="F118" s="1162"/>
      <c r="G118" s="1162"/>
      <c r="H118" s="1162"/>
      <c r="I118" s="1162"/>
      <c r="J118" s="1163"/>
      <c r="K118" s="550" t="s">
        <v>917</v>
      </c>
      <c r="L118" s="550" t="s">
        <v>926</v>
      </c>
      <c r="M118" s="550" t="s">
        <v>927</v>
      </c>
      <c r="N118" s="550" t="s">
        <v>943</v>
      </c>
      <c r="O118" s="550" t="s">
        <v>944</v>
      </c>
      <c r="P118" s="550" t="s">
        <v>945</v>
      </c>
    </row>
    <row r="119" spans="2:16" ht="30" x14ac:dyDescent="0.25">
      <c r="B119" s="332"/>
      <c r="C119" s="1150" t="s">
        <v>294</v>
      </c>
      <c r="D119" s="1150"/>
      <c r="E119" s="1150"/>
      <c r="F119" s="1150"/>
      <c r="G119" s="1151"/>
      <c r="H119" s="127" t="s">
        <v>16</v>
      </c>
      <c r="I119" s="560" t="s">
        <v>295</v>
      </c>
      <c r="J119" s="560" t="s">
        <v>948</v>
      </c>
      <c r="K119" s="560" t="s">
        <v>949</v>
      </c>
      <c r="L119" s="560" t="s">
        <v>949</v>
      </c>
      <c r="M119" s="560" t="s">
        <v>949</v>
      </c>
      <c r="N119" s="560" t="s">
        <v>949</v>
      </c>
      <c r="O119" s="560" t="s">
        <v>949</v>
      </c>
      <c r="P119" s="560" t="s">
        <v>949</v>
      </c>
    </row>
    <row r="120" spans="2:16" ht="15" customHeight="1" x14ac:dyDescent="0.25">
      <c r="B120" s="173">
        <v>1</v>
      </c>
      <c r="C120" s="1149" t="s">
        <v>1426</v>
      </c>
      <c r="D120" s="1149"/>
      <c r="E120" s="1149"/>
      <c r="F120" s="1149"/>
      <c r="G120" s="1147"/>
      <c r="H120" s="727">
        <v>2</v>
      </c>
      <c r="I120" s="335">
        <v>60</v>
      </c>
      <c r="J120" s="546">
        <f>IFERROR(SMALL(K120:P120,1),0)</f>
        <v>29.5</v>
      </c>
      <c r="K120" s="343">
        <v>29.5</v>
      </c>
      <c r="L120" s="343"/>
      <c r="M120" s="343"/>
      <c r="N120" s="343"/>
      <c r="O120" s="343"/>
      <c r="P120" s="343"/>
    </row>
    <row r="121" spans="2:16" ht="15" customHeight="1" x14ac:dyDescent="0.25">
      <c r="B121" s="175">
        <v>2</v>
      </c>
      <c r="C121" s="1149"/>
      <c r="D121" s="1149"/>
      <c r="E121" s="1149"/>
      <c r="F121" s="1149"/>
      <c r="G121" s="1147"/>
      <c r="H121" s="185"/>
      <c r="I121" s="336"/>
      <c r="J121" s="546">
        <f t="shared" ref="J121:J124" si="7">IFERROR(SMALL(K121:P121,1),0)</f>
        <v>0</v>
      </c>
      <c r="K121" s="343"/>
      <c r="L121" s="343"/>
      <c r="M121" s="343"/>
      <c r="N121" s="343"/>
      <c r="O121" s="343"/>
      <c r="P121" s="343"/>
    </row>
    <row r="122" spans="2:16" ht="15" customHeight="1" x14ac:dyDescent="0.25">
      <c r="B122" s="173">
        <v>3</v>
      </c>
      <c r="C122" s="1149"/>
      <c r="D122" s="1149"/>
      <c r="E122" s="1149"/>
      <c r="F122" s="1149"/>
      <c r="G122" s="1147"/>
      <c r="H122" s="185"/>
      <c r="I122" s="336"/>
      <c r="J122" s="546">
        <f t="shared" si="7"/>
        <v>0</v>
      </c>
      <c r="K122" s="343"/>
      <c r="L122" s="343"/>
      <c r="M122" s="343"/>
      <c r="N122" s="343"/>
      <c r="O122" s="343"/>
      <c r="P122" s="343"/>
    </row>
    <row r="123" spans="2:16" ht="15" customHeight="1" x14ac:dyDescent="0.25">
      <c r="B123" s="175">
        <v>4</v>
      </c>
      <c r="C123" s="1149"/>
      <c r="D123" s="1149"/>
      <c r="E123" s="1149"/>
      <c r="F123" s="1149"/>
      <c r="G123" s="1147"/>
      <c r="H123" s="185"/>
      <c r="I123" s="336"/>
      <c r="J123" s="546">
        <f t="shared" si="7"/>
        <v>0</v>
      </c>
      <c r="K123" s="343"/>
      <c r="L123" s="343"/>
      <c r="M123" s="343"/>
      <c r="N123" s="343"/>
      <c r="O123" s="343"/>
      <c r="P123" s="343"/>
    </row>
    <row r="124" spans="2:16" ht="15" customHeight="1" x14ac:dyDescent="0.25">
      <c r="B124" s="173">
        <v>5</v>
      </c>
      <c r="C124" s="1149"/>
      <c r="D124" s="1149"/>
      <c r="E124" s="1149"/>
      <c r="F124" s="1149"/>
      <c r="G124" s="1147"/>
      <c r="H124" s="185"/>
      <c r="I124" s="336"/>
      <c r="J124" s="546">
        <f t="shared" si="7"/>
        <v>0</v>
      </c>
      <c r="K124" s="343"/>
      <c r="L124" s="343"/>
      <c r="M124" s="343"/>
      <c r="N124" s="343"/>
      <c r="O124" s="343"/>
      <c r="P124" s="343"/>
    </row>
    <row r="125" spans="2:16" s="510" customFormat="1" ht="15" customHeight="1" x14ac:dyDescent="0.2">
      <c r="B125" s="516"/>
      <c r="C125" s="1007" t="s">
        <v>928</v>
      </c>
      <c r="D125" s="1007"/>
      <c r="E125" s="1007"/>
      <c r="F125" s="1007"/>
      <c r="G125" s="1007"/>
      <c r="H125" s="1007"/>
      <c r="I125" s="1007"/>
      <c r="J125" s="1007"/>
      <c r="K125" s="521" t="s">
        <v>917</v>
      </c>
      <c r="L125" s="521" t="s">
        <v>926</v>
      </c>
      <c r="M125" s="521" t="s">
        <v>927</v>
      </c>
      <c r="N125" s="521" t="s">
        <v>943</v>
      </c>
      <c r="O125" s="521" t="s">
        <v>944</v>
      </c>
      <c r="P125" s="521" t="s">
        <v>945</v>
      </c>
    </row>
    <row r="126" spans="2:16" s="509" customFormat="1" ht="15" customHeight="1" x14ac:dyDescent="0.2">
      <c r="B126" s="993" t="s">
        <v>918</v>
      </c>
      <c r="C126" s="994"/>
      <c r="D126" s="994"/>
      <c r="E126" s="994"/>
      <c r="F126" s="994"/>
      <c r="G126" s="994"/>
      <c r="H126" s="994"/>
      <c r="I126" s="994"/>
      <c r="J126" s="995"/>
      <c r="K126" s="810" t="s">
        <v>1420</v>
      </c>
      <c r="L126" s="535"/>
      <c r="M126" s="535"/>
      <c r="N126" s="535"/>
      <c r="O126" s="535"/>
      <c r="P126" s="535"/>
    </row>
    <row r="127" spans="2:16" s="509" customFormat="1" ht="15" customHeight="1" x14ac:dyDescent="0.2">
      <c r="B127" s="993" t="s">
        <v>919</v>
      </c>
      <c r="C127" s="994"/>
      <c r="D127" s="994"/>
      <c r="E127" s="994"/>
      <c r="F127" s="994"/>
      <c r="G127" s="994"/>
      <c r="H127" s="994"/>
      <c r="I127" s="994"/>
      <c r="J127" s="995"/>
      <c r="K127" s="810">
        <v>30849093000194</v>
      </c>
      <c r="L127" s="536"/>
      <c r="M127" s="536"/>
      <c r="N127" s="536"/>
      <c r="O127" s="536"/>
      <c r="P127" s="536"/>
    </row>
    <row r="128" spans="2:16" s="509" customFormat="1" ht="15" customHeight="1" x14ac:dyDescent="0.2">
      <c r="B128" s="993" t="s">
        <v>920</v>
      </c>
      <c r="C128" s="994"/>
      <c r="D128" s="994"/>
      <c r="E128" s="994"/>
      <c r="F128" s="994"/>
      <c r="G128" s="994"/>
      <c r="H128" s="994"/>
      <c r="I128" s="994"/>
      <c r="J128" s="995"/>
      <c r="K128" s="537">
        <v>44729</v>
      </c>
      <c r="L128" s="537"/>
      <c r="M128" s="537"/>
      <c r="N128" s="537"/>
      <c r="O128" s="537"/>
      <c r="P128" s="537"/>
    </row>
    <row r="129" spans="2:16" s="509" customFormat="1" ht="15" customHeight="1" x14ac:dyDescent="0.2">
      <c r="B129" s="993" t="s">
        <v>921</v>
      </c>
      <c r="C129" s="994"/>
      <c r="D129" s="994"/>
      <c r="E129" s="994"/>
      <c r="F129" s="994"/>
      <c r="G129" s="994"/>
      <c r="H129" s="994"/>
      <c r="I129" s="994"/>
      <c r="J129" s="995"/>
      <c r="K129" s="537">
        <v>44821</v>
      </c>
      <c r="L129" s="537"/>
      <c r="M129" s="537"/>
      <c r="N129" s="537"/>
      <c r="O129" s="537"/>
      <c r="P129" s="537"/>
    </row>
    <row r="130" spans="2:16" s="509" customFormat="1" ht="15" customHeight="1" x14ac:dyDescent="0.2">
      <c r="B130" s="993" t="s">
        <v>922</v>
      </c>
      <c r="C130" s="994"/>
      <c r="D130" s="994"/>
      <c r="E130" s="994"/>
      <c r="F130" s="994"/>
      <c r="G130" s="994"/>
      <c r="H130" s="994"/>
      <c r="I130" s="994"/>
      <c r="J130" s="995"/>
      <c r="K130" s="535" t="s">
        <v>1421</v>
      </c>
      <c r="L130" s="535"/>
      <c r="M130" s="535"/>
      <c r="N130" s="535"/>
      <c r="O130" s="535"/>
      <c r="P130" s="535"/>
    </row>
    <row r="131" spans="2:16" s="509" customFormat="1" x14ac:dyDescent="0.2">
      <c r="B131" s="993" t="s">
        <v>923</v>
      </c>
      <c r="C131" s="994"/>
      <c r="D131" s="994"/>
      <c r="E131" s="994"/>
      <c r="F131" s="994"/>
      <c r="G131" s="994"/>
      <c r="H131" s="994"/>
      <c r="I131" s="994"/>
      <c r="J131" s="995"/>
      <c r="K131" s="811" t="s">
        <v>1422</v>
      </c>
      <c r="L131" s="538"/>
      <c r="M131" s="538"/>
      <c r="N131" s="538"/>
      <c r="O131" s="538"/>
      <c r="P131" s="538"/>
    </row>
    <row r="132" spans="2:16" s="509" customFormat="1" x14ac:dyDescent="0.2">
      <c r="B132" s="993" t="s">
        <v>924</v>
      </c>
      <c r="C132" s="994"/>
      <c r="D132" s="994"/>
      <c r="E132" s="994"/>
      <c r="F132" s="994"/>
      <c r="G132" s="994"/>
      <c r="H132" s="994"/>
      <c r="I132" s="994"/>
      <c r="J132" s="995"/>
      <c r="K132" s="539" t="s">
        <v>1423</v>
      </c>
      <c r="L132" s="539"/>
      <c r="M132" s="539"/>
      <c r="N132" s="539">
        <v>1</v>
      </c>
      <c r="O132" s="539"/>
      <c r="P132" s="539"/>
    </row>
    <row r="133" spans="2:16" s="575" customFormat="1" ht="15" customHeight="1" x14ac:dyDescent="0.2">
      <c r="B133" s="1154" t="s">
        <v>925</v>
      </c>
      <c r="C133" s="1155"/>
      <c r="D133" s="1155"/>
      <c r="E133" s="1155"/>
      <c r="F133" s="1155"/>
      <c r="G133" s="1155"/>
      <c r="H133" s="1155"/>
      <c r="I133" s="1155"/>
      <c r="J133" s="1156"/>
      <c r="K133" s="1097" t="s">
        <v>915</v>
      </c>
      <c r="L133" s="1097"/>
      <c r="M133" s="1097"/>
      <c r="N133" s="1097" t="s">
        <v>915</v>
      </c>
      <c r="O133" s="1097"/>
      <c r="P133" s="1097"/>
    </row>
    <row r="134" spans="2:16" ht="15" customHeight="1" x14ac:dyDescent="0.25">
      <c r="B134" s="1161" t="s">
        <v>300</v>
      </c>
      <c r="C134" s="1162"/>
      <c r="D134" s="1162"/>
      <c r="E134" s="1162"/>
      <c r="F134" s="1162"/>
      <c r="G134" s="1162"/>
      <c r="H134" s="1162"/>
      <c r="I134" s="1162"/>
      <c r="J134" s="1163"/>
      <c r="K134" s="550" t="s">
        <v>917</v>
      </c>
      <c r="L134" s="550" t="s">
        <v>926</v>
      </c>
      <c r="M134" s="550" t="s">
        <v>927</v>
      </c>
      <c r="N134" s="550" t="s">
        <v>943</v>
      </c>
      <c r="O134" s="550" t="s">
        <v>944</v>
      </c>
      <c r="P134" s="550" t="s">
        <v>945</v>
      </c>
    </row>
    <row r="135" spans="2:16" ht="15" customHeight="1" x14ac:dyDescent="0.25">
      <c r="B135" s="332"/>
      <c r="C135" s="1166" t="s">
        <v>178</v>
      </c>
      <c r="D135" s="1166"/>
      <c r="E135" s="1166"/>
      <c r="F135" s="1166"/>
      <c r="G135" s="1166"/>
      <c r="H135" s="1167"/>
      <c r="I135" s="560" t="s">
        <v>16</v>
      </c>
      <c r="J135" s="560" t="s">
        <v>947</v>
      </c>
      <c r="K135" s="560" t="s">
        <v>929</v>
      </c>
      <c r="L135" s="560" t="s">
        <v>929</v>
      </c>
      <c r="M135" s="560" t="s">
        <v>929</v>
      </c>
      <c r="N135" s="560" t="s">
        <v>929</v>
      </c>
      <c r="O135" s="560" t="s">
        <v>929</v>
      </c>
      <c r="P135" s="560" t="s">
        <v>929</v>
      </c>
    </row>
    <row r="136" spans="2:16" ht="15" customHeight="1" x14ac:dyDescent="0.25">
      <c r="B136" s="186">
        <v>1</v>
      </c>
      <c r="C136" s="1164"/>
      <c r="D136" s="1164"/>
      <c r="E136" s="1164"/>
      <c r="F136" s="1164"/>
      <c r="G136" s="1164"/>
      <c r="H136" s="1165"/>
      <c r="I136" s="336"/>
      <c r="J136" s="546">
        <f t="shared" ref="J136:J138" si="8">IFERROR(SMALL(K136:P136,1),0)</f>
        <v>0</v>
      </c>
      <c r="K136" s="343"/>
      <c r="L136" s="343"/>
      <c r="M136" s="343"/>
      <c r="N136" s="343"/>
      <c r="O136" s="343"/>
      <c r="P136" s="343"/>
    </row>
    <row r="137" spans="2:16" ht="15" customHeight="1" x14ac:dyDescent="0.25">
      <c r="B137" s="186">
        <v>2</v>
      </c>
      <c r="C137" s="1164"/>
      <c r="D137" s="1164"/>
      <c r="E137" s="1164"/>
      <c r="F137" s="1164"/>
      <c r="G137" s="1164"/>
      <c r="H137" s="1165"/>
      <c r="I137" s="336"/>
      <c r="J137" s="546">
        <f t="shared" si="8"/>
        <v>0</v>
      </c>
      <c r="K137" s="343"/>
      <c r="L137" s="343"/>
      <c r="M137" s="343"/>
      <c r="N137" s="343"/>
      <c r="O137" s="343"/>
      <c r="P137" s="343"/>
    </row>
    <row r="138" spans="2:16" ht="15" customHeight="1" x14ac:dyDescent="0.25">
      <c r="B138" s="186">
        <v>3</v>
      </c>
      <c r="C138" s="1164"/>
      <c r="D138" s="1164"/>
      <c r="E138" s="1164"/>
      <c r="F138" s="1164"/>
      <c r="G138" s="1164"/>
      <c r="H138" s="1165"/>
      <c r="I138" s="336"/>
      <c r="J138" s="546">
        <f t="shared" si="8"/>
        <v>0</v>
      </c>
      <c r="K138" s="343"/>
      <c r="L138" s="343"/>
      <c r="M138" s="343"/>
      <c r="N138" s="343"/>
      <c r="O138" s="343"/>
      <c r="P138" s="343"/>
    </row>
    <row r="139" spans="2:16" s="510" customFormat="1" ht="15" customHeight="1" x14ac:dyDescent="0.2">
      <c r="B139" s="516"/>
      <c r="C139" s="1007" t="s">
        <v>928</v>
      </c>
      <c r="D139" s="1007"/>
      <c r="E139" s="1007"/>
      <c r="F139" s="1007"/>
      <c r="G139" s="1007"/>
      <c r="H139" s="1007"/>
      <c r="I139" s="1007"/>
      <c r="J139" s="1007"/>
      <c r="K139" s="521" t="s">
        <v>917</v>
      </c>
      <c r="L139" s="521" t="s">
        <v>926</v>
      </c>
      <c r="M139" s="521" t="s">
        <v>927</v>
      </c>
      <c r="N139" s="521" t="s">
        <v>943</v>
      </c>
      <c r="O139" s="521" t="s">
        <v>944</v>
      </c>
      <c r="P139" s="521" t="s">
        <v>945</v>
      </c>
    </row>
    <row r="140" spans="2:16" s="509" customFormat="1" ht="15" customHeight="1" x14ac:dyDescent="0.2">
      <c r="B140" s="993" t="s">
        <v>918</v>
      </c>
      <c r="C140" s="994"/>
      <c r="D140" s="994"/>
      <c r="E140" s="994"/>
      <c r="F140" s="994"/>
      <c r="G140" s="994"/>
      <c r="H140" s="994"/>
      <c r="I140" s="994"/>
      <c r="J140" s="995"/>
      <c r="K140" s="535"/>
      <c r="L140" s="535"/>
      <c r="M140" s="535"/>
      <c r="N140" s="535"/>
      <c r="O140" s="535"/>
      <c r="P140" s="535"/>
    </row>
    <row r="141" spans="2:16" s="509" customFormat="1" ht="15" customHeight="1" x14ac:dyDescent="0.2">
      <c r="B141" s="993" t="s">
        <v>919</v>
      </c>
      <c r="C141" s="994"/>
      <c r="D141" s="994"/>
      <c r="E141" s="994"/>
      <c r="F141" s="994"/>
      <c r="G141" s="994"/>
      <c r="H141" s="994"/>
      <c r="I141" s="994"/>
      <c r="J141" s="995"/>
      <c r="K141" s="536"/>
      <c r="L141" s="536"/>
      <c r="M141" s="536"/>
      <c r="N141" s="536"/>
      <c r="O141" s="536"/>
      <c r="P141" s="536"/>
    </row>
    <row r="142" spans="2:16" s="509" customFormat="1" ht="15" customHeight="1" x14ac:dyDescent="0.2">
      <c r="B142" s="993" t="s">
        <v>920</v>
      </c>
      <c r="C142" s="994"/>
      <c r="D142" s="994"/>
      <c r="E142" s="994"/>
      <c r="F142" s="994"/>
      <c r="G142" s="994"/>
      <c r="H142" s="994"/>
      <c r="I142" s="994"/>
      <c r="J142" s="995"/>
      <c r="K142" s="537"/>
      <c r="L142" s="537"/>
      <c r="M142" s="537"/>
      <c r="N142" s="537"/>
      <c r="O142" s="537"/>
      <c r="P142" s="537"/>
    </row>
    <row r="143" spans="2:16" s="509" customFormat="1" ht="15" customHeight="1" x14ac:dyDescent="0.2">
      <c r="B143" s="993" t="s">
        <v>921</v>
      </c>
      <c r="C143" s="994"/>
      <c r="D143" s="994"/>
      <c r="E143" s="994"/>
      <c r="F143" s="994"/>
      <c r="G143" s="994"/>
      <c r="H143" s="994"/>
      <c r="I143" s="994"/>
      <c r="J143" s="995"/>
      <c r="K143" s="537"/>
      <c r="L143" s="537"/>
      <c r="M143" s="537"/>
      <c r="N143" s="537"/>
      <c r="O143" s="537"/>
      <c r="P143" s="537"/>
    </row>
    <row r="144" spans="2:16" s="509" customFormat="1" ht="15" customHeight="1" x14ac:dyDescent="0.2">
      <c r="B144" s="993" t="s">
        <v>922</v>
      </c>
      <c r="C144" s="994"/>
      <c r="D144" s="994"/>
      <c r="E144" s="994"/>
      <c r="F144" s="994"/>
      <c r="G144" s="994"/>
      <c r="H144" s="994"/>
      <c r="I144" s="994"/>
      <c r="J144" s="995"/>
      <c r="K144" s="535"/>
      <c r="L144" s="535"/>
      <c r="M144" s="535"/>
      <c r="N144" s="535"/>
      <c r="O144" s="535"/>
      <c r="P144" s="535"/>
    </row>
    <row r="145" spans="2:16" s="509" customFormat="1" x14ac:dyDescent="0.2">
      <c r="B145" s="993" t="s">
        <v>923</v>
      </c>
      <c r="C145" s="994"/>
      <c r="D145" s="994"/>
      <c r="E145" s="994"/>
      <c r="F145" s="994"/>
      <c r="G145" s="994"/>
      <c r="H145" s="994"/>
      <c r="I145" s="994"/>
      <c r="J145" s="995"/>
      <c r="K145" s="538"/>
      <c r="L145" s="538"/>
      <c r="M145" s="538"/>
      <c r="N145" s="538"/>
      <c r="O145" s="538"/>
      <c r="P145" s="538"/>
    </row>
    <row r="146" spans="2:16" s="509" customFormat="1" x14ac:dyDescent="0.2">
      <c r="B146" s="993" t="s">
        <v>924</v>
      </c>
      <c r="C146" s="994"/>
      <c r="D146" s="994"/>
      <c r="E146" s="994"/>
      <c r="F146" s="994"/>
      <c r="G146" s="994"/>
      <c r="H146" s="994"/>
      <c r="I146" s="994"/>
      <c r="J146" s="995"/>
      <c r="K146" s="539"/>
      <c r="L146" s="539"/>
      <c r="M146" s="539"/>
      <c r="N146" s="539"/>
      <c r="O146" s="539"/>
      <c r="P146" s="539"/>
    </row>
    <row r="147" spans="2:16" s="575" customFormat="1" ht="15" customHeight="1" x14ac:dyDescent="0.2">
      <c r="B147" s="1154" t="s">
        <v>925</v>
      </c>
      <c r="C147" s="1155"/>
      <c r="D147" s="1155"/>
      <c r="E147" s="1155"/>
      <c r="F147" s="1155"/>
      <c r="G147" s="1155"/>
      <c r="H147" s="1155"/>
      <c r="I147" s="1155"/>
      <c r="J147" s="1156"/>
      <c r="K147" s="1097" t="s">
        <v>915</v>
      </c>
      <c r="L147" s="1097"/>
      <c r="M147" s="1097"/>
      <c r="N147" s="1097" t="s">
        <v>915</v>
      </c>
      <c r="O147" s="1097"/>
      <c r="P147" s="1097"/>
    </row>
    <row r="148" spans="2:16" ht="15" customHeight="1" x14ac:dyDescent="0.25">
      <c r="B148" s="1159" t="s">
        <v>707</v>
      </c>
      <c r="C148" s="1160"/>
      <c r="D148" s="1160"/>
      <c r="E148" s="1160"/>
      <c r="F148" s="1160"/>
      <c r="G148" s="1160"/>
      <c r="H148" s="1160"/>
      <c r="I148" s="1160"/>
      <c r="J148" s="1168"/>
      <c r="K148" s="551" t="s">
        <v>917</v>
      </c>
      <c r="L148" s="551" t="s">
        <v>926</v>
      </c>
      <c r="M148" s="551" t="s">
        <v>927</v>
      </c>
      <c r="N148" s="551" t="s">
        <v>943</v>
      </c>
      <c r="O148" s="551" t="s">
        <v>944</v>
      </c>
      <c r="P148" s="551" t="s">
        <v>945</v>
      </c>
    </row>
    <row r="149" spans="2:16" ht="15" customHeight="1" x14ac:dyDescent="0.25">
      <c r="B149" s="1169" t="s">
        <v>15</v>
      </c>
      <c r="C149" s="1166"/>
      <c r="D149" s="1166"/>
      <c r="E149" s="1166"/>
      <c r="F149" s="1166"/>
      <c r="G149" s="1166"/>
      <c r="H149" s="1167"/>
      <c r="I149" s="560" t="s">
        <v>16</v>
      </c>
      <c r="J149" s="560" t="s">
        <v>947</v>
      </c>
      <c r="K149" s="560" t="s">
        <v>929</v>
      </c>
      <c r="L149" s="560" t="s">
        <v>929</v>
      </c>
      <c r="M149" s="560" t="s">
        <v>929</v>
      </c>
      <c r="N149" s="560" t="s">
        <v>929</v>
      </c>
      <c r="O149" s="560" t="s">
        <v>929</v>
      </c>
      <c r="P149" s="560" t="s">
        <v>929</v>
      </c>
    </row>
    <row r="150" spans="2:16" ht="15" customHeight="1" x14ac:dyDescent="0.25">
      <c r="B150" s="186">
        <v>1</v>
      </c>
      <c r="C150" s="1164" t="s">
        <v>1430</v>
      </c>
      <c r="D150" s="1164"/>
      <c r="E150" s="1164"/>
      <c r="F150" s="1164"/>
      <c r="G150" s="1164"/>
      <c r="H150" s="1165"/>
      <c r="I150" s="336">
        <v>1</v>
      </c>
      <c r="J150" s="546">
        <f t="shared" ref="J150:J152" si="9">IFERROR(SMALL(K150:P150,1),0)</f>
        <v>4900</v>
      </c>
      <c r="K150" s="343">
        <v>4900</v>
      </c>
      <c r="L150" s="343"/>
      <c r="M150" s="343"/>
      <c r="N150" s="343"/>
      <c r="O150" s="343"/>
      <c r="P150" s="343"/>
    </row>
    <row r="151" spans="2:16" ht="15" customHeight="1" x14ac:dyDescent="0.25">
      <c r="B151" s="186">
        <v>2</v>
      </c>
      <c r="C151" s="1164"/>
      <c r="D151" s="1164"/>
      <c r="E151" s="1164"/>
      <c r="F151" s="1164"/>
      <c r="G151" s="1164"/>
      <c r="H151" s="1165"/>
      <c r="I151" s="336"/>
      <c r="J151" s="546">
        <f t="shared" si="9"/>
        <v>0</v>
      </c>
      <c r="K151" s="343"/>
      <c r="L151" s="343"/>
      <c r="M151" s="343"/>
      <c r="N151" s="343"/>
      <c r="O151" s="343"/>
      <c r="P151" s="343"/>
    </row>
    <row r="152" spans="2:16" ht="15" customHeight="1" x14ac:dyDescent="0.25">
      <c r="B152" s="186">
        <v>3</v>
      </c>
      <c r="C152" s="1164"/>
      <c r="D152" s="1164"/>
      <c r="E152" s="1164"/>
      <c r="F152" s="1164"/>
      <c r="G152" s="1164"/>
      <c r="H152" s="1165"/>
      <c r="I152" s="336"/>
      <c r="J152" s="546">
        <f t="shared" si="9"/>
        <v>0</v>
      </c>
      <c r="K152" s="343"/>
      <c r="L152" s="343"/>
      <c r="M152" s="343"/>
      <c r="N152" s="343"/>
      <c r="O152" s="343"/>
      <c r="P152" s="343"/>
    </row>
    <row r="153" spans="2:16" s="510" customFormat="1" ht="15" customHeight="1" x14ac:dyDescent="0.2">
      <c r="B153" s="516"/>
      <c r="C153" s="1007" t="s">
        <v>928</v>
      </c>
      <c r="D153" s="1007"/>
      <c r="E153" s="1007"/>
      <c r="F153" s="1007"/>
      <c r="G153" s="1007"/>
      <c r="H153" s="1007"/>
      <c r="I153" s="1007"/>
      <c r="J153" s="1007"/>
      <c r="K153" s="521" t="s">
        <v>917</v>
      </c>
      <c r="L153" s="521" t="s">
        <v>926</v>
      </c>
      <c r="M153" s="521" t="s">
        <v>927</v>
      </c>
      <c r="N153" s="521" t="s">
        <v>943</v>
      </c>
      <c r="O153" s="521" t="s">
        <v>944</v>
      </c>
      <c r="P153" s="521" t="s">
        <v>945</v>
      </c>
    </row>
    <row r="154" spans="2:16" s="509" customFormat="1" ht="15" customHeight="1" x14ac:dyDescent="0.2">
      <c r="B154" s="993" t="s">
        <v>918</v>
      </c>
      <c r="C154" s="994"/>
      <c r="D154" s="994"/>
      <c r="E154" s="994"/>
      <c r="F154" s="994"/>
      <c r="G154" s="994"/>
      <c r="H154" s="994"/>
      <c r="I154" s="994"/>
      <c r="J154" s="995"/>
      <c r="K154" s="535"/>
      <c r="L154" s="535"/>
      <c r="M154" s="535"/>
      <c r="N154" s="535"/>
      <c r="O154" s="535"/>
      <c r="P154" s="535"/>
    </row>
    <row r="155" spans="2:16" s="509" customFormat="1" ht="15" customHeight="1" x14ac:dyDescent="0.2">
      <c r="B155" s="993" t="s">
        <v>919</v>
      </c>
      <c r="C155" s="994"/>
      <c r="D155" s="994"/>
      <c r="E155" s="994"/>
      <c r="F155" s="994"/>
      <c r="G155" s="994"/>
      <c r="H155" s="994"/>
      <c r="I155" s="994"/>
      <c r="J155" s="995"/>
      <c r="K155" s="536"/>
      <c r="L155" s="536"/>
      <c r="M155" s="536"/>
      <c r="N155" s="536"/>
      <c r="O155" s="536"/>
      <c r="P155" s="536"/>
    </row>
    <row r="156" spans="2:16" s="509" customFormat="1" ht="15" customHeight="1" x14ac:dyDescent="0.2">
      <c r="B156" s="993" t="s">
        <v>920</v>
      </c>
      <c r="C156" s="994"/>
      <c r="D156" s="994"/>
      <c r="E156" s="994"/>
      <c r="F156" s="994"/>
      <c r="G156" s="994"/>
      <c r="H156" s="994"/>
      <c r="I156" s="994"/>
      <c r="J156" s="995"/>
      <c r="K156" s="537"/>
      <c r="L156" s="537"/>
      <c r="M156" s="537"/>
      <c r="N156" s="537"/>
      <c r="O156" s="537"/>
      <c r="P156" s="537"/>
    </row>
    <row r="157" spans="2:16" s="509" customFormat="1" ht="15" customHeight="1" x14ac:dyDescent="0.2">
      <c r="B157" s="993" t="s">
        <v>921</v>
      </c>
      <c r="C157" s="994"/>
      <c r="D157" s="994"/>
      <c r="E157" s="994"/>
      <c r="F157" s="994"/>
      <c r="G157" s="994"/>
      <c r="H157" s="994"/>
      <c r="I157" s="994"/>
      <c r="J157" s="995"/>
      <c r="K157" s="537"/>
      <c r="L157" s="537"/>
      <c r="M157" s="537"/>
      <c r="N157" s="537"/>
      <c r="O157" s="537"/>
      <c r="P157" s="537"/>
    </row>
    <row r="158" spans="2:16" s="509" customFormat="1" ht="15" customHeight="1" x14ac:dyDescent="0.2">
      <c r="B158" s="993" t="s">
        <v>922</v>
      </c>
      <c r="C158" s="994"/>
      <c r="D158" s="994"/>
      <c r="E158" s="994"/>
      <c r="F158" s="994"/>
      <c r="G158" s="994"/>
      <c r="H158" s="994"/>
      <c r="I158" s="994"/>
      <c r="J158" s="995"/>
      <c r="K158" s="535"/>
      <c r="L158" s="535"/>
      <c r="M158" s="535"/>
      <c r="N158" s="535"/>
      <c r="O158" s="535"/>
      <c r="P158" s="535"/>
    </row>
    <row r="159" spans="2:16" s="509" customFormat="1" x14ac:dyDescent="0.2">
      <c r="B159" s="993" t="s">
        <v>923</v>
      </c>
      <c r="C159" s="994"/>
      <c r="D159" s="994"/>
      <c r="E159" s="994"/>
      <c r="F159" s="994"/>
      <c r="G159" s="994"/>
      <c r="H159" s="994"/>
      <c r="I159" s="994"/>
      <c r="J159" s="995"/>
      <c r="K159" s="538"/>
      <c r="L159" s="538"/>
      <c r="M159" s="538"/>
      <c r="N159" s="538"/>
      <c r="O159" s="538"/>
      <c r="P159" s="538"/>
    </row>
    <row r="160" spans="2:16" s="509" customFormat="1" x14ac:dyDescent="0.2">
      <c r="B160" s="993" t="s">
        <v>924</v>
      </c>
      <c r="C160" s="994"/>
      <c r="D160" s="994"/>
      <c r="E160" s="994"/>
      <c r="F160" s="994"/>
      <c r="G160" s="994"/>
      <c r="H160" s="994"/>
      <c r="I160" s="994"/>
      <c r="J160" s="995"/>
      <c r="K160" s="539"/>
      <c r="L160" s="539"/>
      <c r="M160" s="539"/>
      <c r="N160" s="539"/>
      <c r="O160" s="539"/>
      <c r="P160" s="539"/>
    </row>
    <row r="161" spans="2:16" s="575" customFormat="1" ht="15" customHeight="1" x14ac:dyDescent="0.2">
      <c r="B161" s="1154" t="s">
        <v>925</v>
      </c>
      <c r="C161" s="1155"/>
      <c r="D161" s="1155"/>
      <c r="E161" s="1155"/>
      <c r="F161" s="1155"/>
      <c r="G161" s="1155"/>
      <c r="H161" s="1155"/>
      <c r="I161" s="1155"/>
      <c r="J161" s="1156"/>
      <c r="K161" s="1097" t="s">
        <v>915</v>
      </c>
      <c r="L161" s="1097"/>
      <c r="M161" s="1097"/>
      <c r="N161" s="1097" t="s">
        <v>915</v>
      </c>
      <c r="O161" s="1097"/>
      <c r="P161" s="1097"/>
    </row>
  </sheetData>
  <sheetProtection password="C9A4" sheet="1" objects="1" scenarios="1"/>
  <mergeCells count="168">
    <mergeCell ref="B158:J158"/>
    <mergeCell ref="B159:J159"/>
    <mergeCell ref="B160:J160"/>
    <mergeCell ref="B161:J161"/>
    <mergeCell ref="K161:M161"/>
    <mergeCell ref="N161:P161"/>
    <mergeCell ref="N147:P147"/>
    <mergeCell ref="B148:J148"/>
    <mergeCell ref="B154:J154"/>
    <mergeCell ref="B155:J155"/>
    <mergeCell ref="B156:J156"/>
    <mergeCell ref="B157:J157"/>
    <mergeCell ref="B149:H149"/>
    <mergeCell ref="C150:H150"/>
    <mergeCell ref="C151:H151"/>
    <mergeCell ref="C152:H152"/>
    <mergeCell ref="C153:J153"/>
    <mergeCell ref="B143:J143"/>
    <mergeCell ref="B144:J144"/>
    <mergeCell ref="B145:J145"/>
    <mergeCell ref="B146:J146"/>
    <mergeCell ref="B147:J147"/>
    <mergeCell ref="K147:M147"/>
    <mergeCell ref="K133:M133"/>
    <mergeCell ref="N133:P133"/>
    <mergeCell ref="B134:J134"/>
    <mergeCell ref="C138:H138"/>
    <mergeCell ref="C139:J139"/>
    <mergeCell ref="B140:J140"/>
    <mergeCell ref="B141:J141"/>
    <mergeCell ref="B142:J142"/>
    <mergeCell ref="C135:H135"/>
    <mergeCell ref="C136:H136"/>
    <mergeCell ref="C137:H137"/>
    <mergeCell ref="B133:J133"/>
    <mergeCell ref="B2:J2"/>
    <mergeCell ref="B3:J4"/>
    <mergeCell ref="B5:J5"/>
    <mergeCell ref="B6:J6"/>
    <mergeCell ref="K117:M117"/>
    <mergeCell ref="N117:P117"/>
    <mergeCell ref="B118:J118"/>
    <mergeCell ref="C125:J125"/>
    <mergeCell ref="B126:J126"/>
    <mergeCell ref="C97:G97"/>
    <mergeCell ref="C98:G98"/>
    <mergeCell ref="C93:G93"/>
    <mergeCell ref="C94:G94"/>
    <mergeCell ref="C95:G95"/>
    <mergeCell ref="C90:G90"/>
    <mergeCell ref="C91:G91"/>
    <mergeCell ref="C92:G92"/>
    <mergeCell ref="C87:G87"/>
    <mergeCell ref="C88:G88"/>
    <mergeCell ref="C89:G89"/>
    <mergeCell ref="C84:G84"/>
    <mergeCell ref="C85:G85"/>
    <mergeCell ref="C86:G86"/>
    <mergeCell ref="C81:G81"/>
    <mergeCell ref="C120:G120"/>
    <mergeCell ref="C108:G108"/>
    <mergeCell ref="B116:J116"/>
    <mergeCell ref="B117:J117"/>
    <mergeCell ref="C105:G105"/>
    <mergeCell ref="C106:G106"/>
    <mergeCell ref="C107:G107"/>
    <mergeCell ref="C102:G102"/>
    <mergeCell ref="C103:G103"/>
    <mergeCell ref="C104:G104"/>
    <mergeCell ref="K3:P3"/>
    <mergeCell ref="C109:J109"/>
    <mergeCell ref="B110:J110"/>
    <mergeCell ref="B111:J111"/>
    <mergeCell ref="B112:J112"/>
    <mergeCell ref="B113:J113"/>
    <mergeCell ref="B114:J114"/>
    <mergeCell ref="B115:J115"/>
    <mergeCell ref="C119:G119"/>
    <mergeCell ref="C99:G99"/>
    <mergeCell ref="C100:G100"/>
    <mergeCell ref="C101:G101"/>
    <mergeCell ref="C96:G96"/>
    <mergeCell ref="C82:G82"/>
    <mergeCell ref="C83:G83"/>
    <mergeCell ref="C78:G78"/>
    <mergeCell ref="C79:G79"/>
    <mergeCell ref="C80:G80"/>
    <mergeCell ref="C75:G75"/>
    <mergeCell ref="C76:G76"/>
    <mergeCell ref="C77:G77"/>
    <mergeCell ref="C72:G72"/>
    <mergeCell ref="C73:G73"/>
    <mergeCell ref="C74:G74"/>
    <mergeCell ref="B128:J128"/>
    <mergeCell ref="B129:J129"/>
    <mergeCell ref="B130:J130"/>
    <mergeCell ref="B131:J131"/>
    <mergeCell ref="C121:G121"/>
    <mergeCell ref="C122:G122"/>
    <mergeCell ref="C123:G123"/>
    <mergeCell ref="C124:G124"/>
    <mergeCell ref="B132:J132"/>
    <mergeCell ref="B127:J127"/>
    <mergeCell ref="C69:G69"/>
    <mergeCell ref="C70:G70"/>
    <mergeCell ref="C71:G71"/>
    <mergeCell ref="C66:G66"/>
    <mergeCell ref="C67:G67"/>
    <mergeCell ref="C68:G68"/>
    <mergeCell ref="C63:G63"/>
    <mergeCell ref="C64:G64"/>
    <mergeCell ref="C65:G65"/>
    <mergeCell ref="C60:G60"/>
    <mergeCell ref="C61:G61"/>
    <mergeCell ref="C62:G62"/>
    <mergeCell ref="C57:G57"/>
    <mergeCell ref="C58:G58"/>
    <mergeCell ref="C59:G59"/>
    <mergeCell ref="C54:G54"/>
    <mergeCell ref="C55:G55"/>
    <mergeCell ref="C56:G56"/>
    <mergeCell ref="C51:G51"/>
    <mergeCell ref="C52:G52"/>
    <mergeCell ref="C53:G53"/>
    <mergeCell ref="C48:G48"/>
    <mergeCell ref="C49:G49"/>
    <mergeCell ref="C50:G50"/>
    <mergeCell ref="C45:G45"/>
    <mergeCell ref="C46:G46"/>
    <mergeCell ref="C47:G47"/>
    <mergeCell ref="C42:G42"/>
    <mergeCell ref="C43:G43"/>
    <mergeCell ref="C44:G44"/>
    <mergeCell ref="C39:G39"/>
    <mergeCell ref="C40:G40"/>
    <mergeCell ref="C41:G41"/>
    <mergeCell ref="C36:G36"/>
    <mergeCell ref="C37:G37"/>
    <mergeCell ref="C38:G38"/>
    <mergeCell ref="C33:G33"/>
    <mergeCell ref="C34:G34"/>
    <mergeCell ref="C35:G35"/>
    <mergeCell ref="C30:G30"/>
    <mergeCell ref="C31:G31"/>
    <mergeCell ref="C32:G32"/>
    <mergeCell ref="C27:G27"/>
    <mergeCell ref="C28:G28"/>
    <mergeCell ref="C29:G29"/>
    <mergeCell ref="C24:G24"/>
    <mergeCell ref="C25:G25"/>
    <mergeCell ref="C26:G26"/>
    <mergeCell ref="C21:G21"/>
    <mergeCell ref="C22:G22"/>
    <mergeCell ref="C23:G23"/>
    <mergeCell ref="C18:G18"/>
    <mergeCell ref="C19:G19"/>
    <mergeCell ref="C20:G20"/>
    <mergeCell ref="B7:G7"/>
    <mergeCell ref="C8:G8"/>
    <mergeCell ref="C15:G15"/>
    <mergeCell ref="C16:G16"/>
    <mergeCell ref="C17:G17"/>
    <mergeCell ref="C12:G12"/>
    <mergeCell ref="C13:G13"/>
    <mergeCell ref="C14:G14"/>
    <mergeCell ref="C9:G9"/>
    <mergeCell ref="C10:G10"/>
    <mergeCell ref="C11:G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tabColor theme="2" tint="-0.89999084444715716"/>
  </sheetPr>
  <dimension ref="A2:AX312"/>
  <sheetViews>
    <sheetView topLeftCell="M1" zoomScale="84" zoomScaleNormal="110" workbookViewId="0">
      <selection activeCell="AB90" sqref="AB90"/>
    </sheetView>
  </sheetViews>
  <sheetFormatPr defaultColWidth="9.140625" defaultRowHeight="12.75" x14ac:dyDescent="0.2"/>
  <cols>
    <col min="1" max="1" width="5.42578125" style="26" customWidth="1"/>
    <col min="2" max="2" width="18.85546875" style="26" bestFit="1" customWidth="1"/>
    <col min="3" max="3" width="6.42578125" style="26" customWidth="1"/>
    <col min="4" max="4" width="6.42578125" style="26" bestFit="1" customWidth="1"/>
    <col min="5" max="6" width="9.42578125" style="26" bestFit="1" customWidth="1"/>
    <col min="7" max="7" width="9.140625" style="27"/>
    <col min="8" max="8" width="19.42578125" style="26" bestFit="1" customWidth="1"/>
    <col min="9" max="9" width="14.42578125" style="26" bestFit="1" customWidth="1"/>
    <col min="10" max="10" width="17.140625" style="26" bestFit="1" customWidth="1"/>
    <col min="11" max="12" width="8.42578125" style="26" bestFit="1" customWidth="1"/>
    <col min="13" max="13" width="9.42578125" style="26" bestFit="1" customWidth="1"/>
    <col min="14" max="14" width="9" style="26" bestFit="1" customWidth="1"/>
    <col min="15" max="16" width="8.42578125" style="26" customWidth="1"/>
    <col min="17" max="17" width="9.140625" style="27"/>
    <col min="18" max="18" width="8.42578125" style="26" customWidth="1"/>
    <col min="19" max="20" width="8.42578125" style="26" bestFit="1" customWidth="1"/>
    <col min="21" max="21" width="18.85546875" style="26" bestFit="1" customWidth="1"/>
    <col min="22" max="22" width="9.28515625" style="26" bestFit="1" customWidth="1"/>
    <col min="23" max="23" width="8.42578125" style="26" customWidth="1"/>
    <col min="24" max="24" width="9.42578125" style="26" bestFit="1" customWidth="1"/>
    <col min="25" max="25" width="7.42578125" style="26" bestFit="1" customWidth="1"/>
    <col min="26" max="27" width="10.42578125" style="26" bestFit="1" customWidth="1"/>
    <col min="28" max="28" width="46.42578125" style="26" bestFit="1" customWidth="1"/>
    <col min="29" max="29" width="9.140625" style="26"/>
    <col min="30" max="30" width="15.42578125" style="26" bestFit="1" customWidth="1"/>
    <col min="31" max="31" width="9.140625" style="26"/>
    <col min="32" max="32" width="4" style="26" bestFit="1" customWidth="1"/>
    <col min="33" max="33" width="35.42578125" style="26" bestFit="1" customWidth="1"/>
    <col min="34" max="34" width="4" style="26" bestFit="1" customWidth="1"/>
    <col min="35" max="36" width="9.140625" style="27"/>
    <col min="37" max="40" width="8.42578125" style="26" bestFit="1" customWidth="1"/>
    <col min="41" max="41" width="17.85546875" style="26" bestFit="1" customWidth="1"/>
    <col min="42" max="42" width="21.42578125" style="26" customWidth="1"/>
    <col min="43" max="43" width="11.42578125" style="26" bestFit="1" customWidth="1"/>
    <col min="44" max="44" width="10.140625" style="26" bestFit="1" customWidth="1"/>
    <col min="45" max="45" width="11.42578125" style="26" bestFit="1" customWidth="1"/>
    <col min="46" max="46" width="8.42578125" style="26" bestFit="1" customWidth="1"/>
    <col min="47" max="47" width="15.42578125" style="26" bestFit="1" customWidth="1"/>
    <col min="48" max="48" width="8.42578125" style="26" bestFit="1" customWidth="1"/>
    <col min="49" max="16384" width="9.140625" style="26"/>
  </cols>
  <sheetData>
    <row r="2" spans="1:50" ht="90" hidden="1" x14ac:dyDescent="0.2">
      <c r="B2" s="693" t="s">
        <v>1053</v>
      </c>
      <c r="C2" s="694" t="s">
        <v>907</v>
      </c>
      <c r="D2" s="694" t="s">
        <v>1054</v>
      </c>
      <c r="E2" s="694" t="s">
        <v>1055</v>
      </c>
      <c r="F2" s="694" t="s">
        <v>1056</v>
      </c>
      <c r="G2" s="694" t="s">
        <v>1057</v>
      </c>
      <c r="H2" s="694" t="s">
        <v>1058</v>
      </c>
      <c r="I2" s="694" t="s">
        <v>1059</v>
      </c>
      <c r="J2" s="694" t="s">
        <v>1046</v>
      </c>
      <c r="K2" s="694" t="s">
        <v>1047</v>
      </c>
      <c r="L2" s="694" t="s">
        <v>1064</v>
      </c>
      <c r="M2" s="694" t="s">
        <v>1065</v>
      </c>
      <c r="N2" s="694" t="s">
        <v>1066</v>
      </c>
      <c r="O2" s="694" t="s">
        <v>1048</v>
      </c>
      <c r="P2" s="694" t="s">
        <v>1049</v>
      </c>
      <c r="Q2" s="694" t="s">
        <v>1050</v>
      </c>
      <c r="R2" s="694" t="s">
        <v>1051</v>
      </c>
      <c r="S2" s="694" t="s">
        <v>1052</v>
      </c>
    </row>
    <row r="3" spans="1:50" ht="15" x14ac:dyDescent="0.2">
      <c r="B3" s="695" t="str">
        <f>VLOOKUP(Apresentação!M4,Apoio!A13:F21,2,FALSE)</f>
        <v>Poder Público</v>
      </c>
      <c r="C3" s="696" t="str">
        <f>VLOOKUP(Apresentação!E15,Apoio!A47:F49,2,FALSE)</f>
        <v>Fundo Perdido</v>
      </c>
      <c r="D3" s="697">
        <f>IndFinanceiro!F8</f>
        <v>0</v>
      </c>
      <c r="E3" s="697">
        <f>IndFinanceiro!F10</f>
        <v>0</v>
      </c>
      <c r="F3" s="697">
        <f>IndFinanceiro!F12</f>
        <v>0</v>
      </c>
      <c r="G3" s="697">
        <f>IndFinanceiro!L8</f>
        <v>0</v>
      </c>
      <c r="H3" s="697">
        <f>IndFinanceiro!L10</f>
        <v>0</v>
      </c>
      <c r="I3" s="697">
        <f>IndFinanceiro!L12</f>
        <v>0</v>
      </c>
      <c r="J3" s="697">
        <f>'Custo Contábil'!D20</f>
        <v>199998</v>
      </c>
      <c r="K3" s="697">
        <f>'Custo Contábil'!F20</f>
        <v>199998.00000000003</v>
      </c>
      <c r="L3" s="698">
        <f>RCB!F13</f>
        <v>39731.701617752129</v>
      </c>
      <c r="M3" s="698">
        <f>RCB!E13</f>
        <v>22083.15</v>
      </c>
      <c r="N3" s="697">
        <f>'Custo Contábil'!F7</f>
        <v>98088.05</v>
      </c>
      <c r="O3" s="698">
        <f>Treinamento!K15</f>
        <v>9999</v>
      </c>
      <c r="P3" s="698">
        <f>Marketing!K15</f>
        <v>5000</v>
      </c>
      <c r="Q3" s="698">
        <f>Treinamento!K28</f>
        <v>0</v>
      </c>
      <c r="R3" s="699">
        <f>RCB!C13</f>
        <v>63.967917</v>
      </c>
      <c r="S3" s="699">
        <f>RCB!D13</f>
        <v>0.54399999999999993</v>
      </c>
    </row>
    <row r="5" spans="1:50" x14ac:dyDescent="0.2">
      <c r="V5" s="705"/>
      <c r="W5" s="705"/>
      <c r="X5" s="705"/>
      <c r="Y5" s="705"/>
      <c r="AD5" s="28"/>
      <c r="AE5" s="28"/>
      <c r="AF5" s="28"/>
      <c r="AG5" s="28"/>
      <c r="AH5" s="28"/>
    </row>
    <row r="6" spans="1:50" x14ac:dyDescent="0.2">
      <c r="B6" s="889" t="s">
        <v>169</v>
      </c>
      <c r="C6" s="890"/>
      <c r="D6" s="890"/>
      <c r="E6" s="890"/>
      <c r="F6" s="891"/>
      <c r="G6" s="29"/>
      <c r="H6" s="889" t="s">
        <v>129</v>
      </c>
      <c r="I6" s="890"/>
      <c r="J6" s="890"/>
      <c r="K6" s="890"/>
      <c r="L6" s="890"/>
      <c r="M6" s="890"/>
      <c r="N6" s="890"/>
      <c r="O6" s="890"/>
      <c r="P6" s="891"/>
      <c r="Q6" s="28"/>
      <c r="R6" s="28"/>
      <c r="S6" s="28"/>
      <c r="T6" s="28" t="s">
        <v>127</v>
      </c>
      <c r="U6" s="30" t="s">
        <v>126</v>
      </c>
      <c r="V6" s="475" t="s">
        <v>184</v>
      </c>
      <c r="W6" s="475" t="s">
        <v>185</v>
      </c>
      <c r="X6" s="475" t="s">
        <v>186</v>
      </c>
      <c r="Y6" s="475" t="s">
        <v>187</v>
      </c>
      <c r="Z6" s="28"/>
      <c r="AA6" s="28"/>
      <c r="AB6" s="28"/>
      <c r="AC6" s="28"/>
      <c r="AD6" s="906" t="s">
        <v>128</v>
      </c>
      <c r="AE6" s="28"/>
      <c r="AF6" s="905" t="s">
        <v>1080</v>
      </c>
      <c r="AG6" s="905"/>
      <c r="AH6" s="905"/>
      <c r="AI6" s="28"/>
      <c r="AJ6" s="28"/>
      <c r="AK6" s="28" t="s">
        <v>127</v>
      </c>
      <c r="AL6" s="28" t="s">
        <v>126</v>
      </c>
      <c r="AM6" s="28" t="s">
        <v>155</v>
      </c>
      <c r="AN6" s="28" t="s">
        <v>157</v>
      </c>
      <c r="AO6" s="28" t="s">
        <v>156</v>
      </c>
      <c r="AP6" s="28" t="s">
        <v>159</v>
      </c>
      <c r="AQ6" s="28" t="s">
        <v>158</v>
      </c>
      <c r="AR6" s="28" t="s">
        <v>201</v>
      </c>
      <c r="AS6" s="28" t="s">
        <v>202</v>
      </c>
      <c r="AT6" s="28"/>
      <c r="AU6" s="28"/>
      <c r="AV6" s="28"/>
    </row>
    <row r="7" spans="1:50" x14ac:dyDescent="0.2">
      <c r="B7" s="892" t="s">
        <v>194</v>
      </c>
      <c r="C7" s="893"/>
      <c r="D7" s="893"/>
      <c r="E7" s="893"/>
      <c r="F7" s="894"/>
      <c r="G7" s="29"/>
      <c r="H7" s="907" t="s">
        <v>84</v>
      </c>
      <c r="I7" s="907" t="s">
        <v>85</v>
      </c>
      <c r="J7" s="907" t="s">
        <v>86</v>
      </c>
      <c r="K7" s="907" t="s">
        <v>87</v>
      </c>
      <c r="L7" s="907" t="s">
        <v>88</v>
      </c>
      <c r="M7" s="907" t="s">
        <v>89</v>
      </c>
      <c r="N7" s="907" t="s">
        <v>90</v>
      </c>
      <c r="O7" s="907" t="s">
        <v>182</v>
      </c>
      <c r="P7" s="907" t="s">
        <v>183</v>
      </c>
      <c r="Q7" s="28"/>
      <c r="R7" s="28"/>
      <c r="S7" s="28"/>
      <c r="T7" s="28">
        <f>Apresentação!E7</f>
        <v>9</v>
      </c>
      <c r="U7" s="28">
        <f>Apresentação!E18</f>
        <v>6</v>
      </c>
      <c r="V7" s="475">
        <f>IFERROR(DGET($R$11:$Y$121,V6,$T$6:$U$7),0)</f>
        <v>66.69</v>
      </c>
      <c r="W7" s="473">
        <f>IFERROR(DGET($R$11:$Y$121,W6,$T$6:$U$7),0)</f>
        <v>24.16</v>
      </c>
      <c r="X7" s="473">
        <f>IFERROR(DGET($R$11:$Y$121,X6,$T$6:$U$7),0)</f>
        <v>418.69</v>
      </c>
      <c r="Y7" s="473">
        <f>IFERROR(DGET($R$11:$Y$121,Y6,$T$6:$U$7),0)</f>
        <v>291.22000000000003</v>
      </c>
      <c r="Z7" s="28"/>
      <c r="AA7" s="28"/>
      <c r="AB7" s="28"/>
      <c r="AC7" s="28"/>
      <c r="AD7" s="906"/>
      <c r="AE7" s="28"/>
      <c r="AF7" s="31">
        <v>1</v>
      </c>
      <c r="AG7" s="32" t="s">
        <v>164</v>
      </c>
      <c r="AH7" s="31">
        <v>0</v>
      </c>
      <c r="AI7" s="28"/>
      <c r="AJ7" s="28"/>
      <c r="AK7" s="28">
        <f>Apresentação!E7</f>
        <v>9</v>
      </c>
      <c r="AL7" s="28">
        <f>IF(Apresentação!E17=6,3,Apresentação!E17)</f>
        <v>4</v>
      </c>
      <c r="AM7" s="28">
        <f>Apresentação!E18</f>
        <v>6</v>
      </c>
      <c r="AN7" s="28">
        <f t="shared" ref="AN7:AS7" si="0">IFERROR(DGET($AL$12:$AV$222,AN6,$AK$6:$AM$7),0)</f>
        <v>0</v>
      </c>
      <c r="AO7" s="28">
        <f t="shared" si="0"/>
        <v>0</v>
      </c>
      <c r="AP7" s="28">
        <f t="shared" si="0"/>
        <v>0</v>
      </c>
      <c r="AQ7" s="28">
        <f t="shared" si="0"/>
        <v>0</v>
      </c>
      <c r="AR7" s="28">
        <f t="shared" si="0"/>
        <v>0</v>
      </c>
      <c r="AS7" s="28">
        <f t="shared" si="0"/>
        <v>0</v>
      </c>
      <c r="AT7" s="28"/>
      <c r="AU7" s="28"/>
      <c r="AV7" s="28"/>
    </row>
    <row r="8" spans="1:50" x14ac:dyDescent="0.2">
      <c r="B8" s="892" t="s">
        <v>170</v>
      </c>
      <c r="C8" s="893"/>
      <c r="D8" s="893"/>
      <c r="E8" s="893"/>
      <c r="F8" s="894"/>
      <c r="G8" s="29"/>
      <c r="H8" s="907"/>
      <c r="I8" s="907"/>
      <c r="J8" s="907"/>
      <c r="K8" s="907"/>
      <c r="L8" s="907"/>
      <c r="M8" s="907"/>
      <c r="N8" s="907"/>
      <c r="O8" s="904"/>
      <c r="P8" s="907" t="s">
        <v>183</v>
      </c>
      <c r="Q8" s="28"/>
      <c r="R8" s="28"/>
      <c r="S8" s="28"/>
      <c r="T8" s="28"/>
      <c r="U8" s="28"/>
      <c r="V8" s="33"/>
      <c r="W8" s="33"/>
      <c r="X8" s="33"/>
      <c r="Y8" s="33"/>
      <c r="Z8" s="28"/>
      <c r="AA8" s="28"/>
      <c r="AB8" s="28"/>
      <c r="AC8" s="28"/>
      <c r="AD8" s="906"/>
      <c r="AE8" s="28"/>
      <c r="AF8" s="31">
        <v>2</v>
      </c>
      <c r="AG8" s="32" t="s">
        <v>165</v>
      </c>
      <c r="AH8" s="31">
        <v>0</v>
      </c>
      <c r="AI8" s="28"/>
      <c r="AJ8" s="28"/>
      <c r="AK8" s="28"/>
      <c r="AL8" s="28"/>
      <c r="AM8" s="28"/>
      <c r="AN8" s="34"/>
      <c r="AO8" s="34"/>
      <c r="AP8" s="34"/>
      <c r="AQ8" s="34"/>
      <c r="AR8" s="34"/>
      <c r="AS8" s="34"/>
      <c r="AT8" s="28"/>
      <c r="AU8" s="28"/>
      <c r="AV8" s="28"/>
    </row>
    <row r="9" spans="1:50" x14ac:dyDescent="0.2">
      <c r="B9" s="892" t="s">
        <v>171</v>
      </c>
      <c r="C9" s="893"/>
      <c r="D9" s="893"/>
      <c r="E9" s="893"/>
      <c r="F9" s="894"/>
      <c r="G9" s="29"/>
      <c r="H9" s="720">
        <v>0.1</v>
      </c>
      <c r="I9" s="722">
        <v>0.1444</v>
      </c>
      <c r="J9" s="722">
        <v>0.20585999999999999</v>
      </c>
      <c r="K9" s="722">
        <v>0.23139000000000001</v>
      </c>
      <c r="L9" s="722">
        <v>0.16197</v>
      </c>
      <c r="M9" s="722">
        <v>-0.1099</v>
      </c>
      <c r="N9" s="722">
        <v>-7.7600000000000002E-2</v>
      </c>
      <c r="O9" s="722">
        <f>(7*K9+5*L9)/12</f>
        <v>0.20246500000000001</v>
      </c>
      <c r="P9" s="722">
        <f>(7*M9+5*N9)/12</f>
        <v>-9.6441666666666662E-2</v>
      </c>
      <c r="Q9" s="28"/>
      <c r="R9" s="909" t="s">
        <v>188</v>
      </c>
      <c r="S9" s="909"/>
      <c r="T9" s="909"/>
      <c r="U9" s="909"/>
      <c r="V9" s="909"/>
      <c r="W9" s="909"/>
      <c r="X9" s="909"/>
      <c r="Y9" s="909"/>
      <c r="Z9" s="909"/>
      <c r="AA9" s="909"/>
      <c r="AB9" s="909"/>
      <c r="AC9" s="28"/>
      <c r="AD9" s="906"/>
      <c r="AE9" s="28"/>
      <c r="AF9" s="31">
        <v>3</v>
      </c>
      <c r="AG9" s="32" t="s">
        <v>1109</v>
      </c>
      <c r="AH9" s="31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</row>
    <row r="10" spans="1:50" x14ac:dyDescent="0.2">
      <c r="B10" s="29"/>
      <c r="C10" s="29"/>
      <c r="D10" s="29"/>
      <c r="E10" s="35"/>
      <c r="F10" s="29"/>
      <c r="G10" s="29"/>
      <c r="H10" s="720">
        <v>0.15</v>
      </c>
      <c r="I10" s="722">
        <v>0.1681</v>
      </c>
      <c r="J10" s="722">
        <v>0.36464000000000002</v>
      </c>
      <c r="K10" s="722">
        <v>0.24102000000000001</v>
      </c>
      <c r="L10" s="722">
        <v>0.16871</v>
      </c>
      <c r="M10" s="722">
        <v>-2.6429999999999999E-2</v>
      </c>
      <c r="N10" s="722">
        <v>-1.8669999999999999E-2</v>
      </c>
      <c r="O10" s="722">
        <f t="shared" ref="O10:O25" si="1">(7*K10+5*L10)/12</f>
        <v>0.21089083333333333</v>
      </c>
      <c r="P10" s="722">
        <f t="shared" ref="P10:P25" si="2">(7*M10+5*N10)/12</f>
        <v>-2.3196666666666661E-2</v>
      </c>
      <c r="Q10" s="36"/>
      <c r="R10" s="37" t="s">
        <v>127</v>
      </c>
      <c r="S10" s="37" t="s">
        <v>126</v>
      </c>
      <c r="T10" s="37"/>
      <c r="U10" s="37"/>
      <c r="V10" s="908" t="s">
        <v>189</v>
      </c>
      <c r="W10" s="908"/>
      <c r="X10" s="908" t="s">
        <v>190</v>
      </c>
      <c r="Y10" s="908"/>
      <c r="Z10" s="908" t="s">
        <v>92</v>
      </c>
      <c r="AA10" s="908"/>
      <c r="AB10" s="908" t="s">
        <v>93</v>
      </c>
      <c r="AC10" s="28"/>
      <c r="AD10" s="38" t="s">
        <v>192</v>
      </c>
      <c r="AE10" s="28"/>
      <c r="AF10" s="31">
        <v>4</v>
      </c>
      <c r="AG10" s="32" t="s">
        <v>1110</v>
      </c>
      <c r="AH10" s="31">
        <v>0</v>
      </c>
      <c r="AI10" s="28"/>
      <c r="AJ10" s="28"/>
      <c r="AK10" s="39" t="s">
        <v>91</v>
      </c>
      <c r="AL10" s="39" t="s">
        <v>127</v>
      </c>
      <c r="AM10" s="39" t="s">
        <v>126</v>
      </c>
      <c r="AN10" s="39" t="s">
        <v>155</v>
      </c>
      <c r="AO10" s="39" t="s">
        <v>149</v>
      </c>
      <c r="AP10" s="39" t="s">
        <v>125</v>
      </c>
      <c r="AQ10" s="898" t="s">
        <v>198</v>
      </c>
      <c r="AR10" s="900"/>
      <c r="AS10" s="898" t="s">
        <v>148</v>
      </c>
      <c r="AT10" s="899"/>
      <c r="AU10" s="899"/>
      <c r="AV10" s="900"/>
    </row>
    <row r="11" spans="1:50" x14ac:dyDescent="0.2">
      <c r="B11" s="29"/>
      <c r="C11" s="29"/>
      <c r="D11" s="29"/>
      <c r="E11" s="35"/>
      <c r="F11" s="29"/>
      <c r="G11" s="28"/>
      <c r="H11" s="720">
        <v>0.2</v>
      </c>
      <c r="I11" s="722">
        <v>0.19359999999999999</v>
      </c>
      <c r="J11" s="722">
        <v>0.56064000000000003</v>
      </c>
      <c r="K11" s="722">
        <v>0.25119000000000002</v>
      </c>
      <c r="L11" s="722">
        <v>0.17582999999999999</v>
      </c>
      <c r="M11" s="722">
        <v>7.8320000000000001E-2</v>
      </c>
      <c r="N11" s="722">
        <v>5.5300000000000002E-2</v>
      </c>
      <c r="O11" s="722">
        <f t="shared" si="1"/>
        <v>0.21979000000000001</v>
      </c>
      <c r="P11" s="722">
        <f t="shared" si="2"/>
        <v>6.8728333333333336E-2</v>
      </c>
      <c r="Q11" s="36"/>
      <c r="R11" s="40" t="s">
        <v>127</v>
      </c>
      <c r="S11" s="40" t="s">
        <v>126</v>
      </c>
      <c r="T11" s="41" t="s">
        <v>91</v>
      </c>
      <c r="U11" s="41" t="s">
        <v>125</v>
      </c>
      <c r="V11" s="478" t="s">
        <v>184</v>
      </c>
      <c r="W11" s="476" t="s">
        <v>185</v>
      </c>
      <c r="X11" s="476" t="s">
        <v>186</v>
      </c>
      <c r="Y11" s="476" t="s">
        <v>187</v>
      </c>
      <c r="Z11" s="42" t="s">
        <v>94</v>
      </c>
      <c r="AA11" s="42" t="s">
        <v>95</v>
      </c>
      <c r="AB11" s="908"/>
      <c r="AC11" s="28"/>
      <c r="AD11" s="38"/>
      <c r="AE11" s="28"/>
      <c r="AF11" s="31">
        <v>5</v>
      </c>
      <c r="AG11" s="32" t="s">
        <v>1111</v>
      </c>
      <c r="AH11" s="31">
        <v>0</v>
      </c>
      <c r="AI11" s="28"/>
      <c r="AJ11" s="28"/>
      <c r="AK11" s="43"/>
      <c r="AL11" s="43"/>
      <c r="AM11" s="43"/>
      <c r="AN11" s="43"/>
      <c r="AO11" s="43"/>
      <c r="AP11" s="43"/>
      <c r="AQ11" s="901" t="s">
        <v>197</v>
      </c>
      <c r="AR11" s="902"/>
      <c r="AS11" s="44" t="s">
        <v>199</v>
      </c>
      <c r="AT11" s="45" t="s">
        <v>200</v>
      </c>
      <c r="AU11" s="44" t="s">
        <v>199</v>
      </c>
      <c r="AV11" s="45" t="s">
        <v>200</v>
      </c>
    </row>
    <row r="12" spans="1:50" x14ac:dyDescent="0.2">
      <c r="B12" s="889" t="s">
        <v>100</v>
      </c>
      <c r="C12" s="890"/>
      <c r="D12" s="890"/>
      <c r="E12" s="890"/>
      <c r="F12" s="891"/>
      <c r="G12" s="28"/>
      <c r="H12" s="720">
        <v>0.25</v>
      </c>
      <c r="I12" s="722">
        <v>0.22090000000000001</v>
      </c>
      <c r="J12" s="722">
        <v>0.79388000000000003</v>
      </c>
      <c r="K12" s="722">
        <v>0.26190000000000002</v>
      </c>
      <c r="L12" s="722">
        <v>0.18332999999999999</v>
      </c>
      <c r="M12" s="722">
        <v>0.20435</v>
      </c>
      <c r="N12" s="722">
        <v>0.14430000000000001</v>
      </c>
      <c r="O12" s="722">
        <f t="shared" si="1"/>
        <v>0.22916250000000002</v>
      </c>
      <c r="P12" s="722">
        <f t="shared" si="2"/>
        <v>0.17932916666666668</v>
      </c>
      <c r="Q12" s="36"/>
      <c r="R12" s="46">
        <v>2</v>
      </c>
      <c r="S12" s="46">
        <v>2</v>
      </c>
      <c r="T12" s="886">
        <v>2015</v>
      </c>
      <c r="U12" s="47" t="s">
        <v>162</v>
      </c>
      <c r="V12" s="479">
        <f>AQ21</f>
        <v>0</v>
      </c>
      <c r="W12" s="479">
        <f>AR21</f>
        <v>0</v>
      </c>
      <c r="X12" s="479">
        <f>AW21</f>
        <v>0</v>
      </c>
      <c r="Y12" s="479">
        <f>AX21</f>
        <v>0</v>
      </c>
      <c r="Z12" s="895">
        <v>42129</v>
      </c>
      <c r="AA12" s="895">
        <v>42495</v>
      </c>
      <c r="AB12" s="48" t="s">
        <v>1106</v>
      </c>
      <c r="AC12" s="28"/>
      <c r="AD12" s="38">
        <v>2016</v>
      </c>
      <c r="AE12" s="28"/>
      <c r="AF12" s="31">
        <v>6</v>
      </c>
      <c r="AG12" s="32" t="s">
        <v>1112</v>
      </c>
      <c r="AH12" s="31">
        <v>0</v>
      </c>
      <c r="AI12" s="28"/>
      <c r="AJ12" s="28"/>
      <c r="AK12" s="49" t="s">
        <v>91</v>
      </c>
      <c r="AL12" s="49" t="s">
        <v>127</v>
      </c>
      <c r="AM12" s="49" t="s">
        <v>126</v>
      </c>
      <c r="AN12" s="49" t="s">
        <v>155</v>
      </c>
      <c r="AO12" s="49" t="s">
        <v>149</v>
      </c>
      <c r="AP12" s="49" t="s">
        <v>125</v>
      </c>
      <c r="AQ12" s="49" t="s">
        <v>159</v>
      </c>
      <c r="AR12" s="49" t="s">
        <v>158</v>
      </c>
      <c r="AS12" s="50" t="s">
        <v>201</v>
      </c>
      <c r="AT12" s="50" t="s">
        <v>157</v>
      </c>
      <c r="AU12" s="50" t="s">
        <v>202</v>
      </c>
      <c r="AV12" s="50" t="s">
        <v>156</v>
      </c>
      <c r="AW12" s="706" t="s">
        <v>157</v>
      </c>
      <c r="AX12" s="706" t="s">
        <v>156</v>
      </c>
    </row>
    <row r="13" spans="1:50" ht="12.75" customHeight="1" x14ac:dyDescent="0.2">
      <c r="A13" s="26">
        <v>1</v>
      </c>
      <c r="B13" s="892" t="s">
        <v>193</v>
      </c>
      <c r="C13" s="893"/>
      <c r="D13" s="893"/>
      <c r="E13" s="893"/>
      <c r="F13" s="894"/>
      <c r="G13" s="28"/>
      <c r="H13" s="721">
        <v>0.3</v>
      </c>
      <c r="I13" s="723">
        <v>0.25</v>
      </c>
      <c r="J13" s="723">
        <v>1.0643400000000001</v>
      </c>
      <c r="K13" s="723">
        <v>0.27315</v>
      </c>
      <c r="L13" s="723">
        <v>0.19120999999999999</v>
      </c>
      <c r="M13" s="723">
        <v>0.35165999999999997</v>
      </c>
      <c r="N13" s="723">
        <v>0.24832000000000001</v>
      </c>
      <c r="O13" s="723">
        <f t="shared" si="1"/>
        <v>0.23900833333333335</v>
      </c>
      <c r="P13" s="723">
        <f t="shared" si="2"/>
        <v>0.30860166666666666</v>
      </c>
      <c r="Q13" s="36"/>
      <c r="R13" s="46">
        <v>2</v>
      </c>
      <c r="S13" s="46">
        <v>3</v>
      </c>
      <c r="T13" s="887"/>
      <c r="U13" s="47" t="s">
        <v>123</v>
      </c>
      <c r="V13" s="479">
        <f t="shared" ref="V13:W16" si="3">AQ22</f>
        <v>0</v>
      </c>
      <c r="W13" s="479">
        <f t="shared" si="3"/>
        <v>0</v>
      </c>
      <c r="X13" s="479">
        <f t="shared" ref="X13:Y15" si="4">AW22</f>
        <v>0</v>
      </c>
      <c r="Y13" s="479">
        <f t="shared" si="4"/>
        <v>0</v>
      </c>
      <c r="Z13" s="903"/>
      <c r="AA13" s="903"/>
      <c r="AB13" s="48" t="str">
        <f>AB12</f>
        <v>Resolução ANEEL Nº 2.117 de 02 de Agosto de 2016</v>
      </c>
      <c r="AC13" s="28"/>
      <c r="AD13" s="38">
        <v>2017</v>
      </c>
      <c r="AE13" s="28"/>
      <c r="AF13" s="31">
        <v>7</v>
      </c>
      <c r="AG13" s="32" t="s">
        <v>1113</v>
      </c>
      <c r="AH13" s="31">
        <v>0</v>
      </c>
      <c r="AI13" s="28"/>
      <c r="AJ13" s="28"/>
      <c r="AK13" s="882">
        <v>2015</v>
      </c>
      <c r="AL13" s="486">
        <v>2</v>
      </c>
      <c r="AM13" s="51">
        <v>2</v>
      </c>
      <c r="AN13" s="52">
        <v>5</v>
      </c>
      <c r="AO13" s="879" t="s">
        <v>153</v>
      </c>
      <c r="AP13" s="47" t="s">
        <v>121</v>
      </c>
      <c r="AQ13" s="53">
        <v>0</v>
      </c>
      <c r="AR13" s="53">
        <v>0</v>
      </c>
      <c r="AS13" s="53">
        <v>0</v>
      </c>
      <c r="AT13" s="53">
        <v>0</v>
      </c>
      <c r="AU13" s="53">
        <v>0</v>
      </c>
      <c r="AV13" s="53">
        <v>0</v>
      </c>
      <c r="AW13" s="477">
        <f>AS13+AT13</f>
        <v>0</v>
      </c>
      <c r="AX13" s="477">
        <f>AU13+AV13</f>
        <v>0</v>
      </c>
    </row>
    <row r="14" spans="1:50" ht="12.75" customHeight="1" x14ac:dyDescent="0.2">
      <c r="A14" s="26">
        <v>2</v>
      </c>
      <c r="B14" s="892" t="s">
        <v>1102</v>
      </c>
      <c r="C14" s="893"/>
      <c r="D14" s="893"/>
      <c r="E14" s="893"/>
      <c r="F14" s="894"/>
      <c r="G14" s="28"/>
      <c r="H14" s="721">
        <v>0.35</v>
      </c>
      <c r="I14" s="723">
        <v>0.28089999999999998</v>
      </c>
      <c r="J14" s="723">
        <v>1.3720399999999999</v>
      </c>
      <c r="K14" s="723">
        <v>0.28494000000000003</v>
      </c>
      <c r="L14" s="723">
        <v>0.19946</v>
      </c>
      <c r="M14" s="723">
        <v>0.52025999999999994</v>
      </c>
      <c r="N14" s="723">
        <v>0.36737999999999998</v>
      </c>
      <c r="O14" s="723">
        <f t="shared" si="1"/>
        <v>0.24932333333333334</v>
      </c>
      <c r="P14" s="723">
        <f t="shared" si="2"/>
        <v>0.45655999999999991</v>
      </c>
      <c r="Q14" s="36"/>
      <c r="R14" s="46">
        <v>2</v>
      </c>
      <c r="S14" s="46">
        <v>4</v>
      </c>
      <c r="T14" s="887"/>
      <c r="U14" s="47" t="s">
        <v>122</v>
      </c>
      <c r="V14" s="479">
        <f t="shared" si="3"/>
        <v>0</v>
      </c>
      <c r="W14" s="479">
        <f t="shared" si="3"/>
        <v>0</v>
      </c>
      <c r="X14" s="479">
        <f t="shared" si="4"/>
        <v>0</v>
      </c>
      <c r="Y14" s="479">
        <f t="shared" si="4"/>
        <v>0</v>
      </c>
      <c r="Z14" s="903"/>
      <c r="AA14" s="903"/>
      <c r="AB14" s="48" t="str">
        <f>AB13</f>
        <v>Resolução ANEEL Nº 2.117 de 02 de Agosto de 2016</v>
      </c>
      <c r="AC14" s="28"/>
      <c r="AD14" s="38">
        <v>2018</v>
      </c>
      <c r="AE14" s="28"/>
      <c r="AF14" s="31">
        <v>8</v>
      </c>
      <c r="AG14" s="32" t="s">
        <v>1114</v>
      </c>
      <c r="AH14" s="31">
        <v>0</v>
      </c>
      <c r="AI14" s="28"/>
      <c r="AJ14" s="28"/>
      <c r="AK14" s="883"/>
      <c r="AL14" s="487">
        <f>AL13</f>
        <v>2</v>
      </c>
      <c r="AM14" s="54">
        <f>AM13</f>
        <v>2</v>
      </c>
      <c r="AN14" s="52">
        <v>6</v>
      </c>
      <c r="AO14" s="881"/>
      <c r="AP14" s="47" t="s">
        <v>63</v>
      </c>
      <c r="AQ14" s="53">
        <v>0</v>
      </c>
      <c r="AR14" s="53">
        <v>0</v>
      </c>
      <c r="AS14" s="53">
        <v>0</v>
      </c>
      <c r="AT14" s="53">
        <v>0</v>
      </c>
      <c r="AU14" s="53">
        <v>0</v>
      </c>
      <c r="AV14" s="53">
        <v>0</v>
      </c>
      <c r="AW14" s="477">
        <f t="shared" ref="AW14:AW27" si="5">AS14+AT14</f>
        <v>0</v>
      </c>
      <c r="AX14" s="477">
        <f t="shared" ref="AX14:AX27" si="6">AU14+AV14</f>
        <v>0</v>
      </c>
    </row>
    <row r="15" spans="1:50" x14ac:dyDescent="0.2">
      <c r="A15" s="26">
        <v>3</v>
      </c>
      <c r="B15" s="892" t="s">
        <v>1060</v>
      </c>
      <c r="C15" s="893"/>
      <c r="D15" s="893"/>
      <c r="E15" s="893"/>
      <c r="F15" s="894"/>
      <c r="G15" s="28"/>
      <c r="H15" s="721">
        <v>0.4</v>
      </c>
      <c r="I15" s="723">
        <v>0.31359999999999999</v>
      </c>
      <c r="J15" s="723">
        <v>1.71696</v>
      </c>
      <c r="K15" s="723">
        <v>0.29726999999999998</v>
      </c>
      <c r="L15" s="723">
        <v>0.20809</v>
      </c>
      <c r="M15" s="723">
        <v>0.71013999999999999</v>
      </c>
      <c r="N15" s="723">
        <v>0.50146000000000002</v>
      </c>
      <c r="O15" s="723">
        <f t="shared" si="1"/>
        <v>0.26011166666666663</v>
      </c>
      <c r="P15" s="723">
        <f t="shared" si="2"/>
        <v>0.62319000000000002</v>
      </c>
      <c r="Q15" s="36"/>
      <c r="R15" s="46">
        <v>2</v>
      </c>
      <c r="S15" s="46">
        <v>5</v>
      </c>
      <c r="T15" s="887"/>
      <c r="U15" s="47" t="s">
        <v>121</v>
      </c>
      <c r="V15" s="479">
        <f>AQ24</f>
        <v>0</v>
      </c>
      <c r="W15" s="479">
        <f>AR24</f>
        <v>0</v>
      </c>
      <c r="X15" s="479">
        <f t="shared" si="4"/>
        <v>0</v>
      </c>
      <c r="Y15" s="479">
        <f t="shared" si="4"/>
        <v>0</v>
      </c>
      <c r="Z15" s="903"/>
      <c r="AA15" s="903"/>
      <c r="AB15" s="48" t="str">
        <f t="shared" ref="AB15:AB23" si="7">AB14</f>
        <v>Resolução ANEEL Nº 2.117 de 02 de Agosto de 2016</v>
      </c>
      <c r="AC15" s="28"/>
      <c r="AD15" s="38">
        <v>2019</v>
      </c>
      <c r="AE15" s="36"/>
      <c r="AF15" s="31">
        <v>9</v>
      </c>
      <c r="AG15" s="32" t="s">
        <v>1115</v>
      </c>
      <c r="AH15" s="31">
        <v>0</v>
      </c>
      <c r="AI15" s="28"/>
      <c r="AJ15" s="28"/>
      <c r="AK15" s="883"/>
      <c r="AL15" s="487">
        <f t="shared" ref="AL15:AL20" si="8">AL14</f>
        <v>2</v>
      </c>
      <c r="AM15" s="54">
        <f>AM13</f>
        <v>2</v>
      </c>
      <c r="AN15" s="52">
        <v>7</v>
      </c>
      <c r="AO15" s="881"/>
      <c r="AP15" s="47" t="s">
        <v>64</v>
      </c>
      <c r="AQ15" s="53">
        <v>0</v>
      </c>
      <c r="AR15" s="53">
        <v>0</v>
      </c>
      <c r="AS15" s="53"/>
      <c r="AT15" s="53"/>
      <c r="AU15" s="53"/>
      <c r="AV15" s="53"/>
      <c r="AW15" s="477">
        <f>AS15+AT15</f>
        <v>0</v>
      </c>
      <c r="AX15" s="477">
        <f>AU15+AV15</f>
        <v>0</v>
      </c>
    </row>
    <row r="16" spans="1:50" x14ac:dyDescent="0.2">
      <c r="A16" s="26">
        <v>4</v>
      </c>
      <c r="B16" s="892" t="s">
        <v>1061</v>
      </c>
      <c r="C16" s="893"/>
      <c r="D16" s="893"/>
      <c r="E16" s="893"/>
      <c r="F16" s="894"/>
      <c r="G16" s="28"/>
      <c r="H16" s="721">
        <v>0.45</v>
      </c>
      <c r="I16" s="723">
        <v>0.34810000000000002</v>
      </c>
      <c r="J16" s="723">
        <v>2.0991200000000001</v>
      </c>
      <c r="K16" s="723">
        <v>0.31014000000000003</v>
      </c>
      <c r="L16" s="723">
        <v>0.21709999999999999</v>
      </c>
      <c r="M16" s="723">
        <v>0.92130000000000001</v>
      </c>
      <c r="N16" s="723">
        <v>0.65056999999999998</v>
      </c>
      <c r="O16" s="723">
        <f t="shared" si="1"/>
        <v>0.2713733333333333</v>
      </c>
      <c r="P16" s="723">
        <f t="shared" si="2"/>
        <v>0.8084958333333333</v>
      </c>
      <c r="Q16" s="36"/>
      <c r="R16" s="46">
        <v>2</v>
      </c>
      <c r="S16" s="46">
        <v>6</v>
      </c>
      <c r="T16" s="887"/>
      <c r="U16" s="47" t="s">
        <v>63</v>
      </c>
      <c r="V16" s="479">
        <f t="shared" si="3"/>
        <v>0</v>
      </c>
      <c r="W16" s="479">
        <f t="shared" si="3"/>
        <v>0</v>
      </c>
      <c r="X16" s="479">
        <f>AW25</f>
        <v>0</v>
      </c>
      <c r="Y16" s="479">
        <f>AX25</f>
        <v>0</v>
      </c>
      <c r="Z16" s="903"/>
      <c r="AA16" s="903"/>
      <c r="AB16" s="48" t="str">
        <f t="shared" si="7"/>
        <v>Resolução ANEEL Nº 2.117 de 02 de Agosto de 2016</v>
      </c>
      <c r="AC16" s="28"/>
      <c r="AD16" s="38">
        <v>2020</v>
      </c>
      <c r="AE16" s="28"/>
      <c r="AF16" s="31">
        <v>10</v>
      </c>
      <c r="AG16" s="32" t="s">
        <v>1116</v>
      </c>
      <c r="AH16" s="31">
        <v>0</v>
      </c>
      <c r="AI16" s="28"/>
      <c r="AJ16" s="28"/>
      <c r="AK16" s="883"/>
      <c r="AL16" s="487">
        <f t="shared" si="8"/>
        <v>2</v>
      </c>
      <c r="AM16" s="54">
        <f>AM13</f>
        <v>2</v>
      </c>
      <c r="AN16" s="52">
        <v>8</v>
      </c>
      <c r="AO16" s="881"/>
      <c r="AP16" s="47" t="s">
        <v>150</v>
      </c>
      <c r="AQ16" s="53">
        <v>0</v>
      </c>
      <c r="AR16" s="53">
        <v>0</v>
      </c>
      <c r="AS16" s="53"/>
      <c r="AT16" s="53"/>
      <c r="AU16" s="53"/>
      <c r="AV16" s="53"/>
      <c r="AW16" s="477">
        <f t="shared" si="5"/>
        <v>0</v>
      </c>
      <c r="AX16" s="477">
        <f t="shared" si="6"/>
        <v>0</v>
      </c>
    </row>
    <row r="17" spans="1:50" x14ac:dyDescent="0.2">
      <c r="A17" s="26">
        <v>5</v>
      </c>
      <c r="B17" s="892" t="s">
        <v>1103</v>
      </c>
      <c r="C17" s="893"/>
      <c r="D17" s="893"/>
      <c r="E17" s="893"/>
      <c r="F17" s="894"/>
      <c r="G17" s="28"/>
      <c r="H17" s="721">
        <v>0.5</v>
      </c>
      <c r="I17" s="723">
        <v>0.38440000000000002</v>
      </c>
      <c r="J17" s="723">
        <v>2.5185</v>
      </c>
      <c r="K17" s="723">
        <v>0.32355</v>
      </c>
      <c r="L17" s="723">
        <v>0.22649</v>
      </c>
      <c r="M17" s="723">
        <v>1.1537500000000001</v>
      </c>
      <c r="N17" s="723">
        <v>0.81472</v>
      </c>
      <c r="O17" s="723">
        <f t="shared" si="1"/>
        <v>0.28310833333333335</v>
      </c>
      <c r="P17" s="723">
        <f t="shared" si="2"/>
        <v>1.0124875</v>
      </c>
      <c r="Q17" s="36"/>
      <c r="R17" s="46">
        <v>2</v>
      </c>
      <c r="S17" s="46">
        <v>7</v>
      </c>
      <c r="T17" s="887"/>
      <c r="U17" s="55" t="s">
        <v>64</v>
      </c>
      <c r="V17" s="480">
        <f>AS28</f>
        <v>0</v>
      </c>
      <c r="W17" s="480">
        <f>AU28</f>
        <v>0</v>
      </c>
      <c r="X17" s="480">
        <f>AW28</f>
        <v>0</v>
      </c>
      <c r="Y17" s="480">
        <f>AX28</f>
        <v>0</v>
      </c>
      <c r="Z17" s="903"/>
      <c r="AA17" s="903"/>
      <c r="AB17" s="48" t="str">
        <f t="shared" si="7"/>
        <v>Resolução ANEEL Nº 2.117 de 02 de Agosto de 2016</v>
      </c>
      <c r="AC17" s="28"/>
      <c r="AD17" s="38">
        <v>2021</v>
      </c>
      <c r="AE17" s="28"/>
      <c r="AF17" s="31">
        <v>11</v>
      </c>
      <c r="AG17" s="32" t="s">
        <v>1117</v>
      </c>
      <c r="AH17" s="31">
        <v>0</v>
      </c>
      <c r="AI17" s="28"/>
      <c r="AJ17" s="28"/>
      <c r="AK17" s="883"/>
      <c r="AL17" s="487">
        <f t="shared" si="8"/>
        <v>2</v>
      </c>
      <c r="AM17" s="54">
        <f>AM13</f>
        <v>2</v>
      </c>
      <c r="AN17" s="52">
        <v>9</v>
      </c>
      <c r="AO17" s="881"/>
      <c r="AP17" s="47" t="s">
        <v>179</v>
      </c>
      <c r="AQ17" s="53">
        <v>0</v>
      </c>
      <c r="AR17" s="53">
        <v>0</v>
      </c>
      <c r="AS17" s="53"/>
      <c r="AT17" s="53"/>
      <c r="AU17" s="53"/>
      <c r="AV17" s="53"/>
      <c r="AW17" s="477">
        <f t="shared" si="5"/>
        <v>0</v>
      </c>
      <c r="AX17" s="477">
        <f t="shared" si="6"/>
        <v>0</v>
      </c>
    </row>
    <row r="18" spans="1:50" x14ac:dyDescent="0.2">
      <c r="A18" s="26">
        <v>6</v>
      </c>
      <c r="B18" s="892" t="s">
        <v>1062</v>
      </c>
      <c r="C18" s="893"/>
      <c r="D18" s="893"/>
      <c r="E18" s="893"/>
      <c r="F18" s="894"/>
      <c r="G18" s="28"/>
      <c r="H18" s="721">
        <v>0.55000000000000004</v>
      </c>
      <c r="I18" s="723">
        <v>0.42249999999999999</v>
      </c>
      <c r="J18" s="723">
        <v>2.97512</v>
      </c>
      <c r="K18" s="723">
        <v>0.33750000000000002</v>
      </c>
      <c r="L18" s="723">
        <v>0.23624999999999999</v>
      </c>
      <c r="M18" s="723">
        <v>1.4074800000000001</v>
      </c>
      <c r="N18" s="723">
        <v>0.99389000000000005</v>
      </c>
      <c r="O18" s="723">
        <f t="shared" si="1"/>
        <v>0.29531250000000003</v>
      </c>
      <c r="P18" s="723">
        <f t="shared" si="2"/>
        <v>1.2351508333333334</v>
      </c>
      <c r="Q18" s="36"/>
      <c r="R18" s="46">
        <v>2</v>
      </c>
      <c r="S18" s="46">
        <v>8</v>
      </c>
      <c r="T18" s="887"/>
      <c r="U18" s="55" t="s">
        <v>150</v>
      </c>
      <c r="V18" s="480">
        <f>AS29</f>
        <v>0</v>
      </c>
      <c r="W18" s="480">
        <f>AU29</f>
        <v>0</v>
      </c>
      <c r="X18" s="480">
        <f>AW29</f>
        <v>0</v>
      </c>
      <c r="Y18" s="480">
        <f>AX29</f>
        <v>0</v>
      </c>
      <c r="Z18" s="903"/>
      <c r="AA18" s="903"/>
      <c r="AB18" s="48" t="str">
        <f t="shared" si="7"/>
        <v>Resolução ANEEL Nº 2.117 de 02 de Agosto de 2016</v>
      </c>
      <c r="AC18" s="28"/>
      <c r="AD18" s="38">
        <v>2022</v>
      </c>
      <c r="AE18" s="28"/>
      <c r="AF18" s="31">
        <v>12</v>
      </c>
      <c r="AG18" s="32" t="s">
        <v>1118</v>
      </c>
      <c r="AH18" s="31">
        <v>0</v>
      </c>
      <c r="AI18" s="28"/>
      <c r="AJ18" s="28"/>
      <c r="AK18" s="883"/>
      <c r="AL18" s="487">
        <f t="shared" si="8"/>
        <v>2</v>
      </c>
      <c r="AM18" s="54">
        <f>AM14</f>
        <v>2</v>
      </c>
      <c r="AN18" s="56">
        <v>10</v>
      </c>
      <c r="AO18" s="881"/>
      <c r="AP18" s="47" t="s">
        <v>180</v>
      </c>
      <c r="AQ18" s="53">
        <v>0</v>
      </c>
      <c r="AR18" s="53">
        <v>0</v>
      </c>
      <c r="AS18" s="53"/>
      <c r="AT18" s="53"/>
      <c r="AU18" s="53"/>
      <c r="AV18" s="53"/>
      <c r="AW18" s="477">
        <f t="shared" si="5"/>
        <v>0</v>
      </c>
      <c r="AX18" s="477">
        <f t="shared" si="6"/>
        <v>0</v>
      </c>
    </row>
    <row r="19" spans="1:50" x14ac:dyDescent="0.2">
      <c r="A19" s="26">
        <v>7</v>
      </c>
      <c r="B19" s="892" t="s">
        <v>1063</v>
      </c>
      <c r="C19" s="893"/>
      <c r="D19" s="893"/>
      <c r="E19" s="893"/>
      <c r="F19" s="894"/>
      <c r="G19" s="28"/>
      <c r="H19" s="721">
        <v>0.6</v>
      </c>
      <c r="I19" s="723">
        <v>0.46239999999999998</v>
      </c>
      <c r="J19" s="723">
        <v>3.46896</v>
      </c>
      <c r="K19" s="723">
        <v>0.35199000000000003</v>
      </c>
      <c r="L19" s="723">
        <v>0.24639</v>
      </c>
      <c r="M19" s="723">
        <v>1.68249</v>
      </c>
      <c r="N19" s="723">
        <v>1.18808</v>
      </c>
      <c r="O19" s="723">
        <f t="shared" si="1"/>
        <v>0.30799000000000004</v>
      </c>
      <c r="P19" s="723">
        <f t="shared" si="2"/>
        <v>1.4764858333333333</v>
      </c>
      <c r="Q19" s="36"/>
      <c r="R19" s="46">
        <v>2</v>
      </c>
      <c r="S19" s="46">
        <v>9</v>
      </c>
      <c r="T19" s="887"/>
      <c r="U19" s="55" t="s">
        <v>179</v>
      </c>
      <c r="V19" s="480">
        <f>V18</f>
        <v>0</v>
      </c>
      <c r="W19" s="480">
        <f>W18</f>
        <v>0</v>
      </c>
      <c r="X19" s="480">
        <f>X18</f>
        <v>0</v>
      </c>
      <c r="Y19" s="480">
        <f>Y18</f>
        <v>0</v>
      </c>
      <c r="Z19" s="903"/>
      <c r="AA19" s="903"/>
      <c r="AB19" s="48" t="str">
        <f t="shared" si="7"/>
        <v>Resolução ANEEL Nº 2.117 de 02 de Agosto de 2016</v>
      </c>
      <c r="AC19" s="28"/>
      <c r="AD19" s="38">
        <v>2023</v>
      </c>
      <c r="AE19" s="28"/>
      <c r="AF19" s="31">
        <v>13</v>
      </c>
      <c r="AG19" s="32" t="s">
        <v>1119</v>
      </c>
      <c r="AH19" s="31">
        <v>0</v>
      </c>
      <c r="AI19" s="28"/>
      <c r="AJ19" s="28"/>
      <c r="AK19" s="883"/>
      <c r="AL19" s="487">
        <f t="shared" si="8"/>
        <v>2</v>
      </c>
      <c r="AM19" s="54">
        <f>AM15</f>
        <v>2</v>
      </c>
      <c r="AN19" s="56">
        <v>11</v>
      </c>
      <c r="AO19" s="881"/>
      <c r="AP19" s="47" t="s">
        <v>151</v>
      </c>
      <c r="AQ19" s="53">
        <v>0</v>
      </c>
      <c r="AR19" s="53">
        <v>0</v>
      </c>
      <c r="AS19" s="53"/>
      <c r="AT19" s="53"/>
      <c r="AU19" s="53"/>
      <c r="AV19" s="53"/>
      <c r="AW19" s="477">
        <f>AS19+AT19</f>
        <v>0</v>
      </c>
      <c r="AX19" s="477">
        <f>AU19+AV19</f>
        <v>0</v>
      </c>
    </row>
    <row r="20" spans="1:50" x14ac:dyDescent="0.2">
      <c r="A20" s="26">
        <v>8</v>
      </c>
      <c r="B20" s="892" t="s">
        <v>1104</v>
      </c>
      <c r="C20" s="893"/>
      <c r="D20" s="893"/>
      <c r="E20" s="893"/>
      <c r="F20" s="894"/>
      <c r="G20" s="28"/>
      <c r="H20" s="721">
        <v>0.65</v>
      </c>
      <c r="I20" s="723">
        <v>0.50409999999999999</v>
      </c>
      <c r="J20" s="723">
        <v>4.0000400000000003</v>
      </c>
      <c r="K20" s="723">
        <v>0.3695</v>
      </c>
      <c r="L20" s="723">
        <v>0.25864999999999999</v>
      </c>
      <c r="M20" s="723">
        <v>1.9763200000000001</v>
      </c>
      <c r="N20" s="723">
        <v>1.39557</v>
      </c>
      <c r="O20" s="723">
        <f t="shared" si="1"/>
        <v>0.3233125</v>
      </c>
      <c r="P20" s="723">
        <f t="shared" si="2"/>
        <v>1.7343408333333334</v>
      </c>
      <c r="Q20" s="36"/>
      <c r="R20" s="46">
        <v>2</v>
      </c>
      <c r="S20" s="46">
        <v>10</v>
      </c>
      <c r="T20" s="887"/>
      <c r="U20" s="55" t="s">
        <v>180</v>
      </c>
      <c r="V20" s="480">
        <f>V18</f>
        <v>0</v>
      </c>
      <c r="W20" s="480">
        <f>W18</f>
        <v>0</v>
      </c>
      <c r="X20" s="480">
        <f>X18</f>
        <v>0</v>
      </c>
      <c r="Y20" s="480">
        <f>Y18</f>
        <v>0</v>
      </c>
      <c r="Z20" s="903"/>
      <c r="AA20" s="903"/>
      <c r="AB20" s="48" t="str">
        <f t="shared" si="7"/>
        <v>Resolução ANEEL Nº 2.117 de 02 de Agosto de 2016</v>
      </c>
      <c r="AC20" s="28"/>
      <c r="AD20" s="57">
        <v>2024</v>
      </c>
      <c r="AE20" s="28"/>
      <c r="AF20" s="31">
        <v>14</v>
      </c>
      <c r="AG20" s="32" t="s">
        <v>1120</v>
      </c>
      <c r="AH20" s="31">
        <v>0</v>
      </c>
      <c r="AI20" s="28"/>
      <c r="AJ20" s="28"/>
      <c r="AK20" s="883"/>
      <c r="AL20" s="487">
        <f t="shared" si="8"/>
        <v>2</v>
      </c>
      <c r="AM20" s="54">
        <f>AM16</f>
        <v>2</v>
      </c>
      <c r="AN20" s="56">
        <v>12</v>
      </c>
      <c r="AO20" s="880"/>
      <c r="AP20" s="47" t="s">
        <v>181</v>
      </c>
      <c r="AQ20" s="53">
        <v>0</v>
      </c>
      <c r="AR20" s="53">
        <v>0</v>
      </c>
      <c r="AS20" s="53"/>
      <c r="AT20" s="53"/>
      <c r="AU20" s="53"/>
      <c r="AV20" s="53"/>
      <c r="AW20" s="477">
        <f t="shared" si="5"/>
        <v>0</v>
      </c>
      <c r="AX20" s="477">
        <f t="shared" si="6"/>
        <v>0</v>
      </c>
    </row>
    <row r="21" spans="1:50" x14ac:dyDescent="0.2">
      <c r="A21" s="26">
        <v>9</v>
      </c>
      <c r="B21" s="892" t="s">
        <v>1105</v>
      </c>
      <c r="C21" s="893"/>
      <c r="D21" s="893"/>
      <c r="E21" s="893"/>
      <c r="F21" s="894"/>
      <c r="G21" s="28"/>
      <c r="H21" s="721">
        <v>0.7</v>
      </c>
      <c r="I21" s="723">
        <v>0.54759999999999998</v>
      </c>
      <c r="J21" s="723">
        <v>4.5683400000000001</v>
      </c>
      <c r="K21" s="723">
        <v>0.38516</v>
      </c>
      <c r="L21" s="723">
        <v>0.26961000000000002</v>
      </c>
      <c r="M21" s="723">
        <v>2.2938100000000001</v>
      </c>
      <c r="N21" s="723">
        <v>1.6197699999999999</v>
      </c>
      <c r="O21" s="723">
        <f>(7*K21+5*L21)/12</f>
        <v>0.33701416666666667</v>
      </c>
      <c r="P21" s="723">
        <f>(7*M21+5*N21)/12</f>
        <v>2.0129600000000001</v>
      </c>
      <c r="Q21" s="36"/>
      <c r="R21" s="46">
        <v>2</v>
      </c>
      <c r="S21" s="46">
        <v>11</v>
      </c>
      <c r="T21" s="887"/>
      <c r="U21" s="55" t="s">
        <v>151</v>
      </c>
      <c r="V21" s="480">
        <f>AS32</f>
        <v>0</v>
      </c>
      <c r="W21" s="480">
        <f>AU32</f>
        <v>0</v>
      </c>
      <c r="X21" s="480">
        <f>AW32</f>
        <v>0</v>
      </c>
      <c r="Y21" s="480">
        <f>AX32</f>
        <v>0</v>
      </c>
      <c r="Z21" s="903"/>
      <c r="AA21" s="903"/>
      <c r="AB21" s="48" t="str">
        <f t="shared" si="7"/>
        <v>Resolução ANEEL Nº 2.117 de 02 de Agosto de 2016</v>
      </c>
      <c r="AC21" s="28"/>
      <c r="AD21" s="28"/>
      <c r="AE21" s="28"/>
      <c r="AF21" s="31">
        <v>15</v>
      </c>
      <c r="AG21" s="32" t="s">
        <v>1121</v>
      </c>
      <c r="AH21" s="31">
        <v>0</v>
      </c>
      <c r="AI21" s="28"/>
      <c r="AJ21" s="28"/>
      <c r="AK21" s="883"/>
      <c r="AL21" s="487">
        <f>AL17</f>
        <v>2</v>
      </c>
      <c r="AM21" s="51">
        <v>3</v>
      </c>
      <c r="AN21" s="56">
        <v>2</v>
      </c>
      <c r="AO21" s="879" t="s">
        <v>167</v>
      </c>
      <c r="AP21" s="47" t="s">
        <v>162</v>
      </c>
      <c r="AQ21" s="53">
        <v>0</v>
      </c>
      <c r="AR21" s="53">
        <v>0</v>
      </c>
      <c r="AS21" s="53">
        <v>0</v>
      </c>
      <c r="AT21" s="53">
        <v>0</v>
      </c>
      <c r="AU21" s="53">
        <v>0</v>
      </c>
      <c r="AV21" s="53">
        <v>0</v>
      </c>
      <c r="AW21" s="477">
        <f t="shared" si="5"/>
        <v>0</v>
      </c>
      <c r="AX21" s="477">
        <f t="shared" si="6"/>
        <v>0</v>
      </c>
    </row>
    <row r="22" spans="1:50" x14ac:dyDescent="0.2">
      <c r="B22" s="29"/>
      <c r="C22" s="29"/>
      <c r="D22" s="29"/>
      <c r="E22" s="29"/>
      <c r="F22" s="28"/>
      <c r="G22" s="28"/>
      <c r="H22" s="720">
        <v>0.75</v>
      </c>
      <c r="I22" s="722">
        <v>0.59289999999999998</v>
      </c>
      <c r="J22" s="722">
        <v>5.1738799999999996</v>
      </c>
      <c r="K22" s="722">
        <v>0.40135999999999999</v>
      </c>
      <c r="L22" s="722">
        <v>0.28094999999999998</v>
      </c>
      <c r="M22" s="722">
        <v>2.6325799999999999</v>
      </c>
      <c r="N22" s="722">
        <v>1.8589899999999999</v>
      </c>
      <c r="O22" s="722">
        <f t="shared" si="1"/>
        <v>0.35118916666666666</v>
      </c>
      <c r="P22" s="722">
        <f t="shared" si="2"/>
        <v>2.3102508333333334</v>
      </c>
      <c r="Q22" s="36"/>
      <c r="R22" s="46">
        <v>2</v>
      </c>
      <c r="S22" s="46">
        <v>12</v>
      </c>
      <c r="T22" s="888"/>
      <c r="U22" s="55" t="s">
        <v>181</v>
      </c>
      <c r="V22" s="472">
        <f>V21</f>
        <v>0</v>
      </c>
      <c r="W22" s="472">
        <f>W21</f>
        <v>0</v>
      </c>
      <c r="X22" s="472">
        <f>X21</f>
        <v>0</v>
      </c>
      <c r="Y22" s="472">
        <f>Y21</f>
        <v>0</v>
      </c>
      <c r="Z22" s="904"/>
      <c r="AA22" s="904"/>
      <c r="AB22" s="48" t="str">
        <f t="shared" si="7"/>
        <v>Resolução ANEEL Nº 2.117 de 02 de Agosto de 2016</v>
      </c>
      <c r="AC22" s="28"/>
      <c r="AD22" s="28"/>
      <c r="AE22" s="28"/>
      <c r="AF22" s="31">
        <v>16</v>
      </c>
      <c r="AG22" s="32" t="s">
        <v>1122</v>
      </c>
      <c r="AH22" s="31">
        <v>0</v>
      </c>
      <c r="AI22" s="28"/>
      <c r="AJ22" s="28"/>
      <c r="AK22" s="883"/>
      <c r="AL22" s="487">
        <f>AL17</f>
        <v>2</v>
      </c>
      <c r="AM22" s="54">
        <f>AM21</f>
        <v>3</v>
      </c>
      <c r="AN22" s="56">
        <v>3</v>
      </c>
      <c r="AO22" s="881"/>
      <c r="AP22" s="47" t="s">
        <v>123</v>
      </c>
      <c r="AQ22" s="757"/>
      <c r="AR22" s="757"/>
      <c r="AS22" s="757"/>
      <c r="AT22" s="757"/>
      <c r="AU22" s="757"/>
      <c r="AV22" s="757"/>
      <c r="AW22" s="477">
        <f t="shared" si="5"/>
        <v>0</v>
      </c>
      <c r="AX22" s="477">
        <f t="shared" si="6"/>
        <v>0</v>
      </c>
    </row>
    <row r="23" spans="1:50" x14ac:dyDescent="0.2">
      <c r="B23" s="889" t="s">
        <v>99</v>
      </c>
      <c r="C23" s="890"/>
      <c r="D23" s="890"/>
      <c r="E23" s="890"/>
      <c r="F23" s="891"/>
      <c r="G23" s="28"/>
      <c r="H23" s="720">
        <v>0.8</v>
      </c>
      <c r="I23" s="722">
        <v>0.64</v>
      </c>
      <c r="J23" s="722">
        <v>5.8166399999999996</v>
      </c>
      <c r="K23" s="722">
        <v>0.41810000000000003</v>
      </c>
      <c r="L23" s="722">
        <v>0.29266999999999999</v>
      </c>
      <c r="M23" s="722">
        <v>2.9926400000000002</v>
      </c>
      <c r="N23" s="722">
        <v>2.1132399999999998</v>
      </c>
      <c r="O23" s="722">
        <f t="shared" si="1"/>
        <v>0.36583750000000004</v>
      </c>
      <c r="P23" s="722">
        <f t="shared" si="2"/>
        <v>2.6262233333333334</v>
      </c>
      <c r="Q23" s="36"/>
      <c r="R23" s="46">
        <v>3</v>
      </c>
      <c r="S23" s="46">
        <v>2</v>
      </c>
      <c r="T23" s="886">
        <v>2016</v>
      </c>
      <c r="U23" s="47" t="s">
        <v>162</v>
      </c>
      <c r="V23" s="479">
        <v>0</v>
      </c>
      <c r="W23" s="479">
        <v>0</v>
      </c>
      <c r="X23" s="479">
        <v>0</v>
      </c>
      <c r="Y23" s="479">
        <v>0</v>
      </c>
      <c r="Z23" s="895"/>
      <c r="AA23" s="895"/>
      <c r="AB23" s="48" t="str">
        <f t="shared" si="7"/>
        <v>Resolução ANEEL Nº 2.117 de 02 de Agosto de 2016</v>
      </c>
      <c r="AC23" s="28"/>
      <c r="AD23" s="28"/>
      <c r="AE23" s="28"/>
      <c r="AF23" s="31">
        <v>17</v>
      </c>
      <c r="AG23" s="32" t="s">
        <v>1123</v>
      </c>
      <c r="AH23" s="31">
        <v>0</v>
      </c>
      <c r="AI23" s="28"/>
      <c r="AJ23" s="28"/>
      <c r="AK23" s="883"/>
      <c r="AL23" s="487">
        <f>AL22</f>
        <v>2</v>
      </c>
      <c r="AM23" s="54">
        <f>AM21</f>
        <v>3</v>
      </c>
      <c r="AN23" s="56">
        <v>4</v>
      </c>
      <c r="AO23" s="881"/>
      <c r="AP23" s="47" t="s">
        <v>122</v>
      </c>
      <c r="AQ23" s="757"/>
      <c r="AR23" s="757"/>
      <c r="AS23" s="757"/>
      <c r="AT23" s="757"/>
      <c r="AU23" s="757"/>
      <c r="AV23" s="757"/>
      <c r="AW23" s="477">
        <f t="shared" si="5"/>
        <v>0</v>
      </c>
      <c r="AX23" s="477">
        <f t="shared" si="6"/>
        <v>0</v>
      </c>
    </row>
    <row r="24" spans="1:50" x14ac:dyDescent="0.2">
      <c r="B24" s="58" t="s">
        <v>125</v>
      </c>
      <c r="C24" s="109"/>
      <c r="D24" s="58" t="s">
        <v>124</v>
      </c>
      <c r="E24" s="58" t="s">
        <v>98</v>
      </c>
      <c r="F24" s="58" t="s">
        <v>97</v>
      </c>
      <c r="G24" s="28"/>
      <c r="H24" s="720">
        <v>0.85</v>
      </c>
      <c r="I24" s="722">
        <v>0.68889999999999996</v>
      </c>
      <c r="J24" s="722">
        <v>6.4966400000000002</v>
      </c>
      <c r="K24" s="722">
        <v>0.43537999999999999</v>
      </c>
      <c r="L24" s="722">
        <v>0.30475999999999998</v>
      </c>
      <c r="M24" s="722">
        <v>3.37398</v>
      </c>
      <c r="N24" s="722">
        <v>2.38252</v>
      </c>
      <c r="O24" s="722">
        <f t="shared" si="1"/>
        <v>0.38095499999999999</v>
      </c>
      <c r="P24" s="722">
        <f t="shared" si="2"/>
        <v>2.9608716666666663</v>
      </c>
      <c r="Q24" s="36"/>
      <c r="R24" s="46">
        <v>3</v>
      </c>
      <c r="S24" s="46">
        <v>3</v>
      </c>
      <c r="T24" s="887"/>
      <c r="U24" s="47" t="s">
        <v>123</v>
      </c>
      <c r="V24" s="479">
        <f t="shared" ref="V24:W26" si="9">AQ43</f>
        <v>0</v>
      </c>
      <c r="W24" s="479">
        <f t="shared" si="9"/>
        <v>0</v>
      </c>
      <c r="X24" s="479">
        <f t="shared" ref="X24:Y27" si="10">AW43</f>
        <v>0</v>
      </c>
      <c r="Y24" s="479">
        <f t="shared" si="10"/>
        <v>0</v>
      </c>
      <c r="Z24" s="896"/>
      <c r="AA24" s="896"/>
      <c r="AB24" s="48" t="str">
        <f>AB23</f>
        <v>Resolução ANEEL Nº 2.117 de 02 de Agosto de 2016</v>
      </c>
      <c r="AC24" s="28"/>
      <c r="AD24" s="28"/>
      <c r="AE24" s="28"/>
      <c r="AF24" s="31">
        <v>18</v>
      </c>
      <c r="AG24" s="32" t="s">
        <v>1124</v>
      </c>
      <c r="AH24" s="31">
        <v>0</v>
      </c>
      <c r="AI24" s="28"/>
      <c r="AJ24" s="28"/>
      <c r="AK24" s="883"/>
      <c r="AL24" s="487">
        <f>AL23</f>
        <v>2</v>
      </c>
      <c r="AM24" s="54">
        <f>AM23</f>
        <v>3</v>
      </c>
      <c r="AN24" s="56">
        <v>5</v>
      </c>
      <c r="AO24" s="881"/>
      <c r="AP24" s="47" t="s">
        <v>121</v>
      </c>
      <c r="AQ24" s="757"/>
      <c r="AR24" s="757"/>
      <c r="AS24" s="757"/>
      <c r="AT24" s="757"/>
      <c r="AU24" s="757"/>
      <c r="AV24" s="757"/>
      <c r="AW24" s="477">
        <f>AS24+AT24</f>
        <v>0</v>
      </c>
      <c r="AX24" s="477">
        <f>AU24+AV24</f>
        <v>0</v>
      </c>
    </row>
    <row r="25" spans="1:50" x14ac:dyDescent="0.2">
      <c r="B25" s="47" t="s">
        <v>196</v>
      </c>
      <c r="C25" s="47"/>
      <c r="D25" s="57">
        <v>1</v>
      </c>
      <c r="E25" s="59"/>
      <c r="F25" s="59"/>
      <c r="G25" s="28"/>
      <c r="H25" s="720">
        <v>0.9</v>
      </c>
      <c r="I25" s="722">
        <v>0.73960000000000004</v>
      </c>
      <c r="J25" s="722">
        <v>7.2138600000000004</v>
      </c>
      <c r="K25" s="722">
        <v>0.45319999999999999</v>
      </c>
      <c r="L25" s="722">
        <v>0.31724000000000002</v>
      </c>
      <c r="M25" s="722">
        <v>3.7766000000000002</v>
      </c>
      <c r="N25" s="722">
        <v>2.66683</v>
      </c>
      <c r="O25" s="722">
        <f t="shared" si="1"/>
        <v>0.39655000000000001</v>
      </c>
      <c r="P25" s="722">
        <f t="shared" si="2"/>
        <v>3.3141958333333332</v>
      </c>
      <c r="Q25" s="36"/>
      <c r="R25" s="46">
        <v>3</v>
      </c>
      <c r="S25" s="46">
        <v>4</v>
      </c>
      <c r="T25" s="887"/>
      <c r="U25" s="47" t="s">
        <v>122</v>
      </c>
      <c r="V25" s="479">
        <v>0</v>
      </c>
      <c r="W25" s="479">
        <v>0</v>
      </c>
      <c r="X25" s="479">
        <v>0</v>
      </c>
      <c r="Y25" s="479">
        <v>0</v>
      </c>
      <c r="Z25" s="896"/>
      <c r="AA25" s="896"/>
      <c r="AB25" s="48" t="str">
        <f>AB24</f>
        <v>Resolução ANEEL Nº 2.117 de 02 de Agosto de 2016</v>
      </c>
      <c r="AC25" s="28"/>
      <c r="AD25" s="28"/>
      <c r="AE25" s="28"/>
      <c r="AF25" s="31">
        <v>19</v>
      </c>
      <c r="AG25" s="32" t="s">
        <v>1125</v>
      </c>
      <c r="AH25" s="31">
        <v>0</v>
      </c>
      <c r="AI25" s="28"/>
      <c r="AJ25" s="28"/>
      <c r="AK25" s="883"/>
      <c r="AL25" s="487">
        <f>AL24</f>
        <v>2</v>
      </c>
      <c r="AM25" s="60">
        <f>AM24</f>
        <v>3</v>
      </c>
      <c r="AN25" s="56">
        <v>6</v>
      </c>
      <c r="AO25" s="880"/>
      <c r="AP25" s="47" t="s">
        <v>63</v>
      </c>
      <c r="AQ25" s="757"/>
      <c r="AR25" s="757"/>
      <c r="AS25" s="757"/>
      <c r="AT25" s="757"/>
      <c r="AU25" s="757"/>
      <c r="AV25" s="757"/>
      <c r="AW25" s="477">
        <f>AS25+AT25</f>
        <v>0</v>
      </c>
      <c r="AX25" s="477">
        <f>AU25+AV25</f>
        <v>0</v>
      </c>
    </row>
    <row r="26" spans="1:50" x14ac:dyDescent="0.2">
      <c r="B26" s="47" t="s">
        <v>162</v>
      </c>
      <c r="C26" s="47"/>
      <c r="D26" s="57">
        <v>2</v>
      </c>
      <c r="E26" s="59">
        <v>1</v>
      </c>
      <c r="F26" s="59">
        <v>1</v>
      </c>
      <c r="G26" s="28"/>
      <c r="H26" s="36"/>
      <c r="I26" s="61"/>
      <c r="J26" s="61"/>
      <c r="K26" s="61"/>
      <c r="L26" s="61"/>
      <c r="M26" s="61"/>
      <c r="N26" s="61"/>
      <c r="O26" s="61"/>
      <c r="P26" s="61"/>
      <c r="Q26" s="36"/>
      <c r="R26" s="46">
        <v>3</v>
      </c>
      <c r="S26" s="46">
        <v>5</v>
      </c>
      <c r="T26" s="887"/>
      <c r="U26" s="47" t="s">
        <v>121</v>
      </c>
      <c r="V26" s="479">
        <f t="shared" si="9"/>
        <v>0</v>
      </c>
      <c r="W26" s="479">
        <f t="shared" si="9"/>
        <v>0</v>
      </c>
      <c r="X26" s="479">
        <f t="shared" si="10"/>
        <v>0</v>
      </c>
      <c r="Y26" s="479">
        <f t="shared" si="10"/>
        <v>0</v>
      </c>
      <c r="Z26" s="896"/>
      <c r="AA26" s="896"/>
      <c r="AB26" s="48" t="str">
        <f t="shared" ref="AB26:AB33" si="11">AB25</f>
        <v>Resolução ANEEL Nº 2.117 de 02 de Agosto de 2016</v>
      </c>
      <c r="AC26" s="28"/>
      <c r="AD26" s="28"/>
      <c r="AE26" s="28"/>
      <c r="AF26" s="31">
        <v>20</v>
      </c>
      <c r="AG26" s="32" t="s">
        <v>1126</v>
      </c>
      <c r="AH26" s="31">
        <v>0</v>
      </c>
      <c r="AI26" s="28"/>
      <c r="AJ26" s="28"/>
      <c r="AK26" s="883"/>
      <c r="AL26" s="487">
        <f>AL25</f>
        <v>2</v>
      </c>
      <c r="AM26" s="54">
        <v>4</v>
      </c>
      <c r="AN26" s="52">
        <v>5</v>
      </c>
      <c r="AO26" s="879" t="s">
        <v>168</v>
      </c>
      <c r="AP26" s="47" t="s">
        <v>121</v>
      </c>
      <c r="AQ26" s="757"/>
      <c r="AR26" s="757"/>
      <c r="AS26" s="757"/>
      <c r="AT26" s="757"/>
      <c r="AU26" s="757"/>
      <c r="AV26" s="757"/>
      <c r="AW26" s="477">
        <f t="shared" si="5"/>
        <v>0</v>
      </c>
      <c r="AX26" s="477">
        <f t="shared" si="6"/>
        <v>0</v>
      </c>
    </row>
    <row r="27" spans="1:50" x14ac:dyDescent="0.2">
      <c r="B27" s="47" t="s">
        <v>123</v>
      </c>
      <c r="C27" s="47"/>
      <c r="D27" s="57">
        <v>3</v>
      </c>
      <c r="E27" s="59">
        <v>1</v>
      </c>
      <c r="F27" s="59">
        <v>1</v>
      </c>
      <c r="G27" s="28"/>
      <c r="H27" s="62" t="s">
        <v>84</v>
      </c>
      <c r="I27" s="62" t="s">
        <v>85</v>
      </c>
      <c r="J27" s="62" t="s">
        <v>86</v>
      </c>
      <c r="K27" s="62" t="s">
        <v>87</v>
      </c>
      <c r="L27" s="62" t="s">
        <v>88</v>
      </c>
      <c r="M27" s="62" t="s">
        <v>89</v>
      </c>
      <c r="N27" s="62" t="s">
        <v>90</v>
      </c>
      <c r="O27" s="62" t="s">
        <v>182</v>
      </c>
      <c r="P27" s="62" t="s">
        <v>183</v>
      </c>
      <c r="Q27" s="36"/>
      <c r="R27" s="46">
        <v>3</v>
      </c>
      <c r="S27" s="46">
        <v>6</v>
      </c>
      <c r="T27" s="887"/>
      <c r="U27" s="47" t="s">
        <v>63</v>
      </c>
      <c r="V27" s="479">
        <f t="shared" ref="V27" si="12">AQ46</f>
        <v>0</v>
      </c>
      <c r="W27" s="479">
        <f t="shared" ref="W27" si="13">AR46</f>
        <v>0</v>
      </c>
      <c r="X27" s="479">
        <f t="shared" si="10"/>
        <v>0</v>
      </c>
      <c r="Y27" s="479">
        <f t="shared" si="10"/>
        <v>0</v>
      </c>
      <c r="Z27" s="896"/>
      <c r="AA27" s="896"/>
      <c r="AB27" s="48" t="str">
        <f t="shared" si="11"/>
        <v>Resolução ANEEL Nº 2.117 de 02 de Agosto de 2016</v>
      </c>
      <c r="AC27" s="28"/>
      <c r="AD27" s="28"/>
      <c r="AE27" s="28"/>
      <c r="AF27" s="31">
        <v>21</v>
      </c>
      <c r="AG27" s="32" t="s">
        <v>1127</v>
      </c>
      <c r="AH27" s="31">
        <v>0</v>
      </c>
      <c r="AI27" s="28"/>
      <c r="AJ27" s="28"/>
      <c r="AK27" s="883"/>
      <c r="AL27" s="487">
        <f>AL26</f>
        <v>2</v>
      </c>
      <c r="AM27" s="60">
        <v>4</v>
      </c>
      <c r="AN27" s="52">
        <v>6</v>
      </c>
      <c r="AO27" s="880"/>
      <c r="AP27" s="47" t="s">
        <v>63</v>
      </c>
      <c r="AQ27" s="757"/>
      <c r="AR27" s="757"/>
      <c r="AS27" s="757"/>
      <c r="AT27" s="757"/>
      <c r="AU27" s="757"/>
      <c r="AV27" s="757"/>
      <c r="AW27" s="477">
        <f t="shared" si="5"/>
        <v>0</v>
      </c>
      <c r="AX27" s="477">
        <f t="shared" si="6"/>
        <v>0</v>
      </c>
    </row>
    <row r="28" spans="1:50" x14ac:dyDescent="0.2">
      <c r="B28" s="47" t="s">
        <v>122</v>
      </c>
      <c r="C28" s="47"/>
      <c r="D28" s="57">
        <v>4</v>
      </c>
      <c r="E28" s="59">
        <v>1</v>
      </c>
      <c r="F28" s="59">
        <v>1</v>
      </c>
      <c r="G28" s="28"/>
      <c r="H28" s="63">
        <f>Apresentação!N7</f>
        <v>0.75</v>
      </c>
      <c r="I28" s="724">
        <f>VLOOKUP($H$28,$H$9:$P$25,2,FALSE)</f>
        <v>0.59289999999999998</v>
      </c>
      <c r="J28" s="724">
        <f>VLOOKUP($H$28,$H$9:$P$25,3,FALSE)</f>
        <v>5.1738799999999996</v>
      </c>
      <c r="K28" s="724">
        <f>VLOOKUP($H$28,$H$9:$P$25,4,FALSE)</f>
        <v>0.40135999999999999</v>
      </c>
      <c r="L28" s="724">
        <f>VLOOKUP($H$28,$H$9:$P$25,5,FALSE)</f>
        <v>0.28094999999999998</v>
      </c>
      <c r="M28" s="724">
        <f>VLOOKUP($H$28,$H$9:$P$25,6,FALSE)</f>
        <v>2.6325799999999999</v>
      </c>
      <c r="N28" s="724">
        <f>VLOOKUP($H$28,$H$9:$P$25,7,FALSE)</f>
        <v>1.8589899999999999</v>
      </c>
      <c r="O28" s="724">
        <f>VLOOKUP($H$28,$H$9:$P$25,8,FALSE)</f>
        <v>0.35118916666666666</v>
      </c>
      <c r="P28" s="724">
        <f>VLOOKUP($H$28,$H$9:$P$25,9,FALSE)</f>
        <v>2.3102508333333334</v>
      </c>
      <c r="Q28" s="36"/>
      <c r="R28" s="46">
        <v>3</v>
      </c>
      <c r="S28" s="46">
        <v>7</v>
      </c>
      <c r="T28" s="887"/>
      <c r="U28" s="55" t="s">
        <v>64</v>
      </c>
      <c r="V28" s="480">
        <f>AS49</f>
        <v>0</v>
      </c>
      <c r="W28" s="480">
        <f>AU49</f>
        <v>0</v>
      </c>
      <c r="X28" s="480">
        <f>AW49</f>
        <v>0</v>
      </c>
      <c r="Y28" s="480">
        <f>AX49</f>
        <v>0</v>
      </c>
      <c r="Z28" s="896"/>
      <c r="AA28" s="896"/>
      <c r="AB28" s="48" t="str">
        <f t="shared" si="11"/>
        <v>Resolução ANEEL Nº 2.117 de 02 de Agosto de 2016</v>
      </c>
      <c r="AC28" s="28"/>
      <c r="AD28" s="28"/>
      <c r="AE28" s="28"/>
      <c r="AF28" s="31">
        <v>22</v>
      </c>
      <c r="AG28" s="32" t="s">
        <v>1128</v>
      </c>
      <c r="AH28" s="31">
        <v>0</v>
      </c>
      <c r="AI28" s="28"/>
      <c r="AJ28" s="28"/>
      <c r="AK28" s="883"/>
      <c r="AL28" s="487">
        <f t="shared" ref="AL28:AL33" si="14">AL27</f>
        <v>2</v>
      </c>
      <c r="AM28" s="54">
        <v>5</v>
      </c>
      <c r="AN28" s="52">
        <v>7</v>
      </c>
      <c r="AO28" s="879" t="s">
        <v>166</v>
      </c>
      <c r="AP28" s="47" t="s">
        <v>64</v>
      </c>
      <c r="AQ28" s="53"/>
      <c r="AR28" s="53"/>
      <c r="AS28" s="757"/>
      <c r="AT28" s="757"/>
      <c r="AU28" s="757"/>
      <c r="AV28" s="757"/>
      <c r="AW28" s="713">
        <f t="shared" ref="AW28:AW31" si="15">AT28</f>
        <v>0</v>
      </c>
      <c r="AX28" s="713">
        <f t="shared" ref="AX28:AX31" si="16">AV28</f>
        <v>0</v>
      </c>
    </row>
    <row r="29" spans="1:50" x14ac:dyDescent="0.2">
      <c r="B29" s="47" t="s">
        <v>121</v>
      </c>
      <c r="C29" s="47"/>
      <c r="D29" s="57">
        <v>5</v>
      </c>
      <c r="E29" s="59">
        <v>1</v>
      </c>
      <c r="F29" s="59">
        <v>1</v>
      </c>
      <c r="G29" s="28"/>
      <c r="O29" s="64"/>
      <c r="P29" s="64"/>
      <c r="Q29" s="36"/>
      <c r="R29" s="46">
        <v>3</v>
      </c>
      <c r="S29" s="46">
        <v>8</v>
      </c>
      <c r="T29" s="887"/>
      <c r="U29" s="55" t="s">
        <v>150</v>
      </c>
      <c r="V29" s="480"/>
      <c r="W29" s="480"/>
      <c r="X29" s="480"/>
      <c r="Y29" s="480"/>
      <c r="Z29" s="896"/>
      <c r="AA29" s="896"/>
      <c r="AB29" s="48" t="str">
        <f t="shared" si="11"/>
        <v>Resolução ANEEL Nº 2.117 de 02 de Agosto de 2016</v>
      </c>
      <c r="AC29" s="28"/>
      <c r="AD29" s="28"/>
      <c r="AE29" s="28"/>
      <c r="AF29" s="31">
        <v>23</v>
      </c>
      <c r="AG29" s="32" t="s">
        <v>1129</v>
      </c>
      <c r="AH29" s="31">
        <v>0</v>
      </c>
      <c r="AI29" s="28"/>
      <c r="AJ29" s="28"/>
      <c r="AK29" s="883"/>
      <c r="AL29" s="487">
        <f t="shared" si="14"/>
        <v>2</v>
      </c>
      <c r="AM29" s="54">
        <v>5</v>
      </c>
      <c r="AN29" s="52">
        <v>8</v>
      </c>
      <c r="AO29" s="881"/>
      <c r="AP29" s="47" t="s">
        <v>150</v>
      </c>
      <c r="AQ29" s="53"/>
      <c r="AR29" s="53"/>
      <c r="AS29" s="757"/>
      <c r="AT29" s="757"/>
      <c r="AU29" s="757"/>
      <c r="AV29" s="757"/>
      <c r="AW29" s="713">
        <f t="shared" si="15"/>
        <v>0</v>
      </c>
      <c r="AX29" s="713">
        <f t="shared" si="16"/>
        <v>0</v>
      </c>
    </row>
    <row r="30" spans="1:50" x14ac:dyDescent="0.2">
      <c r="B30" s="47" t="s">
        <v>63</v>
      </c>
      <c r="C30" s="47"/>
      <c r="D30" s="57">
        <v>6</v>
      </c>
      <c r="E30" s="59">
        <v>1</v>
      </c>
      <c r="F30" s="59">
        <v>1</v>
      </c>
      <c r="G30" s="28"/>
      <c r="H30" s="36"/>
      <c r="I30" s="61"/>
      <c r="J30" s="61"/>
      <c r="K30" s="61"/>
      <c r="L30" s="61"/>
      <c r="M30" s="65"/>
      <c r="N30" s="61"/>
      <c r="O30" s="61"/>
      <c r="P30" s="61"/>
      <c r="Q30" s="36"/>
      <c r="R30" s="46">
        <v>3</v>
      </c>
      <c r="S30" s="46">
        <v>9</v>
      </c>
      <c r="T30" s="887"/>
      <c r="U30" s="55" t="s">
        <v>179</v>
      </c>
      <c r="V30" s="480"/>
      <c r="W30" s="480"/>
      <c r="X30" s="480"/>
      <c r="Y30" s="480"/>
      <c r="Z30" s="896"/>
      <c r="AA30" s="896"/>
      <c r="AB30" s="48" t="str">
        <f t="shared" si="11"/>
        <v>Resolução ANEEL Nº 2.117 de 02 de Agosto de 2016</v>
      </c>
      <c r="AC30" s="28"/>
      <c r="AD30" s="28"/>
      <c r="AE30" s="28"/>
      <c r="AF30" s="31">
        <v>24</v>
      </c>
      <c r="AG30" s="32" t="s">
        <v>1130</v>
      </c>
      <c r="AH30" s="31">
        <v>0</v>
      </c>
      <c r="AI30" s="28"/>
      <c r="AJ30" s="28"/>
      <c r="AK30" s="883"/>
      <c r="AL30" s="487">
        <f t="shared" si="14"/>
        <v>2</v>
      </c>
      <c r="AM30" s="54">
        <v>5</v>
      </c>
      <c r="AN30" s="52">
        <v>9</v>
      </c>
      <c r="AO30" s="881"/>
      <c r="AP30" s="47" t="s">
        <v>179</v>
      </c>
      <c r="AQ30" s="53"/>
      <c r="AR30" s="758"/>
      <c r="AS30" s="757"/>
      <c r="AT30" s="757"/>
      <c r="AU30" s="757"/>
      <c r="AV30" s="757"/>
      <c r="AW30" s="713">
        <f t="shared" si="15"/>
        <v>0</v>
      </c>
      <c r="AX30" s="713">
        <f t="shared" si="16"/>
        <v>0</v>
      </c>
    </row>
    <row r="31" spans="1:50" x14ac:dyDescent="0.2">
      <c r="B31" s="47" t="s">
        <v>64</v>
      </c>
      <c r="C31" s="47"/>
      <c r="D31" s="57">
        <v>7</v>
      </c>
      <c r="E31" s="59">
        <v>1.2</v>
      </c>
      <c r="F31" s="59">
        <v>1.08</v>
      </c>
      <c r="G31" s="28"/>
      <c r="H31" s="911" t="s">
        <v>101</v>
      </c>
      <c r="I31" s="911"/>
      <c r="J31" s="911"/>
      <c r="K31" s="911"/>
      <c r="L31" s="911"/>
      <c r="M31" s="911"/>
      <c r="N31" s="911"/>
      <c r="O31" s="911"/>
      <c r="P31" s="61"/>
      <c r="Q31" s="36"/>
      <c r="R31" s="46">
        <v>3</v>
      </c>
      <c r="S31" s="46">
        <v>10</v>
      </c>
      <c r="T31" s="887"/>
      <c r="U31" s="55" t="s">
        <v>180</v>
      </c>
      <c r="V31" s="480"/>
      <c r="W31" s="480"/>
      <c r="X31" s="480"/>
      <c r="Y31" s="480"/>
      <c r="Z31" s="896"/>
      <c r="AA31" s="896"/>
      <c r="AB31" s="48" t="str">
        <f t="shared" si="11"/>
        <v>Resolução ANEEL Nº 2.117 de 02 de Agosto de 2016</v>
      </c>
      <c r="AC31" s="28"/>
      <c r="AD31" s="28"/>
      <c r="AE31" s="28"/>
      <c r="AF31" s="31">
        <v>25</v>
      </c>
      <c r="AG31" s="32" t="s">
        <v>1131</v>
      </c>
      <c r="AH31" s="31">
        <v>0</v>
      </c>
      <c r="AI31" s="28"/>
      <c r="AJ31" s="28"/>
      <c r="AK31" s="883"/>
      <c r="AL31" s="487">
        <f t="shared" si="14"/>
        <v>2</v>
      </c>
      <c r="AM31" s="54">
        <v>5</v>
      </c>
      <c r="AN31" s="52">
        <v>10</v>
      </c>
      <c r="AO31" s="881"/>
      <c r="AP31" s="47" t="s">
        <v>180</v>
      </c>
      <c r="AQ31" s="53"/>
      <c r="AR31" s="53"/>
      <c r="AS31" s="757"/>
      <c r="AT31" s="757"/>
      <c r="AU31" s="757"/>
      <c r="AV31" s="757"/>
      <c r="AW31" s="713">
        <f t="shared" si="15"/>
        <v>0</v>
      </c>
      <c r="AX31" s="713">
        <f t="shared" si="16"/>
        <v>0</v>
      </c>
    </row>
    <row r="32" spans="1:50" x14ac:dyDescent="0.2">
      <c r="B32" s="47" t="s">
        <v>150</v>
      </c>
      <c r="C32" s="47"/>
      <c r="D32" s="57">
        <v>8</v>
      </c>
      <c r="E32" s="59">
        <v>1.2</v>
      </c>
      <c r="F32" s="59">
        <v>1.08</v>
      </c>
      <c r="G32" s="28"/>
      <c r="H32" s="911" t="s">
        <v>102</v>
      </c>
      <c r="I32" s="911"/>
      <c r="J32" s="911"/>
      <c r="K32" s="911"/>
      <c r="L32" s="911"/>
      <c r="M32" s="911"/>
      <c r="N32" s="911"/>
      <c r="O32" s="28"/>
      <c r="P32" s="28"/>
      <c r="Q32" s="36"/>
      <c r="R32" s="46">
        <v>3</v>
      </c>
      <c r="S32" s="46">
        <v>11</v>
      </c>
      <c r="T32" s="887"/>
      <c r="U32" s="55" t="s">
        <v>151</v>
      </c>
      <c r="V32" s="480">
        <f>AS53</f>
        <v>0</v>
      </c>
      <c r="W32" s="480">
        <f>AU53</f>
        <v>0</v>
      </c>
      <c r="X32" s="480">
        <f>AW53</f>
        <v>0</v>
      </c>
      <c r="Y32" s="480">
        <f>AX53</f>
        <v>0</v>
      </c>
      <c r="Z32" s="896"/>
      <c r="AA32" s="896"/>
      <c r="AB32" s="48" t="str">
        <f t="shared" si="11"/>
        <v>Resolução ANEEL Nº 2.117 de 02 de Agosto de 2016</v>
      </c>
      <c r="AC32" s="28"/>
      <c r="AD32" s="28"/>
      <c r="AE32" s="28"/>
      <c r="AF32" s="31">
        <v>26</v>
      </c>
      <c r="AG32" s="32" t="s">
        <v>1132</v>
      </c>
      <c r="AH32" s="31">
        <v>0</v>
      </c>
      <c r="AI32" s="28"/>
      <c r="AJ32" s="28"/>
      <c r="AK32" s="883"/>
      <c r="AL32" s="487">
        <f t="shared" si="14"/>
        <v>2</v>
      </c>
      <c r="AM32" s="54">
        <v>5</v>
      </c>
      <c r="AN32" s="52">
        <v>11</v>
      </c>
      <c r="AO32" s="881"/>
      <c r="AP32" s="47" t="s">
        <v>151</v>
      </c>
      <c r="AQ32" s="53"/>
      <c r="AR32" s="53"/>
      <c r="AS32" s="757"/>
      <c r="AT32" s="757"/>
      <c r="AU32" s="757"/>
      <c r="AV32" s="757"/>
      <c r="AW32" s="713">
        <f>AT32</f>
        <v>0</v>
      </c>
      <c r="AX32" s="713">
        <f>AV32</f>
        <v>0</v>
      </c>
    </row>
    <row r="33" spans="1:50" x14ac:dyDescent="0.2">
      <c r="B33" s="47" t="s">
        <v>179</v>
      </c>
      <c r="C33" s="47"/>
      <c r="D33" s="57">
        <v>9</v>
      </c>
      <c r="E33" s="59">
        <v>1.2</v>
      </c>
      <c r="F33" s="59">
        <v>1.08</v>
      </c>
      <c r="G33" s="28"/>
      <c r="H33" s="911" t="s">
        <v>103</v>
      </c>
      <c r="I33" s="911"/>
      <c r="J33" s="911"/>
      <c r="K33" s="911"/>
      <c r="L33" s="911"/>
      <c r="M33" s="911"/>
      <c r="N33" s="911"/>
      <c r="O33" s="28"/>
      <c r="P33" s="28"/>
      <c r="Q33" s="36"/>
      <c r="R33" s="46">
        <v>3</v>
      </c>
      <c r="S33" s="46">
        <v>12</v>
      </c>
      <c r="T33" s="888"/>
      <c r="U33" s="55" t="s">
        <v>181</v>
      </c>
      <c r="V33" s="472"/>
      <c r="W33" s="472"/>
      <c r="X33" s="472"/>
      <c r="Y33" s="472"/>
      <c r="Z33" s="897"/>
      <c r="AA33" s="897"/>
      <c r="AB33" s="48" t="str">
        <f t="shared" si="11"/>
        <v>Resolução ANEEL Nº 2.117 de 02 de Agosto de 2016</v>
      </c>
      <c r="AC33" s="28"/>
      <c r="AD33" s="28"/>
      <c r="AE33" s="28"/>
      <c r="AF33" s="31">
        <v>27</v>
      </c>
      <c r="AG33" s="32" t="s">
        <v>1133</v>
      </c>
      <c r="AH33" s="31">
        <v>0</v>
      </c>
      <c r="AI33" s="28"/>
      <c r="AJ33" s="28"/>
      <c r="AK33" s="884"/>
      <c r="AL33" s="488">
        <f t="shared" si="14"/>
        <v>2</v>
      </c>
      <c r="AM33" s="60">
        <v>5</v>
      </c>
      <c r="AN33" s="52">
        <v>12</v>
      </c>
      <c r="AO33" s="880"/>
      <c r="AP33" s="47" t="s">
        <v>181</v>
      </c>
      <c r="AQ33" s="53"/>
      <c r="AR33" s="53"/>
      <c r="AS33" s="53"/>
      <c r="AT33" s="53"/>
      <c r="AU33" s="53"/>
      <c r="AV33" s="53"/>
    </row>
    <row r="34" spans="1:50" x14ac:dyDescent="0.2">
      <c r="B34" s="47" t="s">
        <v>180</v>
      </c>
      <c r="C34" s="47"/>
      <c r="D34" s="57">
        <v>10</v>
      </c>
      <c r="E34" s="59">
        <v>1.2</v>
      </c>
      <c r="F34" s="59">
        <v>1.08</v>
      </c>
      <c r="G34" s="28"/>
      <c r="H34" s="28"/>
      <c r="I34" s="28"/>
      <c r="J34" s="28"/>
      <c r="K34" s="711" t="s">
        <v>1086</v>
      </c>
      <c r="L34" s="711" t="s">
        <v>1084</v>
      </c>
      <c r="M34" s="711" t="s">
        <v>1085</v>
      </c>
      <c r="N34" s="28"/>
      <c r="O34" s="28"/>
      <c r="P34" s="28"/>
      <c r="Q34" s="36"/>
      <c r="R34" s="46">
        <v>4</v>
      </c>
      <c r="S34" s="46">
        <v>2</v>
      </c>
      <c r="T34" s="886">
        <v>2017</v>
      </c>
      <c r="U34" s="47" t="s">
        <v>162</v>
      </c>
      <c r="V34" s="479">
        <f>AQ63</f>
        <v>0</v>
      </c>
      <c r="W34" s="479">
        <f>AR63</f>
        <v>0</v>
      </c>
      <c r="X34" s="479">
        <f>AW63</f>
        <v>0</v>
      </c>
      <c r="Y34" s="479">
        <f>AX63</f>
        <v>0</v>
      </c>
      <c r="Z34" s="895">
        <v>42065</v>
      </c>
      <c r="AA34" s="895">
        <v>42222</v>
      </c>
      <c r="AB34" s="48" t="s">
        <v>1107</v>
      </c>
      <c r="AC34" s="28"/>
      <c r="AD34" s="28"/>
      <c r="AE34" s="28"/>
      <c r="AF34" s="31">
        <v>28</v>
      </c>
      <c r="AG34" s="32" t="s">
        <v>1134</v>
      </c>
      <c r="AH34" s="31">
        <v>0</v>
      </c>
      <c r="AI34" s="28"/>
      <c r="AJ34" s="28"/>
      <c r="AK34" s="882">
        <v>2016</v>
      </c>
      <c r="AL34" s="486">
        <v>3</v>
      </c>
      <c r="AM34" s="51">
        <v>2</v>
      </c>
      <c r="AN34" s="52">
        <v>5</v>
      </c>
      <c r="AO34" s="879" t="s">
        <v>153</v>
      </c>
      <c r="AP34" s="47" t="s">
        <v>121</v>
      </c>
      <c r="AQ34" s="53"/>
      <c r="AR34" s="53"/>
      <c r="AS34" s="53"/>
      <c r="AT34" s="53"/>
      <c r="AU34" s="53"/>
      <c r="AV34" s="53"/>
      <c r="AW34" s="477">
        <f t="shared" ref="AW34:AW62" si="17">AS34+AT34</f>
        <v>0</v>
      </c>
      <c r="AX34" s="477">
        <f t="shared" ref="AX34:AX62" si="18">AU34+AV34</f>
        <v>0</v>
      </c>
    </row>
    <row r="35" spans="1:50" x14ac:dyDescent="0.2">
      <c r="B35" s="47" t="s">
        <v>151</v>
      </c>
      <c r="C35" s="47"/>
      <c r="D35" s="57">
        <v>11</v>
      </c>
      <c r="E35" s="59">
        <v>1.2</v>
      </c>
      <c r="F35" s="59">
        <v>1.08</v>
      </c>
      <c r="G35" s="28"/>
      <c r="H35" s="28" t="s">
        <v>36</v>
      </c>
      <c r="I35" s="34">
        <f>IFERROR((($X$7*$O$28)+($Y$7*$P$28))/($O$28+$P$28),0)</f>
        <v>308.04024884085311</v>
      </c>
      <c r="J35" s="34"/>
      <c r="K35" s="712"/>
      <c r="L35" s="34"/>
      <c r="M35" s="34"/>
      <c r="N35" s="28"/>
      <c r="O35" s="28"/>
      <c r="P35" s="28"/>
      <c r="Q35" s="36"/>
      <c r="R35" s="46">
        <v>4</v>
      </c>
      <c r="S35" s="46">
        <v>3</v>
      </c>
      <c r="T35" s="887"/>
      <c r="U35" s="47" t="s">
        <v>123</v>
      </c>
      <c r="V35" s="479">
        <f t="shared" ref="V35:W38" si="19">AQ64</f>
        <v>0</v>
      </c>
      <c r="W35" s="479">
        <f t="shared" si="19"/>
        <v>0</v>
      </c>
      <c r="X35" s="479">
        <f t="shared" ref="X35:Y38" si="20">AW64</f>
        <v>0</v>
      </c>
      <c r="Y35" s="479">
        <f t="shared" si="20"/>
        <v>0</v>
      </c>
      <c r="Z35" s="896"/>
      <c r="AA35" s="896"/>
      <c r="AB35" s="48" t="str">
        <f t="shared" ref="AB35:AB98" si="21">AB34</f>
        <v>Resolução ANEEL Nº 2.284 de 31 de julho de 2017</v>
      </c>
      <c r="AC35" s="28"/>
      <c r="AD35" s="28"/>
      <c r="AE35" s="28"/>
      <c r="AF35" s="31">
        <v>29</v>
      </c>
      <c r="AG35" s="32" t="s">
        <v>1135</v>
      </c>
      <c r="AH35" s="31">
        <v>0</v>
      </c>
      <c r="AI35" s="28"/>
      <c r="AJ35" s="28"/>
      <c r="AK35" s="883"/>
      <c r="AL35" s="487">
        <f t="shared" ref="AL35:AM41" si="22">AL34</f>
        <v>3</v>
      </c>
      <c r="AM35" s="54">
        <f t="shared" si="22"/>
        <v>2</v>
      </c>
      <c r="AN35" s="52">
        <v>6</v>
      </c>
      <c r="AO35" s="881"/>
      <c r="AP35" s="47" t="s">
        <v>63</v>
      </c>
      <c r="AQ35" s="53"/>
      <c r="AR35" s="53"/>
      <c r="AS35" s="53"/>
      <c r="AT35" s="53"/>
      <c r="AU35" s="53"/>
      <c r="AV35" s="53"/>
      <c r="AW35" s="477">
        <f t="shared" si="17"/>
        <v>0</v>
      </c>
      <c r="AX35" s="477">
        <f t="shared" si="18"/>
        <v>0</v>
      </c>
    </row>
    <row r="36" spans="1:50" x14ac:dyDescent="0.2">
      <c r="B36" s="47" t="s">
        <v>181</v>
      </c>
      <c r="C36" s="47"/>
      <c r="D36" s="57">
        <v>12</v>
      </c>
      <c r="E36" s="59">
        <v>1.2</v>
      </c>
      <c r="F36" s="59">
        <v>1.08</v>
      </c>
      <c r="G36" s="28"/>
      <c r="H36" s="28" t="s">
        <v>34</v>
      </c>
      <c r="I36" s="34">
        <f>IFERROR(IF(Apresentação!$E$18&gt;Apoio!$D$30,(((Apoio!$V$7*12*Apoio!$F$51*Apoio!$H$28)/1000)+((Apoio!$W$7*12*Apoio!$F$52*Apoio!$H$28*Apoio!$I$28)/1000)),((12*Apoio!$V$7)+(12*Apoio!$W$7*Apoio!$I$28))),0)</f>
        <v>972.17356799999993</v>
      </c>
      <c r="J36" s="34"/>
      <c r="K36" s="34"/>
      <c r="L36" s="34"/>
      <c r="M36" s="34"/>
      <c r="N36" s="28"/>
      <c r="O36" s="28"/>
      <c r="P36" s="28"/>
      <c r="Q36" s="28"/>
      <c r="R36" s="46">
        <v>4</v>
      </c>
      <c r="S36" s="46">
        <v>4</v>
      </c>
      <c r="T36" s="887"/>
      <c r="U36" s="47" t="s">
        <v>122</v>
      </c>
      <c r="V36" s="479">
        <f t="shared" si="19"/>
        <v>0</v>
      </c>
      <c r="W36" s="479">
        <f t="shared" si="19"/>
        <v>0</v>
      </c>
      <c r="X36" s="479">
        <f t="shared" si="20"/>
        <v>0</v>
      </c>
      <c r="Y36" s="479">
        <f t="shared" si="20"/>
        <v>0</v>
      </c>
      <c r="Z36" s="896"/>
      <c r="AA36" s="896"/>
      <c r="AB36" s="48" t="str">
        <f t="shared" si="21"/>
        <v>Resolução ANEEL Nº 2.284 de 31 de julho de 2017</v>
      </c>
      <c r="AC36" s="28"/>
      <c r="AD36" s="28"/>
      <c r="AE36" s="28"/>
      <c r="AF36" s="31">
        <v>30</v>
      </c>
      <c r="AG36" s="32" t="s">
        <v>1136</v>
      </c>
      <c r="AH36" s="31">
        <v>0</v>
      </c>
      <c r="AI36" s="28"/>
      <c r="AJ36" s="28"/>
      <c r="AK36" s="883"/>
      <c r="AL36" s="487">
        <f t="shared" si="22"/>
        <v>3</v>
      </c>
      <c r="AM36" s="54">
        <f>AM34</f>
        <v>2</v>
      </c>
      <c r="AN36" s="52">
        <v>7</v>
      </c>
      <c r="AO36" s="881"/>
      <c r="AP36" s="47" t="s">
        <v>64</v>
      </c>
      <c r="AQ36" s="53"/>
      <c r="AR36" s="53"/>
      <c r="AS36" s="53"/>
      <c r="AT36" s="53"/>
      <c r="AU36" s="53"/>
      <c r="AV36" s="53"/>
      <c r="AW36" s="477">
        <f t="shared" si="17"/>
        <v>0</v>
      </c>
      <c r="AX36" s="477">
        <f t="shared" si="18"/>
        <v>0</v>
      </c>
    </row>
    <row r="37" spans="1:50" x14ac:dyDescent="0.2">
      <c r="B37" s="29"/>
      <c r="C37" s="29"/>
      <c r="D37" s="29"/>
      <c r="E37" s="29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46">
        <v>4</v>
      </c>
      <c r="S37" s="46">
        <v>5</v>
      </c>
      <c r="T37" s="887"/>
      <c r="U37" s="47" t="s">
        <v>121</v>
      </c>
      <c r="V37" s="479">
        <f t="shared" si="19"/>
        <v>0</v>
      </c>
      <c r="W37" s="479">
        <f t="shared" si="19"/>
        <v>0</v>
      </c>
      <c r="X37" s="479">
        <f t="shared" si="20"/>
        <v>0</v>
      </c>
      <c r="Y37" s="479">
        <f t="shared" si="20"/>
        <v>0</v>
      </c>
      <c r="Z37" s="896"/>
      <c r="AA37" s="896"/>
      <c r="AB37" s="48" t="str">
        <f t="shared" si="21"/>
        <v>Resolução ANEEL Nº 2.284 de 31 de julho de 2017</v>
      </c>
      <c r="AC37" s="28"/>
      <c r="AD37" s="28"/>
      <c r="AE37" s="28"/>
      <c r="AF37" s="31">
        <v>31</v>
      </c>
      <c r="AG37" s="32" t="s">
        <v>1137</v>
      </c>
      <c r="AH37" s="31">
        <v>0</v>
      </c>
      <c r="AI37" s="28"/>
      <c r="AJ37" s="28"/>
      <c r="AK37" s="883"/>
      <c r="AL37" s="487">
        <f t="shared" si="22"/>
        <v>3</v>
      </c>
      <c r="AM37" s="54">
        <f>AM34</f>
        <v>2</v>
      </c>
      <c r="AN37" s="52">
        <v>8</v>
      </c>
      <c r="AO37" s="881"/>
      <c r="AP37" s="47" t="s">
        <v>150</v>
      </c>
      <c r="AQ37" s="53"/>
      <c r="AR37" s="53"/>
      <c r="AS37" s="53"/>
      <c r="AT37" s="53"/>
      <c r="AU37" s="53"/>
      <c r="AV37" s="53"/>
      <c r="AW37" s="477">
        <f t="shared" si="17"/>
        <v>0</v>
      </c>
      <c r="AX37" s="477">
        <f t="shared" si="18"/>
        <v>0</v>
      </c>
    </row>
    <row r="38" spans="1:50" x14ac:dyDescent="0.2">
      <c r="B38" s="889" t="s">
        <v>152</v>
      </c>
      <c r="C38" s="890"/>
      <c r="D38" s="890"/>
      <c r="E38" s="890"/>
      <c r="F38" s="891"/>
      <c r="G38" s="28"/>
      <c r="H38" s="910" t="s">
        <v>719</v>
      </c>
      <c r="I38" s="910"/>
      <c r="J38" s="295">
        <f>IF(Apresentação!M4&gt;3,0,IF(Apresentação!E16=1,0,IF(Apresentação!E16=2,0.8,1)))</f>
        <v>0</v>
      </c>
      <c r="K38" s="28"/>
      <c r="L38" s="28"/>
      <c r="M38" s="28"/>
      <c r="N38" s="28"/>
      <c r="O38" s="28"/>
      <c r="P38" s="28"/>
      <c r="Q38" s="28"/>
      <c r="R38" s="46">
        <v>4</v>
      </c>
      <c r="S38" s="46">
        <v>6</v>
      </c>
      <c r="T38" s="887"/>
      <c r="U38" s="47" t="s">
        <v>63</v>
      </c>
      <c r="V38" s="479">
        <f t="shared" si="19"/>
        <v>0</v>
      </c>
      <c r="W38" s="479">
        <f t="shared" si="19"/>
        <v>0</v>
      </c>
      <c r="X38" s="479">
        <f t="shared" si="20"/>
        <v>0</v>
      </c>
      <c r="Y38" s="479">
        <f t="shared" si="20"/>
        <v>0</v>
      </c>
      <c r="Z38" s="896"/>
      <c r="AA38" s="896"/>
      <c r="AB38" s="48" t="str">
        <f t="shared" si="21"/>
        <v>Resolução ANEEL Nº 2.284 de 31 de julho de 2017</v>
      </c>
      <c r="AC38" s="28"/>
      <c r="AD38" s="28"/>
      <c r="AE38" s="28"/>
      <c r="AF38" s="31">
        <v>32</v>
      </c>
      <c r="AG38" s="32" t="s">
        <v>1138</v>
      </c>
      <c r="AH38" s="31">
        <v>0</v>
      </c>
      <c r="AI38" s="28"/>
      <c r="AJ38" s="28"/>
      <c r="AK38" s="883"/>
      <c r="AL38" s="487">
        <f t="shared" si="22"/>
        <v>3</v>
      </c>
      <c r="AM38" s="54">
        <f>AM34</f>
        <v>2</v>
      </c>
      <c r="AN38" s="52">
        <v>9</v>
      </c>
      <c r="AO38" s="881"/>
      <c r="AP38" s="47" t="s">
        <v>179</v>
      </c>
      <c r="AQ38" s="53"/>
      <c r="AR38" s="53"/>
      <c r="AS38" s="53"/>
      <c r="AT38" s="53"/>
      <c r="AU38" s="53"/>
      <c r="AV38" s="53"/>
      <c r="AW38" s="477">
        <f t="shared" si="17"/>
        <v>0</v>
      </c>
      <c r="AX38" s="477">
        <f t="shared" si="18"/>
        <v>0</v>
      </c>
    </row>
    <row r="39" spans="1:50" x14ac:dyDescent="0.2">
      <c r="B39" s="66" t="s">
        <v>195</v>
      </c>
      <c r="C39" s="110"/>
      <c r="D39" s="67"/>
      <c r="E39" s="67"/>
      <c r="F39" s="68"/>
      <c r="G39" s="28"/>
      <c r="H39" s="28"/>
      <c r="I39" s="291"/>
      <c r="J39" s="28"/>
      <c r="K39" s="28"/>
      <c r="L39" s="28"/>
      <c r="M39" s="28"/>
      <c r="N39" s="28"/>
      <c r="O39" s="28"/>
      <c r="P39" s="28"/>
      <c r="Q39" s="28"/>
      <c r="R39" s="46">
        <v>4</v>
      </c>
      <c r="S39" s="46">
        <v>7</v>
      </c>
      <c r="T39" s="887"/>
      <c r="U39" s="55" t="s">
        <v>64</v>
      </c>
      <c r="V39" s="480">
        <f>AS70</f>
        <v>0</v>
      </c>
      <c r="W39" s="480">
        <f>AU70</f>
        <v>0</v>
      </c>
      <c r="X39" s="480">
        <f>AW70</f>
        <v>0</v>
      </c>
      <c r="Y39" s="480">
        <f>AX70</f>
        <v>0</v>
      </c>
      <c r="Z39" s="896"/>
      <c r="AA39" s="896"/>
      <c r="AB39" s="48" t="str">
        <f t="shared" si="21"/>
        <v>Resolução ANEEL Nº 2.284 de 31 de julho de 2017</v>
      </c>
      <c r="AC39" s="28"/>
      <c r="AD39" s="28"/>
      <c r="AE39" s="28"/>
      <c r="AF39" s="31">
        <v>33</v>
      </c>
      <c r="AG39" s="32" t="s">
        <v>1139</v>
      </c>
      <c r="AH39" s="31">
        <v>0</v>
      </c>
      <c r="AI39" s="28"/>
      <c r="AJ39" s="28"/>
      <c r="AK39" s="883"/>
      <c r="AL39" s="487">
        <f t="shared" si="22"/>
        <v>3</v>
      </c>
      <c r="AM39" s="54">
        <f>AM35</f>
        <v>2</v>
      </c>
      <c r="AN39" s="56">
        <v>10</v>
      </c>
      <c r="AO39" s="881"/>
      <c r="AP39" s="47" t="s">
        <v>180</v>
      </c>
      <c r="AQ39" s="53"/>
      <c r="AR39" s="53"/>
      <c r="AS39" s="53"/>
      <c r="AT39" s="53"/>
      <c r="AU39" s="53"/>
      <c r="AV39" s="53"/>
      <c r="AW39" s="477">
        <f t="shared" si="17"/>
        <v>0</v>
      </c>
      <c r="AX39" s="477">
        <f t="shared" si="18"/>
        <v>0</v>
      </c>
    </row>
    <row r="40" spans="1:50" x14ac:dyDescent="0.2">
      <c r="B40" s="892" t="s">
        <v>153</v>
      </c>
      <c r="C40" s="893"/>
      <c r="D40" s="893"/>
      <c r="E40" s="893"/>
      <c r="F40" s="894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46">
        <v>4</v>
      </c>
      <c r="S40" s="46">
        <v>8</v>
      </c>
      <c r="T40" s="887"/>
      <c r="U40" s="55" t="s">
        <v>150</v>
      </c>
      <c r="V40" s="480">
        <f>AS71</f>
        <v>0</v>
      </c>
      <c r="W40" s="480">
        <f>AU71</f>
        <v>0</v>
      </c>
      <c r="X40" s="480">
        <f t="shared" ref="X40:Y41" si="23">AW71</f>
        <v>0</v>
      </c>
      <c r="Y40" s="480">
        <f t="shared" si="23"/>
        <v>0</v>
      </c>
      <c r="Z40" s="896"/>
      <c r="AA40" s="896"/>
      <c r="AB40" s="48" t="str">
        <f t="shared" si="21"/>
        <v>Resolução ANEEL Nº 2.284 de 31 de julho de 2017</v>
      </c>
      <c r="AC40" s="28"/>
      <c r="AD40" s="28"/>
      <c r="AE40" s="28"/>
      <c r="AF40" s="31">
        <v>34</v>
      </c>
      <c r="AG40" s="32" t="s">
        <v>1140</v>
      </c>
      <c r="AH40" s="31">
        <v>0</v>
      </c>
      <c r="AI40" s="28"/>
      <c r="AJ40" s="28"/>
      <c r="AK40" s="883"/>
      <c r="AL40" s="487">
        <f t="shared" si="22"/>
        <v>3</v>
      </c>
      <c r="AM40" s="54">
        <f>AM36</f>
        <v>2</v>
      </c>
      <c r="AN40" s="56">
        <v>11</v>
      </c>
      <c r="AO40" s="881"/>
      <c r="AP40" s="47" t="s">
        <v>151</v>
      </c>
      <c r="AQ40" s="53"/>
      <c r="AR40" s="53"/>
      <c r="AS40" s="53"/>
      <c r="AT40" s="53"/>
      <c r="AU40" s="53"/>
      <c r="AV40" s="53"/>
      <c r="AW40" s="477">
        <f t="shared" si="17"/>
        <v>0</v>
      </c>
      <c r="AX40" s="477">
        <f t="shared" si="18"/>
        <v>0</v>
      </c>
    </row>
    <row r="41" spans="1:50" x14ac:dyDescent="0.2">
      <c r="B41" s="892" t="s">
        <v>167</v>
      </c>
      <c r="C41" s="893"/>
      <c r="D41" s="893"/>
      <c r="E41" s="893"/>
      <c r="F41" s="894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46">
        <v>4</v>
      </c>
      <c r="S41" s="46">
        <v>9</v>
      </c>
      <c r="T41" s="887"/>
      <c r="U41" s="55" t="s">
        <v>179</v>
      </c>
      <c r="V41" s="480">
        <f>AS72</f>
        <v>0</v>
      </c>
      <c r="W41" s="480">
        <f>AU72</f>
        <v>0</v>
      </c>
      <c r="X41" s="480">
        <f t="shared" si="23"/>
        <v>0</v>
      </c>
      <c r="Y41" s="480">
        <f t="shared" si="23"/>
        <v>0</v>
      </c>
      <c r="Z41" s="896"/>
      <c r="AA41" s="896"/>
      <c r="AB41" s="48" t="str">
        <f t="shared" si="21"/>
        <v>Resolução ANEEL Nº 2.284 de 31 de julho de 2017</v>
      </c>
      <c r="AC41" s="28"/>
      <c r="AD41" s="28"/>
      <c r="AE41" s="28"/>
      <c r="AF41" s="31">
        <v>35</v>
      </c>
      <c r="AG41" s="32" t="s">
        <v>1141</v>
      </c>
      <c r="AH41" s="31">
        <v>0</v>
      </c>
      <c r="AI41" s="28"/>
      <c r="AJ41" s="28"/>
      <c r="AK41" s="883"/>
      <c r="AL41" s="487">
        <f t="shared" si="22"/>
        <v>3</v>
      </c>
      <c r="AM41" s="54">
        <f>AM37</f>
        <v>2</v>
      </c>
      <c r="AN41" s="56">
        <v>12</v>
      </c>
      <c r="AO41" s="880"/>
      <c r="AP41" s="47" t="s">
        <v>181</v>
      </c>
      <c r="AQ41" s="53"/>
      <c r="AR41" s="53"/>
      <c r="AS41" s="53"/>
      <c r="AT41" s="53"/>
      <c r="AU41" s="53"/>
      <c r="AV41" s="53"/>
      <c r="AW41" s="477">
        <f t="shared" si="17"/>
        <v>0</v>
      </c>
      <c r="AX41" s="477">
        <f t="shared" si="18"/>
        <v>0</v>
      </c>
    </row>
    <row r="42" spans="1:50" x14ac:dyDescent="0.2">
      <c r="B42" s="892" t="s">
        <v>168</v>
      </c>
      <c r="C42" s="893"/>
      <c r="D42" s="893"/>
      <c r="E42" s="893"/>
      <c r="F42" s="894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46">
        <v>4</v>
      </c>
      <c r="S42" s="46">
        <v>10</v>
      </c>
      <c r="T42" s="887"/>
      <c r="U42" s="55" t="s">
        <v>180</v>
      </c>
      <c r="V42" s="480">
        <f>AS73</f>
        <v>0</v>
      </c>
      <c r="W42" s="480">
        <f>AU73</f>
        <v>0</v>
      </c>
      <c r="X42" s="480">
        <f>AW73</f>
        <v>0</v>
      </c>
      <c r="Y42" s="480">
        <f>AX73</f>
        <v>0</v>
      </c>
      <c r="Z42" s="896"/>
      <c r="AA42" s="896"/>
      <c r="AB42" s="48" t="str">
        <f>AB41</f>
        <v>Resolução ANEEL Nº 2.284 de 31 de julho de 2017</v>
      </c>
      <c r="AC42" s="28"/>
      <c r="AD42" s="28"/>
      <c r="AE42" s="28"/>
      <c r="AF42" s="31">
        <v>36</v>
      </c>
      <c r="AG42" s="32" t="s">
        <v>1142</v>
      </c>
      <c r="AH42" s="31">
        <v>0</v>
      </c>
      <c r="AI42" s="28"/>
      <c r="AJ42" s="28"/>
      <c r="AK42" s="883"/>
      <c r="AL42" s="487">
        <f>AL38</f>
        <v>3</v>
      </c>
      <c r="AM42" s="51">
        <v>3</v>
      </c>
      <c r="AN42" s="56">
        <v>2</v>
      </c>
      <c r="AO42" s="879" t="s">
        <v>167</v>
      </c>
      <c r="AP42" s="47" t="s">
        <v>162</v>
      </c>
      <c r="AQ42" s="757"/>
      <c r="AR42" s="757"/>
      <c r="AS42" s="757"/>
      <c r="AT42" s="757"/>
      <c r="AU42" s="757"/>
      <c r="AV42" s="757"/>
      <c r="AW42" s="477">
        <f t="shared" si="17"/>
        <v>0</v>
      </c>
      <c r="AX42" s="477">
        <f t="shared" si="18"/>
        <v>0</v>
      </c>
    </row>
    <row r="43" spans="1:50" x14ac:dyDescent="0.2">
      <c r="B43" s="892" t="s">
        <v>166</v>
      </c>
      <c r="C43" s="893"/>
      <c r="D43" s="893"/>
      <c r="E43" s="893"/>
      <c r="F43" s="894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46">
        <v>4</v>
      </c>
      <c r="S43" s="46">
        <v>11</v>
      </c>
      <c r="T43" s="887"/>
      <c r="U43" s="55" t="s">
        <v>151</v>
      </c>
      <c r="V43" s="480">
        <f>AS74</f>
        <v>899.93</v>
      </c>
      <c r="W43" s="480">
        <f>AU74</f>
        <v>267.39999999999998</v>
      </c>
      <c r="X43" s="480">
        <f>AW74</f>
        <v>1333.62</v>
      </c>
      <c r="Y43" s="480">
        <f>AX74</f>
        <v>527.74</v>
      </c>
      <c r="Z43" s="896"/>
      <c r="AA43" s="896"/>
      <c r="AB43" s="48" t="str">
        <f t="shared" si="21"/>
        <v>Resolução ANEEL Nº 2.284 de 31 de julho de 2017</v>
      </c>
      <c r="AC43" s="28"/>
      <c r="AD43" s="28"/>
      <c r="AE43" s="28"/>
      <c r="AF43" s="31">
        <v>37</v>
      </c>
      <c r="AG43" s="32" t="s">
        <v>1143</v>
      </c>
      <c r="AH43" s="31">
        <v>0</v>
      </c>
      <c r="AI43" s="28"/>
      <c r="AJ43" s="28"/>
      <c r="AK43" s="883"/>
      <c r="AL43" s="487">
        <f>AL38</f>
        <v>3</v>
      </c>
      <c r="AM43" s="54">
        <f>AM42</f>
        <v>3</v>
      </c>
      <c r="AN43" s="56">
        <v>3</v>
      </c>
      <c r="AO43" s="881"/>
      <c r="AP43" s="47" t="s">
        <v>123</v>
      </c>
      <c r="AQ43" s="757"/>
      <c r="AR43" s="757"/>
      <c r="AS43" s="757"/>
      <c r="AT43" s="757"/>
      <c r="AU43" s="757"/>
      <c r="AV43" s="757"/>
      <c r="AW43" s="477">
        <f t="shared" si="17"/>
        <v>0</v>
      </c>
      <c r="AX43" s="477">
        <f t="shared" si="18"/>
        <v>0</v>
      </c>
    </row>
    <row r="44" spans="1:50" x14ac:dyDescent="0.2">
      <c r="B44" s="892" t="s">
        <v>161</v>
      </c>
      <c r="C44" s="893"/>
      <c r="D44" s="893"/>
      <c r="E44" s="893"/>
      <c r="F44" s="894"/>
      <c r="G44" s="28"/>
      <c r="H44" s="28" t="s">
        <v>1090</v>
      </c>
      <c r="I44" s="28" t="s">
        <v>1091</v>
      </c>
      <c r="J44" s="28" t="s">
        <v>1092</v>
      </c>
      <c r="K44" s="28"/>
      <c r="L44" s="28"/>
      <c r="M44" s="28"/>
      <c r="N44" s="28"/>
      <c r="O44" s="28"/>
      <c r="P44" s="28"/>
      <c r="Q44" s="28"/>
      <c r="R44" s="46">
        <v>4</v>
      </c>
      <c r="S44" s="46">
        <v>12</v>
      </c>
      <c r="T44" s="888"/>
      <c r="U44" s="55" t="s">
        <v>181</v>
      </c>
      <c r="V44" s="472">
        <f>V43</f>
        <v>899.93</v>
      </c>
      <c r="W44" s="472">
        <f>W43</f>
        <v>267.39999999999998</v>
      </c>
      <c r="X44" s="472">
        <f>X43</f>
        <v>1333.62</v>
      </c>
      <c r="Y44" s="472">
        <f>Y43</f>
        <v>527.74</v>
      </c>
      <c r="Z44" s="897"/>
      <c r="AA44" s="897"/>
      <c r="AB44" s="48" t="str">
        <f t="shared" si="21"/>
        <v>Resolução ANEEL Nº 2.284 de 31 de julho de 2017</v>
      </c>
      <c r="AC44" s="28"/>
      <c r="AD44" s="28"/>
      <c r="AE44" s="28"/>
      <c r="AF44" s="31">
        <v>38</v>
      </c>
      <c r="AG44" s="32" t="s">
        <v>1144</v>
      </c>
      <c r="AH44" s="31">
        <v>0</v>
      </c>
      <c r="AI44" s="28"/>
      <c r="AJ44" s="28"/>
      <c r="AK44" s="883"/>
      <c r="AL44" s="487">
        <f t="shared" ref="AL44:AM54" si="24">AL43</f>
        <v>3</v>
      </c>
      <c r="AM44" s="54">
        <f>AM42</f>
        <v>3</v>
      </c>
      <c r="AN44" s="56">
        <v>4</v>
      </c>
      <c r="AO44" s="881"/>
      <c r="AP44" s="47" t="s">
        <v>122</v>
      </c>
      <c r="AQ44" s="757"/>
      <c r="AR44" s="757"/>
      <c r="AS44" s="757"/>
      <c r="AT44" s="757"/>
      <c r="AU44" s="757"/>
      <c r="AV44" s="757"/>
      <c r="AW44" s="477">
        <f t="shared" si="17"/>
        <v>0</v>
      </c>
      <c r="AX44" s="477">
        <f t="shared" si="18"/>
        <v>0</v>
      </c>
    </row>
    <row r="45" spans="1:50" x14ac:dyDescent="0.2">
      <c r="B45" s="28"/>
      <c r="C45" s="28"/>
      <c r="D45" s="28"/>
      <c r="E45" s="29"/>
      <c r="F45" s="28"/>
      <c r="G45" s="28"/>
      <c r="H45" s="28" t="s">
        <v>1093</v>
      </c>
      <c r="I45" s="765">
        <v>305.7577975538029</v>
      </c>
      <c r="J45" s="765">
        <v>61.539791999999998</v>
      </c>
      <c r="K45" s="28"/>
      <c r="L45" s="28"/>
      <c r="M45" s="28"/>
      <c r="N45" s="28"/>
      <c r="O45" s="28"/>
      <c r="P45" s="28"/>
      <c r="Q45" s="28"/>
      <c r="R45" s="46">
        <v>5</v>
      </c>
      <c r="S45" s="46">
        <v>2</v>
      </c>
      <c r="T45" s="886">
        <v>2018</v>
      </c>
      <c r="U45" s="47" t="s">
        <v>162</v>
      </c>
      <c r="V45" s="479">
        <f>AQ84</f>
        <v>0</v>
      </c>
      <c r="W45" s="479">
        <f>AR84</f>
        <v>0</v>
      </c>
      <c r="X45" s="479">
        <f>AW84</f>
        <v>0</v>
      </c>
      <c r="Y45" s="479">
        <f>AX84</f>
        <v>0</v>
      </c>
      <c r="Z45" s="895"/>
      <c r="AA45" s="895"/>
      <c r="AB45" s="48" t="s">
        <v>1108</v>
      </c>
      <c r="AC45" s="28"/>
      <c r="AD45" s="28"/>
      <c r="AE45" s="28"/>
      <c r="AF45" s="31">
        <v>39</v>
      </c>
      <c r="AG45" s="32" t="s">
        <v>1145</v>
      </c>
      <c r="AH45" s="31">
        <v>0</v>
      </c>
      <c r="AI45" s="28"/>
      <c r="AJ45" s="28"/>
      <c r="AK45" s="883"/>
      <c r="AL45" s="487">
        <f t="shared" si="24"/>
        <v>3</v>
      </c>
      <c r="AM45" s="54">
        <f t="shared" si="24"/>
        <v>3</v>
      </c>
      <c r="AN45" s="56">
        <v>5</v>
      </c>
      <c r="AO45" s="881"/>
      <c r="AP45" s="47" t="s">
        <v>121</v>
      </c>
      <c r="AQ45" s="757">
        <v>0</v>
      </c>
      <c r="AR45" s="757">
        <v>0</v>
      </c>
      <c r="AS45" s="757">
        <v>0</v>
      </c>
      <c r="AT45" s="757">
        <v>0</v>
      </c>
      <c r="AU45" s="757">
        <v>0</v>
      </c>
      <c r="AV45" s="757">
        <v>0</v>
      </c>
      <c r="AW45" s="477">
        <f t="shared" si="17"/>
        <v>0</v>
      </c>
      <c r="AX45" s="477">
        <f t="shared" si="18"/>
        <v>0</v>
      </c>
    </row>
    <row r="46" spans="1:50" x14ac:dyDescent="0.2">
      <c r="B46" s="889" t="s">
        <v>907</v>
      </c>
      <c r="C46" s="890"/>
      <c r="D46" s="890"/>
      <c r="E46" s="890"/>
      <c r="F46" s="891"/>
      <c r="G46" s="28"/>
      <c r="H46" s="28" t="s">
        <v>1094</v>
      </c>
      <c r="I46" s="765">
        <v>308.8277975538029</v>
      </c>
      <c r="J46" s="765">
        <v>67.156559999999999</v>
      </c>
      <c r="K46" s="28"/>
      <c r="L46" s="28"/>
      <c r="M46" s="28"/>
      <c r="N46" s="28"/>
      <c r="O46" s="28"/>
      <c r="P46" s="28"/>
      <c r="Q46" s="28"/>
      <c r="R46" s="46">
        <v>5</v>
      </c>
      <c r="S46" s="46">
        <v>3</v>
      </c>
      <c r="T46" s="887"/>
      <c r="U46" s="47" t="s">
        <v>123</v>
      </c>
      <c r="V46" s="479">
        <f t="shared" ref="V46:W46" si="25">AQ85</f>
        <v>0</v>
      </c>
      <c r="W46" s="479">
        <f t="shared" si="25"/>
        <v>0</v>
      </c>
      <c r="X46" s="479">
        <f t="shared" ref="X46:Y46" si="26">AW85</f>
        <v>0</v>
      </c>
      <c r="Y46" s="479">
        <f t="shared" si="26"/>
        <v>0</v>
      </c>
      <c r="Z46" s="896"/>
      <c r="AA46" s="896"/>
      <c r="AB46" s="48" t="str">
        <f>AB45</f>
        <v>Resolução ANEEL Nº 2.490 de 27 de Novembro de 2018</v>
      </c>
      <c r="AC46" s="28"/>
      <c r="AD46" s="28"/>
      <c r="AE46" s="28"/>
      <c r="AF46" s="31">
        <v>40</v>
      </c>
      <c r="AG46" s="32" t="s">
        <v>1146</v>
      </c>
      <c r="AH46" s="31">
        <v>0</v>
      </c>
      <c r="AI46" s="28"/>
      <c r="AJ46" s="28"/>
      <c r="AK46" s="883"/>
      <c r="AL46" s="487">
        <f t="shared" si="24"/>
        <v>3</v>
      </c>
      <c r="AM46" s="60">
        <f t="shared" si="24"/>
        <v>3</v>
      </c>
      <c r="AN46" s="56">
        <v>6</v>
      </c>
      <c r="AO46" s="880"/>
      <c r="AP46" s="47" t="s">
        <v>63</v>
      </c>
      <c r="AQ46" s="757"/>
      <c r="AR46" s="757"/>
      <c r="AS46" s="757"/>
      <c r="AT46" s="757"/>
      <c r="AU46" s="757"/>
      <c r="AV46" s="757"/>
      <c r="AW46" s="477"/>
      <c r="AX46" s="477"/>
    </row>
    <row r="47" spans="1:50" x14ac:dyDescent="0.2">
      <c r="A47" s="26">
        <v>1</v>
      </c>
      <c r="B47" s="892" t="s">
        <v>908</v>
      </c>
      <c r="C47" s="893"/>
      <c r="D47" s="893"/>
      <c r="E47" s="893"/>
      <c r="F47" s="894"/>
      <c r="G47" s="28"/>
      <c r="H47" s="28" t="s">
        <v>1095</v>
      </c>
      <c r="I47" s="765">
        <v>310.47779755380287</v>
      </c>
      <c r="J47" s="765">
        <v>383.28667200000001</v>
      </c>
      <c r="K47" s="28"/>
      <c r="L47" s="28"/>
      <c r="M47" s="28"/>
      <c r="N47" s="28"/>
      <c r="O47" s="28"/>
      <c r="P47" s="28"/>
      <c r="Q47" s="28"/>
      <c r="R47" s="46">
        <v>5</v>
      </c>
      <c r="S47" s="46">
        <v>4</v>
      </c>
      <c r="T47" s="887"/>
      <c r="U47" s="47" t="s">
        <v>122</v>
      </c>
      <c r="V47" s="479">
        <f t="shared" ref="V47:W47" si="27">AQ86</f>
        <v>0</v>
      </c>
      <c r="W47" s="479">
        <f t="shared" si="27"/>
        <v>0</v>
      </c>
      <c r="X47" s="479">
        <f t="shared" ref="X47:Y47" si="28">AW86</f>
        <v>0</v>
      </c>
      <c r="Y47" s="479">
        <f t="shared" si="28"/>
        <v>0</v>
      </c>
      <c r="Z47" s="896"/>
      <c r="AA47" s="896"/>
      <c r="AB47" s="48" t="str">
        <f>AB46</f>
        <v>Resolução ANEEL Nº 2.490 de 27 de Novembro de 2018</v>
      </c>
      <c r="AC47" s="28"/>
      <c r="AD47" s="28"/>
      <c r="AE47" s="28"/>
      <c r="AF47" s="31">
        <v>41</v>
      </c>
      <c r="AG47" s="32" t="s">
        <v>1147</v>
      </c>
      <c r="AH47" s="31">
        <v>0</v>
      </c>
      <c r="AI47" s="28"/>
      <c r="AJ47" s="28"/>
      <c r="AK47" s="883"/>
      <c r="AL47" s="487">
        <f t="shared" si="24"/>
        <v>3</v>
      </c>
      <c r="AM47" s="54">
        <v>4</v>
      </c>
      <c r="AN47" s="52">
        <v>5</v>
      </c>
      <c r="AO47" s="879" t="s">
        <v>168</v>
      </c>
      <c r="AP47" s="47" t="s">
        <v>121</v>
      </c>
      <c r="AQ47" s="757"/>
      <c r="AR47" s="757"/>
      <c r="AS47" s="757"/>
      <c r="AT47" s="757"/>
      <c r="AU47" s="757"/>
      <c r="AV47" s="757"/>
      <c r="AW47" s="477"/>
      <c r="AX47" s="477"/>
    </row>
    <row r="48" spans="1:50" x14ac:dyDescent="0.2">
      <c r="A48" s="26">
        <v>2</v>
      </c>
      <c r="B48" s="892" t="s">
        <v>1334</v>
      </c>
      <c r="C48" s="893"/>
      <c r="D48" s="893"/>
      <c r="E48" s="893"/>
      <c r="F48" s="894"/>
      <c r="G48" s="28"/>
      <c r="H48" s="28" t="s">
        <v>1096</v>
      </c>
      <c r="I48" s="765">
        <v>425.61011808640444</v>
      </c>
      <c r="J48" s="765">
        <v>637.0510325759999</v>
      </c>
      <c r="K48" s="28"/>
      <c r="L48" s="28"/>
      <c r="M48" s="28"/>
      <c r="N48" s="28"/>
      <c r="O48" s="28"/>
      <c r="P48" s="28"/>
      <c r="Q48" s="28"/>
      <c r="R48" s="46">
        <v>5</v>
      </c>
      <c r="S48" s="46">
        <v>5</v>
      </c>
      <c r="T48" s="887"/>
      <c r="U48" s="47" t="s">
        <v>121</v>
      </c>
      <c r="V48" s="479">
        <f t="shared" ref="V48:W48" si="29">AQ87</f>
        <v>0</v>
      </c>
      <c r="W48" s="479">
        <f t="shared" si="29"/>
        <v>0</v>
      </c>
      <c r="X48" s="479">
        <f t="shared" ref="X48:Y48" si="30">AW87</f>
        <v>0</v>
      </c>
      <c r="Y48" s="479">
        <f t="shared" si="30"/>
        <v>0</v>
      </c>
      <c r="Z48" s="896"/>
      <c r="AA48" s="896"/>
      <c r="AB48" s="48" t="str">
        <f t="shared" si="21"/>
        <v>Resolução ANEEL Nº 2.490 de 27 de Novembro de 2018</v>
      </c>
      <c r="AC48" s="28"/>
      <c r="AD48" s="28"/>
      <c r="AE48" s="28"/>
      <c r="AF48" s="31">
        <v>42</v>
      </c>
      <c r="AG48" s="32" t="s">
        <v>1148</v>
      </c>
      <c r="AH48" s="31">
        <v>0</v>
      </c>
      <c r="AI48" s="28"/>
      <c r="AJ48" s="28"/>
      <c r="AK48" s="883"/>
      <c r="AL48" s="487">
        <f t="shared" si="24"/>
        <v>3</v>
      </c>
      <c r="AM48" s="60">
        <v>4</v>
      </c>
      <c r="AN48" s="52">
        <v>6</v>
      </c>
      <c r="AO48" s="880"/>
      <c r="AP48" s="47" t="s">
        <v>63</v>
      </c>
      <c r="AQ48" s="757"/>
      <c r="AR48" s="757"/>
      <c r="AS48" s="757"/>
      <c r="AT48" s="757"/>
      <c r="AU48" s="757"/>
      <c r="AV48" s="757"/>
      <c r="AW48" s="477"/>
      <c r="AX48" s="477"/>
    </row>
    <row r="49" spans="1:50" x14ac:dyDescent="0.2">
      <c r="A49" s="26">
        <v>3</v>
      </c>
      <c r="B49" s="892" t="s">
        <v>1335</v>
      </c>
      <c r="C49" s="893"/>
      <c r="D49" s="893"/>
      <c r="E49" s="893"/>
      <c r="F49" s="894"/>
      <c r="G49" s="28"/>
      <c r="H49" s="28" t="s">
        <v>1097</v>
      </c>
      <c r="I49" s="765">
        <v>301.97435270033117</v>
      </c>
      <c r="J49" s="765">
        <v>460.698625128</v>
      </c>
      <c r="K49" s="28"/>
      <c r="L49" s="28"/>
      <c r="M49" s="28"/>
      <c r="N49" s="28"/>
      <c r="O49" s="28"/>
      <c r="P49" s="28"/>
      <c r="Q49" s="28"/>
      <c r="R49" s="46">
        <v>5</v>
      </c>
      <c r="S49" s="46">
        <v>6</v>
      </c>
      <c r="T49" s="887"/>
      <c r="U49" s="47" t="s">
        <v>63</v>
      </c>
      <c r="V49" s="479">
        <f t="shared" ref="V49:W49" si="31">AQ88</f>
        <v>0</v>
      </c>
      <c r="W49" s="479">
        <f t="shared" si="31"/>
        <v>0</v>
      </c>
      <c r="X49" s="479">
        <f t="shared" ref="X49:Y49" si="32">AW88</f>
        <v>0</v>
      </c>
      <c r="Y49" s="479">
        <f t="shared" si="32"/>
        <v>0</v>
      </c>
      <c r="Z49" s="896"/>
      <c r="AA49" s="896"/>
      <c r="AB49" s="48" t="str">
        <f t="shared" si="21"/>
        <v>Resolução ANEEL Nº 2.490 de 27 de Novembro de 2018</v>
      </c>
      <c r="AC49" s="28"/>
      <c r="AD49" s="28"/>
      <c r="AE49" s="28"/>
      <c r="AF49" s="31">
        <v>43</v>
      </c>
      <c r="AG49" s="32" t="s">
        <v>1149</v>
      </c>
      <c r="AH49" s="31">
        <v>0</v>
      </c>
      <c r="AI49" s="28"/>
      <c r="AJ49" s="28"/>
      <c r="AK49" s="883"/>
      <c r="AL49" s="487">
        <f t="shared" si="24"/>
        <v>3</v>
      </c>
      <c r="AM49" s="54">
        <v>5</v>
      </c>
      <c r="AN49" s="52">
        <v>7</v>
      </c>
      <c r="AO49" s="879" t="s">
        <v>166</v>
      </c>
      <c r="AP49" s="47" t="s">
        <v>64</v>
      </c>
      <c r="AQ49" s="53"/>
      <c r="AR49" s="53"/>
      <c r="AS49" s="757"/>
      <c r="AT49" s="757"/>
      <c r="AU49" s="757"/>
      <c r="AV49" s="757"/>
      <c r="AW49" s="477"/>
      <c r="AX49" s="477"/>
    </row>
    <row r="50" spans="1:50" x14ac:dyDescent="0.2">
      <c r="B50"/>
      <c r="C50"/>
      <c r="D50"/>
      <c r="E50"/>
      <c r="F50"/>
      <c r="G50" s="28"/>
      <c r="H50" s="28" t="s">
        <v>1099</v>
      </c>
      <c r="I50" s="765">
        <v>301.97435270033117</v>
      </c>
      <c r="J50" s="765">
        <v>460.698625128</v>
      </c>
      <c r="K50" s="28"/>
      <c r="L50" s="28"/>
      <c r="M50" s="28"/>
      <c r="N50" s="28"/>
      <c r="O50" s="28"/>
      <c r="P50" s="28"/>
      <c r="Q50" s="28"/>
      <c r="R50" s="46">
        <v>5</v>
      </c>
      <c r="S50" s="46">
        <v>7</v>
      </c>
      <c r="T50" s="887"/>
      <c r="U50" s="55" t="s">
        <v>64</v>
      </c>
      <c r="V50" s="480">
        <f>AS91</f>
        <v>0</v>
      </c>
      <c r="W50" s="480">
        <f>AU91</f>
        <v>0</v>
      </c>
      <c r="X50" s="480">
        <f>AW91</f>
        <v>0</v>
      </c>
      <c r="Y50" s="480">
        <f>AX91</f>
        <v>0</v>
      </c>
      <c r="Z50" s="896"/>
      <c r="AA50" s="896"/>
      <c r="AB50" s="48" t="str">
        <f t="shared" si="21"/>
        <v>Resolução ANEEL Nº 2.490 de 27 de Novembro de 2018</v>
      </c>
      <c r="AC50" s="28"/>
      <c r="AD50" s="28"/>
      <c r="AE50" s="28"/>
      <c r="AF50" s="31">
        <v>44</v>
      </c>
      <c r="AG50" s="32" t="s">
        <v>1150</v>
      </c>
      <c r="AH50" s="31">
        <v>0</v>
      </c>
      <c r="AI50" s="28"/>
      <c r="AJ50" s="28"/>
      <c r="AK50" s="883"/>
      <c r="AL50" s="487">
        <f t="shared" si="24"/>
        <v>3</v>
      </c>
      <c r="AM50" s="54">
        <v>5</v>
      </c>
      <c r="AN50" s="52">
        <v>8</v>
      </c>
      <c r="AO50" s="881"/>
      <c r="AP50" s="47" t="s">
        <v>150</v>
      </c>
      <c r="AQ50" s="53"/>
      <c r="AR50" s="53"/>
      <c r="AS50" s="757"/>
      <c r="AT50" s="757"/>
      <c r="AU50" s="757"/>
      <c r="AV50" s="757"/>
      <c r="AW50" s="477"/>
      <c r="AX50" s="477"/>
    </row>
    <row r="51" spans="1:50" x14ac:dyDescent="0.2">
      <c r="B51" s="885" t="s">
        <v>882</v>
      </c>
      <c r="C51" s="885"/>
      <c r="D51" s="885"/>
      <c r="E51" s="885"/>
      <c r="F51" s="69">
        <f>765/12</f>
        <v>63.75</v>
      </c>
      <c r="G51" s="28"/>
      <c r="H51" s="28" t="s">
        <v>1100</v>
      </c>
      <c r="I51" s="28">
        <v>258.83</v>
      </c>
      <c r="J51" s="28">
        <f>394.89</f>
        <v>394.89</v>
      </c>
      <c r="K51" s="28"/>
      <c r="L51" s="28"/>
      <c r="M51" s="28"/>
      <c r="N51" s="28"/>
      <c r="O51" s="28"/>
      <c r="P51" s="28"/>
      <c r="Q51" s="28"/>
      <c r="R51" s="46">
        <v>5</v>
      </c>
      <c r="S51" s="46">
        <v>8</v>
      </c>
      <c r="T51" s="887"/>
      <c r="U51" s="55" t="s">
        <v>150</v>
      </c>
      <c r="V51" s="480">
        <f>AS92</f>
        <v>0</v>
      </c>
      <c r="W51" s="480">
        <f>AU92</f>
        <v>0</v>
      </c>
      <c r="X51" s="480">
        <f t="shared" ref="X51:Y51" si="33">AW92</f>
        <v>0</v>
      </c>
      <c r="Y51" s="480">
        <f t="shared" si="33"/>
        <v>0</v>
      </c>
      <c r="Z51" s="896"/>
      <c r="AA51" s="896"/>
      <c r="AB51" s="48" t="str">
        <f t="shared" si="21"/>
        <v>Resolução ANEEL Nº 2.490 de 27 de Novembro de 2018</v>
      </c>
      <c r="AC51" s="28"/>
      <c r="AD51" s="28"/>
      <c r="AE51" s="28"/>
      <c r="AF51" s="31">
        <v>45</v>
      </c>
      <c r="AG51" s="32" t="s">
        <v>1151</v>
      </c>
      <c r="AH51" s="31">
        <v>0</v>
      </c>
      <c r="AI51" s="28"/>
      <c r="AJ51" s="28"/>
      <c r="AK51" s="883"/>
      <c r="AL51" s="487">
        <f t="shared" si="24"/>
        <v>3</v>
      </c>
      <c r="AM51" s="54">
        <v>5</v>
      </c>
      <c r="AN51" s="52">
        <v>9</v>
      </c>
      <c r="AO51" s="881"/>
      <c r="AP51" s="47" t="s">
        <v>179</v>
      </c>
      <c r="AQ51" s="53"/>
      <c r="AR51" s="758"/>
      <c r="AS51" s="757"/>
      <c r="AT51" s="757"/>
      <c r="AU51" s="757"/>
      <c r="AV51" s="757"/>
      <c r="AW51" s="477"/>
      <c r="AX51" s="477"/>
    </row>
    <row r="52" spans="1:50" x14ac:dyDescent="0.2">
      <c r="B52" s="885" t="s">
        <v>883</v>
      </c>
      <c r="C52" s="885"/>
      <c r="D52" s="885"/>
      <c r="E52" s="885"/>
      <c r="F52" s="69">
        <f>(4686+3309)/12</f>
        <v>666.25</v>
      </c>
      <c r="G52" s="28"/>
      <c r="H52" s="28" t="s">
        <v>1098</v>
      </c>
      <c r="I52" s="765">
        <v>446.79141263964254</v>
      </c>
      <c r="J52" s="765">
        <v>714.34028274000002</v>
      </c>
      <c r="K52" s="28"/>
      <c r="L52" s="28"/>
      <c r="M52" s="28"/>
      <c r="N52" s="28"/>
      <c r="O52" s="28"/>
      <c r="P52" s="28"/>
      <c r="Q52" s="28"/>
      <c r="R52" s="46">
        <v>5</v>
      </c>
      <c r="S52" s="46">
        <v>9</v>
      </c>
      <c r="T52" s="887"/>
      <c r="U52" s="55" t="s">
        <v>179</v>
      </c>
      <c r="V52" s="480">
        <f t="shared" ref="V52:V54" si="34">AS93</f>
        <v>0</v>
      </c>
      <c r="W52" s="480">
        <f t="shared" ref="W52:W54" si="35">AU93</f>
        <v>0</v>
      </c>
      <c r="X52" s="480">
        <f t="shared" ref="X52:Y52" si="36">AW93</f>
        <v>0</v>
      </c>
      <c r="Y52" s="480">
        <f t="shared" si="36"/>
        <v>0</v>
      </c>
      <c r="Z52" s="896"/>
      <c r="AA52" s="896"/>
      <c r="AB52" s="48" t="str">
        <f>AB51</f>
        <v>Resolução ANEEL Nº 2.490 de 27 de Novembro de 2018</v>
      </c>
      <c r="AC52" s="28"/>
      <c r="AD52" s="28"/>
      <c r="AE52" s="28"/>
      <c r="AF52" s="31">
        <v>46</v>
      </c>
      <c r="AG52" s="32" t="s">
        <v>1152</v>
      </c>
      <c r="AH52" s="31">
        <v>0</v>
      </c>
      <c r="AI52" s="28"/>
      <c r="AJ52" s="28"/>
      <c r="AK52" s="883"/>
      <c r="AL52" s="487">
        <f>AL51</f>
        <v>3</v>
      </c>
      <c r="AM52" s="54">
        <v>5</v>
      </c>
      <c r="AN52" s="52">
        <v>10</v>
      </c>
      <c r="AO52" s="881"/>
      <c r="AP52" s="47" t="s">
        <v>180</v>
      </c>
      <c r="AQ52" s="53"/>
      <c r="AR52" s="53"/>
      <c r="AS52" s="757"/>
      <c r="AT52" s="757"/>
      <c r="AU52" s="757"/>
      <c r="AV52" s="757"/>
      <c r="AW52" s="477"/>
      <c r="AX52" s="477"/>
    </row>
    <row r="53" spans="1:50" x14ac:dyDescent="0.2">
      <c r="B53" s="28"/>
      <c r="C53" s="28"/>
      <c r="D53" s="28"/>
      <c r="E53" s="29"/>
      <c r="F53" s="28"/>
      <c r="G53" s="28"/>
      <c r="H53" s="28" t="s">
        <v>1101</v>
      </c>
      <c r="I53" s="765">
        <f>I52</f>
        <v>446.79141263964254</v>
      </c>
      <c r="J53" s="765">
        <f>J52</f>
        <v>714.34028274000002</v>
      </c>
      <c r="K53" s="28"/>
      <c r="L53" s="28"/>
      <c r="M53" s="28"/>
      <c r="N53" s="28"/>
      <c r="O53" s="28"/>
      <c r="P53" s="28"/>
      <c r="Q53" s="28"/>
      <c r="R53" s="46">
        <v>5</v>
      </c>
      <c r="S53" s="46">
        <v>10</v>
      </c>
      <c r="T53" s="887"/>
      <c r="U53" s="55" t="s">
        <v>180</v>
      </c>
      <c r="V53" s="480">
        <f t="shared" si="34"/>
        <v>0</v>
      </c>
      <c r="W53" s="480">
        <f t="shared" si="35"/>
        <v>0</v>
      </c>
      <c r="X53" s="480">
        <f t="shared" ref="X53:Y53" si="37">AW94</f>
        <v>0</v>
      </c>
      <c r="Y53" s="480">
        <f t="shared" si="37"/>
        <v>0</v>
      </c>
      <c r="Z53" s="896"/>
      <c r="AA53" s="896"/>
      <c r="AB53" s="48" t="str">
        <f t="shared" si="21"/>
        <v>Resolução ANEEL Nº 2.490 de 27 de Novembro de 2018</v>
      </c>
      <c r="AC53" s="28"/>
      <c r="AD53" s="28"/>
      <c r="AE53" s="28"/>
      <c r="AF53" s="31">
        <v>47</v>
      </c>
      <c r="AG53" s="32" t="s">
        <v>1153</v>
      </c>
      <c r="AH53" s="31">
        <v>0</v>
      </c>
      <c r="AI53" s="28"/>
      <c r="AJ53" s="28"/>
      <c r="AK53" s="883"/>
      <c r="AL53" s="487">
        <f t="shared" si="24"/>
        <v>3</v>
      </c>
      <c r="AM53" s="54">
        <v>5</v>
      </c>
      <c r="AN53" s="52">
        <v>11</v>
      </c>
      <c r="AO53" s="881"/>
      <c r="AP53" s="47" t="s">
        <v>151</v>
      </c>
      <c r="AQ53" s="53"/>
      <c r="AR53" s="53"/>
      <c r="AS53" s="757"/>
      <c r="AT53" s="757"/>
      <c r="AU53" s="757"/>
      <c r="AV53" s="757"/>
      <c r="AW53" s="477"/>
      <c r="AX53" s="477"/>
    </row>
    <row r="54" spans="1:50" ht="15" x14ac:dyDescent="0.25">
      <c r="B54" s="302" t="s">
        <v>684</v>
      </c>
      <c r="C54" s="302"/>
      <c r="D54" s="302"/>
      <c r="E54" s="29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46">
        <v>5</v>
      </c>
      <c r="S54" s="46">
        <v>11</v>
      </c>
      <c r="T54" s="887"/>
      <c r="U54" s="55" t="s">
        <v>151</v>
      </c>
      <c r="V54" s="480">
        <f t="shared" si="34"/>
        <v>899.93</v>
      </c>
      <c r="W54" s="480">
        <f t="shared" si="35"/>
        <v>267.39999999999998</v>
      </c>
      <c r="X54" s="480">
        <f t="shared" ref="X54:Y54" si="38">AW95</f>
        <v>1333.62</v>
      </c>
      <c r="Y54" s="480">
        <f t="shared" si="38"/>
        <v>527.74</v>
      </c>
      <c r="Z54" s="896"/>
      <c r="AA54" s="896"/>
      <c r="AB54" s="48" t="str">
        <f t="shared" si="21"/>
        <v>Resolução ANEEL Nº 2.490 de 27 de Novembro de 2018</v>
      </c>
      <c r="AC54" s="28"/>
      <c r="AD54" s="28"/>
      <c r="AE54" s="28"/>
      <c r="AF54" s="31">
        <v>48</v>
      </c>
      <c r="AG54" s="32" t="s">
        <v>1154</v>
      </c>
      <c r="AH54" s="31">
        <v>0</v>
      </c>
      <c r="AI54" s="28"/>
      <c r="AJ54" s="28"/>
      <c r="AK54" s="884"/>
      <c r="AL54" s="488">
        <f t="shared" si="24"/>
        <v>3</v>
      </c>
      <c r="AM54" s="60">
        <v>5</v>
      </c>
      <c r="AN54" s="52">
        <v>12</v>
      </c>
      <c r="AO54" s="880"/>
      <c r="AP54" s="47" t="s">
        <v>181</v>
      </c>
      <c r="AQ54" s="53"/>
      <c r="AR54" s="53"/>
      <c r="AS54" s="53"/>
      <c r="AT54" s="53"/>
      <c r="AU54" s="53"/>
      <c r="AV54" s="53"/>
      <c r="AW54" s="26">
        <f t="shared" si="17"/>
        <v>0</v>
      </c>
      <c r="AX54" s="26">
        <f t="shared" si="18"/>
        <v>0</v>
      </c>
    </row>
    <row r="55" spans="1:50" ht="15" x14ac:dyDescent="0.25">
      <c r="B55" s="303" t="s">
        <v>741</v>
      </c>
      <c r="C55" s="303"/>
      <c r="D55" s="303" t="s">
        <v>581</v>
      </c>
      <c r="E55" s="29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46">
        <v>5</v>
      </c>
      <c r="S55" s="46">
        <v>12</v>
      </c>
      <c r="T55" s="888"/>
      <c r="U55" s="55" t="s">
        <v>181</v>
      </c>
      <c r="V55" s="472">
        <f>V54</f>
        <v>899.93</v>
      </c>
      <c r="W55" s="472">
        <f>W54</f>
        <v>267.39999999999998</v>
      </c>
      <c r="X55" s="472">
        <f>X54</f>
        <v>1333.62</v>
      </c>
      <c r="Y55" s="472">
        <f>Y54</f>
        <v>527.74</v>
      </c>
      <c r="Z55" s="897"/>
      <c r="AA55" s="897"/>
      <c r="AB55" s="48" t="str">
        <f t="shared" si="21"/>
        <v>Resolução ANEEL Nº 2.490 de 27 de Novembro de 2018</v>
      </c>
      <c r="AC55" s="28"/>
      <c r="AD55" s="28"/>
      <c r="AE55" s="28"/>
      <c r="AF55" s="31">
        <v>49</v>
      </c>
      <c r="AG55" s="32" t="s">
        <v>1155</v>
      </c>
      <c r="AH55" s="31">
        <v>0</v>
      </c>
      <c r="AI55" s="28"/>
      <c r="AJ55" s="28"/>
      <c r="AK55" s="882">
        <v>2017</v>
      </c>
      <c r="AL55" s="486">
        <v>4</v>
      </c>
      <c r="AM55" s="51">
        <v>2</v>
      </c>
      <c r="AN55" s="52">
        <v>5</v>
      </c>
      <c r="AO55" s="879" t="s">
        <v>153</v>
      </c>
      <c r="AP55" s="47" t="s">
        <v>121</v>
      </c>
      <c r="AQ55" s="53"/>
      <c r="AR55" s="53"/>
      <c r="AS55" s="53"/>
      <c r="AT55" s="53"/>
      <c r="AU55" s="53"/>
      <c r="AV55" s="53"/>
      <c r="AW55" s="477">
        <f t="shared" si="17"/>
        <v>0</v>
      </c>
      <c r="AX55" s="477">
        <f t="shared" si="18"/>
        <v>0</v>
      </c>
    </row>
    <row r="56" spans="1:50" x14ac:dyDescent="0.2">
      <c r="B56" s="304" t="s">
        <v>742</v>
      </c>
      <c r="C56" s="304">
        <v>1</v>
      </c>
      <c r="D56" s="305">
        <v>0.84</v>
      </c>
      <c r="E56" s="29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46">
        <v>6</v>
      </c>
      <c r="S56" s="46">
        <v>2</v>
      </c>
      <c r="T56" s="886">
        <v>2019</v>
      </c>
      <c r="U56" s="47" t="s">
        <v>162</v>
      </c>
      <c r="V56" s="479">
        <f>AQ105</f>
        <v>0</v>
      </c>
      <c r="W56" s="479">
        <f>AR105</f>
        <v>0</v>
      </c>
      <c r="X56" s="479">
        <f>AW105</f>
        <v>0</v>
      </c>
      <c r="Y56" s="479">
        <f>AX105</f>
        <v>0</v>
      </c>
      <c r="Z56" s="895">
        <v>42589</v>
      </c>
      <c r="AA56" s="895">
        <v>42953</v>
      </c>
      <c r="AB56" s="48" t="s">
        <v>1331</v>
      </c>
      <c r="AC56" s="28"/>
      <c r="AD56" s="28"/>
      <c r="AE56" s="28"/>
      <c r="AF56" s="31">
        <v>50</v>
      </c>
      <c r="AG56" s="32" t="s">
        <v>1156</v>
      </c>
      <c r="AH56" s="31">
        <v>0</v>
      </c>
      <c r="AI56" s="28"/>
      <c r="AJ56" s="28"/>
      <c r="AK56" s="883"/>
      <c r="AL56" s="487">
        <f t="shared" ref="AL56:AM62" si="39">AL55</f>
        <v>4</v>
      </c>
      <c r="AM56" s="54">
        <f t="shared" si="39"/>
        <v>2</v>
      </c>
      <c r="AN56" s="52">
        <v>6</v>
      </c>
      <c r="AO56" s="881"/>
      <c r="AP56" s="47" t="s">
        <v>63</v>
      </c>
      <c r="AQ56" s="53"/>
      <c r="AR56" s="53"/>
      <c r="AS56" s="53"/>
      <c r="AT56" s="53"/>
      <c r="AU56" s="53"/>
      <c r="AV56" s="53"/>
      <c r="AW56" s="477">
        <f t="shared" si="17"/>
        <v>0</v>
      </c>
      <c r="AX56" s="477">
        <f t="shared" si="18"/>
        <v>0</v>
      </c>
    </row>
    <row r="57" spans="1:50" x14ac:dyDescent="0.2">
      <c r="B57" s="304" t="s">
        <v>743</v>
      </c>
      <c r="C57" s="304">
        <v>2</v>
      </c>
      <c r="D57" s="305">
        <v>0.65</v>
      </c>
      <c r="E57" s="29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46">
        <v>6</v>
      </c>
      <c r="S57" s="46">
        <v>3</v>
      </c>
      <c r="T57" s="887"/>
      <c r="U57" s="47" t="s">
        <v>123</v>
      </c>
      <c r="V57" s="479">
        <f t="shared" ref="V57:W57" si="40">AQ106</f>
        <v>0</v>
      </c>
      <c r="W57" s="479">
        <f t="shared" si="40"/>
        <v>0</v>
      </c>
      <c r="X57" s="479">
        <f t="shared" ref="X57:Y57" si="41">AW106</f>
        <v>0</v>
      </c>
      <c r="Y57" s="479">
        <f t="shared" si="41"/>
        <v>0</v>
      </c>
      <c r="Z57" s="903"/>
      <c r="AA57" s="903"/>
      <c r="AB57" s="48" t="str">
        <f>AB56</f>
        <v>Resolução ANEEL Nº 2.644 de 26 de Novembro de 2019</v>
      </c>
      <c r="AC57" s="28"/>
      <c r="AD57" s="28"/>
      <c r="AE57" s="28"/>
      <c r="AF57" s="31">
        <v>51</v>
      </c>
      <c r="AG57" s="32" t="s">
        <v>1157</v>
      </c>
      <c r="AH57" s="31">
        <v>0</v>
      </c>
      <c r="AI57" s="28"/>
      <c r="AJ57" s="28"/>
      <c r="AK57" s="883"/>
      <c r="AL57" s="487">
        <f t="shared" si="39"/>
        <v>4</v>
      </c>
      <c r="AM57" s="54">
        <f>AM55</f>
        <v>2</v>
      </c>
      <c r="AN57" s="52">
        <v>7</v>
      </c>
      <c r="AO57" s="881"/>
      <c r="AP57" s="47" t="s">
        <v>64</v>
      </c>
      <c r="AQ57" s="53"/>
      <c r="AR57" s="53"/>
      <c r="AS57" s="53"/>
      <c r="AT57" s="53"/>
      <c r="AU57" s="53"/>
      <c r="AV57" s="53"/>
      <c r="AW57" s="477">
        <f t="shared" si="17"/>
        <v>0</v>
      </c>
      <c r="AX57" s="477">
        <f t="shared" si="18"/>
        <v>0</v>
      </c>
    </row>
    <row r="58" spans="1:50" x14ac:dyDescent="0.2">
      <c r="B58" s="304" t="s">
        <v>744</v>
      </c>
      <c r="C58" s="304">
        <v>3</v>
      </c>
      <c r="D58" s="305">
        <v>0.68</v>
      </c>
      <c r="E58" s="29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46">
        <v>6</v>
      </c>
      <c r="S58" s="46">
        <v>4</v>
      </c>
      <c r="T58" s="887"/>
      <c r="U58" s="47" t="s">
        <v>122</v>
      </c>
      <c r="V58" s="479">
        <f t="shared" ref="V58:W58" si="42">AQ107</f>
        <v>0</v>
      </c>
      <c r="W58" s="479">
        <f t="shared" si="42"/>
        <v>0</v>
      </c>
      <c r="X58" s="479">
        <f t="shared" ref="X58:Y58" si="43">AW107</f>
        <v>0</v>
      </c>
      <c r="Y58" s="479">
        <f t="shared" si="43"/>
        <v>0</v>
      </c>
      <c r="Z58" s="903"/>
      <c r="AA58" s="903"/>
      <c r="AB58" s="48" t="str">
        <f>AB57</f>
        <v>Resolução ANEEL Nº 2.644 de 26 de Novembro de 2019</v>
      </c>
      <c r="AC58" s="28"/>
      <c r="AD58" s="28"/>
      <c r="AE58" s="28"/>
      <c r="AF58" s="31">
        <v>52</v>
      </c>
      <c r="AG58" s="32" t="s">
        <v>1158</v>
      </c>
      <c r="AH58" s="31">
        <v>0</v>
      </c>
      <c r="AI58" s="28"/>
      <c r="AJ58" s="28"/>
      <c r="AK58" s="883"/>
      <c r="AL58" s="487">
        <f t="shared" si="39"/>
        <v>4</v>
      </c>
      <c r="AM58" s="54">
        <f>AM55</f>
        <v>2</v>
      </c>
      <c r="AN58" s="52">
        <v>8</v>
      </c>
      <c r="AO58" s="881"/>
      <c r="AP58" s="47" t="s">
        <v>150</v>
      </c>
      <c r="AQ58" s="53"/>
      <c r="AR58" s="53"/>
      <c r="AS58" s="53"/>
      <c r="AT58" s="53"/>
      <c r="AU58" s="53"/>
      <c r="AV58" s="53"/>
      <c r="AW58" s="477">
        <f t="shared" si="17"/>
        <v>0</v>
      </c>
      <c r="AX58" s="477">
        <f t="shared" si="18"/>
        <v>0</v>
      </c>
    </row>
    <row r="59" spans="1:50" x14ac:dyDescent="0.2">
      <c r="B59" s="304" t="s">
        <v>745</v>
      </c>
      <c r="C59" s="304">
        <v>4</v>
      </c>
      <c r="D59" s="305">
        <v>0.7</v>
      </c>
      <c r="E59" s="29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46">
        <v>6</v>
      </c>
      <c r="S59" s="46">
        <v>5</v>
      </c>
      <c r="T59" s="887"/>
      <c r="U59" s="47" t="s">
        <v>121</v>
      </c>
      <c r="V59" s="479">
        <f t="shared" ref="V59:W59" si="44">AQ108</f>
        <v>0</v>
      </c>
      <c r="W59" s="479">
        <f t="shared" si="44"/>
        <v>0</v>
      </c>
      <c r="X59" s="479">
        <f t="shared" ref="X59:Y59" si="45">AW108</f>
        <v>0</v>
      </c>
      <c r="Y59" s="479">
        <f t="shared" si="45"/>
        <v>0</v>
      </c>
      <c r="Z59" s="903"/>
      <c r="AA59" s="903"/>
      <c r="AB59" s="48" t="str">
        <f t="shared" si="21"/>
        <v>Resolução ANEEL Nº 2.644 de 26 de Novembro de 2019</v>
      </c>
      <c r="AC59" s="28"/>
      <c r="AD59" s="28"/>
      <c r="AE59" s="28"/>
      <c r="AF59" s="31">
        <v>53</v>
      </c>
      <c r="AG59" s="32" t="s">
        <v>1159</v>
      </c>
      <c r="AH59" s="31">
        <v>0</v>
      </c>
      <c r="AI59" s="28"/>
      <c r="AJ59" s="28"/>
      <c r="AK59" s="883"/>
      <c r="AL59" s="487">
        <f t="shared" si="39"/>
        <v>4</v>
      </c>
      <c r="AM59" s="54">
        <f>AM55</f>
        <v>2</v>
      </c>
      <c r="AN59" s="52">
        <v>9</v>
      </c>
      <c r="AO59" s="881"/>
      <c r="AP59" s="47" t="s">
        <v>179</v>
      </c>
      <c r="AQ59" s="53"/>
      <c r="AR59" s="53"/>
      <c r="AS59" s="53"/>
      <c r="AT59" s="53"/>
      <c r="AU59" s="53"/>
      <c r="AV59" s="53"/>
      <c r="AW59" s="477">
        <f t="shared" si="17"/>
        <v>0</v>
      </c>
      <c r="AX59" s="477">
        <f t="shared" si="18"/>
        <v>0</v>
      </c>
    </row>
    <row r="60" spans="1:50" x14ac:dyDescent="0.2">
      <c r="B60" s="304" t="s">
        <v>746</v>
      </c>
      <c r="C60" s="304">
        <v>5</v>
      </c>
      <c r="D60" s="305">
        <v>0.73</v>
      </c>
      <c r="E60" s="29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46">
        <v>6</v>
      </c>
      <c r="S60" s="46">
        <v>6</v>
      </c>
      <c r="T60" s="887"/>
      <c r="U60" s="47" t="s">
        <v>63</v>
      </c>
      <c r="V60" s="479">
        <f t="shared" ref="V60:W60" si="46">AQ109</f>
        <v>36.47</v>
      </c>
      <c r="W60" s="479">
        <f t="shared" si="46"/>
        <v>13.49</v>
      </c>
      <c r="X60" s="479">
        <f t="shared" ref="X60:Y60" si="47">AW109</f>
        <v>456.68</v>
      </c>
      <c r="Y60" s="479">
        <f t="shared" si="47"/>
        <v>301.63</v>
      </c>
      <c r="Z60" s="903"/>
      <c r="AA60" s="903"/>
      <c r="AB60" s="48" t="str">
        <f t="shared" si="21"/>
        <v>Resolução ANEEL Nº 2.644 de 26 de Novembro de 2019</v>
      </c>
      <c r="AC60" s="28"/>
      <c r="AD60" s="28"/>
      <c r="AE60" s="28"/>
      <c r="AF60" s="31">
        <v>54</v>
      </c>
      <c r="AG60" s="32" t="s">
        <v>1160</v>
      </c>
      <c r="AH60" s="31">
        <v>0</v>
      </c>
      <c r="AI60" s="28"/>
      <c r="AJ60" s="28"/>
      <c r="AK60" s="883"/>
      <c r="AL60" s="487">
        <f t="shared" si="39"/>
        <v>4</v>
      </c>
      <c r="AM60" s="54">
        <f>AM56</f>
        <v>2</v>
      </c>
      <c r="AN60" s="56">
        <v>10</v>
      </c>
      <c r="AO60" s="881"/>
      <c r="AP60" s="47" t="s">
        <v>180</v>
      </c>
      <c r="AQ60" s="53"/>
      <c r="AR60" s="53"/>
      <c r="AS60" s="53"/>
      <c r="AT60" s="53"/>
      <c r="AU60" s="53"/>
      <c r="AV60" s="53"/>
      <c r="AW60" s="477">
        <f t="shared" si="17"/>
        <v>0</v>
      </c>
      <c r="AX60" s="477">
        <f t="shared" si="18"/>
        <v>0</v>
      </c>
    </row>
    <row r="61" spans="1:50" x14ac:dyDescent="0.2">
      <c r="B61" s="304" t="s">
        <v>747</v>
      </c>
      <c r="C61" s="304">
        <v>6</v>
      </c>
      <c r="D61" s="305">
        <v>0.74</v>
      </c>
      <c r="E61" s="29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46">
        <v>6</v>
      </c>
      <c r="S61" s="46">
        <v>7</v>
      </c>
      <c r="T61" s="887"/>
      <c r="U61" s="55" t="s">
        <v>64</v>
      </c>
      <c r="V61" s="480">
        <f>AS112</f>
        <v>0</v>
      </c>
      <c r="W61" s="480">
        <f>AU112</f>
        <v>0</v>
      </c>
      <c r="X61" s="480">
        <f>AW112</f>
        <v>0</v>
      </c>
      <c r="Y61" s="480">
        <f>AX112</f>
        <v>0</v>
      </c>
      <c r="Z61" s="903"/>
      <c r="AA61" s="903"/>
      <c r="AB61" s="48" t="str">
        <f t="shared" si="21"/>
        <v>Resolução ANEEL Nº 2.644 de 26 de Novembro de 2019</v>
      </c>
      <c r="AC61" s="28"/>
      <c r="AD61" s="28"/>
      <c r="AE61" s="28"/>
      <c r="AF61" s="31">
        <v>55</v>
      </c>
      <c r="AG61" s="32" t="s">
        <v>1161</v>
      </c>
      <c r="AH61" s="31">
        <v>0</v>
      </c>
      <c r="AI61" s="28"/>
      <c r="AJ61" s="28"/>
      <c r="AK61" s="883"/>
      <c r="AL61" s="487">
        <f t="shared" si="39"/>
        <v>4</v>
      </c>
      <c r="AM61" s="54">
        <f>AM57</f>
        <v>2</v>
      </c>
      <c r="AN61" s="56">
        <v>11</v>
      </c>
      <c r="AO61" s="881"/>
      <c r="AP61" s="47" t="s">
        <v>151</v>
      </c>
      <c r="AQ61" s="53"/>
      <c r="AR61" s="53"/>
      <c r="AS61" s="53"/>
      <c r="AT61" s="53"/>
      <c r="AU61" s="53"/>
      <c r="AV61" s="53"/>
      <c r="AW61" s="477">
        <f t="shared" si="17"/>
        <v>0</v>
      </c>
      <c r="AX61" s="477">
        <f t="shared" si="18"/>
        <v>0</v>
      </c>
    </row>
    <row r="62" spans="1:50" x14ac:dyDescent="0.2">
      <c r="B62" s="304" t="s">
        <v>748</v>
      </c>
      <c r="C62" s="304">
        <v>7</v>
      </c>
      <c r="D62" s="305">
        <v>0.49</v>
      </c>
      <c r="E62" s="29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46">
        <v>6</v>
      </c>
      <c r="S62" s="46">
        <v>8</v>
      </c>
      <c r="T62" s="887"/>
      <c r="U62" s="55" t="s">
        <v>150</v>
      </c>
      <c r="V62" s="480">
        <f t="shared" ref="V62:V65" si="48">AS113</f>
        <v>0</v>
      </c>
      <c r="W62" s="480">
        <f t="shared" ref="W62:W65" si="49">AU113</f>
        <v>0</v>
      </c>
      <c r="X62" s="480">
        <f t="shared" ref="X62:Y62" si="50">AW113</f>
        <v>0</v>
      </c>
      <c r="Y62" s="480">
        <f t="shared" si="50"/>
        <v>0</v>
      </c>
      <c r="Z62" s="903"/>
      <c r="AA62" s="903"/>
      <c r="AB62" s="48" t="str">
        <f t="shared" si="21"/>
        <v>Resolução ANEEL Nº 2.644 de 26 de Novembro de 2019</v>
      </c>
      <c r="AC62" s="28"/>
      <c r="AD62" s="28"/>
      <c r="AE62" s="28"/>
      <c r="AF62" s="31">
        <v>56</v>
      </c>
      <c r="AG62" s="32" t="s">
        <v>1162</v>
      </c>
      <c r="AH62" s="31">
        <v>0</v>
      </c>
      <c r="AI62" s="28"/>
      <c r="AJ62" s="28"/>
      <c r="AK62" s="883"/>
      <c r="AL62" s="487">
        <f t="shared" si="39"/>
        <v>4</v>
      </c>
      <c r="AM62" s="54">
        <f>AM58</f>
        <v>2</v>
      </c>
      <c r="AN62" s="56">
        <v>12</v>
      </c>
      <c r="AO62" s="880"/>
      <c r="AP62" s="47" t="s">
        <v>181</v>
      </c>
      <c r="AQ62" s="53"/>
      <c r="AR62" s="53"/>
      <c r="AS62" s="53"/>
      <c r="AT62" s="53"/>
      <c r="AU62" s="53"/>
      <c r="AV62" s="53"/>
      <c r="AW62" s="477">
        <f t="shared" si="17"/>
        <v>0</v>
      </c>
      <c r="AX62" s="477">
        <f t="shared" si="18"/>
        <v>0</v>
      </c>
    </row>
    <row r="63" spans="1:50" x14ac:dyDescent="0.2">
      <c r="B63" s="304" t="s">
        <v>749</v>
      </c>
      <c r="C63" s="304">
        <v>8</v>
      </c>
      <c r="D63" s="305">
        <v>0.55000000000000004</v>
      </c>
      <c r="E63" s="29"/>
      <c r="F63" s="28"/>
      <c r="G63" s="28"/>
      <c r="H63" s="29"/>
      <c r="I63" s="29"/>
      <c r="J63" s="29"/>
      <c r="K63" s="28"/>
      <c r="L63" s="28"/>
      <c r="M63" s="28"/>
      <c r="N63" s="28"/>
      <c r="O63" s="28"/>
      <c r="P63" s="28"/>
      <c r="Q63" s="28"/>
      <c r="R63" s="46">
        <v>6</v>
      </c>
      <c r="S63" s="46">
        <v>9</v>
      </c>
      <c r="T63" s="887"/>
      <c r="U63" s="55" t="s">
        <v>179</v>
      </c>
      <c r="V63" s="480">
        <f t="shared" si="48"/>
        <v>0</v>
      </c>
      <c r="W63" s="480">
        <f t="shared" si="49"/>
        <v>0</v>
      </c>
      <c r="X63" s="480">
        <f t="shared" ref="X63:Y63" si="51">AW114</f>
        <v>0</v>
      </c>
      <c r="Y63" s="480">
        <f t="shared" si="51"/>
        <v>0</v>
      </c>
      <c r="Z63" s="903"/>
      <c r="AA63" s="903"/>
      <c r="AB63" s="48" t="str">
        <f t="shared" si="21"/>
        <v>Resolução ANEEL Nº 2.644 de 26 de Novembro de 2019</v>
      </c>
      <c r="AC63" s="28"/>
      <c r="AD63" s="28"/>
      <c r="AE63" s="28"/>
      <c r="AF63" s="31">
        <v>57</v>
      </c>
      <c r="AG63" s="32" t="s">
        <v>1163</v>
      </c>
      <c r="AH63" s="31">
        <v>0</v>
      </c>
      <c r="AI63" s="28"/>
      <c r="AJ63" s="28"/>
      <c r="AK63" s="883"/>
      <c r="AL63" s="487">
        <f>AL59</f>
        <v>4</v>
      </c>
      <c r="AM63" s="51">
        <v>3</v>
      </c>
      <c r="AN63" s="56">
        <v>2</v>
      </c>
      <c r="AO63" s="879" t="s">
        <v>167</v>
      </c>
      <c r="AP63" s="47" t="s">
        <v>162</v>
      </c>
      <c r="AQ63" s="757"/>
      <c r="AR63" s="757"/>
      <c r="AS63" s="757"/>
      <c r="AT63" s="757"/>
      <c r="AU63" s="757"/>
      <c r="AV63" s="757"/>
      <c r="AW63" s="477">
        <f t="shared" ref="AW63:AW75" si="52">AS63+AT63</f>
        <v>0</v>
      </c>
      <c r="AX63" s="477">
        <f t="shared" ref="AX63:AX75" si="53">AU63+AV63</f>
        <v>0</v>
      </c>
    </row>
    <row r="64" spans="1:50" x14ac:dyDescent="0.2">
      <c r="B64" s="304" t="s">
        <v>750</v>
      </c>
      <c r="C64" s="304">
        <v>9</v>
      </c>
      <c r="D64" s="305">
        <v>0.82</v>
      </c>
      <c r="E64" s="29"/>
      <c r="F64" s="28"/>
      <c r="G64" s="28"/>
      <c r="H64" s="29"/>
      <c r="I64" s="29"/>
      <c r="J64" s="29"/>
      <c r="K64" s="28"/>
      <c r="L64" s="28"/>
      <c r="M64" s="28"/>
      <c r="N64" s="28"/>
      <c r="O64" s="28"/>
      <c r="P64" s="28"/>
      <c r="Q64" s="28"/>
      <c r="R64" s="46">
        <v>6</v>
      </c>
      <c r="S64" s="46">
        <v>10</v>
      </c>
      <c r="T64" s="887"/>
      <c r="U64" s="55" t="s">
        <v>180</v>
      </c>
      <c r="V64" s="480">
        <f t="shared" si="48"/>
        <v>0</v>
      </c>
      <c r="W64" s="480">
        <f t="shared" si="49"/>
        <v>0</v>
      </c>
      <c r="X64" s="480">
        <f t="shared" ref="X64:Y64" si="54">AW115</f>
        <v>0</v>
      </c>
      <c r="Y64" s="480">
        <f t="shared" si="54"/>
        <v>0</v>
      </c>
      <c r="Z64" s="903"/>
      <c r="AA64" s="903"/>
      <c r="AB64" s="48" t="str">
        <f t="shared" si="21"/>
        <v>Resolução ANEEL Nº 2.644 de 26 de Novembro de 2019</v>
      </c>
      <c r="AC64" s="28"/>
      <c r="AD64" s="28"/>
      <c r="AE64" s="28"/>
      <c r="AF64" s="31">
        <v>58</v>
      </c>
      <c r="AG64" s="32" t="s">
        <v>1164</v>
      </c>
      <c r="AH64" s="31">
        <v>0</v>
      </c>
      <c r="AI64" s="28"/>
      <c r="AJ64" s="28"/>
      <c r="AK64" s="883"/>
      <c r="AL64" s="487">
        <f>AL59</f>
        <v>4</v>
      </c>
      <c r="AM64" s="54">
        <f>AM63</f>
        <v>3</v>
      </c>
      <c r="AN64" s="56">
        <v>3</v>
      </c>
      <c r="AO64" s="881"/>
      <c r="AP64" s="47" t="s">
        <v>123</v>
      </c>
      <c r="AQ64" s="757"/>
      <c r="AR64" s="757"/>
      <c r="AS64" s="757"/>
      <c r="AT64" s="757"/>
      <c r="AU64" s="757"/>
      <c r="AV64" s="757"/>
      <c r="AW64" s="477">
        <f t="shared" si="52"/>
        <v>0</v>
      </c>
      <c r="AX64" s="477">
        <f t="shared" si="53"/>
        <v>0</v>
      </c>
    </row>
    <row r="65" spans="2:50" x14ac:dyDescent="0.2">
      <c r="B65" s="304" t="s">
        <v>751</v>
      </c>
      <c r="C65" s="304">
        <v>10</v>
      </c>
      <c r="D65" s="305">
        <v>0.78</v>
      </c>
      <c r="E65" s="29"/>
      <c r="F65" s="28"/>
      <c r="G65" s="28"/>
      <c r="H65" s="29"/>
      <c r="I65" s="29"/>
      <c r="J65" s="29"/>
      <c r="K65" s="28"/>
      <c r="L65" s="28"/>
      <c r="M65" s="28"/>
      <c r="N65" s="28"/>
      <c r="O65" s="28"/>
      <c r="P65" s="28"/>
      <c r="Q65" s="28"/>
      <c r="R65" s="46">
        <v>6</v>
      </c>
      <c r="S65" s="46">
        <v>11</v>
      </c>
      <c r="T65" s="887"/>
      <c r="U65" s="55" t="s">
        <v>151</v>
      </c>
      <c r="V65" s="480">
        <f t="shared" si="48"/>
        <v>818.08</v>
      </c>
      <c r="W65" s="480">
        <f t="shared" si="49"/>
        <v>247.46</v>
      </c>
      <c r="X65" s="480">
        <f t="shared" ref="X65:Y65" si="55">AW116</f>
        <v>1208.74</v>
      </c>
      <c r="Y65" s="480">
        <f t="shared" si="55"/>
        <v>483.07000000000005</v>
      </c>
      <c r="Z65" s="903"/>
      <c r="AA65" s="903"/>
      <c r="AB65" s="48" t="str">
        <f t="shared" si="21"/>
        <v>Resolução ANEEL Nº 2.644 de 26 de Novembro de 2019</v>
      </c>
      <c r="AC65" s="28"/>
      <c r="AD65" s="28"/>
      <c r="AE65" s="28"/>
      <c r="AF65" s="31">
        <v>59</v>
      </c>
      <c r="AG65" s="32" t="s">
        <v>1165</v>
      </c>
      <c r="AH65" s="31">
        <v>0</v>
      </c>
      <c r="AI65" s="28"/>
      <c r="AJ65" s="28"/>
      <c r="AK65" s="883"/>
      <c r="AL65" s="487">
        <f t="shared" ref="AL65:AM75" si="56">AL64</f>
        <v>4</v>
      </c>
      <c r="AM65" s="54">
        <f>AM63</f>
        <v>3</v>
      </c>
      <c r="AN65" s="56">
        <v>4</v>
      </c>
      <c r="AO65" s="881"/>
      <c r="AP65" s="47" t="s">
        <v>122</v>
      </c>
      <c r="AQ65" s="757"/>
      <c r="AR65" s="757"/>
      <c r="AS65" s="757"/>
      <c r="AT65" s="757"/>
      <c r="AU65" s="757"/>
      <c r="AV65" s="757"/>
      <c r="AW65" s="477">
        <f t="shared" si="52"/>
        <v>0</v>
      </c>
      <c r="AX65" s="477">
        <f t="shared" si="53"/>
        <v>0</v>
      </c>
    </row>
    <row r="66" spans="2:50" x14ac:dyDescent="0.2">
      <c r="B66" s="304" t="s">
        <v>752</v>
      </c>
      <c r="C66" s="304">
        <v>11</v>
      </c>
      <c r="D66" s="305">
        <v>0.76</v>
      </c>
      <c r="E66" s="29"/>
      <c r="F66" s="28"/>
      <c r="G66" s="28"/>
      <c r="H66" s="29"/>
      <c r="I66" s="29"/>
      <c r="J66" s="29"/>
      <c r="K66" s="28"/>
      <c r="L66" s="28"/>
      <c r="M66" s="28"/>
      <c r="N66" s="28"/>
      <c r="O66" s="28"/>
      <c r="P66" s="28"/>
      <c r="Q66" s="28"/>
      <c r="R66" s="46">
        <v>6</v>
      </c>
      <c r="S66" s="46">
        <v>12</v>
      </c>
      <c r="T66" s="888"/>
      <c r="U66" s="55" t="s">
        <v>181</v>
      </c>
      <c r="V66" s="472">
        <f>V65</f>
        <v>818.08</v>
      </c>
      <c r="W66" s="472">
        <f>W65</f>
        <v>247.46</v>
      </c>
      <c r="X66" s="472">
        <f>X65</f>
        <v>1208.74</v>
      </c>
      <c r="Y66" s="472">
        <f>Y65</f>
        <v>483.07000000000005</v>
      </c>
      <c r="Z66" s="904"/>
      <c r="AA66" s="904"/>
      <c r="AB66" s="48" t="str">
        <f t="shared" si="21"/>
        <v>Resolução ANEEL Nº 2.644 de 26 de Novembro de 2019</v>
      </c>
      <c r="AC66" s="28"/>
      <c r="AD66" s="28"/>
      <c r="AE66" s="28"/>
      <c r="AF66" s="31">
        <v>60</v>
      </c>
      <c r="AG66" s="32" t="s">
        <v>1166</v>
      </c>
      <c r="AH66" s="31">
        <v>0</v>
      </c>
      <c r="AI66" s="28"/>
      <c r="AJ66" s="28"/>
      <c r="AK66" s="883"/>
      <c r="AL66" s="487">
        <f t="shared" si="56"/>
        <v>4</v>
      </c>
      <c r="AM66" s="54">
        <f t="shared" si="56"/>
        <v>3</v>
      </c>
      <c r="AN66" s="56">
        <v>5</v>
      </c>
      <c r="AO66" s="881"/>
      <c r="AP66" s="47" t="s">
        <v>121</v>
      </c>
      <c r="AQ66" s="757">
        <v>0</v>
      </c>
      <c r="AR66" s="757">
        <v>0</v>
      </c>
      <c r="AS66" s="757">
        <v>0</v>
      </c>
      <c r="AT66" s="757">
        <v>0</v>
      </c>
      <c r="AU66" s="757">
        <v>0</v>
      </c>
      <c r="AV66" s="757">
        <v>0</v>
      </c>
      <c r="AW66" s="477">
        <f t="shared" si="52"/>
        <v>0</v>
      </c>
      <c r="AX66" s="477">
        <f t="shared" si="53"/>
        <v>0</v>
      </c>
    </row>
    <row r="67" spans="2:50" x14ac:dyDescent="0.2">
      <c r="B67" s="304" t="s">
        <v>753</v>
      </c>
      <c r="C67" s="304">
        <v>12</v>
      </c>
      <c r="D67" s="305">
        <v>0.7</v>
      </c>
      <c r="E67" s="29"/>
      <c r="F67" s="28"/>
      <c r="G67" s="28"/>
      <c r="H67" s="29"/>
      <c r="I67" s="29"/>
      <c r="J67" s="29"/>
      <c r="K67" s="28"/>
      <c r="L67" s="28"/>
      <c r="M67" s="28"/>
      <c r="N67" s="28"/>
      <c r="O67" s="28"/>
      <c r="P67" s="28"/>
      <c r="Q67" s="28"/>
      <c r="R67" s="46">
        <v>7</v>
      </c>
      <c r="S67" s="46">
        <v>2</v>
      </c>
      <c r="T67" s="886">
        <v>2020</v>
      </c>
      <c r="U67" s="47" t="s">
        <v>162</v>
      </c>
      <c r="V67" s="474"/>
      <c r="W67" s="474"/>
      <c r="X67" s="474"/>
      <c r="Y67" s="474"/>
      <c r="Z67" s="895">
        <v>42954</v>
      </c>
      <c r="AA67" s="895">
        <v>43318</v>
      </c>
      <c r="AB67" s="48" t="s">
        <v>1336</v>
      </c>
      <c r="AC67" s="28"/>
      <c r="AD67" s="28"/>
      <c r="AE67" s="28"/>
      <c r="AF67" s="31">
        <v>61</v>
      </c>
      <c r="AG67" s="32" t="s">
        <v>1167</v>
      </c>
      <c r="AH67" s="31">
        <v>0</v>
      </c>
      <c r="AI67" s="28"/>
      <c r="AJ67" s="28"/>
      <c r="AK67" s="883"/>
      <c r="AL67" s="487">
        <f t="shared" si="56"/>
        <v>4</v>
      </c>
      <c r="AM67" s="60">
        <f t="shared" si="56"/>
        <v>3</v>
      </c>
      <c r="AN67" s="56">
        <v>6</v>
      </c>
      <c r="AO67" s="880"/>
      <c r="AP67" s="47" t="s">
        <v>63</v>
      </c>
      <c r="AQ67" s="757"/>
      <c r="AR67" s="757"/>
      <c r="AS67" s="757"/>
      <c r="AT67" s="757"/>
      <c r="AU67" s="757"/>
      <c r="AV67" s="757"/>
      <c r="AW67" s="477"/>
      <c r="AX67" s="477"/>
    </row>
    <row r="68" spans="2:50" x14ac:dyDescent="0.2">
      <c r="B68" s="304" t="s">
        <v>754</v>
      </c>
      <c r="C68" s="304">
        <v>13</v>
      </c>
      <c r="D68" s="305">
        <v>0.8</v>
      </c>
      <c r="E68" s="29"/>
      <c r="F68" s="28"/>
      <c r="G68" s="29"/>
      <c r="H68" s="29"/>
      <c r="I68" s="29"/>
      <c r="J68" s="29"/>
      <c r="K68" s="28"/>
      <c r="L68" s="28"/>
      <c r="M68" s="28"/>
      <c r="N68" s="28"/>
      <c r="O68" s="28"/>
      <c r="P68" s="28"/>
      <c r="Q68" s="28"/>
      <c r="R68" s="46">
        <v>7</v>
      </c>
      <c r="S68" s="46">
        <v>3</v>
      </c>
      <c r="T68" s="887"/>
      <c r="U68" s="47" t="s">
        <v>123</v>
      </c>
      <c r="V68" s="474"/>
      <c r="W68" s="474"/>
      <c r="X68" s="474"/>
      <c r="Y68" s="474"/>
      <c r="Z68" s="896"/>
      <c r="AA68" s="896"/>
      <c r="AB68" s="48" t="str">
        <f>AB67</f>
        <v>Resolução ANEEL Nº 2.523 de 26 de Março de 2019</v>
      </c>
      <c r="AC68" s="28"/>
      <c r="AD68" s="28"/>
      <c r="AE68" s="28"/>
      <c r="AF68" s="31">
        <v>62</v>
      </c>
      <c r="AG68" s="32" t="s">
        <v>1168</v>
      </c>
      <c r="AH68" s="31">
        <v>0</v>
      </c>
      <c r="AI68" s="28"/>
      <c r="AJ68" s="28"/>
      <c r="AK68" s="883"/>
      <c r="AL68" s="487">
        <f t="shared" si="56"/>
        <v>4</v>
      </c>
      <c r="AM68" s="54">
        <v>4</v>
      </c>
      <c r="AN68" s="52">
        <v>5</v>
      </c>
      <c r="AO68" s="879" t="s">
        <v>168</v>
      </c>
      <c r="AP68" s="47" t="s">
        <v>121</v>
      </c>
      <c r="AQ68" s="757"/>
      <c r="AR68" s="757"/>
      <c r="AS68" s="757"/>
      <c r="AT68" s="757"/>
      <c r="AU68" s="757"/>
      <c r="AV68" s="757"/>
      <c r="AW68" s="477"/>
      <c r="AX68" s="477"/>
    </row>
    <row r="69" spans="2:50" x14ac:dyDescent="0.2">
      <c r="B69" s="304" t="s">
        <v>755</v>
      </c>
      <c r="C69" s="304">
        <v>14</v>
      </c>
      <c r="D69" s="305">
        <v>0.55000000000000004</v>
      </c>
      <c r="E69" s="29"/>
      <c r="F69" s="28"/>
      <c r="G69" s="29"/>
      <c r="H69" s="29"/>
      <c r="I69" s="29"/>
      <c r="J69" s="29"/>
      <c r="K69" s="28"/>
      <c r="L69" s="28"/>
      <c r="M69" s="28"/>
      <c r="N69" s="28"/>
      <c r="O69" s="28"/>
      <c r="P69" s="28"/>
      <c r="Q69" s="28"/>
      <c r="R69" s="46">
        <v>7</v>
      </c>
      <c r="S69" s="46">
        <v>4</v>
      </c>
      <c r="T69" s="887"/>
      <c r="U69" s="47" t="s">
        <v>122</v>
      </c>
      <c r="V69" s="474"/>
      <c r="W69" s="474"/>
      <c r="X69" s="474"/>
      <c r="Y69" s="474"/>
      <c r="Z69" s="896"/>
      <c r="AA69" s="896"/>
      <c r="AB69" s="48" t="str">
        <f>AB68</f>
        <v>Resolução ANEEL Nº 2.523 de 26 de Março de 2019</v>
      </c>
      <c r="AC69" s="28"/>
      <c r="AD69" s="28"/>
      <c r="AE69" s="28"/>
      <c r="AF69" s="31">
        <v>63</v>
      </c>
      <c r="AG69" s="32" t="s">
        <v>1169</v>
      </c>
      <c r="AH69" s="31">
        <v>0</v>
      </c>
      <c r="AI69" s="28"/>
      <c r="AJ69" s="28"/>
      <c r="AK69" s="883"/>
      <c r="AL69" s="487">
        <f t="shared" si="56"/>
        <v>4</v>
      </c>
      <c r="AM69" s="60">
        <v>4</v>
      </c>
      <c r="AN69" s="52">
        <v>6</v>
      </c>
      <c r="AO69" s="880"/>
      <c r="AP69" s="47" t="s">
        <v>63</v>
      </c>
      <c r="AQ69" s="757"/>
      <c r="AR69" s="757"/>
      <c r="AS69" s="757"/>
      <c r="AT69" s="757"/>
      <c r="AU69" s="757"/>
      <c r="AV69" s="757"/>
      <c r="AW69" s="477"/>
      <c r="AX69" s="477"/>
    </row>
    <row r="70" spans="2:50" x14ac:dyDescent="0.2">
      <c r="B70" s="304" t="s">
        <v>756</v>
      </c>
      <c r="C70" s="304">
        <v>15</v>
      </c>
      <c r="D70" s="305">
        <v>0.81</v>
      </c>
      <c r="E70" s="29"/>
      <c r="F70" s="28"/>
      <c r="G70" s="29"/>
      <c r="H70" s="29"/>
      <c r="I70" s="29"/>
      <c r="J70" s="29"/>
      <c r="K70" s="28"/>
      <c r="L70" s="28"/>
      <c r="M70" s="28"/>
      <c r="N70" s="28"/>
      <c r="O70" s="28"/>
      <c r="P70" s="28"/>
      <c r="Q70" s="28"/>
      <c r="R70" s="46">
        <v>7</v>
      </c>
      <c r="S70" s="46">
        <v>5</v>
      </c>
      <c r="T70" s="887"/>
      <c r="U70" s="47" t="s">
        <v>121</v>
      </c>
      <c r="V70" s="474"/>
      <c r="W70" s="474"/>
      <c r="X70" s="474"/>
      <c r="Y70" s="474"/>
      <c r="Z70" s="896"/>
      <c r="AA70" s="896"/>
      <c r="AB70" s="48" t="str">
        <f t="shared" si="21"/>
        <v>Resolução ANEEL Nº 2.523 de 26 de Março de 2019</v>
      </c>
      <c r="AC70" s="28"/>
      <c r="AD70" s="28"/>
      <c r="AE70" s="28"/>
      <c r="AF70" s="31">
        <v>64</v>
      </c>
      <c r="AG70" s="32" t="s">
        <v>1170</v>
      </c>
      <c r="AH70" s="31">
        <v>0</v>
      </c>
      <c r="AI70" s="28"/>
      <c r="AJ70" s="28"/>
      <c r="AK70" s="883"/>
      <c r="AL70" s="487">
        <f t="shared" si="56"/>
        <v>4</v>
      </c>
      <c r="AM70" s="54">
        <v>5</v>
      </c>
      <c r="AN70" s="52">
        <v>7</v>
      </c>
      <c r="AO70" s="879" t="s">
        <v>166</v>
      </c>
      <c r="AP70" s="47" t="s">
        <v>64</v>
      </c>
      <c r="AQ70" s="53"/>
      <c r="AR70" s="53"/>
      <c r="AS70" s="757"/>
      <c r="AT70" s="757"/>
      <c r="AU70" s="757"/>
      <c r="AV70" s="757"/>
      <c r="AW70" s="477"/>
      <c r="AX70" s="477"/>
    </row>
    <row r="71" spans="2:50" x14ac:dyDescent="0.2">
      <c r="B71" s="304" t="s">
        <v>757</v>
      </c>
      <c r="C71" s="304">
        <v>16</v>
      </c>
      <c r="D71" s="305">
        <v>0.56999999999999995</v>
      </c>
      <c r="E71" s="35"/>
      <c r="F71" s="29"/>
      <c r="G71" s="29"/>
      <c r="H71" s="29"/>
      <c r="I71" s="29"/>
      <c r="J71" s="29"/>
      <c r="K71" s="28"/>
      <c r="L71" s="28"/>
      <c r="M71" s="28"/>
      <c r="N71" s="28"/>
      <c r="O71" s="28"/>
      <c r="P71" s="28"/>
      <c r="Q71" s="28"/>
      <c r="R71" s="46">
        <v>7</v>
      </c>
      <c r="S71" s="46">
        <v>6</v>
      </c>
      <c r="T71" s="887"/>
      <c r="U71" s="47" t="s">
        <v>63</v>
      </c>
      <c r="V71" s="474"/>
      <c r="W71" s="474"/>
      <c r="X71" s="474"/>
      <c r="Y71" s="474"/>
      <c r="Z71" s="896"/>
      <c r="AA71" s="896"/>
      <c r="AB71" s="48" t="str">
        <f t="shared" si="21"/>
        <v>Resolução ANEEL Nº 2.523 de 26 de Março de 2019</v>
      </c>
      <c r="AC71" s="28"/>
      <c r="AD71" s="28"/>
      <c r="AE71" s="28"/>
      <c r="AF71" s="31">
        <v>65</v>
      </c>
      <c r="AG71" s="32" t="s">
        <v>1171</v>
      </c>
      <c r="AH71" s="31">
        <v>0</v>
      </c>
      <c r="AI71" s="28"/>
      <c r="AJ71" s="28"/>
      <c r="AK71" s="883"/>
      <c r="AL71" s="487">
        <f t="shared" si="56"/>
        <v>4</v>
      </c>
      <c r="AM71" s="54">
        <v>5</v>
      </c>
      <c r="AN71" s="52">
        <v>8</v>
      </c>
      <c r="AO71" s="881"/>
      <c r="AP71" s="47" t="s">
        <v>150</v>
      </c>
      <c r="AQ71" s="53">
        <v>0</v>
      </c>
      <c r="AR71" s="53">
        <v>0</v>
      </c>
      <c r="AS71" s="757"/>
      <c r="AT71" s="757"/>
      <c r="AU71" s="757"/>
      <c r="AV71" s="757"/>
      <c r="AW71" s="477">
        <f t="shared" si="52"/>
        <v>0</v>
      </c>
      <c r="AX71" s="477">
        <f t="shared" si="53"/>
        <v>0</v>
      </c>
    </row>
    <row r="72" spans="2:50" x14ac:dyDescent="0.2">
      <c r="B72" s="304" t="s">
        <v>758</v>
      </c>
      <c r="C72" s="304">
        <v>17</v>
      </c>
      <c r="D72" s="305">
        <v>0.74</v>
      </c>
      <c r="E72" s="35"/>
      <c r="F72" s="29"/>
      <c r="G72" s="29"/>
      <c r="H72" s="29"/>
      <c r="I72" s="29"/>
      <c r="J72" s="29"/>
      <c r="K72" s="28"/>
      <c r="L72" s="28"/>
      <c r="M72" s="28"/>
      <c r="N72" s="28"/>
      <c r="O72" s="28"/>
      <c r="P72" s="28"/>
      <c r="Q72" s="28"/>
      <c r="R72" s="46">
        <v>7</v>
      </c>
      <c r="S72" s="46">
        <v>7</v>
      </c>
      <c r="T72" s="887"/>
      <c r="U72" s="55" t="s">
        <v>64</v>
      </c>
      <c r="V72" s="472"/>
      <c r="W72" s="472"/>
      <c r="X72" s="472"/>
      <c r="Y72" s="472"/>
      <c r="Z72" s="896"/>
      <c r="AA72" s="896"/>
      <c r="AB72" s="48" t="str">
        <f t="shared" si="21"/>
        <v>Resolução ANEEL Nº 2.523 de 26 de Março de 2019</v>
      </c>
      <c r="AC72" s="28"/>
      <c r="AD72" s="28"/>
      <c r="AE72" s="28"/>
      <c r="AF72" s="31">
        <v>66</v>
      </c>
      <c r="AG72" s="32" t="s">
        <v>1172</v>
      </c>
      <c r="AH72" s="31">
        <v>0</v>
      </c>
      <c r="AI72" s="28"/>
      <c r="AJ72" s="28"/>
      <c r="AK72" s="883"/>
      <c r="AL72" s="487">
        <f t="shared" si="56"/>
        <v>4</v>
      </c>
      <c r="AM72" s="54">
        <v>5</v>
      </c>
      <c r="AN72" s="52">
        <v>9</v>
      </c>
      <c r="AO72" s="881"/>
      <c r="AP72" s="47" t="s">
        <v>179</v>
      </c>
      <c r="AQ72" s="53">
        <v>0</v>
      </c>
      <c r="AR72" s="758">
        <v>0</v>
      </c>
      <c r="AS72" s="757"/>
      <c r="AT72" s="757"/>
      <c r="AU72" s="757"/>
      <c r="AV72" s="757"/>
      <c r="AW72" s="477">
        <f t="shared" si="52"/>
        <v>0</v>
      </c>
      <c r="AX72" s="477">
        <f t="shared" si="53"/>
        <v>0</v>
      </c>
    </row>
    <row r="73" spans="2:50" x14ac:dyDescent="0.2">
      <c r="B73" s="304" t="s">
        <v>759</v>
      </c>
      <c r="C73" s="304">
        <v>18</v>
      </c>
      <c r="D73" s="305">
        <v>0.6</v>
      </c>
      <c r="E73" s="35"/>
      <c r="F73" s="29"/>
      <c r="G73" s="29"/>
      <c r="H73" s="29"/>
      <c r="I73" s="29"/>
      <c r="J73" s="29"/>
      <c r="K73" s="28"/>
      <c r="L73" s="28"/>
      <c r="M73" s="28"/>
      <c r="N73" s="28"/>
      <c r="O73" s="28"/>
      <c r="P73" s="28"/>
      <c r="Q73" s="28"/>
      <c r="R73" s="46">
        <v>7</v>
      </c>
      <c r="S73" s="46">
        <v>8</v>
      </c>
      <c r="T73" s="887"/>
      <c r="U73" s="55" t="s">
        <v>150</v>
      </c>
      <c r="V73" s="472"/>
      <c r="W73" s="472"/>
      <c r="X73" s="472"/>
      <c r="Y73" s="472"/>
      <c r="Z73" s="896"/>
      <c r="AA73" s="896"/>
      <c r="AB73" s="48" t="str">
        <f t="shared" si="21"/>
        <v>Resolução ANEEL Nº 2.523 de 26 de Março de 2019</v>
      </c>
      <c r="AC73" s="28"/>
      <c r="AD73" s="28"/>
      <c r="AE73" s="28"/>
      <c r="AF73" s="31">
        <v>67</v>
      </c>
      <c r="AG73" s="32" t="s">
        <v>1173</v>
      </c>
      <c r="AH73" s="31">
        <v>0</v>
      </c>
      <c r="AI73" s="28"/>
      <c r="AJ73" s="28"/>
      <c r="AK73" s="883"/>
      <c r="AL73" s="487">
        <f t="shared" si="56"/>
        <v>4</v>
      </c>
      <c r="AM73" s="54">
        <v>5</v>
      </c>
      <c r="AN73" s="52">
        <v>10</v>
      </c>
      <c r="AO73" s="881"/>
      <c r="AP73" s="47" t="s">
        <v>180</v>
      </c>
      <c r="AQ73" s="53">
        <v>0</v>
      </c>
      <c r="AR73" s="53">
        <v>0</v>
      </c>
      <c r="AS73" s="757"/>
      <c r="AT73" s="757"/>
      <c r="AU73" s="757"/>
      <c r="AV73" s="757"/>
      <c r="AW73" s="477">
        <f t="shared" si="52"/>
        <v>0</v>
      </c>
      <c r="AX73" s="477">
        <f t="shared" si="53"/>
        <v>0</v>
      </c>
    </row>
    <row r="74" spans="2:50" x14ac:dyDescent="0.2">
      <c r="B74" s="304" t="s">
        <v>760</v>
      </c>
      <c r="C74" s="304">
        <v>19</v>
      </c>
      <c r="D74" s="305">
        <v>0.77</v>
      </c>
      <c r="E74" s="35"/>
      <c r="F74" s="29"/>
      <c r="G74" s="29"/>
      <c r="H74" s="29"/>
      <c r="I74" s="29"/>
      <c r="J74" s="29"/>
      <c r="K74" s="28"/>
      <c r="L74" s="28"/>
      <c r="M74" s="28"/>
      <c r="N74" s="28"/>
      <c r="O74" s="28"/>
      <c r="P74" s="28"/>
      <c r="Q74" s="28"/>
      <c r="R74" s="46">
        <v>7</v>
      </c>
      <c r="S74" s="46">
        <v>9</v>
      </c>
      <c r="T74" s="887"/>
      <c r="U74" s="55" t="s">
        <v>179</v>
      </c>
      <c r="V74" s="472"/>
      <c r="W74" s="472"/>
      <c r="X74" s="472"/>
      <c r="Y74" s="472"/>
      <c r="Z74" s="896"/>
      <c r="AA74" s="896"/>
      <c r="AB74" s="48" t="str">
        <f t="shared" si="21"/>
        <v>Resolução ANEEL Nº 2.523 de 26 de Março de 2019</v>
      </c>
      <c r="AC74" s="28"/>
      <c r="AD74" s="28"/>
      <c r="AE74" s="28"/>
      <c r="AF74" s="31">
        <v>68</v>
      </c>
      <c r="AG74" s="32" t="s">
        <v>1174</v>
      </c>
      <c r="AH74" s="31">
        <v>0</v>
      </c>
      <c r="AI74" s="28"/>
      <c r="AJ74" s="28"/>
      <c r="AK74" s="883"/>
      <c r="AL74" s="487">
        <f t="shared" si="56"/>
        <v>4</v>
      </c>
      <c r="AM74" s="54">
        <v>5</v>
      </c>
      <c r="AN74" s="52">
        <v>11</v>
      </c>
      <c r="AO74" s="881"/>
      <c r="AP74" s="47" t="s">
        <v>151</v>
      </c>
      <c r="AQ74" s="53">
        <v>0</v>
      </c>
      <c r="AR74" s="53">
        <v>0</v>
      </c>
      <c r="AS74" s="757">
        <v>899.93</v>
      </c>
      <c r="AT74" s="757">
        <v>433.69</v>
      </c>
      <c r="AU74" s="757">
        <v>267.39999999999998</v>
      </c>
      <c r="AV74" s="757">
        <v>260.33999999999997</v>
      </c>
      <c r="AW74" s="477">
        <f t="shared" si="52"/>
        <v>1333.62</v>
      </c>
      <c r="AX74" s="477">
        <f t="shared" si="53"/>
        <v>527.74</v>
      </c>
    </row>
    <row r="75" spans="2:50" x14ac:dyDescent="0.2">
      <c r="B75" s="304" t="s">
        <v>761</v>
      </c>
      <c r="C75" s="304">
        <v>20</v>
      </c>
      <c r="D75" s="305">
        <v>0.69</v>
      </c>
      <c r="E75" s="35"/>
      <c r="F75" s="29"/>
      <c r="G75" s="29"/>
      <c r="H75" s="29"/>
      <c r="I75" s="29"/>
      <c r="J75" s="29"/>
      <c r="K75" s="28"/>
      <c r="L75" s="28"/>
      <c r="M75" s="28"/>
      <c r="N75" s="28"/>
      <c r="O75" s="28"/>
      <c r="P75" s="28"/>
      <c r="Q75" s="28"/>
      <c r="R75" s="46">
        <v>7</v>
      </c>
      <c r="S75" s="46">
        <v>10</v>
      </c>
      <c r="T75" s="887"/>
      <c r="U75" s="55" t="s">
        <v>180</v>
      </c>
      <c r="V75" s="472"/>
      <c r="W75" s="472"/>
      <c r="X75" s="472"/>
      <c r="Y75" s="472"/>
      <c r="Z75" s="896"/>
      <c r="AA75" s="896"/>
      <c r="AB75" s="48" t="str">
        <f t="shared" si="21"/>
        <v>Resolução ANEEL Nº 2.523 de 26 de Março de 2019</v>
      </c>
      <c r="AC75" s="28"/>
      <c r="AD75" s="28"/>
      <c r="AE75" s="28"/>
      <c r="AF75" s="31">
        <v>69</v>
      </c>
      <c r="AG75" s="32" t="s">
        <v>1175</v>
      </c>
      <c r="AH75" s="31">
        <v>0</v>
      </c>
      <c r="AI75" s="28"/>
      <c r="AJ75" s="28"/>
      <c r="AK75" s="884"/>
      <c r="AL75" s="488">
        <f t="shared" si="56"/>
        <v>4</v>
      </c>
      <c r="AM75" s="60">
        <v>5</v>
      </c>
      <c r="AN75" s="52">
        <v>12</v>
      </c>
      <c r="AO75" s="880"/>
      <c r="AP75" s="47" t="s">
        <v>181</v>
      </c>
      <c r="AQ75" s="53"/>
      <c r="AR75" s="53"/>
      <c r="AS75" s="53"/>
      <c r="AT75" s="53"/>
      <c r="AU75" s="53"/>
      <c r="AV75" s="53"/>
      <c r="AW75" s="26">
        <f t="shared" si="52"/>
        <v>0</v>
      </c>
      <c r="AX75" s="26">
        <f t="shared" si="53"/>
        <v>0</v>
      </c>
    </row>
    <row r="76" spans="2:50" x14ac:dyDescent="0.2">
      <c r="B76" s="304" t="s">
        <v>762</v>
      </c>
      <c r="C76" s="304">
        <v>21</v>
      </c>
      <c r="D76" s="305">
        <v>0.6</v>
      </c>
      <c r="E76" s="35"/>
      <c r="F76" s="29"/>
      <c r="G76" s="29"/>
      <c r="H76" s="29"/>
      <c r="I76" s="29"/>
      <c r="J76" s="29"/>
      <c r="K76" s="28"/>
      <c r="L76" s="28"/>
      <c r="M76" s="28"/>
      <c r="N76" s="28"/>
      <c r="O76" s="28"/>
      <c r="P76" s="28"/>
      <c r="Q76" s="28"/>
      <c r="R76" s="46">
        <v>7</v>
      </c>
      <c r="S76" s="46">
        <v>11</v>
      </c>
      <c r="T76" s="887"/>
      <c r="U76" s="55" t="s">
        <v>151</v>
      </c>
      <c r="V76" s="480">
        <f>AS137</f>
        <v>905.21</v>
      </c>
      <c r="W76" s="480">
        <f>AU137</f>
        <v>272.63</v>
      </c>
      <c r="X76" s="480">
        <f>AW137</f>
        <v>1325.3200000000002</v>
      </c>
      <c r="Y76" s="480">
        <f>AX137</f>
        <v>519.39</v>
      </c>
      <c r="Z76" s="896"/>
      <c r="AA76" s="896"/>
      <c r="AB76" s="48" t="str">
        <f t="shared" si="21"/>
        <v>Resolução ANEEL Nº 2.523 de 26 de Março de 2019</v>
      </c>
      <c r="AC76" s="28"/>
      <c r="AD76" s="28"/>
      <c r="AE76" s="28"/>
      <c r="AF76" s="31">
        <v>70</v>
      </c>
      <c r="AG76" s="32" t="s">
        <v>1176</v>
      </c>
      <c r="AH76" s="31">
        <v>0</v>
      </c>
      <c r="AI76" s="28"/>
      <c r="AJ76" s="28"/>
      <c r="AK76" s="882">
        <v>2018</v>
      </c>
      <c r="AL76" s="486">
        <v>5</v>
      </c>
      <c r="AM76" s="51">
        <v>2</v>
      </c>
      <c r="AN76" s="52">
        <v>5</v>
      </c>
      <c r="AO76" s="879" t="s">
        <v>153</v>
      </c>
      <c r="AP76" s="47" t="s">
        <v>121</v>
      </c>
      <c r="AQ76" s="53"/>
      <c r="AR76" s="53"/>
      <c r="AS76" s="53"/>
      <c r="AT76" s="53"/>
      <c r="AU76" s="53"/>
      <c r="AV76" s="53"/>
      <c r="AW76" s="477">
        <f t="shared" ref="AW76:AW96" si="57">AS76+AT76</f>
        <v>0</v>
      </c>
      <c r="AX76" s="477">
        <f t="shared" ref="AX76:AX96" si="58">AU76+AV76</f>
        <v>0</v>
      </c>
    </row>
    <row r="77" spans="2:50" x14ac:dyDescent="0.2">
      <c r="B77" s="304" t="s">
        <v>763</v>
      </c>
      <c r="C77" s="304">
        <v>22</v>
      </c>
      <c r="D77" s="305">
        <v>0.7</v>
      </c>
      <c r="E77" s="35"/>
      <c r="F77" s="29"/>
      <c r="G77" s="29"/>
      <c r="H77" s="29"/>
      <c r="I77" s="29"/>
      <c r="J77" s="29"/>
      <c r="K77" s="28"/>
      <c r="L77" s="28"/>
      <c r="M77" s="28"/>
      <c r="N77" s="28"/>
      <c r="O77" s="28"/>
      <c r="P77" s="28"/>
      <c r="Q77" s="28"/>
      <c r="R77" s="46">
        <v>7</v>
      </c>
      <c r="S77" s="46">
        <v>12</v>
      </c>
      <c r="T77" s="888"/>
      <c r="U77" s="55" t="s">
        <v>181</v>
      </c>
      <c r="V77" s="472">
        <f>V76</f>
        <v>905.21</v>
      </c>
      <c r="W77" s="472">
        <f>W76</f>
        <v>272.63</v>
      </c>
      <c r="X77" s="472">
        <f>X76</f>
        <v>1325.3200000000002</v>
      </c>
      <c r="Y77" s="472">
        <f>Y76</f>
        <v>519.39</v>
      </c>
      <c r="Z77" s="897"/>
      <c r="AA77" s="897"/>
      <c r="AB77" s="48" t="str">
        <f t="shared" si="21"/>
        <v>Resolução ANEEL Nº 2.523 de 26 de Março de 2019</v>
      </c>
      <c r="AC77" s="28"/>
      <c r="AD77" s="28"/>
      <c r="AE77" s="28"/>
      <c r="AF77" s="31">
        <v>71</v>
      </c>
      <c r="AG77" s="32" t="s">
        <v>1177</v>
      </c>
      <c r="AH77" s="31">
        <v>0</v>
      </c>
      <c r="AI77" s="28"/>
      <c r="AJ77" s="28"/>
      <c r="AK77" s="883"/>
      <c r="AL77" s="487">
        <f t="shared" ref="AL77:AM83" si="59">AL76</f>
        <v>5</v>
      </c>
      <c r="AM77" s="54">
        <f t="shared" si="59"/>
        <v>2</v>
      </c>
      <c r="AN77" s="52">
        <v>6</v>
      </c>
      <c r="AO77" s="881"/>
      <c r="AP77" s="47" t="s">
        <v>63</v>
      </c>
      <c r="AQ77" s="53"/>
      <c r="AR77" s="53"/>
      <c r="AS77" s="53"/>
      <c r="AT77" s="53"/>
      <c r="AU77" s="53"/>
      <c r="AV77" s="53"/>
      <c r="AW77" s="477">
        <f t="shared" si="57"/>
        <v>0</v>
      </c>
      <c r="AX77" s="477">
        <f t="shared" si="58"/>
        <v>0</v>
      </c>
    </row>
    <row r="78" spans="2:50" x14ac:dyDescent="0.2">
      <c r="B78" s="304" t="s">
        <v>764</v>
      </c>
      <c r="C78" s="304">
        <v>23</v>
      </c>
      <c r="D78" s="305">
        <v>0.73</v>
      </c>
      <c r="E78" s="35"/>
      <c r="F78" s="29"/>
      <c r="G78" s="29"/>
      <c r="H78" s="29"/>
      <c r="I78" s="29"/>
      <c r="J78" s="29"/>
      <c r="K78" s="28"/>
      <c r="L78" s="28"/>
      <c r="M78" s="28"/>
      <c r="N78" s="28"/>
      <c r="O78" s="28"/>
      <c r="P78" s="28"/>
      <c r="Q78" s="28"/>
      <c r="R78" s="46">
        <v>8</v>
      </c>
      <c r="S78" s="46">
        <v>2</v>
      </c>
      <c r="T78" s="886">
        <v>2021</v>
      </c>
      <c r="U78" s="47" t="s">
        <v>162</v>
      </c>
      <c r="V78" s="474"/>
      <c r="W78" s="474"/>
      <c r="X78" s="474"/>
      <c r="Y78" s="474"/>
      <c r="Z78" s="895">
        <v>44159</v>
      </c>
      <c r="AA78" s="895">
        <v>44531</v>
      </c>
      <c r="AB78" s="48" t="s">
        <v>1337</v>
      </c>
      <c r="AC78" s="28"/>
      <c r="AD78" s="28"/>
      <c r="AE78" s="28"/>
      <c r="AF78" s="31">
        <v>72</v>
      </c>
      <c r="AG78" s="32" t="s">
        <v>1178</v>
      </c>
      <c r="AH78" s="31">
        <v>0</v>
      </c>
      <c r="AI78" s="28"/>
      <c r="AJ78" s="28"/>
      <c r="AK78" s="883"/>
      <c r="AL78" s="487">
        <f t="shared" si="59"/>
        <v>5</v>
      </c>
      <c r="AM78" s="54">
        <f>AM76</f>
        <v>2</v>
      </c>
      <c r="AN78" s="52">
        <v>7</v>
      </c>
      <c r="AO78" s="881"/>
      <c r="AP78" s="47" t="s">
        <v>64</v>
      </c>
      <c r="AQ78" s="53"/>
      <c r="AR78" s="53"/>
      <c r="AS78" s="53"/>
      <c r="AT78" s="53"/>
      <c r="AU78" s="53"/>
      <c r="AV78" s="53"/>
      <c r="AW78" s="477">
        <f t="shared" si="57"/>
        <v>0</v>
      </c>
      <c r="AX78" s="477">
        <f t="shared" si="58"/>
        <v>0</v>
      </c>
    </row>
    <row r="79" spans="2:50" x14ac:dyDescent="0.2">
      <c r="B79" s="304" t="s">
        <v>765</v>
      </c>
      <c r="C79" s="304">
        <v>24</v>
      </c>
      <c r="D79" s="305">
        <v>0.5</v>
      </c>
      <c r="E79" s="35"/>
      <c r="F79" s="29"/>
      <c r="G79" s="29"/>
      <c r="H79" s="29"/>
      <c r="I79" s="29"/>
      <c r="J79" s="29"/>
      <c r="K79" s="28"/>
      <c r="L79" s="28"/>
      <c r="M79" s="28"/>
      <c r="N79" s="28"/>
      <c r="O79" s="28"/>
      <c r="P79" s="28"/>
      <c r="Q79" s="28"/>
      <c r="R79" s="46">
        <v>8</v>
      </c>
      <c r="S79" s="46">
        <v>3</v>
      </c>
      <c r="T79" s="887"/>
      <c r="U79" s="47" t="s">
        <v>123</v>
      </c>
      <c r="V79" s="474"/>
      <c r="W79" s="474"/>
      <c r="X79" s="474"/>
      <c r="Y79" s="474"/>
      <c r="Z79" s="903"/>
      <c r="AA79" s="903"/>
      <c r="AB79" s="48" t="str">
        <f>AB78</f>
        <v>Resolução ANEEL Nº 2.811 de 24 de Novembro de 2020</v>
      </c>
      <c r="AC79" s="28"/>
      <c r="AD79" s="28"/>
      <c r="AE79" s="28"/>
      <c r="AF79" s="31">
        <v>73</v>
      </c>
      <c r="AG79" s="32" t="s">
        <v>1179</v>
      </c>
      <c r="AH79" s="31">
        <v>0</v>
      </c>
      <c r="AI79" s="28"/>
      <c r="AJ79" s="28"/>
      <c r="AK79" s="883"/>
      <c r="AL79" s="487">
        <f t="shared" si="59"/>
        <v>5</v>
      </c>
      <c r="AM79" s="54">
        <f>AM76</f>
        <v>2</v>
      </c>
      <c r="AN79" s="52">
        <v>8</v>
      </c>
      <c r="AO79" s="881"/>
      <c r="AP79" s="47" t="s">
        <v>150</v>
      </c>
      <c r="AQ79" s="53"/>
      <c r="AR79" s="53"/>
      <c r="AS79" s="53"/>
      <c r="AT79" s="53"/>
      <c r="AU79" s="53"/>
      <c r="AV79" s="53"/>
      <c r="AW79" s="477">
        <f t="shared" si="57"/>
        <v>0</v>
      </c>
      <c r="AX79" s="477">
        <f t="shared" si="58"/>
        <v>0</v>
      </c>
    </row>
    <row r="80" spans="2:50" x14ac:dyDescent="0.2">
      <c r="B80" s="304" t="s">
        <v>766</v>
      </c>
      <c r="C80" s="304">
        <v>25</v>
      </c>
      <c r="D80" s="305">
        <v>0.86</v>
      </c>
      <c r="E80" s="35"/>
      <c r="F80" s="29"/>
      <c r="G80" s="29"/>
      <c r="H80" s="29"/>
      <c r="I80" s="29"/>
      <c r="J80" s="29"/>
      <c r="K80" s="28"/>
      <c r="L80" s="28"/>
      <c r="M80" s="28"/>
      <c r="N80" s="28"/>
      <c r="O80" s="28"/>
      <c r="P80" s="28"/>
      <c r="Q80" s="28"/>
      <c r="R80" s="46">
        <v>8</v>
      </c>
      <c r="S80" s="46">
        <v>4</v>
      </c>
      <c r="T80" s="887"/>
      <c r="U80" s="47" t="s">
        <v>122</v>
      </c>
      <c r="V80" s="474"/>
      <c r="W80" s="474"/>
      <c r="X80" s="474"/>
      <c r="Y80" s="474"/>
      <c r="Z80" s="903"/>
      <c r="AA80" s="903"/>
      <c r="AB80" s="48" t="str">
        <f>AB79</f>
        <v>Resolução ANEEL Nº 2.811 de 24 de Novembro de 2020</v>
      </c>
      <c r="AC80" s="28"/>
      <c r="AD80" s="28"/>
      <c r="AE80" s="28"/>
      <c r="AF80" s="31">
        <v>74</v>
      </c>
      <c r="AG80" s="32" t="s">
        <v>1180</v>
      </c>
      <c r="AH80" s="31">
        <v>0</v>
      </c>
      <c r="AI80" s="28"/>
      <c r="AJ80" s="28"/>
      <c r="AK80" s="883"/>
      <c r="AL80" s="487">
        <f t="shared" si="59"/>
        <v>5</v>
      </c>
      <c r="AM80" s="54">
        <f>AM76</f>
        <v>2</v>
      </c>
      <c r="AN80" s="52">
        <v>9</v>
      </c>
      <c r="AO80" s="881"/>
      <c r="AP80" s="47" t="s">
        <v>179</v>
      </c>
      <c r="AQ80" s="53"/>
      <c r="AR80" s="53"/>
      <c r="AS80" s="53"/>
      <c r="AT80" s="53"/>
      <c r="AU80" s="53"/>
      <c r="AV80" s="53"/>
      <c r="AW80" s="477">
        <f t="shared" si="57"/>
        <v>0</v>
      </c>
      <c r="AX80" s="477">
        <f t="shared" si="58"/>
        <v>0</v>
      </c>
    </row>
    <row r="81" spans="2:50" x14ac:dyDescent="0.2">
      <c r="B81" s="304" t="s">
        <v>767</v>
      </c>
      <c r="C81" s="304">
        <v>26</v>
      </c>
      <c r="D81" s="305">
        <v>0.65</v>
      </c>
      <c r="E81" s="35"/>
      <c r="F81" s="29"/>
      <c r="G81" s="29"/>
      <c r="H81" s="29"/>
      <c r="I81" s="29"/>
      <c r="J81" s="29"/>
      <c r="K81" s="28"/>
      <c r="L81" s="28"/>
      <c r="M81" s="28"/>
      <c r="N81" s="28"/>
      <c r="O81" s="28"/>
      <c r="P81" s="28"/>
      <c r="Q81" s="28"/>
      <c r="R81" s="46">
        <v>8</v>
      </c>
      <c r="S81" s="46">
        <v>5</v>
      </c>
      <c r="T81" s="887"/>
      <c r="U81" s="47" t="s">
        <v>121</v>
      </c>
      <c r="V81" s="474"/>
      <c r="W81" s="474"/>
      <c r="X81" s="474"/>
      <c r="Y81" s="474"/>
      <c r="Z81" s="903"/>
      <c r="AA81" s="903"/>
      <c r="AB81" s="48" t="str">
        <f t="shared" si="21"/>
        <v>Resolução ANEEL Nº 2.811 de 24 de Novembro de 2020</v>
      </c>
      <c r="AC81" s="28"/>
      <c r="AD81" s="28"/>
      <c r="AE81" s="28"/>
      <c r="AF81" s="31">
        <v>75</v>
      </c>
      <c r="AG81" s="32" t="s">
        <v>1181</v>
      </c>
      <c r="AH81" s="31">
        <v>0</v>
      </c>
      <c r="AI81" s="28"/>
      <c r="AJ81" s="28"/>
      <c r="AK81" s="883"/>
      <c r="AL81" s="487">
        <f t="shared" si="59"/>
        <v>5</v>
      </c>
      <c r="AM81" s="54">
        <f>AM77</f>
        <v>2</v>
      </c>
      <c r="AN81" s="56">
        <v>10</v>
      </c>
      <c r="AO81" s="881"/>
      <c r="AP81" s="47" t="s">
        <v>180</v>
      </c>
      <c r="AQ81" s="53"/>
      <c r="AR81" s="53"/>
      <c r="AS81" s="53"/>
      <c r="AT81" s="53"/>
      <c r="AU81" s="53"/>
      <c r="AV81" s="53"/>
      <c r="AW81" s="477">
        <f t="shared" si="57"/>
        <v>0</v>
      </c>
      <c r="AX81" s="477">
        <f t="shared" si="58"/>
        <v>0</v>
      </c>
    </row>
    <row r="82" spans="2:50" x14ac:dyDescent="0.2">
      <c r="B82" s="306" t="s">
        <v>768</v>
      </c>
      <c r="C82" s="306"/>
      <c r="D82" s="307"/>
      <c r="E82" s="35"/>
      <c r="F82" s="29"/>
      <c r="G82" s="29"/>
      <c r="H82" s="29"/>
      <c r="I82" s="29"/>
      <c r="J82" s="29"/>
      <c r="K82" s="28"/>
      <c r="L82" s="28"/>
      <c r="M82" s="28"/>
      <c r="N82" s="28"/>
      <c r="O82" s="28"/>
      <c r="P82" s="28"/>
      <c r="Q82" s="28"/>
      <c r="R82" s="46">
        <v>8</v>
      </c>
      <c r="S82" s="46">
        <v>6</v>
      </c>
      <c r="T82" s="887"/>
      <c r="U82" s="47" t="s">
        <v>63</v>
      </c>
      <c r="V82" s="479">
        <f>AQ151</f>
        <v>59.34</v>
      </c>
      <c r="W82" s="479">
        <f>AR151</f>
        <v>21.88</v>
      </c>
      <c r="X82" s="479">
        <f>AW151</f>
        <v>361.58</v>
      </c>
      <c r="Y82" s="479">
        <f>AX151</f>
        <v>238.06</v>
      </c>
      <c r="Z82" s="903"/>
      <c r="AA82" s="903"/>
      <c r="AB82" s="48" t="str">
        <f t="shared" si="21"/>
        <v>Resolução ANEEL Nº 2.811 de 24 de Novembro de 2020</v>
      </c>
      <c r="AC82" s="28"/>
      <c r="AD82" s="28"/>
      <c r="AE82" s="28"/>
      <c r="AF82" s="31">
        <v>76</v>
      </c>
      <c r="AG82" s="32" t="s">
        <v>1182</v>
      </c>
      <c r="AH82" s="31">
        <v>0</v>
      </c>
      <c r="AI82" s="28"/>
      <c r="AJ82" s="28"/>
      <c r="AK82" s="883"/>
      <c r="AL82" s="487">
        <f t="shared" si="59"/>
        <v>5</v>
      </c>
      <c r="AM82" s="54">
        <f>AM78</f>
        <v>2</v>
      </c>
      <c r="AN82" s="56">
        <v>11</v>
      </c>
      <c r="AO82" s="881"/>
      <c r="AP82" s="47" t="s">
        <v>151</v>
      </c>
      <c r="AQ82" s="53"/>
      <c r="AR82" s="53"/>
      <c r="AS82" s="53"/>
      <c r="AT82" s="53"/>
      <c r="AU82" s="53"/>
      <c r="AV82" s="53"/>
      <c r="AW82" s="477">
        <f t="shared" si="57"/>
        <v>0</v>
      </c>
      <c r="AX82" s="477">
        <f t="shared" si="58"/>
        <v>0</v>
      </c>
    </row>
    <row r="83" spans="2:50" x14ac:dyDescent="0.2">
      <c r="B83" s="306" t="s">
        <v>769</v>
      </c>
      <c r="C83" s="306"/>
      <c r="D83" s="307"/>
      <c r="E83" s="35"/>
      <c r="F83" s="29"/>
      <c r="G83" s="29"/>
      <c r="H83" s="29"/>
      <c r="I83" s="29"/>
      <c r="J83" s="29"/>
      <c r="K83" s="28"/>
      <c r="L83" s="28"/>
      <c r="M83" s="28"/>
      <c r="N83" s="28"/>
      <c r="O83" s="28"/>
      <c r="P83" s="28"/>
      <c r="Q83" s="28"/>
      <c r="R83" s="46">
        <v>8</v>
      </c>
      <c r="S83" s="46">
        <v>7</v>
      </c>
      <c r="T83" s="887"/>
      <c r="U83" s="55" t="s">
        <v>64</v>
      </c>
      <c r="V83" s="480">
        <f>AS154</f>
        <v>1109.83</v>
      </c>
      <c r="W83" s="480">
        <f>AU154</f>
        <v>296</v>
      </c>
      <c r="X83" s="480">
        <f>AW154</f>
        <v>1408.6599999999999</v>
      </c>
      <c r="Y83" s="480">
        <f>AX154</f>
        <v>471.31</v>
      </c>
      <c r="Z83" s="903"/>
      <c r="AA83" s="903"/>
      <c r="AB83" s="48" t="str">
        <f t="shared" si="21"/>
        <v>Resolução ANEEL Nº 2.811 de 24 de Novembro de 2020</v>
      </c>
      <c r="AC83" s="28"/>
      <c r="AD83" s="28"/>
      <c r="AE83" s="28"/>
      <c r="AF83" s="31">
        <v>77</v>
      </c>
      <c r="AG83" s="32" t="s">
        <v>1183</v>
      </c>
      <c r="AH83" s="31">
        <v>0</v>
      </c>
      <c r="AI83" s="28"/>
      <c r="AJ83" s="28"/>
      <c r="AK83" s="883"/>
      <c r="AL83" s="487">
        <f t="shared" si="59"/>
        <v>5</v>
      </c>
      <c r="AM83" s="54">
        <f>AM79</f>
        <v>2</v>
      </c>
      <c r="AN83" s="56">
        <v>12</v>
      </c>
      <c r="AO83" s="880"/>
      <c r="AP83" s="47" t="s">
        <v>181</v>
      </c>
      <c r="AQ83" s="53"/>
      <c r="AR83" s="53"/>
      <c r="AS83" s="53"/>
      <c r="AT83" s="53"/>
      <c r="AU83" s="53"/>
      <c r="AV83" s="53"/>
      <c r="AW83" s="477">
        <f t="shared" si="57"/>
        <v>0</v>
      </c>
      <c r="AX83" s="477">
        <f t="shared" si="58"/>
        <v>0</v>
      </c>
    </row>
    <row r="84" spans="2:50" x14ac:dyDescent="0.2">
      <c r="B84" s="306" t="s">
        <v>770</v>
      </c>
      <c r="C84" s="306"/>
      <c r="D84" s="307"/>
      <c r="E84" s="35"/>
      <c r="F84" s="29"/>
      <c r="G84" s="29"/>
      <c r="H84" s="29"/>
      <c r="I84" s="29"/>
      <c r="J84" s="29"/>
      <c r="K84" s="28"/>
      <c r="L84" s="28"/>
      <c r="M84" s="28"/>
      <c r="N84" s="28"/>
      <c r="O84" s="28"/>
      <c r="P84" s="28"/>
      <c r="Q84" s="28"/>
      <c r="R84" s="46">
        <v>8</v>
      </c>
      <c r="S84" s="46">
        <v>8</v>
      </c>
      <c r="T84" s="887"/>
      <c r="U84" s="55" t="s">
        <v>150</v>
      </c>
      <c r="V84" s="472"/>
      <c r="W84" s="472"/>
      <c r="X84" s="472"/>
      <c r="Y84" s="472"/>
      <c r="Z84" s="903"/>
      <c r="AA84" s="903"/>
      <c r="AB84" s="48" t="str">
        <f t="shared" si="21"/>
        <v>Resolução ANEEL Nº 2.811 de 24 de Novembro de 2020</v>
      </c>
      <c r="AC84" s="28"/>
      <c r="AD84" s="28"/>
      <c r="AE84" s="28"/>
      <c r="AF84" s="31">
        <v>78</v>
      </c>
      <c r="AG84" s="32" t="s">
        <v>1184</v>
      </c>
      <c r="AH84" s="31">
        <v>0</v>
      </c>
      <c r="AI84" s="28"/>
      <c r="AJ84" s="28"/>
      <c r="AK84" s="883"/>
      <c r="AL84" s="487">
        <f>AL80</f>
        <v>5</v>
      </c>
      <c r="AM84" s="51">
        <v>3</v>
      </c>
      <c r="AN84" s="56">
        <v>2</v>
      </c>
      <c r="AO84" s="879" t="s">
        <v>167</v>
      </c>
      <c r="AP84" s="47" t="s">
        <v>162</v>
      </c>
      <c r="AQ84" s="53"/>
      <c r="AR84" s="53"/>
      <c r="AS84" s="53"/>
      <c r="AT84" s="53"/>
      <c r="AU84" s="53"/>
      <c r="AV84" s="53"/>
      <c r="AW84" s="477">
        <f t="shared" si="57"/>
        <v>0</v>
      </c>
      <c r="AX84" s="477">
        <f t="shared" si="58"/>
        <v>0</v>
      </c>
    </row>
    <row r="85" spans="2:50" x14ac:dyDescent="0.2">
      <c r="B85" s="29"/>
      <c r="C85" s="29"/>
      <c r="D85" s="29"/>
      <c r="E85" s="35"/>
      <c r="F85" s="29"/>
      <c r="G85" s="29"/>
      <c r="H85" s="29"/>
      <c r="I85" s="29"/>
      <c r="J85" s="29"/>
      <c r="K85" s="28"/>
      <c r="L85" s="28"/>
      <c r="M85" s="28"/>
      <c r="N85" s="28"/>
      <c r="O85" s="28"/>
      <c r="P85" s="28"/>
      <c r="Q85" s="28"/>
      <c r="R85" s="46">
        <v>8</v>
      </c>
      <c r="S85" s="46">
        <v>9</v>
      </c>
      <c r="T85" s="887"/>
      <c r="U85" s="55" t="s">
        <v>179</v>
      </c>
      <c r="V85" s="472"/>
      <c r="W85" s="472"/>
      <c r="X85" s="472"/>
      <c r="Y85" s="472"/>
      <c r="Z85" s="903"/>
      <c r="AA85" s="903"/>
      <c r="AB85" s="48" t="str">
        <f t="shared" si="21"/>
        <v>Resolução ANEEL Nº 2.811 de 24 de Novembro de 2020</v>
      </c>
      <c r="AC85" s="28"/>
      <c r="AD85" s="28"/>
      <c r="AE85" s="28"/>
      <c r="AF85" s="31">
        <v>79</v>
      </c>
      <c r="AG85" s="32" t="s">
        <v>1185</v>
      </c>
      <c r="AH85" s="31">
        <v>0</v>
      </c>
      <c r="AI85" s="28"/>
      <c r="AJ85" s="28"/>
      <c r="AK85" s="883"/>
      <c r="AL85" s="487">
        <f>AL80</f>
        <v>5</v>
      </c>
      <c r="AM85" s="54">
        <f>AM84</f>
        <v>3</v>
      </c>
      <c r="AN85" s="56">
        <v>3</v>
      </c>
      <c r="AO85" s="881"/>
      <c r="AP85" s="47" t="s">
        <v>123</v>
      </c>
      <c r="AQ85" s="53"/>
      <c r="AR85" s="53"/>
      <c r="AS85" s="53"/>
      <c r="AT85" s="53"/>
      <c r="AU85" s="53"/>
      <c r="AV85" s="53"/>
      <c r="AW85" s="477">
        <f t="shared" si="57"/>
        <v>0</v>
      </c>
      <c r="AX85" s="477">
        <f t="shared" si="58"/>
        <v>0</v>
      </c>
    </row>
    <row r="86" spans="2:50" x14ac:dyDescent="0.2">
      <c r="B86" s="29">
        <f>SolarBenef!M14</f>
        <v>24</v>
      </c>
      <c r="C86" s="29">
        <f>VLOOKUP(B86,C55:D81,2,FALSE)</f>
        <v>0.5</v>
      </c>
      <c r="D86" s="29"/>
      <c r="E86" s="35"/>
      <c r="F86" s="29"/>
      <c r="G86" s="29"/>
      <c r="H86" s="29"/>
      <c r="I86" s="29"/>
      <c r="J86" s="29"/>
      <c r="K86" s="28"/>
      <c r="L86" s="28"/>
      <c r="M86" s="28"/>
      <c r="N86" s="28"/>
      <c r="O86" s="28"/>
      <c r="P86" s="28"/>
      <c r="Q86" s="28"/>
      <c r="R86" s="46">
        <v>8</v>
      </c>
      <c r="S86" s="46">
        <v>10</v>
      </c>
      <c r="T86" s="887"/>
      <c r="U86" s="55" t="s">
        <v>180</v>
      </c>
      <c r="V86" s="472"/>
      <c r="W86" s="472"/>
      <c r="X86" s="472"/>
      <c r="Y86" s="472"/>
      <c r="Z86" s="903"/>
      <c r="AA86" s="903"/>
      <c r="AB86" s="48" t="str">
        <f t="shared" si="21"/>
        <v>Resolução ANEEL Nº 2.811 de 24 de Novembro de 2020</v>
      </c>
      <c r="AC86" s="28"/>
      <c r="AD86" s="28"/>
      <c r="AE86" s="28"/>
      <c r="AF86" s="31">
        <v>80</v>
      </c>
      <c r="AG86" s="32" t="s">
        <v>1186</v>
      </c>
      <c r="AH86" s="31">
        <v>0</v>
      </c>
      <c r="AI86" s="28"/>
      <c r="AJ86" s="28"/>
      <c r="AK86" s="883"/>
      <c r="AL86" s="487">
        <f t="shared" ref="AL86:AM96" si="60">AL85</f>
        <v>5</v>
      </c>
      <c r="AM86" s="54">
        <f>AM84</f>
        <v>3</v>
      </c>
      <c r="AN86" s="56">
        <v>4</v>
      </c>
      <c r="AO86" s="881"/>
      <c r="AP86" s="47" t="s">
        <v>122</v>
      </c>
      <c r="AQ86" s="53"/>
      <c r="AR86" s="53"/>
      <c r="AS86" s="53"/>
      <c r="AT86" s="53"/>
      <c r="AU86" s="53"/>
      <c r="AV86" s="53"/>
      <c r="AW86" s="477">
        <f t="shared" si="57"/>
        <v>0</v>
      </c>
      <c r="AX86" s="477">
        <f t="shared" si="58"/>
        <v>0</v>
      </c>
    </row>
    <row r="87" spans="2:50" x14ac:dyDescent="0.2">
      <c r="B87" s="29"/>
      <c r="C87" s="29"/>
      <c r="D87" s="29"/>
      <c r="E87" s="35"/>
      <c r="F87" s="29"/>
      <c r="G87" s="29"/>
      <c r="H87" s="29"/>
      <c r="I87" s="29"/>
      <c r="J87" s="29"/>
      <c r="K87" s="28"/>
      <c r="L87" s="28"/>
      <c r="M87" s="28"/>
      <c r="N87" s="28"/>
      <c r="O87" s="28"/>
      <c r="P87" s="28"/>
      <c r="Q87" s="28"/>
      <c r="R87" s="46">
        <v>8</v>
      </c>
      <c r="S87" s="46">
        <v>11</v>
      </c>
      <c r="T87" s="887"/>
      <c r="U87" s="55" t="s">
        <v>151</v>
      </c>
      <c r="V87" s="480">
        <f>AS158</f>
        <v>1094.6500000000001</v>
      </c>
      <c r="W87" s="480">
        <f>AU158</f>
        <v>292.95999999999998</v>
      </c>
      <c r="X87" s="480">
        <f>AW158</f>
        <v>1393.48</v>
      </c>
      <c r="Y87" s="480">
        <f>AX158</f>
        <v>468.27</v>
      </c>
      <c r="Z87" s="903"/>
      <c r="AA87" s="903"/>
      <c r="AB87" s="48" t="str">
        <f t="shared" si="21"/>
        <v>Resolução ANEEL Nº 2.811 de 24 de Novembro de 2020</v>
      </c>
      <c r="AC87" s="28"/>
      <c r="AD87" s="28"/>
      <c r="AE87" s="28"/>
      <c r="AF87" s="31">
        <v>81</v>
      </c>
      <c r="AG87" s="32" t="s">
        <v>1187</v>
      </c>
      <c r="AH87" s="31">
        <v>0</v>
      </c>
      <c r="AI87" s="28"/>
      <c r="AJ87" s="28"/>
      <c r="AK87" s="883"/>
      <c r="AL87" s="487">
        <f t="shared" si="60"/>
        <v>5</v>
      </c>
      <c r="AM87" s="54">
        <f t="shared" si="60"/>
        <v>3</v>
      </c>
      <c r="AN87" s="56">
        <v>5</v>
      </c>
      <c r="AO87" s="881"/>
      <c r="AP87" s="47" t="s">
        <v>121</v>
      </c>
      <c r="AQ87" s="53"/>
      <c r="AR87" s="53"/>
      <c r="AS87" s="53"/>
      <c r="AT87" s="53"/>
      <c r="AU87" s="53"/>
      <c r="AV87" s="53"/>
      <c r="AW87" s="477">
        <f t="shared" si="57"/>
        <v>0</v>
      </c>
      <c r="AX87" s="477">
        <f t="shared" si="58"/>
        <v>0</v>
      </c>
    </row>
    <row r="88" spans="2:50" x14ac:dyDescent="0.2">
      <c r="B88" s="29"/>
      <c r="C88" s="29"/>
      <c r="D88" s="29"/>
      <c r="E88" s="35"/>
      <c r="F88" s="29"/>
      <c r="G88" s="29"/>
      <c r="H88" s="29"/>
      <c r="I88" s="29"/>
      <c r="J88" s="29"/>
      <c r="K88" s="28"/>
      <c r="L88" s="28"/>
      <c r="M88" s="28"/>
      <c r="N88" s="28"/>
      <c r="O88" s="28"/>
      <c r="P88" s="28"/>
      <c r="Q88" s="28"/>
      <c r="R88" s="46">
        <v>8</v>
      </c>
      <c r="S88" s="46">
        <v>12</v>
      </c>
      <c r="T88" s="888"/>
      <c r="U88" s="55" t="s">
        <v>181</v>
      </c>
      <c r="V88" s="472">
        <f>V87</f>
        <v>1094.6500000000001</v>
      </c>
      <c r="W88" s="472">
        <f>W87</f>
        <v>292.95999999999998</v>
      </c>
      <c r="X88" s="472">
        <f>X87</f>
        <v>1393.48</v>
      </c>
      <c r="Y88" s="472">
        <f>Y87</f>
        <v>468.27</v>
      </c>
      <c r="Z88" s="904"/>
      <c r="AA88" s="904"/>
      <c r="AB88" s="48" t="str">
        <f t="shared" si="21"/>
        <v>Resolução ANEEL Nº 2.811 de 24 de Novembro de 2020</v>
      </c>
      <c r="AC88" s="28"/>
      <c r="AD88" s="28"/>
      <c r="AE88" s="28"/>
      <c r="AF88" s="31">
        <v>82</v>
      </c>
      <c r="AG88" s="32" t="s">
        <v>1188</v>
      </c>
      <c r="AH88" s="31">
        <v>0</v>
      </c>
      <c r="AI88" s="28"/>
      <c r="AJ88" s="28"/>
      <c r="AK88" s="883"/>
      <c r="AL88" s="487">
        <f t="shared" si="60"/>
        <v>5</v>
      </c>
      <c r="AM88" s="60">
        <f t="shared" si="60"/>
        <v>3</v>
      </c>
      <c r="AN88" s="56">
        <v>6</v>
      </c>
      <c r="AO88" s="880"/>
      <c r="AP88" s="47" t="s">
        <v>63</v>
      </c>
      <c r="AQ88" s="53"/>
      <c r="AR88" s="53"/>
      <c r="AS88" s="53"/>
      <c r="AT88" s="53"/>
      <c r="AU88" s="53"/>
      <c r="AV88" s="53"/>
      <c r="AW88" s="477">
        <f t="shared" si="57"/>
        <v>0</v>
      </c>
      <c r="AX88" s="477">
        <f t="shared" si="58"/>
        <v>0</v>
      </c>
    </row>
    <row r="89" spans="2:50" x14ac:dyDescent="0.2">
      <c r="B89" s="29"/>
      <c r="C89" s="29"/>
      <c r="D89" s="29"/>
      <c r="E89" s="35"/>
      <c r="F89" s="29"/>
      <c r="G89" s="29"/>
      <c r="H89" s="29"/>
      <c r="I89" s="29"/>
      <c r="J89" s="29"/>
      <c r="K89" s="28"/>
      <c r="L89" s="28"/>
      <c r="M89" s="28"/>
      <c r="N89" s="28"/>
      <c r="O89" s="28"/>
      <c r="P89" s="28"/>
      <c r="Q89" s="28"/>
      <c r="R89" s="46">
        <v>9</v>
      </c>
      <c r="S89" s="46">
        <v>2</v>
      </c>
      <c r="T89" s="886">
        <v>2022</v>
      </c>
      <c r="U89" s="47" t="s">
        <v>162</v>
      </c>
      <c r="V89" s="474"/>
      <c r="W89" s="474"/>
      <c r="X89" s="474"/>
      <c r="Y89" s="474"/>
      <c r="Z89" s="895">
        <v>43684</v>
      </c>
      <c r="AA89" s="895">
        <v>44049</v>
      </c>
      <c r="AB89" s="48" t="s">
        <v>1348</v>
      </c>
      <c r="AC89" s="28"/>
      <c r="AD89" s="28"/>
      <c r="AE89" s="28"/>
      <c r="AF89" s="31">
        <v>83</v>
      </c>
      <c r="AG89" s="32" t="s">
        <v>1189</v>
      </c>
      <c r="AH89" s="31">
        <v>0</v>
      </c>
      <c r="AI89" s="28"/>
      <c r="AJ89" s="28"/>
      <c r="AK89" s="883"/>
      <c r="AL89" s="487">
        <f t="shared" si="60"/>
        <v>5</v>
      </c>
      <c r="AM89" s="54">
        <v>4</v>
      </c>
      <c r="AN89" s="52">
        <v>5</v>
      </c>
      <c r="AO89" s="879" t="s">
        <v>168</v>
      </c>
      <c r="AP89" s="47" t="s">
        <v>121</v>
      </c>
      <c r="AQ89" s="53"/>
      <c r="AR89" s="53"/>
      <c r="AS89" s="53"/>
      <c r="AT89" s="53"/>
      <c r="AU89" s="53"/>
      <c r="AV89" s="53"/>
      <c r="AW89" s="477">
        <f t="shared" si="57"/>
        <v>0</v>
      </c>
      <c r="AX89" s="477">
        <f t="shared" si="58"/>
        <v>0</v>
      </c>
    </row>
    <row r="90" spans="2:50" x14ac:dyDescent="0.2">
      <c r="B90" s="29"/>
      <c r="C90" s="29"/>
      <c r="D90" s="29"/>
      <c r="E90" s="35"/>
      <c r="F90" s="29"/>
      <c r="G90" s="29"/>
      <c r="H90" s="29"/>
      <c r="I90" s="29"/>
      <c r="J90" s="29"/>
      <c r="K90" s="28"/>
      <c r="L90" s="28"/>
      <c r="M90" s="28"/>
      <c r="N90" s="28"/>
      <c r="O90" s="28"/>
      <c r="P90" s="28"/>
      <c r="Q90" s="28"/>
      <c r="R90" s="46">
        <v>9</v>
      </c>
      <c r="S90" s="46">
        <v>3</v>
      </c>
      <c r="T90" s="887"/>
      <c r="U90" s="47" t="s">
        <v>123</v>
      </c>
      <c r="V90" s="474"/>
      <c r="W90" s="474"/>
      <c r="X90" s="474"/>
      <c r="Y90" s="474"/>
      <c r="Z90" s="896"/>
      <c r="AA90" s="896"/>
      <c r="AB90" s="48" t="str">
        <f>AB89</f>
        <v>Resolução ANEEL Nº 2.980de 30 de Novembro de 2021</v>
      </c>
      <c r="AC90" s="28"/>
      <c r="AD90" s="28"/>
      <c r="AE90" s="28"/>
      <c r="AF90" s="31">
        <v>84</v>
      </c>
      <c r="AG90" s="32" t="s">
        <v>1190</v>
      </c>
      <c r="AH90" s="31">
        <v>0</v>
      </c>
      <c r="AI90" s="28"/>
      <c r="AJ90" s="28"/>
      <c r="AK90" s="883"/>
      <c r="AL90" s="487">
        <f t="shared" si="60"/>
        <v>5</v>
      </c>
      <c r="AM90" s="60">
        <v>4</v>
      </c>
      <c r="AN90" s="52">
        <v>6</v>
      </c>
      <c r="AO90" s="880"/>
      <c r="AP90" s="47" t="s">
        <v>63</v>
      </c>
      <c r="AQ90" s="53"/>
      <c r="AR90" s="53"/>
      <c r="AS90" s="53"/>
      <c r="AT90" s="53"/>
      <c r="AU90" s="53"/>
      <c r="AV90" s="53"/>
      <c r="AW90" s="477">
        <f t="shared" si="57"/>
        <v>0</v>
      </c>
      <c r="AX90" s="477">
        <f t="shared" si="58"/>
        <v>0</v>
      </c>
    </row>
    <row r="91" spans="2:50" x14ac:dyDescent="0.2">
      <c r="B91" s="29"/>
      <c r="C91" s="29"/>
      <c r="D91" s="29"/>
      <c r="E91" s="35"/>
      <c r="F91" s="29"/>
      <c r="G91" s="29"/>
      <c r="H91" s="29"/>
      <c r="I91" s="29"/>
      <c r="J91" s="29"/>
      <c r="K91" s="28"/>
      <c r="L91" s="28"/>
      <c r="M91" s="28"/>
      <c r="N91" s="28"/>
      <c r="O91" s="28"/>
      <c r="P91" s="28"/>
      <c r="Q91" s="28"/>
      <c r="R91" s="46">
        <v>9</v>
      </c>
      <c r="S91" s="46">
        <v>4</v>
      </c>
      <c r="T91" s="887"/>
      <c r="U91" s="47" t="s">
        <v>122</v>
      </c>
      <c r="V91" s="474"/>
      <c r="W91" s="474"/>
      <c r="X91" s="474"/>
      <c r="Y91" s="474"/>
      <c r="Z91" s="896"/>
      <c r="AA91" s="896"/>
      <c r="AB91" s="48" t="str">
        <f>AB90</f>
        <v>Resolução ANEEL Nº 2.980de 30 de Novembro de 2021</v>
      </c>
      <c r="AC91" s="28"/>
      <c r="AD91" s="28"/>
      <c r="AE91" s="28"/>
      <c r="AF91" s="31">
        <v>85</v>
      </c>
      <c r="AG91" s="32" t="s">
        <v>1191</v>
      </c>
      <c r="AH91" s="31">
        <v>0</v>
      </c>
      <c r="AI91" s="28"/>
      <c r="AJ91" s="28"/>
      <c r="AK91" s="883"/>
      <c r="AL91" s="487">
        <f t="shared" si="60"/>
        <v>5</v>
      </c>
      <c r="AM91" s="54">
        <v>5</v>
      </c>
      <c r="AN91" s="52">
        <v>7</v>
      </c>
      <c r="AO91" s="879" t="s">
        <v>166</v>
      </c>
      <c r="AP91" s="47" t="s">
        <v>64</v>
      </c>
      <c r="AQ91" s="53"/>
      <c r="AR91" s="53"/>
      <c r="AS91" s="53"/>
      <c r="AT91" s="53"/>
      <c r="AU91" s="53"/>
      <c r="AV91" s="53"/>
      <c r="AW91" s="477">
        <f t="shared" si="57"/>
        <v>0</v>
      </c>
      <c r="AX91" s="477">
        <f t="shared" si="58"/>
        <v>0</v>
      </c>
    </row>
    <row r="92" spans="2:50" x14ac:dyDescent="0.2">
      <c r="B92" s="29"/>
      <c r="C92" s="29"/>
      <c r="D92" s="29"/>
      <c r="E92" s="35"/>
      <c r="F92" s="29"/>
      <c r="G92" s="29"/>
      <c r="H92" s="29"/>
      <c r="I92" s="29"/>
      <c r="J92" s="29"/>
      <c r="K92" s="28"/>
      <c r="L92" s="28"/>
      <c r="M92" s="28"/>
      <c r="N92" s="28"/>
      <c r="O92" s="28"/>
      <c r="P92" s="28"/>
      <c r="Q92" s="28"/>
      <c r="R92" s="46">
        <v>9</v>
      </c>
      <c r="S92" s="46">
        <v>5</v>
      </c>
      <c r="T92" s="887"/>
      <c r="U92" s="47" t="s">
        <v>121</v>
      </c>
      <c r="V92" s="474"/>
      <c r="W92" s="474"/>
      <c r="X92" s="474"/>
      <c r="Y92" s="474"/>
      <c r="Z92" s="896"/>
      <c r="AA92" s="896"/>
      <c r="AB92" s="48" t="str">
        <f t="shared" si="21"/>
        <v>Resolução ANEEL Nº 2.980de 30 de Novembro de 2021</v>
      </c>
      <c r="AC92" s="28"/>
      <c r="AD92" s="28"/>
      <c r="AE92" s="28"/>
      <c r="AF92" s="31">
        <v>86</v>
      </c>
      <c r="AG92" s="32" t="s">
        <v>1192</v>
      </c>
      <c r="AH92" s="31">
        <v>0</v>
      </c>
      <c r="AI92" s="28"/>
      <c r="AJ92" s="28"/>
      <c r="AK92" s="883"/>
      <c r="AL92" s="487">
        <f t="shared" si="60"/>
        <v>5</v>
      </c>
      <c r="AM92" s="54">
        <v>5</v>
      </c>
      <c r="AN92" s="52">
        <v>8</v>
      </c>
      <c r="AO92" s="881"/>
      <c r="AP92" s="47" t="s">
        <v>150</v>
      </c>
      <c r="AQ92" s="53"/>
      <c r="AR92" s="53"/>
      <c r="AS92" s="53"/>
      <c r="AT92" s="53"/>
      <c r="AU92" s="53"/>
      <c r="AV92" s="53"/>
      <c r="AW92" s="477">
        <f t="shared" si="57"/>
        <v>0</v>
      </c>
      <c r="AX92" s="477">
        <f t="shared" si="58"/>
        <v>0</v>
      </c>
    </row>
    <row r="93" spans="2:50" x14ac:dyDescent="0.2">
      <c r="B93" s="29"/>
      <c r="C93" s="29"/>
      <c r="D93" s="29"/>
      <c r="E93" s="35"/>
      <c r="F93" s="29"/>
      <c r="G93" s="29"/>
      <c r="H93" s="29"/>
      <c r="I93" s="29"/>
      <c r="J93" s="29"/>
      <c r="K93" s="28"/>
      <c r="L93" s="28"/>
      <c r="M93" s="28"/>
      <c r="N93" s="28"/>
      <c r="O93" s="28"/>
      <c r="P93" s="28"/>
      <c r="Q93" s="28"/>
      <c r="R93" s="46">
        <v>9</v>
      </c>
      <c r="S93" s="46">
        <v>6</v>
      </c>
      <c r="T93" s="887"/>
      <c r="U93" s="792" t="s">
        <v>63</v>
      </c>
      <c r="V93" s="794">
        <f>AQ172</f>
        <v>66.69</v>
      </c>
      <c r="W93" s="794">
        <f>AR172</f>
        <v>24.16</v>
      </c>
      <c r="X93" s="794">
        <f>AW172</f>
        <v>418.69</v>
      </c>
      <c r="Y93" s="794">
        <f>AX172</f>
        <v>291.22000000000003</v>
      </c>
      <c r="Z93" s="896"/>
      <c r="AA93" s="896"/>
      <c r="AB93" s="48" t="str">
        <f t="shared" si="21"/>
        <v>Resolução ANEEL Nº 2.980de 30 de Novembro de 2021</v>
      </c>
      <c r="AC93" s="28"/>
      <c r="AD93" s="28"/>
      <c r="AE93" s="28"/>
      <c r="AF93" s="31">
        <v>87</v>
      </c>
      <c r="AG93" s="32" t="s">
        <v>1193</v>
      </c>
      <c r="AH93" s="31">
        <v>0</v>
      </c>
      <c r="AI93" s="28"/>
      <c r="AJ93" s="28"/>
      <c r="AK93" s="883"/>
      <c r="AL93" s="487">
        <f t="shared" si="60"/>
        <v>5</v>
      </c>
      <c r="AM93" s="54">
        <v>5</v>
      </c>
      <c r="AN93" s="52">
        <v>9</v>
      </c>
      <c r="AO93" s="881"/>
      <c r="AP93" s="47" t="s">
        <v>179</v>
      </c>
      <c r="AQ93" s="53"/>
      <c r="AR93" s="53"/>
      <c r="AS93" s="53"/>
      <c r="AT93" s="53"/>
      <c r="AU93" s="53"/>
      <c r="AV93" s="53"/>
      <c r="AW93" s="477">
        <f t="shared" si="57"/>
        <v>0</v>
      </c>
      <c r="AX93" s="477">
        <f t="shared" si="58"/>
        <v>0</v>
      </c>
    </row>
    <row r="94" spans="2:50" x14ac:dyDescent="0.2">
      <c r="B94" s="29"/>
      <c r="C94" s="29"/>
      <c r="D94" s="29"/>
      <c r="E94" s="35"/>
      <c r="F94" s="29"/>
      <c r="G94" s="29"/>
      <c r="H94" s="29"/>
      <c r="I94" s="29"/>
      <c r="J94" s="29"/>
      <c r="K94" s="28"/>
      <c r="L94" s="28"/>
      <c r="M94" s="28"/>
      <c r="N94" s="28"/>
      <c r="O94" s="28"/>
      <c r="P94" s="28"/>
      <c r="Q94" s="28"/>
      <c r="R94" s="46">
        <v>9</v>
      </c>
      <c r="S94" s="46">
        <v>7</v>
      </c>
      <c r="T94" s="887"/>
      <c r="U94" s="792" t="s">
        <v>64</v>
      </c>
      <c r="V94" s="794">
        <f>AS175</f>
        <v>1101.4000000000001</v>
      </c>
      <c r="W94" s="794">
        <f>AU175</f>
        <v>307.58</v>
      </c>
      <c r="X94" s="794">
        <f>AW175</f>
        <v>1440.96</v>
      </c>
      <c r="Y94" s="794">
        <f>AX175</f>
        <v>519.66999999999996</v>
      </c>
      <c r="Z94" s="896"/>
      <c r="AA94" s="896"/>
      <c r="AB94" s="48" t="str">
        <f t="shared" si="21"/>
        <v>Resolução ANEEL Nº 2.980de 30 de Novembro de 2021</v>
      </c>
      <c r="AC94" s="28"/>
      <c r="AD94" s="28"/>
      <c r="AE94" s="28"/>
      <c r="AF94" s="31">
        <v>88</v>
      </c>
      <c r="AG94" s="32" t="s">
        <v>1194</v>
      </c>
      <c r="AH94" s="31">
        <v>0</v>
      </c>
      <c r="AI94" s="28"/>
      <c r="AJ94" s="28"/>
      <c r="AK94" s="883"/>
      <c r="AL94" s="487">
        <f t="shared" si="60"/>
        <v>5</v>
      </c>
      <c r="AM94" s="54">
        <v>5</v>
      </c>
      <c r="AN94" s="52">
        <v>10</v>
      </c>
      <c r="AO94" s="881"/>
      <c r="AP94" s="47" t="s">
        <v>180</v>
      </c>
      <c r="AQ94" s="53"/>
      <c r="AR94" s="53"/>
      <c r="AS94" s="53"/>
      <c r="AT94" s="53"/>
      <c r="AU94" s="53"/>
      <c r="AV94" s="53"/>
      <c r="AW94" s="477">
        <f t="shared" si="57"/>
        <v>0</v>
      </c>
      <c r="AX94" s="477">
        <f t="shared" si="58"/>
        <v>0</v>
      </c>
    </row>
    <row r="95" spans="2:50" x14ac:dyDescent="0.2">
      <c r="B95" s="29"/>
      <c r="C95" s="29"/>
      <c r="D95" s="29"/>
      <c r="E95" s="35"/>
      <c r="F95" s="29"/>
      <c r="G95" s="29"/>
      <c r="H95" s="29"/>
      <c r="I95" s="29"/>
      <c r="J95" s="29"/>
      <c r="K95" s="28"/>
      <c r="L95" s="28"/>
      <c r="M95" s="28"/>
      <c r="N95" s="28"/>
      <c r="O95" s="28"/>
      <c r="P95" s="28"/>
      <c r="Q95" s="28"/>
      <c r="R95" s="46">
        <v>9</v>
      </c>
      <c r="S95" s="46">
        <v>8</v>
      </c>
      <c r="T95" s="887"/>
      <c r="U95" s="55" t="s">
        <v>150</v>
      </c>
      <c r="V95" s="472"/>
      <c r="W95" s="472"/>
      <c r="X95" s="472"/>
      <c r="Y95" s="472"/>
      <c r="Z95" s="896"/>
      <c r="AA95" s="896"/>
      <c r="AB95" s="48" t="str">
        <f t="shared" si="21"/>
        <v>Resolução ANEEL Nº 2.980de 30 de Novembro de 2021</v>
      </c>
      <c r="AC95" s="28"/>
      <c r="AD95" s="28"/>
      <c r="AE95" s="28"/>
      <c r="AF95" s="31">
        <v>89</v>
      </c>
      <c r="AG95" s="32" t="s">
        <v>1195</v>
      </c>
      <c r="AH95" s="31">
        <v>0</v>
      </c>
      <c r="AI95" s="28"/>
      <c r="AJ95" s="28"/>
      <c r="AK95" s="883"/>
      <c r="AL95" s="487">
        <f t="shared" si="60"/>
        <v>5</v>
      </c>
      <c r="AM95" s="54">
        <v>5</v>
      </c>
      <c r="AN95" s="52">
        <v>11</v>
      </c>
      <c r="AO95" s="881"/>
      <c r="AP95" s="47" t="s">
        <v>151</v>
      </c>
      <c r="AQ95" s="53">
        <v>0</v>
      </c>
      <c r="AR95" s="53">
        <v>0</v>
      </c>
      <c r="AS95" s="757">
        <v>899.93</v>
      </c>
      <c r="AT95" s="757">
        <v>433.69</v>
      </c>
      <c r="AU95" s="757">
        <v>267.39999999999998</v>
      </c>
      <c r="AV95" s="757">
        <v>260.33999999999997</v>
      </c>
      <c r="AW95" s="477">
        <f t="shared" si="57"/>
        <v>1333.62</v>
      </c>
      <c r="AX95" s="477">
        <f t="shared" si="58"/>
        <v>527.74</v>
      </c>
    </row>
    <row r="96" spans="2:50" x14ac:dyDescent="0.2">
      <c r="B96" s="29"/>
      <c r="C96" s="29"/>
      <c r="D96" s="29"/>
      <c r="E96" s="35"/>
      <c r="F96" s="29"/>
      <c r="G96" s="29"/>
      <c r="H96" s="29"/>
      <c r="I96" s="29"/>
      <c r="J96" s="29"/>
      <c r="K96" s="28"/>
      <c r="L96" s="28"/>
      <c r="M96" s="28"/>
      <c r="N96" s="28"/>
      <c r="O96" s="28"/>
      <c r="P96" s="28"/>
      <c r="Q96" s="28"/>
      <c r="R96" s="46">
        <v>9</v>
      </c>
      <c r="S96" s="46">
        <v>9</v>
      </c>
      <c r="T96" s="887"/>
      <c r="U96" s="55" t="s">
        <v>179</v>
      </c>
      <c r="V96" s="472"/>
      <c r="W96" s="472"/>
      <c r="X96" s="472"/>
      <c r="Y96" s="472"/>
      <c r="Z96" s="896"/>
      <c r="AA96" s="896"/>
      <c r="AB96" s="48" t="str">
        <f t="shared" si="21"/>
        <v>Resolução ANEEL Nº 2.980de 30 de Novembro de 2021</v>
      </c>
      <c r="AC96" s="28"/>
      <c r="AD96" s="28"/>
      <c r="AE96" s="28"/>
      <c r="AF96" s="31">
        <v>90</v>
      </c>
      <c r="AG96" s="32" t="s">
        <v>1196</v>
      </c>
      <c r="AH96" s="31">
        <v>0</v>
      </c>
      <c r="AI96" s="28"/>
      <c r="AJ96" s="28"/>
      <c r="AK96" s="884"/>
      <c r="AL96" s="488">
        <f t="shared" si="60"/>
        <v>5</v>
      </c>
      <c r="AM96" s="60">
        <v>5</v>
      </c>
      <c r="AN96" s="52">
        <v>12</v>
      </c>
      <c r="AO96" s="880"/>
      <c r="AP96" s="47" t="s">
        <v>181</v>
      </c>
      <c r="AQ96" s="53"/>
      <c r="AR96" s="53"/>
      <c r="AS96" s="757">
        <v>899.93</v>
      </c>
      <c r="AT96" s="757">
        <v>433.69</v>
      </c>
      <c r="AU96" s="757">
        <v>267.39999999999998</v>
      </c>
      <c r="AV96" s="757">
        <v>260.33999999999997</v>
      </c>
      <c r="AW96" s="26">
        <f t="shared" si="57"/>
        <v>1333.62</v>
      </c>
      <c r="AX96" s="26">
        <f t="shared" si="58"/>
        <v>527.74</v>
      </c>
    </row>
    <row r="97" spans="2:50" x14ac:dyDescent="0.2">
      <c r="B97" s="29"/>
      <c r="C97" s="29"/>
      <c r="D97" s="29"/>
      <c r="E97" s="35"/>
      <c r="F97" s="29"/>
      <c r="G97" s="29"/>
      <c r="H97" s="29"/>
      <c r="I97" s="29"/>
      <c r="J97" s="29"/>
      <c r="K97" s="28"/>
      <c r="L97" s="28"/>
      <c r="M97" s="28"/>
      <c r="N97" s="28"/>
      <c r="O97" s="28"/>
      <c r="P97" s="28"/>
      <c r="Q97" s="28"/>
      <c r="R97" s="46">
        <v>9</v>
      </c>
      <c r="S97" s="46">
        <v>10</v>
      </c>
      <c r="T97" s="887"/>
      <c r="U97" s="55" t="s">
        <v>180</v>
      </c>
      <c r="V97" s="472"/>
      <c r="W97" s="472"/>
      <c r="X97" s="472"/>
      <c r="Y97" s="472"/>
      <c r="Z97" s="896"/>
      <c r="AA97" s="896"/>
      <c r="AB97" s="48" t="str">
        <f t="shared" si="21"/>
        <v>Resolução ANEEL Nº 2.980de 30 de Novembro de 2021</v>
      </c>
      <c r="AC97" s="28"/>
      <c r="AD97" s="28"/>
      <c r="AE97" s="28"/>
      <c r="AF97" s="31">
        <v>91</v>
      </c>
      <c r="AG97" s="32" t="s">
        <v>1197</v>
      </c>
      <c r="AH97" s="31">
        <v>0</v>
      </c>
      <c r="AI97" s="28"/>
      <c r="AJ97" s="28"/>
      <c r="AK97" s="882">
        <v>2019</v>
      </c>
      <c r="AL97" s="486">
        <v>6</v>
      </c>
      <c r="AM97" s="51">
        <v>2</v>
      </c>
      <c r="AN97" s="52">
        <v>5</v>
      </c>
      <c r="AO97" s="879" t="s">
        <v>153</v>
      </c>
      <c r="AP97" s="47" t="s">
        <v>121</v>
      </c>
      <c r="AQ97" s="53"/>
      <c r="AR97" s="53"/>
      <c r="AS97" s="53"/>
      <c r="AT97" s="53"/>
      <c r="AU97" s="53"/>
      <c r="AV97" s="53"/>
      <c r="AW97" s="477">
        <f t="shared" ref="AW97:AW116" si="61">AS97+AT97</f>
        <v>0</v>
      </c>
      <c r="AX97" s="477">
        <f t="shared" ref="AX97:AX116" si="62">AU97+AV97</f>
        <v>0</v>
      </c>
    </row>
    <row r="98" spans="2:50" x14ac:dyDescent="0.2">
      <c r="B98" s="29"/>
      <c r="C98" s="29"/>
      <c r="D98" s="29"/>
      <c r="E98" s="35"/>
      <c r="F98" s="29"/>
      <c r="G98" s="29"/>
      <c r="H98" s="29"/>
      <c r="I98" s="29"/>
      <c r="J98" s="29"/>
      <c r="K98" s="28"/>
      <c r="L98" s="28"/>
      <c r="M98" s="28"/>
      <c r="N98" s="28"/>
      <c r="O98" s="28"/>
      <c r="P98" s="28"/>
      <c r="Q98" s="28"/>
      <c r="R98" s="46">
        <v>9</v>
      </c>
      <c r="S98" s="46">
        <v>11</v>
      </c>
      <c r="T98" s="887"/>
      <c r="U98" s="792" t="s">
        <v>151</v>
      </c>
      <c r="V98" s="794">
        <f>AS179</f>
        <v>1086.5899999999999</v>
      </c>
      <c r="W98" s="794">
        <f>AU179</f>
        <v>304.62</v>
      </c>
      <c r="X98" s="794">
        <f>AW179</f>
        <v>1426.1499999999999</v>
      </c>
      <c r="Y98" s="794">
        <f>AX179</f>
        <v>516.71</v>
      </c>
      <c r="Z98" s="896"/>
      <c r="AA98" s="896"/>
      <c r="AB98" s="48" t="str">
        <f t="shared" si="21"/>
        <v>Resolução ANEEL Nº 2.980de 30 de Novembro de 2021</v>
      </c>
      <c r="AC98" s="28"/>
      <c r="AD98" s="28"/>
      <c r="AE98" s="28"/>
      <c r="AF98" s="31">
        <v>92</v>
      </c>
      <c r="AG98" s="32" t="s">
        <v>1198</v>
      </c>
      <c r="AH98" s="31">
        <v>0</v>
      </c>
      <c r="AI98" s="28"/>
      <c r="AJ98" s="28"/>
      <c r="AK98" s="883"/>
      <c r="AL98" s="487">
        <f t="shared" ref="AL98:AM104" si="63">AL97</f>
        <v>6</v>
      </c>
      <c r="AM98" s="54">
        <f t="shared" si="63"/>
        <v>2</v>
      </c>
      <c r="AN98" s="52">
        <v>6</v>
      </c>
      <c r="AO98" s="881"/>
      <c r="AP98" s="47" t="s">
        <v>63</v>
      </c>
      <c r="AQ98" s="53"/>
      <c r="AR98" s="53"/>
      <c r="AS98" s="53"/>
      <c r="AT98" s="53"/>
      <c r="AU98" s="53"/>
      <c r="AV98" s="53"/>
      <c r="AW98" s="477">
        <f t="shared" si="61"/>
        <v>0</v>
      </c>
      <c r="AX98" s="477">
        <f t="shared" si="62"/>
        <v>0</v>
      </c>
    </row>
    <row r="99" spans="2:50" x14ac:dyDescent="0.2">
      <c r="B99" s="29"/>
      <c r="C99" s="29"/>
      <c r="D99" s="29"/>
      <c r="E99" s="35"/>
      <c r="F99" s="29"/>
      <c r="G99" s="29"/>
      <c r="H99" s="29"/>
      <c r="I99" s="29"/>
      <c r="J99" s="29"/>
      <c r="K99" s="28"/>
      <c r="L99" s="28"/>
      <c r="M99" s="28"/>
      <c r="N99" s="28"/>
      <c r="O99" s="28"/>
      <c r="P99" s="28"/>
      <c r="Q99" s="28"/>
      <c r="R99" s="46">
        <v>9</v>
      </c>
      <c r="S99" s="46">
        <v>12</v>
      </c>
      <c r="T99" s="888"/>
      <c r="U99" s="55" t="s">
        <v>181</v>
      </c>
      <c r="V99" s="472">
        <f>V98</f>
        <v>1086.5899999999999</v>
      </c>
      <c r="W99" s="472">
        <f>W98</f>
        <v>304.62</v>
      </c>
      <c r="X99" s="472">
        <f>X98</f>
        <v>1426.1499999999999</v>
      </c>
      <c r="Y99" s="472">
        <f>Y98</f>
        <v>516.71</v>
      </c>
      <c r="Z99" s="897"/>
      <c r="AA99" s="897"/>
      <c r="AB99" s="48" t="str">
        <f t="shared" ref="AB99:AB121" si="64">AB98</f>
        <v>Resolução ANEEL Nº 2.980de 30 de Novembro de 2021</v>
      </c>
      <c r="AC99" s="28"/>
      <c r="AD99" s="28"/>
      <c r="AE99" s="28"/>
      <c r="AF99" s="31">
        <v>93</v>
      </c>
      <c r="AG99" s="32" t="s">
        <v>1199</v>
      </c>
      <c r="AH99" s="31">
        <v>0</v>
      </c>
      <c r="AI99" s="28"/>
      <c r="AJ99" s="28"/>
      <c r="AK99" s="883"/>
      <c r="AL99" s="487">
        <f t="shared" si="63"/>
        <v>6</v>
      </c>
      <c r="AM99" s="54">
        <f>AM97</f>
        <v>2</v>
      </c>
      <c r="AN99" s="52">
        <v>7</v>
      </c>
      <c r="AO99" s="881"/>
      <c r="AP99" s="47" t="s">
        <v>64</v>
      </c>
      <c r="AQ99" s="53"/>
      <c r="AR99" s="53"/>
      <c r="AS99" s="53"/>
      <c r="AT99" s="53"/>
      <c r="AU99" s="53"/>
      <c r="AV99" s="53"/>
      <c r="AW99" s="477">
        <f t="shared" si="61"/>
        <v>0</v>
      </c>
      <c r="AX99" s="477">
        <f t="shared" si="62"/>
        <v>0</v>
      </c>
    </row>
    <row r="100" spans="2:50" x14ac:dyDescent="0.2">
      <c r="B100" s="29"/>
      <c r="C100" s="29"/>
      <c r="D100" s="29"/>
      <c r="E100" s="35"/>
      <c r="F100" s="29"/>
      <c r="G100" s="29"/>
      <c r="H100" s="29"/>
      <c r="I100" s="29"/>
      <c r="J100" s="29"/>
      <c r="K100" s="28"/>
      <c r="L100" s="28"/>
      <c r="M100" s="28"/>
      <c r="N100" s="28"/>
      <c r="O100" s="28"/>
      <c r="P100" s="28"/>
      <c r="Q100" s="28"/>
      <c r="R100" s="46">
        <v>10</v>
      </c>
      <c r="S100" s="46">
        <v>2</v>
      </c>
      <c r="T100" s="886">
        <v>2023</v>
      </c>
      <c r="U100" s="47" t="s">
        <v>162</v>
      </c>
      <c r="V100" s="474"/>
      <c r="W100" s="474"/>
      <c r="X100" s="474"/>
      <c r="Y100" s="474"/>
      <c r="Z100" s="895">
        <v>44050</v>
      </c>
      <c r="AA100" s="895">
        <v>44414</v>
      </c>
      <c r="AB100" s="48" t="s">
        <v>191</v>
      </c>
      <c r="AC100" s="28"/>
      <c r="AD100" s="28"/>
      <c r="AE100" s="28"/>
      <c r="AF100" s="31">
        <v>94</v>
      </c>
      <c r="AG100" s="32" t="s">
        <v>1200</v>
      </c>
      <c r="AH100" s="31">
        <v>0</v>
      </c>
      <c r="AI100" s="28"/>
      <c r="AJ100" s="28"/>
      <c r="AK100" s="883"/>
      <c r="AL100" s="487">
        <f t="shared" si="63"/>
        <v>6</v>
      </c>
      <c r="AM100" s="54">
        <f>AM97</f>
        <v>2</v>
      </c>
      <c r="AN100" s="52">
        <v>8</v>
      </c>
      <c r="AO100" s="881"/>
      <c r="AP100" s="47" t="s">
        <v>150</v>
      </c>
      <c r="AQ100" s="53"/>
      <c r="AR100" s="53"/>
      <c r="AS100" s="53"/>
      <c r="AT100" s="53"/>
      <c r="AU100" s="53"/>
      <c r="AV100" s="53"/>
      <c r="AW100" s="477">
        <f t="shared" si="61"/>
        <v>0</v>
      </c>
      <c r="AX100" s="477">
        <f t="shared" si="62"/>
        <v>0</v>
      </c>
    </row>
    <row r="101" spans="2:50" x14ac:dyDescent="0.2">
      <c r="B101" s="29"/>
      <c r="C101" s="29"/>
      <c r="D101" s="29"/>
      <c r="E101" s="35"/>
      <c r="F101" s="29"/>
      <c r="G101" s="29"/>
      <c r="H101" s="29"/>
      <c r="I101" s="29"/>
      <c r="J101" s="29"/>
      <c r="K101" s="28"/>
      <c r="L101" s="28"/>
      <c r="M101" s="28"/>
      <c r="N101" s="28"/>
      <c r="O101" s="28"/>
      <c r="P101" s="28"/>
      <c r="Q101" s="28"/>
      <c r="R101" s="46">
        <v>10</v>
      </c>
      <c r="S101" s="46">
        <v>3</v>
      </c>
      <c r="T101" s="887"/>
      <c r="U101" s="47" t="s">
        <v>123</v>
      </c>
      <c r="V101" s="474"/>
      <c r="W101" s="474"/>
      <c r="X101" s="474"/>
      <c r="Y101" s="474"/>
      <c r="Z101" s="903"/>
      <c r="AA101" s="903"/>
      <c r="AB101" s="48" t="str">
        <f>AB100</f>
        <v>Resolução ANEEL Nº X.XXX de XX de xxxxxx de 20XX</v>
      </c>
      <c r="AC101" s="28"/>
      <c r="AD101" s="28"/>
      <c r="AE101" s="28"/>
      <c r="AF101" s="31">
        <v>95</v>
      </c>
      <c r="AG101" s="32" t="s">
        <v>1201</v>
      </c>
      <c r="AH101" s="31">
        <v>0</v>
      </c>
      <c r="AI101" s="28"/>
      <c r="AJ101" s="28"/>
      <c r="AK101" s="883"/>
      <c r="AL101" s="487">
        <f t="shared" si="63"/>
        <v>6</v>
      </c>
      <c r="AM101" s="54">
        <f>AM97</f>
        <v>2</v>
      </c>
      <c r="AN101" s="52">
        <v>9</v>
      </c>
      <c r="AO101" s="881"/>
      <c r="AP101" s="47" t="s">
        <v>179</v>
      </c>
      <c r="AQ101" s="53"/>
      <c r="AR101" s="53"/>
      <c r="AS101" s="53"/>
      <c r="AT101" s="53"/>
      <c r="AU101" s="53"/>
      <c r="AV101" s="53"/>
      <c r="AW101" s="477">
        <f t="shared" si="61"/>
        <v>0</v>
      </c>
      <c r="AX101" s="477">
        <f t="shared" si="62"/>
        <v>0</v>
      </c>
    </row>
    <row r="102" spans="2:50" x14ac:dyDescent="0.2">
      <c r="B102" s="29"/>
      <c r="C102" s="29"/>
      <c r="D102" s="29"/>
      <c r="E102" s="35"/>
      <c r="F102" s="29"/>
      <c r="G102" s="29"/>
      <c r="H102" s="29"/>
      <c r="I102" s="29"/>
      <c r="J102" s="29"/>
      <c r="K102" s="28"/>
      <c r="L102" s="28"/>
      <c r="M102" s="28"/>
      <c r="N102" s="28"/>
      <c r="O102" s="28"/>
      <c r="P102" s="28"/>
      <c r="Q102" s="28"/>
      <c r="R102" s="46">
        <v>10</v>
      </c>
      <c r="S102" s="46">
        <v>4</v>
      </c>
      <c r="T102" s="887"/>
      <c r="U102" s="47" t="s">
        <v>122</v>
      </c>
      <c r="V102" s="474"/>
      <c r="W102" s="474"/>
      <c r="X102" s="474"/>
      <c r="Y102" s="474"/>
      <c r="Z102" s="903"/>
      <c r="AA102" s="903"/>
      <c r="AB102" s="48" t="str">
        <f>AB101</f>
        <v>Resolução ANEEL Nº X.XXX de XX de xxxxxx de 20XX</v>
      </c>
      <c r="AC102" s="28"/>
      <c r="AD102" s="28"/>
      <c r="AE102" s="28"/>
      <c r="AF102" s="31">
        <v>96</v>
      </c>
      <c r="AG102" s="32" t="s">
        <v>1202</v>
      </c>
      <c r="AH102" s="31">
        <v>0</v>
      </c>
      <c r="AI102" s="28"/>
      <c r="AJ102" s="28"/>
      <c r="AK102" s="883"/>
      <c r="AL102" s="487">
        <f t="shared" si="63"/>
        <v>6</v>
      </c>
      <c r="AM102" s="54">
        <f>AM98</f>
        <v>2</v>
      </c>
      <c r="AN102" s="56">
        <v>10</v>
      </c>
      <c r="AO102" s="881"/>
      <c r="AP102" s="47" t="s">
        <v>180</v>
      </c>
      <c r="AQ102" s="53"/>
      <c r="AR102" s="53"/>
      <c r="AS102" s="53"/>
      <c r="AT102" s="53"/>
      <c r="AU102" s="53"/>
      <c r="AV102" s="53"/>
      <c r="AW102" s="477">
        <f t="shared" si="61"/>
        <v>0</v>
      </c>
      <c r="AX102" s="477">
        <f t="shared" si="62"/>
        <v>0</v>
      </c>
    </row>
    <row r="103" spans="2:50" x14ac:dyDescent="0.2">
      <c r="B103" s="29"/>
      <c r="C103" s="29"/>
      <c r="D103" s="29"/>
      <c r="E103" s="35"/>
      <c r="F103" s="29"/>
      <c r="G103" s="29"/>
      <c r="H103" s="29"/>
      <c r="I103" s="29"/>
      <c r="J103" s="29"/>
      <c r="K103" s="28"/>
      <c r="L103" s="28"/>
      <c r="M103" s="28"/>
      <c r="N103" s="28"/>
      <c r="O103" s="28"/>
      <c r="P103" s="28"/>
      <c r="Q103" s="28"/>
      <c r="R103" s="46">
        <v>10</v>
      </c>
      <c r="S103" s="46">
        <v>5</v>
      </c>
      <c r="T103" s="887"/>
      <c r="U103" s="47" t="s">
        <v>121</v>
      </c>
      <c r="V103" s="474"/>
      <c r="W103" s="474"/>
      <c r="X103" s="474"/>
      <c r="Y103" s="474"/>
      <c r="Z103" s="903"/>
      <c r="AA103" s="903"/>
      <c r="AB103" s="48" t="str">
        <f t="shared" si="64"/>
        <v>Resolução ANEEL Nº X.XXX de XX de xxxxxx de 20XX</v>
      </c>
      <c r="AC103" s="28"/>
      <c r="AD103" s="28"/>
      <c r="AE103" s="28"/>
      <c r="AF103" s="31">
        <v>97</v>
      </c>
      <c r="AG103" s="32" t="s">
        <v>1203</v>
      </c>
      <c r="AH103" s="31">
        <v>0</v>
      </c>
      <c r="AI103" s="28"/>
      <c r="AJ103" s="28"/>
      <c r="AK103" s="883"/>
      <c r="AL103" s="487">
        <f t="shared" si="63"/>
        <v>6</v>
      </c>
      <c r="AM103" s="54">
        <f>AM99</f>
        <v>2</v>
      </c>
      <c r="AN103" s="56">
        <v>11</v>
      </c>
      <c r="AO103" s="881"/>
      <c r="AP103" s="47" t="s">
        <v>151</v>
      </c>
      <c r="AQ103" s="53"/>
      <c r="AR103" s="53"/>
      <c r="AS103" s="53"/>
      <c r="AT103" s="53"/>
      <c r="AU103" s="53"/>
      <c r="AV103" s="53"/>
      <c r="AW103" s="477">
        <f t="shared" si="61"/>
        <v>0</v>
      </c>
      <c r="AX103" s="477">
        <f t="shared" si="62"/>
        <v>0</v>
      </c>
    </row>
    <row r="104" spans="2:50" x14ac:dyDescent="0.2">
      <c r="B104" s="29"/>
      <c r="C104" s="29"/>
      <c r="D104" s="29"/>
      <c r="E104" s="35"/>
      <c r="F104" s="29"/>
      <c r="G104" s="29"/>
      <c r="H104" s="29"/>
      <c r="I104" s="29"/>
      <c r="J104" s="29"/>
      <c r="K104" s="28"/>
      <c r="L104" s="28"/>
      <c r="M104" s="28"/>
      <c r="N104" s="28"/>
      <c r="O104" s="28"/>
      <c r="P104" s="28"/>
      <c r="Q104" s="28"/>
      <c r="R104" s="46">
        <v>10</v>
      </c>
      <c r="S104" s="46">
        <v>6</v>
      </c>
      <c r="T104" s="887"/>
      <c r="U104" s="47" t="s">
        <v>63</v>
      </c>
      <c r="V104" s="474"/>
      <c r="W104" s="474"/>
      <c r="X104" s="474"/>
      <c r="Y104" s="474"/>
      <c r="Z104" s="903"/>
      <c r="AA104" s="903"/>
      <c r="AB104" s="48" t="str">
        <f t="shared" si="64"/>
        <v>Resolução ANEEL Nº X.XXX de XX de xxxxxx de 20XX</v>
      </c>
      <c r="AC104" s="28"/>
      <c r="AD104" s="28"/>
      <c r="AE104" s="28"/>
      <c r="AF104" s="31">
        <v>98</v>
      </c>
      <c r="AG104" s="32" t="s">
        <v>1204</v>
      </c>
      <c r="AH104" s="31">
        <v>0</v>
      </c>
      <c r="AI104" s="28"/>
      <c r="AJ104" s="28"/>
      <c r="AK104" s="883"/>
      <c r="AL104" s="487">
        <f t="shared" si="63"/>
        <v>6</v>
      </c>
      <c r="AM104" s="54">
        <f>AM100</f>
        <v>2</v>
      </c>
      <c r="AN104" s="56">
        <v>12</v>
      </c>
      <c r="AO104" s="880"/>
      <c r="AP104" s="47" t="s">
        <v>181</v>
      </c>
      <c r="AQ104" s="53"/>
      <c r="AR104" s="53"/>
      <c r="AS104" s="53"/>
      <c r="AT104" s="53"/>
      <c r="AU104" s="53"/>
      <c r="AV104" s="53"/>
      <c r="AW104" s="477">
        <f t="shared" si="61"/>
        <v>0</v>
      </c>
      <c r="AX104" s="477">
        <f t="shared" si="62"/>
        <v>0</v>
      </c>
    </row>
    <row r="105" spans="2:50" x14ac:dyDescent="0.2">
      <c r="B105" s="29"/>
      <c r="C105" s="29"/>
      <c r="D105" s="29"/>
      <c r="E105" s="35"/>
      <c r="F105" s="29"/>
      <c r="G105" s="29"/>
      <c r="H105" s="29"/>
      <c r="I105" s="29"/>
      <c r="J105" s="29"/>
      <c r="K105" s="28"/>
      <c r="L105" s="28"/>
      <c r="M105" s="28"/>
      <c r="N105" s="28"/>
      <c r="O105" s="28"/>
      <c r="P105" s="28"/>
      <c r="Q105" s="28"/>
      <c r="R105" s="46">
        <v>10</v>
      </c>
      <c r="S105" s="46">
        <v>7</v>
      </c>
      <c r="T105" s="887"/>
      <c r="U105" s="55" t="s">
        <v>64</v>
      </c>
      <c r="V105" s="472"/>
      <c r="W105" s="472"/>
      <c r="X105" s="472"/>
      <c r="Y105" s="472"/>
      <c r="Z105" s="903"/>
      <c r="AA105" s="903"/>
      <c r="AB105" s="48" t="str">
        <f t="shared" si="64"/>
        <v>Resolução ANEEL Nº X.XXX de XX de xxxxxx de 20XX</v>
      </c>
      <c r="AC105" s="28"/>
      <c r="AD105" s="28"/>
      <c r="AE105" s="28"/>
      <c r="AF105" s="31">
        <v>99</v>
      </c>
      <c r="AG105" s="32" t="s">
        <v>1205</v>
      </c>
      <c r="AH105" s="31">
        <v>0</v>
      </c>
      <c r="AI105" s="28"/>
      <c r="AJ105" s="28"/>
      <c r="AK105" s="883"/>
      <c r="AL105" s="487">
        <f>AL101</f>
        <v>6</v>
      </c>
      <c r="AM105" s="51">
        <v>3</v>
      </c>
      <c r="AN105" s="56">
        <v>2</v>
      </c>
      <c r="AO105" s="879" t="s">
        <v>167</v>
      </c>
      <c r="AP105" s="47" t="s">
        <v>162</v>
      </c>
      <c r="AQ105" s="53"/>
      <c r="AR105" s="53"/>
      <c r="AS105" s="53"/>
      <c r="AT105" s="53"/>
      <c r="AU105" s="53"/>
      <c r="AV105" s="53"/>
      <c r="AW105" s="477">
        <f t="shared" si="61"/>
        <v>0</v>
      </c>
      <c r="AX105" s="477">
        <f t="shared" si="62"/>
        <v>0</v>
      </c>
    </row>
    <row r="106" spans="2:50" x14ac:dyDescent="0.2">
      <c r="B106" s="29"/>
      <c r="C106" s="29"/>
      <c r="D106" s="29"/>
      <c r="E106" s="35"/>
      <c r="F106" s="29"/>
      <c r="G106" s="29"/>
      <c r="H106" s="29"/>
      <c r="I106" s="29"/>
      <c r="J106" s="29"/>
      <c r="K106" s="28"/>
      <c r="L106" s="28"/>
      <c r="M106" s="28"/>
      <c r="N106" s="28"/>
      <c r="O106" s="28"/>
      <c r="P106" s="28"/>
      <c r="Q106" s="28"/>
      <c r="R106" s="46">
        <v>10</v>
      </c>
      <c r="S106" s="46">
        <v>8</v>
      </c>
      <c r="T106" s="887"/>
      <c r="U106" s="55" t="s">
        <v>150</v>
      </c>
      <c r="V106" s="472"/>
      <c r="W106" s="472"/>
      <c r="X106" s="472"/>
      <c r="Y106" s="472"/>
      <c r="Z106" s="903"/>
      <c r="AA106" s="903"/>
      <c r="AB106" s="48" t="str">
        <f t="shared" si="64"/>
        <v>Resolução ANEEL Nº X.XXX de XX de xxxxxx de 20XX</v>
      </c>
      <c r="AC106" s="28"/>
      <c r="AD106" s="28"/>
      <c r="AE106" s="28"/>
      <c r="AF106" s="31">
        <v>100</v>
      </c>
      <c r="AG106" s="32" t="s">
        <v>1206</v>
      </c>
      <c r="AH106" s="31">
        <v>0</v>
      </c>
      <c r="AI106" s="28"/>
      <c r="AJ106" s="28"/>
      <c r="AK106" s="883"/>
      <c r="AL106" s="487">
        <f>AL101</f>
        <v>6</v>
      </c>
      <c r="AM106" s="54">
        <f>AM105</f>
        <v>3</v>
      </c>
      <c r="AN106" s="56">
        <v>3</v>
      </c>
      <c r="AO106" s="881"/>
      <c r="AP106" s="47" t="s">
        <v>123</v>
      </c>
      <c r="AQ106" s="53"/>
      <c r="AR106" s="53"/>
      <c r="AS106" s="53"/>
      <c r="AT106" s="53"/>
      <c r="AU106" s="53"/>
      <c r="AV106" s="53"/>
      <c r="AW106" s="477">
        <f t="shared" si="61"/>
        <v>0</v>
      </c>
      <c r="AX106" s="477">
        <f t="shared" si="62"/>
        <v>0</v>
      </c>
    </row>
    <row r="107" spans="2:50" x14ac:dyDescent="0.2">
      <c r="B107" s="29"/>
      <c r="C107" s="29"/>
      <c r="D107" s="29"/>
      <c r="E107" s="35"/>
      <c r="F107" s="29"/>
      <c r="G107" s="29"/>
      <c r="H107" s="29"/>
      <c r="I107" s="29"/>
      <c r="J107" s="29"/>
      <c r="K107" s="28"/>
      <c r="L107" s="28"/>
      <c r="M107" s="28"/>
      <c r="N107" s="28"/>
      <c r="O107" s="28"/>
      <c r="P107" s="28"/>
      <c r="Q107" s="28"/>
      <c r="R107" s="46">
        <v>10</v>
      </c>
      <c r="S107" s="46">
        <v>9</v>
      </c>
      <c r="T107" s="887"/>
      <c r="U107" s="55" t="s">
        <v>179</v>
      </c>
      <c r="V107" s="472"/>
      <c r="W107" s="472"/>
      <c r="X107" s="472"/>
      <c r="Y107" s="472"/>
      <c r="Z107" s="903"/>
      <c r="AA107" s="903"/>
      <c r="AB107" s="48" t="str">
        <f t="shared" si="64"/>
        <v>Resolução ANEEL Nº X.XXX de XX de xxxxxx de 20XX</v>
      </c>
      <c r="AC107" s="28"/>
      <c r="AD107" s="28"/>
      <c r="AE107" s="28"/>
      <c r="AF107" s="31">
        <v>101</v>
      </c>
      <c r="AG107" s="32" t="s">
        <v>1207</v>
      </c>
      <c r="AH107" s="31">
        <v>0</v>
      </c>
      <c r="AI107" s="28"/>
      <c r="AJ107" s="28"/>
      <c r="AK107" s="883"/>
      <c r="AL107" s="487">
        <f t="shared" ref="AL107:AM117" si="65">AL106</f>
        <v>6</v>
      </c>
      <c r="AM107" s="54">
        <f>AM105</f>
        <v>3</v>
      </c>
      <c r="AN107" s="56">
        <v>4</v>
      </c>
      <c r="AO107" s="881"/>
      <c r="AP107" s="47" t="s">
        <v>122</v>
      </c>
      <c r="AQ107" s="53"/>
      <c r="AR107" s="53"/>
      <c r="AS107" s="53"/>
      <c r="AT107" s="53"/>
      <c r="AU107" s="53"/>
      <c r="AV107" s="53"/>
      <c r="AW107" s="477">
        <f t="shared" si="61"/>
        <v>0</v>
      </c>
      <c r="AX107" s="477">
        <f t="shared" si="62"/>
        <v>0</v>
      </c>
    </row>
    <row r="108" spans="2:50" x14ac:dyDescent="0.2">
      <c r="B108" s="29"/>
      <c r="C108" s="29"/>
      <c r="D108" s="29"/>
      <c r="E108" s="35"/>
      <c r="F108" s="29"/>
      <c r="G108" s="29"/>
      <c r="H108" s="29"/>
      <c r="I108" s="29"/>
      <c r="J108" s="29"/>
      <c r="K108" s="28"/>
      <c r="L108" s="28"/>
      <c r="M108" s="28"/>
      <c r="N108" s="28"/>
      <c r="O108" s="28"/>
      <c r="P108" s="28"/>
      <c r="Q108" s="28"/>
      <c r="R108" s="46">
        <v>10</v>
      </c>
      <c r="S108" s="46">
        <v>10</v>
      </c>
      <c r="T108" s="887"/>
      <c r="U108" s="55" t="s">
        <v>180</v>
      </c>
      <c r="V108" s="472"/>
      <c r="W108" s="472"/>
      <c r="X108" s="472"/>
      <c r="Y108" s="472"/>
      <c r="Z108" s="903"/>
      <c r="AA108" s="903"/>
      <c r="AB108" s="48" t="str">
        <f t="shared" si="64"/>
        <v>Resolução ANEEL Nº X.XXX de XX de xxxxxx de 20XX</v>
      </c>
      <c r="AC108" s="28"/>
      <c r="AD108" s="28"/>
      <c r="AE108" s="28"/>
      <c r="AF108" s="31">
        <v>102</v>
      </c>
      <c r="AG108" s="32" t="s">
        <v>1208</v>
      </c>
      <c r="AH108" s="31">
        <v>0</v>
      </c>
      <c r="AI108" s="28"/>
      <c r="AJ108" s="28"/>
      <c r="AK108" s="883"/>
      <c r="AL108" s="487">
        <f t="shared" si="65"/>
        <v>6</v>
      </c>
      <c r="AM108" s="54">
        <f t="shared" si="65"/>
        <v>3</v>
      </c>
      <c r="AN108" s="56">
        <v>5</v>
      </c>
      <c r="AO108" s="881"/>
      <c r="AP108" s="47" t="s">
        <v>121</v>
      </c>
      <c r="AQ108" s="53"/>
      <c r="AR108" s="53"/>
      <c r="AS108" s="53"/>
      <c r="AT108" s="53"/>
      <c r="AU108" s="53"/>
      <c r="AV108" s="53"/>
      <c r="AW108" s="477">
        <f t="shared" si="61"/>
        <v>0</v>
      </c>
      <c r="AX108" s="477">
        <f t="shared" si="62"/>
        <v>0</v>
      </c>
    </row>
    <row r="109" spans="2:50" x14ac:dyDescent="0.2">
      <c r="B109" s="29"/>
      <c r="C109" s="29"/>
      <c r="D109" s="29"/>
      <c r="E109" s="35"/>
      <c r="F109" s="29"/>
      <c r="G109" s="29"/>
      <c r="H109" s="29"/>
      <c r="I109" s="29"/>
      <c r="J109" s="29"/>
      <c r="K109" s="28"/>
      <c r="L109" s="28"/>
      <c r="M109" s="28"/>
      <c r="N109" s="28"/>
      <c r="O109" s="28"/>
      <c r="P109" s="28"/>
      <c r="Q109" s="28"/>
      <c r="R109" s="46">
        <v>10</v>
      </c>
      <c r="S109" s="46">
        <v>11</v>
      </c>
      <c r="T109" s="887"/>
      <c r="U109" s="55" t="s">
        <v>151</v>
      </c>
      <c r="V109" s="472"/>
      <c r="W109" s="472"/>
      <c r="X109" s="472"/>
      <c r="Y109" s="472"/>
      <c r="Z109" s="903"/>
      <c r="AA109" s="903"/>
      <c r="AB109" s="48" t="str">
        <f t="shared" si="64"/>
        <v>Resolução ANEEL Nº X.XXX de XX de xxxxxx de 20XX</v>
      </c>
      <c r="AC109" s="28"/>
      <c r="AD109" s="28"/>
      <c r="AE109" s="28"/>
      <c r="AF109" s="31">
        <v>103</v>
      </c>
      <c r="AG109" s="32" t="s">
        <v>1209</v>
      </c>
      <c r="AH109" s="31">
        <v>0</v>
      </c>
      <c r="AI109" s="28"/>
      <c r="AJ109" s="28"/>
      <c r="AK109" s="883"/>
      <c r="AL109" s="487">
        <f t="shared" si="65"/>
        <v>6</v>
      </c>
      <c r="AM109" s="60">
        <f t="shared" si="65"/>
        <v>3</v>
      </c>
      <c r="AN109" s="56">
        <v>6</v>
      </c>
      <c r="AO109" s="880"/>
      <c r="AP109" s="47" t="s">
        <v>63</v>
      </c>
      <c r="AQ109" s="53">
        <v>36.47</v>
      </c>
      <c r="AR109" s="53">
        <v>13.49</v>
      </c>
      <c r="AS109" s="53">
        <v>66.02</v>
      </c>
      <c r="AT109" s="53">
        <v>390.66</v>
      </c>
      <c r="AU109" s="53">
        <v>66.02</v>
      </c>
      <c r="AV109" s="53">
        <v>235.61</v>
      </c>
      <c r="AW109" s="477">
        <f t="shared" si="61"/>
        <v>456.68</v>
      </c>
      <c r="AX109" s="477">
        <f t="shared" si="62"/>
        <v>301.63</v>
      </c>
    </row>
    <row r="110" spans="2:50" x14ac:dyDescent="0.2">
      <c r="B110" s="29"/>
      <c r="C110" s="29"/>
      <c r="D110" s="29"/>
      <c r="E110" s="35"/>
      <c r="F110" s="29"/>
      <c r="G110" s="29"/>
      <c r="H110" s="29"/>
      <c r="I110" s="29"/>
      <c r="J110" s="29"/>
      <c r="K110" s="28"/>
      <c r="L110" s="28"/>
      <c r="M110" s="28"/>
      <c r="N110" s="28"/>
      <c r="O110" s="28"/>
      <c r="P110" s="28"/>
      <c r="Q110" s="28"/>
      <c r="R110" s="46">
        <v>10</v>
      </c>
      <c r="S110" s="46">
        <v>12</v>
      </c>
      <c r="T110" s="888"/>
      <c r="U110" s="55" t="s">
        <v>181</v>
      </c>
      <c r="V110" s="472">
        <f>V109</f>
        <v>0</v>
      </c>
      <c r="W110" s="472">
        <f>W109</f>
        <v>0</v>
      </c>
      <c r="X110" s="472">
        <f>X109</f>
        <v>0</v>
      </c>
      <c r="Y110" s="472">
        <f>Y109</f>
        <v>0</v>
      </c>
      <c r="Z110" s="904"/>
      <c r="AA110" s="904"/>
      <c r="AB110" s="48" t="str">
        <f t="shared" si="64"/>
        <v>Resolução ANEEL Nº X.XXX de XX de xxxxxx de 20XX</v>
      </c>
      <c r="AC110" s="28"/>
      <c r="AD110" s="28"/>
      <c r="AE110" s="28"/>
      <c r="AF110" s="31">
        <v>104</v>
      </c>
      <c r="AG110" s="32" t="s">
        <v>1210</v>
      </c>
      <c r="AH110" s="31">
        <v>0</v>
      </c>
      <c r="AI110" s="28"/>
      <c r="AJ110" s="28"/>
      <c r="AK110" s="883"/>
      <c r="AL110" s="487">
        <f t="shared" si="65"/>
        <v>6</v>
      </c>
      <c r="AM110" s="54">
        <v>4</v>
      </c>
      <c r="AN110" s="52">
        <v>5</v>
      </c>
      <c r="AO110" s="879" t="s">
        <v>168</v>
      </c>
      <c r="AP110" s="47" t="s">
        <v>121</v>
      </c>
      <c r="AQ110" s="53"/>
      <c r="AR110" s="53"/>
      <c r="AS110" s="53"/>
      <c r="AT110" s="53"/>
      <c r="AU110" s="53"/>
      <c r="AV110" s="53"/>
      <c r="AW110" s="477">
        <f t="shared" si="61"/>
        <v>0</v>
      </c>
      <c r="AX110" s="477">
        <f t="shared" si="62"/>
        <v>0</v>
      </c>
    </row>
    <row r="111" spans="2:50" x14ac:dyDescent="0.2">
      <c r="B111" s="29"/>
      <c r="C111" s="29"/>
      <c r="D111" s="29"/>
      <c r="E111" s="35"/>
      <c r="F111" s="29"/>
      <c r="G111" s="29"/>
      <c r="H111" s="29"/>
      <c r="I111" s="29"/>
      <c r="J111" s="29"/>
      <c r="K111" s="28"/>
      <c r="L111" s="28"/>
      <c r="M111" s="28"/>
      <c r="N111" s="28"/>
      <c r="O111" s="28"/>
      <c r="P111" s="28"/>
      <c r="Q111" s="28"/>
      <c r="R111" s="46">
        <v>11</v>
      </c>
      <c r="S111" s="46">
        <v>2</v>
      </c>
      <c r="T111" s="886">
        <v>2024</v>
      </c>
      <c r="U111" s="47" t="s">
        <v>162</v>
      </c>
      <c r="V111" s="474"/>
      <c r="W111" s="474"/>
      <c r="X111" s="474"/>
      <c r="Y111" s="474"/>
      <c r="Z111" s="895">
        <v>44415</v>
      </c>
      <c r="AA111" s="895">
        <v>44779</v>
      </c>
      <c r="AB111" s="48" t="s">
        <v>191</v>
      </c>
      <c r="AC111" s="28"/>
      <c r="AD111" s="28"/>
      <c r="AE111" s="28"/>
      <c r="AF111" s="31">
        <v>105</v>
      </c>
      <c r="AG111" s="32" t="s">
        <v>1211</v>
      </c>
      <c r="AH111" s="31">
        <v>0</v>
      </c>
      <c r="AI111" s="28"/>
      <c r="AJ111" s="28"/>
      <c r="AK111" s="883"/>
      <c r="AL111" s="487">
        <f t="shared" si="65"/>
        <v>6</v>
      </c>
      <c r="AM111" s="60">
        <v>4</v>
      </c>
      <c r="AN111" s="52">
        <v>6</v>
      </c>
      <c r="AO111" s="880"/>
      <c r="AP111" s="47" t="s">
        <v>63</v>
      </c>
      <c r="AQ111" s="53"/>
      <c r="AR111" s="53"/>
      <c r="AS111" s="53"/>
      <c r="AT111" s="53"/>
      <c r="AU111" s="53"/>
      <c r="AV111" s="53"/>
      <c r="AW111" s="477">
        <f t="shared" si="61"/>
        <v>0</v>
      </c>
      <c r="AX111" s="477">
        <f t="shared" si="62"/>
        <v>0</v>
      </c>
    </row>
    <row r="112" spans="2:50" x14ac:dyDescent="0.2">
      <c r="B112" s="29"/>
      <c r="C112" s="29"/>
      <c r="D112" s="29"/>
      <c r="E112" s="35"/>
      <c r="F112" s="29"/>
      <c r="G112" s="29"/>
      <c r="H112" s="29"/>
      <c r="I112" s="29"/>
      <c r="J112" s="29"/>
      <c r="K112" s="28"/>
      <c r="L112" s="28"/>
      <c r="M112" s="28"/>
      <c r="N112" s="28"/>
      <c r="O112" s="28"/>
      <c r="P112" s="28"/>
      <c r="Q112" s="28"/>
      <c r="R112" s="46">
        <v>11</v>
      </c>
      <c r="S112" s="46">
        <v>3</v>
      </c>
      <c r="T112" s="887"/>
      <c r="U112" s="47" t="s">
        <v>123</v>
      </c>
      <c r="V112" s="474"/>
      <c r="W112" s="474"/>
      <c r="X112" s="474"/>
      <c r="Y112" s="474"/>
      <c r="Z112" s="896"/>
      <c r="AA112" s="896"/>
      <c r="AB112" s="48" t="str">
        <f>AB111</f>
        <v>Resolução ANEEL Nº X.XXX de XX de xxxxxx de 20XX</v>
      </c>
      <c r="AC112" s="28"/>
      <c r="AD112" s="28"/>
      <c r="AE112" s="28"/>
      <c r="AF112" s="31">
        <v>106</v>
      </c>
      <c r="AG112" s="32" t="s">
        <v>1212</v>
      </c>
      <c r="AH112" s="31">
        <v>0</v>
      </c>
      <c r="AI112" s="28"/>
      <c r="AJ112" s="28"/>
      <c r="AK112" s="883"/>
      <c r="AL112" s="487">
        <f t="shared" si="65"/>
        <v>6</v>
      </c>
      <c r="AM112" s="54">
        <v>5</v>
      </c>
      <c r="AN112" s="52">
        <v>7</v>
      </c>
      <c r="AO112" s="879" t="s">
        <v>166</v>
      </c>
      <c r="AP112" s="47" t="s">
        <v>64</v>
      </c>
      <c r="AQ112" s="53"/>
      <c r="AR112" s="53"/>
      <c r="AS112" s="53"/>
      <c r="AT112" s="53"/>
      <c r="AU112" s="53"/>
      <c r="AV112" s="53"/>
      <c r="AW112" s="477">
        <f t="shared" si="61"/>
        <v>0</v>
      </c>
      <c r="AX112" s="477">
        <f t="shared" si="62"/>
        <v>0</v>
      </c>
    </row>
    <row r="113" spans="2:50" x14ac:dyDescent="0.2">
      <c r="B113" s="29"/>
      <c r="C113" s="29"/>
      <c r="D113" s="29"/>
      <c r="E113" s="35"/>
      <c r="F113" s="29"/>
      <c r="G113" s="29"/>
      <c r="H113" s="29"/>
      <c r="I113" s="29"/>
      <c r="J113" s="29"/>
      <c r="K113" s="28"/>
      <c r="L113" s="28"/>
      <c r="M113" s="28"/>
      <c r="N113" s="28"/>
      <c r="O113" s="28"/>
      <c r="P113" s="28"/>
      <c r="Q113" s="28"/>
      <c r="R113" s="46">
        <v>11</v>
      </c>
      <c r="S113" s="46">
        <v>4</v>
      </c>
      <c r="T113" s="887"/>
      <c r="U113" s="47" t="s">
        <v>122</v>
      </c>
      <c r="V113" s="474"/>
      <c r="W113" s="474"/>
      <c r="X113" s="474"/>
      <c r="Y113" s="474"/>
      <c r="Z113" s="896"/>
      <c r="AA113" s="896"/>
      <c r="AB113" s="48" t="str">
        <f>AB112</f>
        <v>Resolução ANEEL Nº X.XXX de XX de xxxxxx de 20XX</v>
      </c>
      <c r="AC113" s="28"/>
      <c r="AD113" s="28"/>
      <c r="AE113" s="28"/>
      <c r="AF113" s="31">
        <v>107</v>
      </c>
      <c r="AG113" s="32" t="s">
        <v>1213</v>
      </c>
      <c r="AH113" s="31">
        <v>0</v>
      </c>
      <c r="AI113" s="28"/>
      <c r="AJ113" s="28"/>
      <c r="AK113" s="883"/>
      <c r="AL113" s="487">
        <f t="shared" si="65"/>
        <v>6</v>
      </c>
      <c r="AM113" s="54">
        <v>5</v>
      </c>
      <c r="AN113" s="52">
        <v>8</v>
      </c>
      <c r="AO113" s="881"/>
      <c r="AP113" s="47" t="s">
        <v>150</v>
      </c>
      <c r="AQ113" s="53"/>
      <c r="AR113" s="53"/>
      <c r="AS113" s="53"/>
      <c r="AT113" s="53"/>
      <c r="AU113" s="53"/>
      <c r="AV113" s="53"/>
      <c r="AW113" s="477">
        <f t="shared" si="61"/>
        <v>0</v>
      </c>
      <c r="AX113" s="477">
        <f t="shared" si="62"/>
        <v>0</v>
      </c>
    </row>
    <row r="114" spans="2:50" x14ac:dyDescent="0.2">
      <c r="B114" s="29"/>
      <c r="C114" s="29"/>
      <c r="D114" s="29"/>
      <c r="E114" s="35"/>
      <c r="F114" s="29"/>
      <c r="G114" s="29"/>
      <c r="H114" s="29"/>
      <c r="I114" s="29"/>
      <c r="J114" s="29"/>
      <c r="K114" s="28"/>
      <c r="L114" s="28"/>
      <c r="M114" s="28"/>
      <c r="N114" s="28"/>
      <c r="O114" s="28"/>
      <c r="P114" s="28"/>
      <c r="Q114" s="28"/>
      <c r="R114" s="46">
        <v>11</v>
      </c>
      <c r="S114" s="46">
        <v>5</v>
      </c>
      <c r="T114" s="887"/>
      <c r="U114" s="47" t="s">
        <v>121</v>
      </c>
      <c r="V114" s="474"/>
      <c r="W114" s="474"/>
      <c r="X114" s="474"/>
      <c r="Y114" s="474"/>
      <c r="Z114" s="896"/>
      <c r="AA114" s="896"/>
      <c r="AB114" s="48" t="str">
        <f t="shared" si="64"/>
        <v>Resolução ANEEL Nº X.XXX de XX de xxxxxx de 20XX</v>
      </c>
      <c r="AC114" s="28"/>
      <c r="AD114" s="28"/>
      <c r="AE114" s="28"/>
      <c r="AF114" s="31">
        <v>108</v>
      </c>
      <c r="AG114" s="32" t="s">
        <v>1214</v>
      </c>
      <c r="AH114" s="31">
        <v>0</v>
      </c>
      <c r="AI114" s="28"/>
      <c r="AJ114" s="28"/>
      <c r="AK114" s="883"/>
      <c r="AL114" s="487">
        <f t="shared" si="65"/>
        <v>6</v>
      </c>
      <c r="AM114" s="54">
        <v>5</v>
      </c>
      <c r="AN114" s="52">
        <v>9</v>
      </c>
      <c r="AO114" s="881"/>
      <c r="AP114" s="47" t="s">
        <v>179</v>
      </c>
      <c r="AQ114" s="53"/>
      <c r="AR114" s="53"/>
      <c r="AS114" s="53"/>
      <c r="AT114" s="53"/>
      <c r="AU114" s="53"/>
      <c r="AV114" s="53"/>
      <c r="AW114" s="477">
        <f t="shared" si="61"/>
        <v>0</v>
      </c>
      <c r="AX114" s="477">
        <f t="shared" si="62"/>
        <v>0</v>
      </c>
    </row>
    <row r="115" spans="2:50" x14ac:dyDescent="0.2">
      <c r="B115" s="29"/>
      <c r="C115" s="29"/>
      <c r="D115" s="29"/>
      <c r="E115" s="35"/>
      <c r="F115" s="29"/>
      <c r="G115" s="29"/>
      <c r="H115" s="29"/>
      <c r="I115" s="29"/>
      <c r="J115" s="29"/>
      <c r="K115" s="28"/>
      <c r="L115" s="28"/>
      <c r="M115" s="28"/>
      <c r="N115" s="28"/>
      <c r="O115" s="28"/>
      <c r="P115" s="28"/>
      <c r="Q115" s="28"/>
      <c r="R115" s="46">
        <v>11</v>
      </c>
      <c r="S115" s="46">
        <v>6</v>
      </c>
      <c r="T115" s="887"/>
      <c r="U115" s="47" t="s">
        <v>63</v>
      </c>
      <c r="V115" s="474"/>
      <c r="W115" s="474"/>
      <c r="X115" s="474"/>
      <c r="Y115" s="474"/>
      <c r="Z115" s="896"/>
      <c r="AA115" s="896"/>
      <c r="AB115" s="48" t="str">
        <f t="shared" si="64"/>
        <v>Resolução ANEEL Nº X.XXX de XX de xxxxxx de 20XX</v>
      </c>
      <c r="AC115" s="28"/>
      <c r="AD115" s="28"/>
      <c r="AE115" s="28"/>
      <c r="AF115" s="31">
        <v>109</v>
      </c>
      <c r="AG115" s="32" t="s">
        <v>1215</v>
      </c>
      <c r="AH115" s="31">
        <v>0</v>
      </c>
      <c r="AI115" s="28"/>
      <c r="AJ115" s="28"/>
      <c r="AK115" s="883"/>
      <c r="AL115" s="487">
        <f t="shared" si="65"/>
        <v>6</v>
      </c>
      <c r="AM115" s="54">
        <v>5</v>
      </c>
      <c r="AN115" s="52">
        <v>10</v>
      </c>
      <c r="AO115" s="881"/>
      <c r="AP115" s="47" t="s">
        <v>180</v>
      </c>
      <c r="AQ115" s="53"/>
      <c r="AR115" s="53"/>
      <c r="AS115" s="53"/>
      <c r="AT115" s="53"/>
      <c r="AU115" s="53"/>
      <c r="AV115" s="53"/>
      <c r="AW115" s="477">
        <f t="shared" si="61"/>
        <v>0</v>
      </c>
      <c r="AX115" s="477">
        <f t="shared" si="62"/>
        <v>0</v>
      </c>
    </row>
    <row r="116" spans="2:50" x14ac:dyDescent="0.2">
      <c r="B116" s="29"/>
      <c r="C116" s="29"/>
      <c r="D116" s="29"/>
      <c r="E116" s="35"/>
      <c r="F116" s="29"/>
      <c r="G116" s="29"/>
      <c r="H116" s="29"/>
      <c r="I116" s="29"/>
      <c r="J116" s="29"/>
      <c r="K116" s="28"/>
      <c r="L116" s="28"/>
      <c r="M116" s="28"/>
      <c r="N116" s="28"/>
      <c r="O116" s="28"/>
      <c r="P116" s="28"/>
      <c r="Q116" s="28"/>
      <c r="R116" s="46">
        <v>11</v>
      </c>
      <c r="S116" s="46">
        <v>7</v>
      </c>
      <c r="T116" s="887"/>
      <c r="U116" s="55" t="s">
        <v>64</v>
      </c>
      <c r="V116" s="472"/>
      <c r="W116" s="472"/>
      <c r="X116" s="472"/>
      <c r="Y116" s="472"/>
      <c r="Z116" s="896"/>
      <c r="AA116" s="896"/>
      <c r="AB116" s="48" t="str">
        <f t="shared" si="64"/>
        <v>Resolução ANEEL Nº X.XXX de XX de xxxxxx de 20XX</v>
      </c>
      <c r="AC116" s="28"/>
      <c r="AD116" s="28"/>
      <c r="AE116" s="28"/>
      <c r="AF116" s="31">
        <v>110</v>
      </c>
      <c r="AG116" s="32" t="s">
        <v>1216</v>
      </c>
      <c r="AH116" s="31">
        <v>0</v>
      </c>
      <c r="AI116" s="28"/>
      <c r="AJ116" s="28"/>
      <c r="AK116" s="883"/>
      <c r="AL116" s="487">
        <f t="shared" si="65"/>
        <v>6</v>
      </c>
      <c r="AM116" s="54">
        <v>5</v>
      </c>
      <c r="AN116" s="52">
        <v>11</v>
      </c>
      <c r="AO116" s="881"/>
      <c r="AP116" s="47" t="s">
        <v>151</v>
      </c>
      <c r="AQ116" s="53"/>
      <c r="AR116" s="53"/>
      <c r="AS116" s="53">
        <v>818.08</v>
      </c>
      <c r="AT116" s="53">
        <v>390.66</v>
      </c>
      <c r="AU116" s="53">
        <v>247.46</v>
      </c>
      <c r="AV116" s="53">
        <v>235.61</v>
      </c>
      <c r="AW116" s="477">
        <f t="shared" si="61"/>
        <v>1208.74</v>
      </c>
      <c r="AX116" s="477">
        <f t="shared" si="62"/>
        <v>483.07000000000005</v>
      </c>
    </row>
    <row r="117" spans="2:50" x14ac:dyDescent="0.2">
      <c r="B117" s="29"/>
      <c r="C117" s="29"/>
      <c r="D117" s="29"/>
      <c r="E117" s="35"/>
      <c r="F117" s="29"/>
      <c r="G117" s="29"/>
      <c r="H117" s="29"/>
      <c r="I117" s="29"/>
      <c r="J117" s="29"/>
      <c r="K117" s="28"/>
      <c r="L117" s="28"/>
      <c r="M117" s="28"/>
      <c r="N117" s="28"/>
      <c r="O117" s="28"/>
      <c r="P117" s="28"/>
      <c r="Q117" s="28"/>
      <c r="R117" s="46">
        <v>11</v>
      </c>
      <c r="S117" s="46">
        <v>8</v>
      </c>
      <c r="T117" s="887"/>
      <c r="U117" s="55" t="s">
        <v>150</v>
      </c>
      <c r="V117" s="472"/>
      <c r="W117" s="472"/>
      <c r="X117" s="472"/>
      <c r="Y117" s="472"/>
      <c r="Z117" s="896"/>
      <c r="AA117" s="896"/>
      <c r="AB117" s="48" t="str">
        <f t="shared" si="64"/>
        <v>Resolução ANEEL Nº X.XXX de XX de xxxxxx de 20XX</v>
      </c>
      <c r="AC117" s="28"/>
      <c r="AD117" s="28"/>
      <c r="AE117" s="28"/>
      <c r="AF117" s="31">
        <v>111</v>
      </c>
      <c r="AG117" s="32" t="s">
        <v>1217</v>
      </c>
      <c r="AH117" s="31">
        <v>0</v>
      </c>
      <c r="AI117" s="28"/>
      <c r="AJ117" s="28"/>
      <c r="AK117" s="884"/>
      <c r="AL117" s="488">
        <f t="shared" si="65"/>
        <v>6</v>
      </c>
      <c r="AM117" s="60">
        <v>5</v>
      </c>
      <c r="AN117" s="52">
        <v>12</v>
      </c>
      <c r="AO117" s="880"/>
      <c r="AP117" s="47" t="s">
        <v>181</v>
      </c>
      <c r="AQ117" s="53"/>
      <c r="AR117" s="53"/>
      <c r="AS117" s="53">
        <v>818.08</v>
      </c>
      <c r="AT117" s="53">
        <v>390.66</v>
      </c>
      <c r="AU117" s="53">
        <v>247.46</v>
      </c>
      <c r="AV117" s="53">
        <v>235.61</v>
      </c>
      <c r="AW117" s="477">
        <f t="shared" ref="AW117" si="66">AS117+AT117</f>
        <v>1208.74</v>
      </c>
      <c r="AX117" s="477">
        <f t="shared" ref="AX117" si="67">AU117+AV117</f>
        <v>483.07000000000005</v>
      </c>
    </row>
    <row r="118" spans="2:50" x14ac:dyDescent="0.2">
      <c r="B118" s="29"/>
      <c r="C118" s="29"/>
      <c r="D118" s="29"/>
      <c r="E118" s="35"/>
      <c r="F118" s="29"/>
      <c r="G118" s="29"/>
      <c r="H118" s="29"/>
      <c r="I118" s="29"/>
      <c r="J118" s="29"/>
      <c r="K118" s="28"/>
      <c r="L118" s="28"/>
      <c r="M118" s="28"/>
      <c r="N118" s="28"/>
      <c r="O118" s="28"/>
      <c r="P118" s="28"/>
      <c r="Q118" s="28"/>
      <c r="R118" s="46">
        <v>11</v>
      </c>
      <c r="S118" s="46">
        <v>9</v>
      </c>
      <c r="T118" s="887"/>
      <c r="U118" s="55" t="s">
        <v>179</v>
      </c>
      <c r="V118" s="472"/>
      <c r="W118" s="472"/>
      <c r="X118" s="472"/>
      <c r="Y118" s="472"/>
      <c r="Z118" s="896"/>
      <c r="AA118" s="896"/>
      <c r="AB118" s="48" t="str">
        <f t="shared" si="64"/>
        <v>Resolução ANEEL Nº X.XXX de XX de xxxxxx de 20XX</v>
      </c>
      <c r="AC118" s="28"/>
      <c r="AD118" s="28"/>
      <c r="AE118" s="28"/>
      <c r="AF118" s="31">
        <v>112</v>
      </c>
      <c r="AG118" s="32" t="s">
        <v>1218</v>
      </c>
      <c r="AH118" s="31">
        <v>0</v>
      </c>
      <c r="AI118" s="28"/>
      <c r="AJ118" s="28"/>
      <c r="AK118" s="882">
        <v>2020</v>
      </c>
      <c r="AL118" s="486">
        <v>7</v>
      </c>
      <c r="AM118" s="51">
        <v>2</v>
      </c>
      <c r="AN118" s="52">
        <v>5</v>
      </c>
      <c r="AO118" s="879" t="s">
        <v>153</v>
      </c>
      <c r="AP118" s="47" t="s">
        <v>121</v>
      </c>
      <c r="AQ118" s="53"/>
      <c r="AR118" s="53"/>
      <c r="AS118" s="53"/>
      <c r="AT118" s="53"/>
      <c r="AU118" s="53"/>
      <c r="AV118" s="53"/>
      <c r="AW118" s="477">
        <f t="shared" ref="AW118:AW137" si="68">AS118+AT118</f>
        <v>0</v>
      </c>
      <c r="AX118" s="477">
        <f t="shared" ref="AX118:AX137" si="69">AU118+AV118</f>
        <v>0</v>
      </c>
    </row>
    <row r="119" spans="2:50" x14ac:dyDescent="0.2">
      <c r="B119" s="29"/>
      <c r="C119" s="29"/>
      <c r="D119" s="29"/>
      <c r="E119" s="35"/>
      <c r="F119" s="29"/>
      <c r="G119" s="29"/>
      <c r="H119" s="29"/>
      <c r="I119" s="29"/>
      <c r="J119" s="29"/>
      <c r="K119" s="28"/>
      <c r="L119" s="28"/>
      <c r="M119" s="28"/>
      <c r="N119" s="28"/>
      <c r="O119" s="28"/>
      <c r="P119" s="28"/>
      <c r="Q119" s="28"/>
      <c r="R119" s="46">
        <v>11</v>
      </c>
      <c r="S119" s="46">
        <v>10</v>
      </c>
      <c r="T119" s="887"/>
      <c r="U119" s="55" t="s">
        <v>180</v>
      </c>
      <c r="V119" s="472"/>
      <c r="W119" s="472"/>
      <c r="X119" s="472"/>
      <c r="Y119" s="472"/>
      <c r="Z119" s="896"/>
      <c r="AA119" s="896"/>
      <c r="AB119" s="48" t="str">
        <f t="shared" si="64"/>
        <v>Resolução ANEEL Nº X.XXX de XX de xxxxxx de 20XX</v>
      </c>
      <c r="AC119" s="28"/>
      <c r="AD119" s="28"/>
      <c r="AE119" s="28"/>
      <c r="AF119" s="31">
        <v>113</v>
      </c>
      <c r="AG119" s="32" t="s">
        <v>1219</v>
      </c>
      <c r="AH119" s="31">
        <v>0</v>
      </c>
      <c r="AI119" s="28"/>
      <c r="AJ119" s="28"/>
      <c r="AK119" s="883"/>
      <c r="AL119" s="487">
        <f t="shared" ref="AL119:AM125" si="70">AL118</f>
        <v>7</v>
      </c>
      <c r="AM119" s="54">
        <f t="shared" si="70"/>
        <v>2</v>
      </c>
      <c r="AN119" s="52">
        <v>6</v>
      </c>
      <c r="AO119" s="881"/>
      <c r="AP119" s="47" t="s">
        <v>63</v>
      </c>
      <c r="AQ119" s="53"/>
      <c r="AR119" s="53"/>
      <c r="AS119" s="53"/>
      <c r="AT119" s="53"/>
      <c r="AU119" s="53"/>
      <c r="AV119" s="53"/>
      <c r="AW119" s="477">
        <f t="shared" si="68"/>
        <v>0</v>
      </c>
      <c r="AX119" s="477">
        <f t="shared" si="69"/>
        <v>0</v>
      </c>
    </row>
    <row r="120" spans="2:50" x14ac:dyDescent="0.2">
      <c r="B120" s="29"/>
      <c r="C120" s="29"/>
      <c r="D120" s="29"/>
      <c r="E120" s="35"/>
      <c r="F120" s="29"/>
      <c r="G120" s="29"/>
      <c r="H120" s="29"/>
      <c r="I120" s="29"/>
      <c r="J120" s="29"/>
      <c r="K120" s="28"/>
      <c r="L120" s="28"/>
      <c r="M120" s="28"/>
      <c r="N120" s="28"/>
      <c r="O120" s="28"/>
      <c r="P120" s="28"/>
      <c r="Q120" s="28"/>
      <c r="R120" s="46">
        <v>11</v>
      </c>
      <c r="S120" s="46">
        <v>11</v>
      </c>
      <c r="T120" s="887"/>
      <c r="U120" s="55" t="s">
        <v>151</v>
      </c>
      <c r="V120" s="472"/>
      <c r="W120" s="472"/>
      <c r="X120" s="472"/>
      <c r="Y120" s="472"/>
      <c r="Z120" s="896"/>
      <c r="AA120" s="896"/>
      <c r="AB120" s="48" t="str">
        <f t="shared" si="64"/>
        <v>Resolução ANEEL Nº X.XXX de XX de xxxxxx de 20XX</v>
      </c>
      <c r="AC120" s="28"/>
      <c r="AD120" s="28"/>
      <c r="AE120" s="28"/>
      <c r="AF120" s="31">
        <v>114</v>
      </c>
      <c r="AG120" s="32" t="s">
        <v>1220</v>
      </c>
      <c r="AH120" s="31">
        <v>0</v>
      </c>
      <c r="AI120" s="28"/>
      <c r="AJ120" s="28"/>
      <c r="AK120" s="883"/>
      <c r="AL120" s="487">
        <f t="shared" si="70"/>
        <v>7</v>
      </c>
      <c r="AM120" s="54">
        <f>AM118</f>
        <v>2</v>
      </c>
      <c r="AN120" s="52">
        <v>7</v>
      </c>
      <c r="AO120" s="881"/>
      <c r="AP120" s="47" t="s">
        <v>64</v>
      </c>
      <c r="AQ120" s="53"/>
      <c r="AR120" s="53"/>
      <c r="AS120" s="53"/>
      <c r="AT120" s="53"/>
      <c r="AU120" s="53"/>
      <c r="AV120" s="53"/>
      <c r="AW120" s="477">
        <f t="shared" si="68"/>
        <v>0</v>
      </c>
      <c r="AX120" s="477">
        <f t="shared" si="69"/>
        <v>0</v>
      </c>
    </row>
    <row r="121" spans="2:50" x14ac:dyDescent="0.2">
      <c r="B121" s="29"/>
      <c r="C121" s="29"/>
      <c r="D121" s="29"/>
      <c r="E121" s="35"/>
      <c r="F121" s="29"/>
      <c r="G121" s="29"/>
      <c r="H121" s="29"/>
      <c r="I121" s="29"/>
      <c r="J121" s="29"/>
      <c r="K121" s="28"/>
      <c r="L121" s="28"/>
      <c r="M121" s="28"/>
      <c r="N121" s="28"/>
      <c r="O121" s="28"/>
      <c r="P121" s="28"/>
      <c r="Q121" s="28"/>
      <c r="R121" s="46">
        <v>11</v>
      </c>
      <c r="S121" s="46">
        <v>12</v>
      </c>
      <c r="T121" s="888"/>
      <c r="U121" s="55" t="s">
        <v>181</v>
      </c>
      <c r="V121" s="472">
        <f>V120</f>
        <v>0</v>
      </c>
      <c r="W121" s="472">
        <f>W120</f>
        <v>0</v>
      </c>
      <c r="X121" s="472">
        <f>X120</f>
        <v>0</v>
      </c>
      <c r="Y121" s="472">
        <f>Y120</f>
        <v>0</v>
      </c>
      <c r="Z121" s="897"/>
      <c r="AA121" s="897"/>
      <c r="AB121" s="48" t="str">
        <f t="shared" si="64"/>
        <v>Resolução ANEEL Nº X.XXX de XX de xxxxxx de 20XX</v>
      </c>
      <c r="AC121" s="28"/>
      <c r="AD121" s="28"/>
      <c r="AE121" s="28"/>
      <c r="AF121" s="31">
        <v>115</v>
      </c>
      <c r="AG121" s="32" t="s">
        <v>1221</v>
      </c>
      <c r="AH121" s="31">
        <v>0</v>
      </c>
      <c r="AI121" s="28"/>
      <c r="AJ121" s="28"/>
      <c r="AK121" s="883"/>
      <c r="AL121" s="487">
        <f t="shared" si="70"/>
        <v>7</v>
      </c>
      <c r="AM121" s="54">
        <f>AM118</f>
        <v>2</v>
      </c>
      <c r="AN121" s="52">
        <v>8</v>
      </c>
      <c r="AO121" s="881"/>
      <c r="AP121" s="47" t="s">
        <v>150</v>
      </c>
      <c r="AQ121" s="53"/>
      <c r="AR121" s="53"/>
      <c r="AS121" s="53"/>
      <c r="AT121" s="53"/>
      <c r="AU121" s="53"/>
      <c r="AV121" s="53"/>
      <c r="AW121" s="477">
        <f t="shared" si="68"/>
        <v>0</v>
      </c>
      <c r="AX121" s="477">
        <f t="shared" si="69"/>
        <v>0</v>
      </c>
    </row>
    <row r="122" spans="2:50" x14ac:dyDescent="0.2">
      <c r="B122" s="29"/>
      <c r="C122" s="29"/>
      <c r="D122" s="29"/>
      <c r="E122" s="35"/>
      <c r="F122" s="29"/>
      <c r="G122" s="29"/>
      <c r="H122" s="29"/>
      <c r="I122" s="29"/>
      <c r="J122" s="29"/>
      <c r="K122" s="28"/>
      <c r="L122" s="28"/>
      <c r="M122" s="28"/>
      <c r="N122" s="28"/>
      <c r="O122" s="28"/>
      <c r="P122" s="28"/>
      <c r="Q122" s="28"/>
      <c r="R122" s="28"/>
      <c r="S122" s="28"/>
      <c r="AC122" s="28"/>
      <c r="AD122" s="28"/>
      <c r="AE122" s="28"/>
      <c r="AF122" s="31">
        <v>116</v>
      </c>
      <c r="AG122" s="32" t="s">
        <v>1222</v>
      </c>
      <c r="AH122" s="31">
        <v>0</v>
      </c>
      <c r="AI122" s="28"/>
      <c r="AJ122" s="28"/>
      <c r="AK122" s="883"/>
      <c r="AL122" s="487">
        <f t="shared" si="70"/>
        <v>7</v>
      </c>
      <c r="AM122" s="54">
        <f>AM118</f>
        <v>2</v>
      </c>
      <c r="AN122" s="52">
        <v>9</v>
      </c>
      <c r="AO122" s="881"/>
      <c r="AP122" s="47" t="s">
        <v>179</v>
      </c>
      <c r="AQ122" s="53"/>
      <c r="AR122" s="53"/>
      <c r="AS122" s="53"/>
      <c r="AT122" s="53"/>
      <c r="AU122" s="53"/>
      <c r="AV122" s="53"/>
      <c r="AW122" s="477">
        <f t="shared" si="68"/>
        <v>0</v>
      </c>
      <c r="AX122" s="477">
        <f t="shared" si="69"/>
        <v>0</v>
      </c>
    </row>
    <row r="123" spans="2:50" x14ac:dyDescent="0.2">
      <c r="B123" s="29"/>
      <c r="C123" s="29"/>
      <c r="D123" s="29"/>
      <c r="E123" s="35"/>
      <c r="F123" s="29"/>
      <c r="G123" s="29"/>
      <c r="H123" s="29"/>
      <c r="I123" s="29"/>
      <c r="J123" s="29"/>
      <c r="K123" s="28"/>
      <c r="L123" s="28"/>
      <c r="M123" s="28"/>
      <c r="N123" s="28"/>
      <c r="O123" s="28"/>
      <c r="P123" s="28"/>
      <c r="Q123" s="28"/>
      <c r="R123" s="28"/>
      <c r="S123" s="28"/>
      <c r="AC123" s="28"/>
      <c r="AD123" s="28"/>
      <c r="AE123" s="28"/>
      <c r="AF123" s="31">
        <v>117</v>
      </c>
      <c r="AG123" s="32" t="s">
        <v>1223</v>
      </c>
      <c r="AH123" s="31">
        <v>0</v>
      </c>
      <c r="AI123" s="28"/>
      <c r="AJ123" s="28"/>
      <c r="AK123" s="883"/>
      <c r="AL123" s="487">
        <f t="shared" si="70"/>
        <v>7</v>
      </c>
      <c r="AM123" s="54">
        <f>AM119</f>
        <v>2</v>
      </c>
      <c r="AN123" s="56">
        <v>10</v>
      </c>
      <c r="AO123" s="881"/>
      <c r="AP123" s="47" t="s">
        <v>180</v>
      </c>
      <c r="AQ123" s="53"/>
      <c r="AR123" s="53"/>
      <c r="AS123" s="53"/>
      <c r="AT123" s="53"/>
      <c r="AU123" s="53"/>
      <c r="AV123" s="53"/>
      <c r="AW123" s="477">
        <f t="shared" si="68"/>
        <v>0</v>
      </c>
      <c r="AX123" s="477">
        <f t="shared" si="69"/>
        <v>0</v>
      </c>
    </row>
    <row r="124" spans="2:50" x14ac:dyDescent="0.2">
      <c r="B124" s="29"/>
      <c r="C124" s="29"/>
      <c r="D124" s="29"/>
      <c r="E124" s="35"/>
      <c r="F124" s="29"/>
      <c r="G124" s="29"/>
      <c r="H124" s="29"/>
      <c r="I124" s="29"/>
      <c r="J124" s="29"/>
      <c r="K124" s="28"/>
      <c r="L124" s="28"/>
      <c r="M124" s="28"/>
      <c r="N124" s="28"/>
      <c r="O124" s="28"/>
      <c r="P124" s="28"/>
      <c r="Q124" s="28"/>
      <c r="R124" s="28"/>
      <c r="S124" s="28"/>
      <c r="AC124" s="28"/>
      <c r="AD124" s="28"/>
      <c r="AE124" s="28"/>
      <c r="AF124" s="31">
        <v>118</v>
      </c>
      <c r="AG124" s="32" t="s">
        <v>1224</v>
      </c>
      <c r="AH124" s="31">
        <v>0</v>
      </c>
      <c r="AI124" s="28"/>
      <c r="AJ124" s="28"/>
      <c r="AK124" s="883"/>
      <c r="AL124" s="487">
        <f t="shared" si="70"/>
        <v>7</v>
      </c>
      <c r="AM124" s="54">
        <f>AM120</f>
        <v>2</v>
      </c>
      <c r="AN124" s="56">
        <v>11</v>
      </c>
      <c r="AO124" s="881"/>
      <c r="AP124" s="47" t="s">
        <v>151</v>
      </c>
      <c r="AQ124" s="53"/>
      <c r="AR124" s="53"/>
      <c r="AS124" s="53"/>
      <c r="AT124" s="53"/>
      <c r="AU124" s="53"/>
      <c r="AV124" s="53"/>
      <c r="AW124" s="477">
        <f t="shared" si="68"/>
        <v>0</v>
      </c>
      <c r="AX124" s="477">
        <f t="shared" si="69"/>
        <v>0</v>
      </c>
    </row>
    <row r="125" spans="2:50" x14ac:dyDescent="0.2">
      <c r="B125" s="29"/>
      <c r="C125" s="29"/>
      <c r="D125" s="29"/>
      <c r="E125" s="35"/>
      <c r="F125" s="29"/>
      <c r="G125" s="29"/>
      <c r="H125" s="29"/>
      <c r="I125" s="29"/>
      <c r="J125" s="29"/>
      <c r="K125" s="28"/>
      <c r="L125" s="28"/>
      <c r="M125" s="28"/>
      <c r="N125" s="28"/>
      <c r="O125" s="28"/>
      <c r="P125" s="28"/>
      <c r="Q125" s="28"/>
      <c r="R125" s="28"/>
      <c r="S125" s="28"/>
      <c r="AC125" s="28"/>
      <c r="AD125" s="28"/>
      <c r="AE125" s="28"/>
      <c r="AF125" s="31">
        <v>119</v>
      </c>
      <c r="AG125" s="32" t="s">
        <v>1225</v>
      </c>
      <c r="AH125" s="31">
        <v>0</v>
      </c>
      <c r="AI125" s="28"/>
      <c r="AJ125" s="28"/>
      <c r="AK125" s="883"/>
      <c r="AL125" s="487">
        <f t="shared" si="70"/>
        <v>7</v>
      </c>
      <c r="AM125" s="54">
        <f>AM121</f>
        <v>2</v>
      </c>
      <c r="AN125" s="56">
        <v>12</v>
      </c>
      <c r="AO125" s="880"/>
      <c r="AP125" s="47" t="s">
        <v>181</v>
      </c>
      <c r="AQ125" s="53"/>
      <c r="AR125" s="53"/>
      <c r="AS125" s="53"/>
      <c r="AT125" s="53"/>
      <c r="AU125" s="53"/>
      <c r="AV125" s="53"/>
      <c r="AW125" s="477">
        <f t="shared" si="68"/>
        <v>0</v>
      </c>
      <c r="AX125" s="477">
        <f t="shared" si="69"/>
        <v>0</v>
      </c>
    </row>
    <row r="126" spans="2:50" x14ac:dyDescent="0.2">
      <c r="B126" s="29"/>
      <c r="C126" s="29"/>
      <c r="D126" s="29"/>
      <c r="E126" s="35"/>
      <c r="F126" s="29"/>
      <c r="G126" s="29"/>
      <c r="H126" s="29"/>
      <c r="I126" s="29"/>
      <c r="J126" s="29"/>
      <c r="K126" s="28"/>
      <c r="L126" s="28"/>
      <c r="M126" s="28"/>
      <c r="N126" s="28"/>
      <c r="O126" s="28"/>
      <c r="P126" s="28"/>
      <c r="Q126" s="28"/>
      <c r="R126" s="28"/>
      <c r="S126" s="28"/>
      <c r="AC126" s="28"/>
      <c r="AD126" s="28"/>
      <c r="AE126" s="28"/>
      <c r="AF126" s="31">
        <v>120</v>
      </c>
      <c r="AG126" s="32" t="s">
        <v>1226</v>
      </c>
      <c r="AH126" s="31">
        <v>0</v>
      </c>
      <c r="AI126" s="28"/>
      <c r="AJ126" s="28"/>
      <c r="AK126" s="883"/>
      <c r="AL126" s="487">
        <f>AL122</f>
        <v>7</v>
      </c>
      <c r="AM126" s="51">
        <v>3</v>
      </c>
      <c r="AN126" s="56">
        <v>2</v>
      </c>
      <c r="AO126" s="879" t="s">
        <v>167</v>
      </c>
      <c r="AP126" s="47" t="s">
        <v>162</v>
      </c>
      <c r="AQ126" s="53"/>
      <c r="AR126" s="53"/>
      <c r="AS126" s="53"/>
      <c r="AT126" s="53"/>
      <c r="AU126" s="53"/>
      <c r="AV126" s="53"/>
      <c r="AW126" s="477">
        <f t="shared" si="68"/>
        <v>0</v>
      </c>
      <c r="AX126" s="477">
        <f t="shared" si="69"/>
        <v>0</v>
      </c>
    </row>
    <row r="127" spans="2:50" x14ac:dyDescent="0.2">
      <c r="B127" s="29"/>
      <c r="C127" s="29"/>
      <c r="D127" s="29"/>
      <c r="E127" s="35"/>
      <c r="F127" s="29"/>
      <c r="G127" s="29"/>
      <c r="H127" s="29"/>
      <c r="I127" s="29"/>
      <c r="J127" s="29"/>
      <c r="K127" s="28"/>
      <c r="L127" s="28"/>
      <c r="M127" s="28"/>
      <c r="N127" s="28"/>
      <c r="O127" s="28"/>
      <c r="P127" s="28"/>
      <c r="Q127" s="28"/>
      <c r="R127" s="28"/>
      <c r="S127" s="28"/>
      <c r="AC127" s="28"/>
      <c r="AD127" s="28"/>
      <c r="AE127" s="28"/>
      <c r="AF127" s="31">
        <v>121</v>
      </c>
      <c r="AG127" s="32" t="s">
        <v>1227</v>
      </c>
      <c r="AH127" s="31">
        <v>0</v>
      </c>
      <c r="AI127" s="28"/>
      <c r="AJ127" s="28"/>
      <c r="AK127" s="883"/>
      <c r="AL127" s="487">
        <f>AL122</f>
        <v>7</v>
      </c>
      <c r="AM127" s="54">
        <f>AM126</f>
        <v>3</v>
      </c>
      <c r="AN127" s="56">
        <v>3</v>
      </c>
      <c r="AO127" s="881"/>
      <c r="AP127" s="47" t="s">
        <v>123</v>
      </c>
      <c r="AQ127" s="53"/>
      <c r="AR127" s="53"/>
      <c r="AS127" s="53"/>
      <c r="AT127" s="53"/>
      <c r="AU127" s="53"/>
      <c r="AV127" s="53"/>
      <c r="AW127" s="477">
        <f t="shared" si="68"/>
        <v>0</v>
      </c>
      <c r="AX127" s="477">
        <f t="shared" si="69"/>
        <v>0</v>
      </c>
    </row>
    <row r="128" spans="2:50" x14ac:dyDescent="0.2">
      <c r="B128" s="29"/>
      <c r="C128" s="29"/>
      <c r="D128" s="29"/>
      <c r="E128" s="35"/>
      <c r="F128" s="29"/>
      <c r="G128" s="29"/>
      <c r="H128" s="29"/>
      <c r="I128" s="29"/>
      <c r="J128" s="29"/>
      <c r="K128" s="28"/>
      <c r="L128" s="28"/>
      <c r="M128" s="28"/>
      <c r="N128" s="28"/>
      <c r="O128" s="28"/>
      <c r="P128" s="28"/>
      <c r="Q128" s="28"/>
      <c r="R128" s="28"/>
      <c r="S128" s="28"/>
      <c r="AC128" s="28"/>
      <c r="AD128" s="28"/>
      <c r="AE128" s="28"/>
      <c r="AF128" s="31">
        <v>122</v>
      </c>
      <c r="AG128" s="32" t="s">
        <v>1228</v>
      </c>
      <c r="AH128" s="31">
        <v>0</v>
      </c>
      <c r="AI128" s="28"/>
      <c r="AJ128" s="28"/>
      <c r="AK128" s="883"/>
      <c r="AL128" s="487">
        <f t="shared" ref="AL128:AM138" si="71">AL127</f>
        <v>7</v>
      </c>
      <c r="AM128" s="54">
        <f>AM126</f>
        <v>3</v>
      </c>
      <c r="AN128" s="56">
        <v>4</v>
      </c>
      <c r="AO128" s="881"/>
      <c r="AP128" s="47" t="s">
        <v>122</v>
      </c>
      <c r="AQ128" s="53"/>
      <c r="AR128" s="53"/>
      <c r="AS128" s="53"/>
      <c r="AT128" s="53"/>
      <c r="AU128" s="53"/>
      <c r="AV128" s="53"/>
      <c r="AW128" s="477">
        <f t="shared" si="68"/>
        <v>0</v>
      </c>
      <c r="AX128" s="477">
        <f t="shared" si="69"/>
        <v>0</v>
      </c>
    </row>
    <row r="129" spans="2:50" x14ac:dyDescent="0.2">
      <c r="B129" s="29"/>
      <c r="C129" s="29"/>
      <c r="D129" s="29"/>
      <c r="E129" s="35"/>
      <c r="F129" s="29"/>
      <c r="G129" s="29"/>
      <c r="H129" s="29"/>
      <c r="I129" s="29"/>
      <c r="J129" s="29"/>
      <c r="K129" s="28"/>
      <c r="L129" s="28"/>
      <c r="M129" s="28"/>
      <c r="N129" s="28"/>
      <c r="O129" s="28"/>
      <c r="P129" s="28"/>
      <c r="Q129" s="28"/>
      <c r="R129" s="28"/>
      <c r="S129" s="28"/>
      <c r="AC129" s="28"/>
      <c r="AD129" s="28"/>
      <c r="AE129" s="28"/>
      <c r="AF129" s="31">
        <v>123</v>
      </c>
      <c r="AG129" s="32" t="s">
        <v>1229</v>
      </c>
      <c r="AH129" s="31">
        <v>0</v>
      </c>
      <c r="AI129" s="28"/>
      <c r="AJ129" s="28"/>
      <c r="AK129" s="883"/>
      <c r="AL129" s="487">
        <f t="shared" si="71"/>
        <v>7</v>
      </c>
      <c r="AM129" s="54">
        <f t="shared" si="71"/>
        <v>3</v>
      </c>
      <c r="AN129" s="56">
        <v>5</v>
      </c>
      <c r="AO129" s="881"/>
      <c r="AP129" s="47" t="s">
        <v>121</v>
      </c>
      <c r="AQ129" s="53"/>
      <c r="AR129" s="53"/>
      <c r="AS129" s="53"/>
      <c r="AT129" s="53"/>
      <c r="AU129" s="53"/>
      <c r="AV129" s="53"/>
      <c r="AW129" s="477">
        <f t="shared" si="68"/>
        <v>0</v>
      </c>
      <c r="AX129" s="477">
        <f t="shared" si="69"/>
        <v>0</v>
      </c>
    </row>
    <row r="130" spans="2:50" x14ac:dyDescent="0.2">
      <c r="B130" s="29"/>
      <c r="C130" s="29"/>
      <c r="D130" s="29"/>
      <c r="E130" s="35"/>
      <c r="F130" s="29"/>
      <c r="G130" s="29"/>
      <c r="H130" s="29"/>
      <c r="I130" s="29"/>
      <c r="J130" s="29"/>
      <c r="K130" s="28"/>
      <c r="L130" s="28"/>
      <c r="M130" s="28"/>
      <c r="N130" s="28"/>
      <c r="O130" s="28"/>
      <c r="P130" s="28"/>
      <c r="Q130" s="28"/>
      <c r="R130" s="28"/>
      <c r="S130" s="28"/>
      <c r="AC130" s="28"/>
      <c r="AD130" s="28"/>
      <c r="AE130" s="28"/>
      <c r="AF130" s="31">
        <v>124</v>
      </c>
      <c r="AG130" s="32" t="s">
        <v>1230</v>
      </c>
      <c r="AH130" s="31">
        <v>0</v>
      </c>
      <c r="AI130" s="28"/>
      <c r="AJ130" s="28"/>
      <c r="AK130" s="883"/>
      <c r="AL130" s="487">
        <f t="shared" si="71"/>
        <v>7</v>
      </c>
      <c r="AM130" s="60">
        <f t="shared" si="71"/>
        <v>3</v>
      </c>
      <c r="AN130" s="56">
        <v>6</v>
      </c>
      <c r="AO130" s="880"/>
      <c r="AP130" s="47" t="s">
        <v>63</v>
      </c>
      <c r="AQ130" s="53"/>
      <c r="AR130" s="53"/>
      <c r="AS130" s="53"/>
      <c r="AT130" s="53"/>
      <c r="AU130" s="53"/>
      <c r="AV130" s="53"/>
      <c r="AW130" s="477">
        <f t="shared" si="68"/>
        <v>0</v>
      </c>
      <c r="AX130" s="477">
        <f t="shared" si="69"/>
        <v>0</v>
      </c>
    </row>
    <row r="131" spans="2:50" x14ac:dyDescent="0.2">
      <c r="B131" s="29"/>
      <c r="C131" s="29"/>
      <c r="D131" s="29"/>
      <c r="E131" s="35"/>
      <c r="F131" s="29"/>
      <c r="G131" s="29"/>
      <c r="H131" s="29"/>
      <c r="I131" s="29"/>
      <c r="J131" s="29"/>
      <c r="K131" s="28"/>
      <c r="L131" s="28"/>
      <c r="M131" s="28"/>
      <c r="N131" s="28"/>
      <c r="O131" s="28"/>
      <c r="P131" s="28"/>
      <c r="Q131" s="28"/>
      <c r="R131" s="28"/>
      <c r="S131" s="28"/>
      <c r="AC131" s="28"/>
      <c r="AD131" s="28"/>
      <c r="AE131" s="28"/>
      <c r="AF131" s="31">
        <v>125</v>
      </c>
      <c r="AG131" s="32" t="s">
        <v>1231</v>
      </c>
      <c r="AH131" s="31">
        <v>0</v>
      </c>
      <c r="AI131" s="28"/>
      <c r="AJ131" s="28"/>
      <c r="AK131" s="883"/>
      <c r="AL131" s="487">
        <f t="shared" si="71"/>
        <v>7</v>
      </c>
      <c r="AM131" s="54">
        <v>4</v>
      </c>
      <c r="AN131" s="52">
        <v>5</v>
      </c>
      <c r="AO131" s="879" t="s">
        <v>168</v>
      </c>
      <c r="AP131" s="47" t="s">
        <v>121</v>
      </c>
      <c r="AQ131" s="53"/>
      <c r="AR131" s="53"/>
      <c r="AS131" s="53"/>
      <c r="AT131" s="53"/>
      <c r="AU131" s="53"/>
      <c r="AV131" s="53"/>
      <c r="AW131" s="477">
        <f t="shared" si="68"/>
        <v>0</v>
      </c>
      <c r="AX131" s="477">
        <f t="shared" si="69"/>
        <v>0</v>
      </c>
    </row>
    <row r="132" spans="2:50" x14ac:dyDescent="0.2">
      <c r="B132" s="29"/>
      <c r="C132" s="29"/>
      <c r="D132" s="29"/>
      <c r="E132" s="35"/>
      <c r="F132" s="29"/>
      <c r="G132" s="29"/>
      <c r="H132" s="29"/>
      <c r="I132" s="29"/>
      <c r="J132" s="29"/>
      <c r="K132" s="28"/>
      <c r="L132" s="28"/>
      <c r="M132" s="28"/>
      <c r="N132" s="28"/>
      <c r="O132" s="28"/>
      <c r="P132" s="28"/>
      <c r="Q132" s="28"/>
      <c r="R132" s="28"/>
      <c r="S132" s="28"/>
      <c r="AC132" s="28"/>
      <c r="AD132" s="28"/>
      <c r="AE132" s="28"/>
      <c r="AF132" s="31">
        <v>126</v>
      </c>
      <c r="AG132" s="32" t="s">
        <v>1232</v>
      </c>
      <c r="AH132" s="31">
        <v>0</v>
      </c>
      <c r="AI132" s="28"/>
      <c r="AJ132" s="28"/>
      <c r="AK132" s="883"/>
      <c r="AL132" s="487">
        <f t="shared" si="71"/>
        <v>7</v>
      </c>
      <c r="AM132" s="60">
        <v>4</v>
      </c>
      <c r="AN132" s="52">
        <v>6</v>
      </c>
      <c r="AO132" s="880"/>
      <c r="AP132" s="47" t="s">
        <v>63</v>
      </c>
      <c r="AQ132" s="53"/>
      <c r="AR132" s="53"/>
      <c r="AS132" s="53"/>
      <c r="AT132" s="53"/>
      <c r="AU132" s="53"/>
      <c r="AV132" s="53"/>
      <c r="AW132" s="477">
        <f t="shared" si="68"/>
        <v>0</v>
      </c>
      <c r="AX132" s="477">
        <f t="shared" si="69"/>
        <v>0</v>
      </c>
    </row>
    <row r="133" spans="2:50" x14ac:dyDescent="0.2">
      <c r="B133" s="29"/>
      <c r="C133" s="29"/>
      <c r="D133" s="29"/>
      <c r="E133" s="35"/>
      <c r="F133" s="29"/>
      <c r="G133" s="29"/>
      <c r="H133" s="29"/>
      <c r="I133" s="29"/>
      <c r="J133" s="29"/>
      <c r="K133" s="28"/>
      <c r="L133" s="28"/>
      <c r="M133" s="28"/>
      <c r="N133" s="28"/>
      <c r="O133" s="28"/>
      <c r="P133" s="28"/>
      <c r="Q133" s="28"/>
      <c r="AC133" s="28"/>
      <c r="AD133" s="28"/>
      <c r="AE133" s="28"/>
      <c r="AF133" s="31">
        <v>127</v>
      </c>
      <c r="AG133" s="32" t="s">
        <v>1233</v>
      </c>
      <c r="AH133" s="31">
        <v>0</v>
      </c>
      <c r="AI133" s="28"/>
      <c r="AJ133" s="28"/>
      <c r="AK133" s="883"/>
      <c r="AL133" s="487">
        <f t="shared" si="71"/>
        <v>7</v>
      </c>
      <c r="AM133" s="54">
        <v>5</v>
      </c>
      <c r="AN133" s="52">
        <v>7</v>
      </c>
      <c r="AO133" s="879" t="s">
        <v>166</v>
      </c>
      <c r="AP133" s="47" t="s">
        <v>64</v>
      </c>
      <c r="AQ133" s="53"/>
      <c r="AR133" s="53"/>
      <c r="AS133" s="53"/>
      <c r="AT133" s="53"/>
      <c r="AU133" s="53"/>
      <c r="AV133" s="53"/>
      <c r="AW133" s="477">
        <f t="shared" si="68"/>
        <v>0</v>
      </c>
      <c r="AX133" s="477">
        <f t="shared" si="69"/>
        <v>0</v>
      </c>
    </row>
    <row r="134" spans="2:50" x14ac:dyDescent="0.2">
      <c r="B134" s="29"/>
      <c r="C134" s="29"/>
      <c r="D134" s="29"/>
      <c r="E134" s="35"/>
      <c r="F134" s="29"/>
      <c r="G134" s="29"/>
      <c r="H134" s="29"/>
      <c r="I134" s="29"/>
      <c r="J134" s="29"/>
      <c r="K134" s="28"/>
      <c r="L134" s="28"/>
      <c r="M134" s="28"/>
      <c r="N134" s="28"/>
      <c r="O134" s="28"/>
      <c r="P134" s="28"/>
      <c r="Q134" s="28"/>
      <c r="AC134" s="28"/>
      <c r="AD134" s="28"/>
      <c r="AE134" s="28"/>
      <c r="AF134" s="31">
        <v>128</v>
      </c>
      <c r="AG134" s="32" t="s">
        <v>1234</v>
      </c>
      <c r="AH134" s="31">
        <v>0</v>
      </c>
      <c r="AI134" s="28"/>
      <c r="AJ134" s="28"/>
      <c r="AK134" s="883"/>
      <c r="AL134" s="487">
        <f t="shared" si="71"/>
        <v>7</v>
      </c>
      <c r="AM134" s="54">
        <v>5</v>
      </c>
      <c r="AN134" s="52">
        <v>8</v>
      </c>
      <c r="AO134" s="881"/>
      <c r="AP134" s="47" t="s">
        <v>150</v>
      </c>
      <c r="AQ134" s="53"/>
      <c r="AR134" s="53"/>
      <c r="AS134" s="53"/>
      <c r="AT134" s="53"/>
      <c r="AU134" s="53"/>
      <c r="AV134" s="53"/>
      <c r="AW134" s="477">
        <f t="shared" si="68"/>
        <v>0</v>
      </c>
      <c r="AX134" s="477">
        <f t="shared" si="69"/>
        <v>0</v>
      </c>
    </row>
    <row r="135" spans="2:50" x14ac:dyDescent="0.2">
      <c r="B135" s="29"/>
      <c r="C135" s="29"/>
      <c r="D135" s="29"/>
      <c r="E135" s="35"/>
      <c r="F135" s="29"/>
      <c r="G135" s="29"/>
      <c r="H135" s="29"/>
      <c r="I135" s="29"/>
      <c r="J135" s="29"/>
      <c r="K135" s="28"/>
      <c r="L135" s="28"/>
      <c r="M135" s="28"/>
      <c r="N135" s="28"/>
      <c r="O135" s="28"/>
      <c r="P135" s="28"/>
      <c r="Q135" s="28"/>
      <c r="AC135" s="28"/>
      <c r="AD135" s="28"/>
      <c r="AE135" s="28"/>
      <c r="AF135" s="31">
        <v>129</v>
      </c>
      <c r="AG135" s="32" t="s">
        <v>1235</v>
      </c>
      <c r="AH135" s="31">
        <v>0</v>
      </c>
      <c r="AI135" s="28"/>
      <c r="AJ135" s="28"/>
      <c r="AK135" s="883"/>
      <c r="AL135" s="487">
        <f t="shared" si="71"/>
        <v>7</v>
      </c>
      <c r="AM135" s="54">
        <v>5</v>
      </c>
      <c r="AN135" s="52">
        <v>9</v>
      </c>
      <c r="AO135" s="881"/>
      <c r="AP135" s="47" t="s">
        <v>179</v>
      </c>
      <c r="AQ135" s="53"/>
      <c r="AR135" s="53"/>
      <c r="AS135" s="53"/>
      <c r="AT135" s="53"/>
      <c r="AU135" s="53"/>
      <c r="AV135" s="53"/>
      <c r="AW135" s="477">
        <f t="shared" si="68"/>
        <v>0</v>
      </c>
      <c r="AX135" s="477">
        <f t="shared" si="69"/>
        <v>0</v>
      </c>
    </row>
    <row r="136" spans="2:50" x14ac:dyDescent="0.2">
      <c r="B136" s="29"/>
      <c r="C136" s="29"/>
      <c r="D136" s="29"/>
      <c r="E136" s="35"/>
      <c r="F136" s="29"/>
      <c r="G136" s="29"/>
      <c r="H136" s="29"/>
      <c r="I136" s="29"/>
      <c r="J136" s="29"/>
      <c r="K136" s="28"/>
      <c r="L136" s="28"/>
      <c r="M136" s="28"/>
      <c r="N136" s="28"/>
      <c r="O136" s="28"/>
      <c r="P136" s="28"/>
      <c r="Q136" s="28"/>
      <c r="AC136" s="28"/>
      <c r="AD136" s="28"/>
      <c r="AE136" s="28"/>
      <c r="AF136" s="31">
        <v>130</v>
      </c>
      <c r="AG136" s="32" t="s">
        <v>1236</v>
      </c>
      <c r="AH136" s="31">
        <v>0</v>
      </c>
      <c r="AI136" s="28"/>
      <c r="AJ136" s="28"/>
      <c r="AK136" s="883"/>
      <c r="AL136" s="487">
        <f t="shared" si="71"/>
        <v>7</v>
      </c>
      <c r="AM136" s="54">
        <v>5</v>
      </c>
      <c r="AN136" s="52">
        <v>10</v>
      </c>
      <c r="AO136" s="881"/>
      <c r="AP136" s="47" t="s">
        <v>180</v>
      </c>
      <c r="AQ136" s="53"/>
      <c r="AR136" s="53"/>
      <c r="AS136" s="53"/>
      <c r="AT136" s="53"/>
      <c r="AU136" s="53"/>
      <c r="AV136" s="53"/>
      <c r="AW136" s="477">
        <f t="shared" si="68"/>
        <v>0</v>
      </c>
      <c r="AX136" s="477">
        <f t="shared" si="69"/>
        <v>0</v>
      </c>
    </row>
    <row r="137" spans="2:50" x14ac:dyDescent="0.2">
      <c r="B137" s="29"/>
      <c r="C137" s="29"/>
      <c r="D137" s="29"/>
      <c r="E137" s="35"/>
      <c r="F137" s="29"/>
      <c r="G137" s="29"/>
      <c r="H137" s="29"/>
      <c r="I137" s="29"/>
      <c r="J137" s="29"/>
      <c r="K137" s="28"/>
      <c r="L137" s="28"/>
      <c r="M137" s="28"/>
      <c r="N137" s="28"/>
      <c r="O137" s="28"/>
      <c r="P137" s="28"/>
      <c r="Q137" s="28"/>
      <c r="AC137" s="28"/>
      <c r="AD137" s="28"/>
      <c r="AE137" s="28"/>
      <c r="AF137" s="31">
        <v>131</v>
      </c>
      <c r="AG137" s="32" t="s">
        <v>1237</v>
      </c>
      <c r="AH137" s="31">
        <v>0</v>
      </c>
      <c r="AI137" s="28"/>
      <c r="AJ137" s="28"/>
      <c r="AK137" s="883"/>
      <c r="AL137" s="487">
        <f t="shared" si="71"/>
        <v>7</v>
      </c>
      <c r="AM137" s="54">
        <v>5</v>
      </c>
      <c r="AN137" s="52">
        <v>11</v>
      </c>
      <c r="AO137" s="881"/>
      <c r="AP137" s="47" t="s">
        <v>151</v>
      </c>
      <c r="AQ137" s="53"/>
      <c r="AR137" s="53"/>
      <c r="AS137" s="53">
        <v>905.21</v>
      </c>
      <c r="AT137" s="53">
        <v>420.11</v>
      </c>
      <c r="AU137" s="53">
        <v>272.63</v>
      </c>
      <c r="AV137" s="53">
        <v>246.76</v>
      </c>
      <c r="AW137" s="477">
        <f t="shared" si="68"/>
        <v>1325.3200000000002</v>
      </c>
      <c r="AX137" s="477">
        <f t="shared" si="69"/>
        <v>519.39</v>
      </c>
    </row>
    <row r="138" spans="2:50" x14ac:dyDescent="0.2">
      <c r="B138" s="29"/>
      <c r="C138" s="29"/>
      <c r="D138" s="29"/>
      <c r="E138" s="35"/>
      <c r="F138" s="29"/>
      <c r="G138" s="29"/>
      <c r="H138" s="29"/>
      <c r="I138" s="29"/>
      <c r="J138" s="29"/>
      <c r="K138" s="28"/>
      <c r="L138" s="28"/>
      <c r="M138" s="28"/>
      <c r="N138" s="28"/>
      <c r="O138" s="28"/>
      <c r="P138" s="28"/>
      <c r="Q138" s="28"/>
      <c r="AC138" s="28"/>
      <c r="AD138" s="28"/>
      <c r="AE138" s="28"/>
      <c r="AF138" s="31">
        <v>132</v>
      </c>
      <c r="AG138" s="32" t="s">
        <v>1238</v>
      </c>
      <c r="AH138" s="31">
        <v>0</v>
      </c>
      <c r="AI138" s="28"/>
      <c r="AJ138" s="28"/>
      <c r="AK138" s="884"/>
      <c r="AL138" s="488">
        <f t="shared" si="71"/>
        <v>7</v>
      </c>
      <c r="AM138" s="60">
        <v>5</v>
      </c>
      <c r="AN138" s="52">
        <v>12</v>
      </c>
      <c r="AO138" s="880"/>
      <c r="AP138" s="47" t="s">
        <v>181</v>
      </c>
      <c r="AQ138" s="53"/>
      <c r="AR138" s="53"/>
      <c r="AS138" s="53"/>
      <c r="AT138" s="53"/>
      <c r="AU138" s="53"/>
      <c r="AV138" s="53"/>
    </row>
    <row r="139" spans="2:50" x14ac:dyDescent="0.2">
      <c r="B139" s="29"/>
      <c r="C139" s="29"/>
      <c r="D139" s="29"/>
      <c r="E139" s="35"/>
      <c r="F139" s="29"/>
      <c r="G139" s="29"/>
      <c r="H139" s="29"/>
      <c r="I139" s="29"/>
      <c r="J139" s="29"/>
      <c r="K139" s="28"/>
      <c r="L139" s="28"/>
      <c r="M139" s="28"/>
      <c r="N139" s="28"/>
      <c r="O139" s="28"/>
      <c r="P139" s="28"/>
      <c r="Q139" s="28"/>
      <c r="AC139" s="28"/>
      <c r="AD139" s="28"/>
      <c r="AE139" s="28"/>
      <c r="AF139" s="31">
        <v>133</v>
      </c>
      <c r="AG139" s="32" t="s">
        <v>1239</v>
      </c>
      <c r="AH139" s="31">
        <v>0</v>
      </c>
      <c r="AI139" s="28"/>
      <c r="AJ139" s="28"/>
      <c r="AK139" s="882">
        <v>2021</v>
      </c>
      <c r="AL139" s="486">
        <v>8</v>
      </c>
      <c r="AM139" s="51">
        <v>2</v>
      </c>
      <c r="AN139" s="52">
        <v>5</v>
      </c>
      <c r="AO139" s="879" t="s">
        <v>153</v>
      </c>
      <c r="AP139" s="47" t="s">
        <v>121</v>
      </c>
      <c r="AQ139" s="53"/>
      <c r="AR139" s="53"/>
      <c r="AS139" s="53"/>
      <c r="AT139" s="53"/>
      <c r="AU139" s="53"/>
      <c r="AV139" s="53"/>
      <c r="AW139" s="477">
        <f t="shared" ref="AW139:AW158" si="72">AS139+AT139</f>
        <v>0</v>
      </c>
      <c r="AX139" s="477">
        <f t="shared" ref="AX139:AX158" si="73">AU139+AV139</f>
        <v>0</v>
      </c>
    </row>
    <row r="140" spans="2:50" x14ac:dyDescent="0.2">
      <c r="B140" s="29"/>
      <c r="C140" s="29"/>
      <c r="D140" s="29"/>
      <c r="E140" s="35"/>
      <c r="F140" s="29"/>
      <c r="G140" s="29"/>
      <c r="H140" s="29"/>
      <c r="I140" s="29"/>
      <c r="J140" s="29"/>
      <c r="K140" s="28"/>
      <c r="L140" s="28"/>
      <c r="M140" s="28"/>
      <c r="N140" s="28"/>
      <c r="O140" s="28"/>
      <c r="P140" s="28"/>
      <c r="Q140" s="28"/>
      <c r="AC140" s="28"/>
      <c r="AD140" s="28"/>
      <c r="AE140" s="28"/>
      <c r="AF140" s="31">
        <v>134</v>
      </c>
      <c r="AG140" s="32" t="s">
        <v>1240</v>
      </c>
      <c r="AH140" s="31">
        <v>0</v>
      </c>
      <c r="AI140" s="28"/>
      <c r="AJ140" s="28"/>
      <c r="AK140" s="883"/>
      <c r="AL140" s="487">
        <f t="shared" ref="AL140:AM146" si="74">AL139</f>
        <v>8</v>
      </c>
      <c r="AM140" s="54">
        <f t="shared" si="74"/>
        <v>2</v>
      </c>
      <c r="AN140" s="52">
        <v>6</v>
      </c>
      <c r="AO140" s="881"/>
      <c r="AP140" s="47" t="s">
        <v>63</v>
      </c>
      <c r="AQ140" s="53"/>
      <c r="AR140" s="53"/>
      <c r="AS140" s="53"/>
      <c r="AT140" s="53"/>
      <c r="AU140" s="53"/>
      <c r="AV140" s="53"/>
      <c r="AW140" s="477">
        <f t="shared" si="72"/>
        <v>0</v>
      </c>
      <c r="AX140" s="477">
        <f t="shared" si="73"/>
        <v>0</v>
      </c>
    </row>
    <row r="141" spans="2:50" x14ac:dyDescent="0.2">
      <c r="B141" s="29"/>
      <c r="C141" s="29"/>
      <c r="D141" s="29"/>
      <c r="E141" s="35"/>
      <c r="F141" s="29"/>
      <c r="G141" s="29"/>
      <c r="H141" s="29"/>
      <c r="I141" s="29"/>
      <c r="J141" s="29"/>
      <c r="K141" s="28"/>
      <c r="L141" s="28"/>
      <c r="M141" s="28"/>
      <c r="N141" s="28"/>
      <c r="O141" s="28"/>
      <c r="P141" s="28"/>
      <c r="Q141" s="28"/>
      <c r="AC141" s="28"/>
      <c r="AD141" s="28"/>
      <c r="AE141" s="28"/>
      <c r="AF141" s="31">
        <v>135</v>
      </c>
      <c r="AG141" s="32" t="s">
        <v>1241</v>
      </c>
      <c r="AH141" s="31">
        <v>0</v>
      </c>
      <c r="AI141" s="28"/>
      <c r="AJ141" s="28"/>
      <c r="AK141" s="883"/>
      <c r="AL141" s="487">
        <f t="shared" si="74"/>
        <v>8</v>
      </c>
      <c r="AM141" s="54">
        <f>AM139</f>
        <v>2</v>
      </c>
      <c r="AN141" s="52">
        <v>7</v>
      </c>
      <c r="AO141" s="881"/>
      <c r="AP141" s="47" t="s">
        <v>64</v>
      </c>
      <c r="AQ141" s="53"/>
      <c r="AR141" s="53"/>
      <c r="AS141" s="53"/>
      <c r="AT141" s="53"/>
      <c r="AU141" s="53"/>
      <c r="AV141" s="53"/>
      <c r="AW141" s="477">
        <f t="shared" si="72"/>
        <v>0</v>
      </c>
      <c r="AX141" s="477">
        <f t="shared" si="73"/>
        <v>0</v>
      </c>
    </row>
    <row r="142" spans="2:50" x14ac:dyDescent="0.2">
      <c r="B142" s="29"/>
      <c r="C142" s="29"/>
      <c r="D142" s="29"/>
      <c r="E142" s="35"/>
      <c r="F142" s="29"/>
      <c r="G142" s="29"/>
      <c r="H142" s="29"/>
      <c r="I142" s="29"/>
      <c r="J142" s="29"/>
      <c r="K142" s="28"/>
      <c r="L142" s="28"/>
      <c r="M142" s="28"/>
      <c r="N142" s="28"/>
      <c r="O142" s="28"/>
      <c r="P142" s="28"/>
      <c r="Q142" s="28"/>
      <c r="AC142" s="28"/>
      <c r="AD142" s="28"/>
      <c r="AE142" s="28"/>
      <c r="AF142" s="31">
        <v>136</v>
      </c>
      <c r="AG142" s="32" t="s">
        <v>1242</v>
      </c>
      <c r="AH142" s="31">
        <v>0</v>
      </c>
      <c r="AI142" s="28"/>
      <c r="AJ142" s="28"/>
      <c r="AK142" s="883"/>
      <c r="AL142" s="487">
        <f t="shared" si="74"/>
        <v>8</v>
      </c>
      <c r="AM142" s="54">
        <f>AM139</f>
        <v>2</v>
      </c>
      <c r="AN142" s="52">
        <v>8</v>
      </c>
      <c r="AO142" s="881"/>
      <c r="AP142" s="47" t="s">
        <v>150</v>
      </c>
      <c r="AQ142" s="53"/>
      <c r="AR142" s="53"/>
      <c r="AS142" s="53"/>
      <c r="AT142" s="53"/>
      <c r="AU142" s="53"/>
      <c r="AV142" s="53"/>
      <c r="AW142" s="477">
        <f t="shared" si="72"/>
        <v>0</v>
      </c>
      <c r="AX142" s="477">
        <f t="shared" si="73"/>
        <v>0</v>
      </c>
    </row>
    <row r="143" spans="2:50" x14ac:dyDescent="0.2">
      <c r="B143" s="29"/>
      <c r="C143" s="29"/>
      <c r="D143" s="29"/>
      <c r="E143" s="35"/>
      <c r="F143" s="29"/>
      <c r="G143" s="29"/>
      <c r="H143" s="29"/>
      <c r="I143" s="29"/>
      <c r="J143" s="29"/>
      <c r="K143" s="28"/>
      <c r="L143" s="28"/>
      <c r="M143" s="28"/>
      <c r="N143" s="28"/>
      <c r="O143" s="28"/>
      <c r="P143" s="28"/>
      <c r="Q143" s="28"/>
      <c r="AC143" s="28"/>
      <c r="AD143" s="28"/>
      <c r="AE143" s="28"/>
      <c r="AF143" s="31">
        <v>137</v>
      </c>
      <c r="AG143" s="32" t="s">
        <v>1243</v>
      </c>
      <c r="AH143" s="31">
        <v>0</v>
      </c>
      <c r="AI143" s="28"/>
      <c r="AJ143" s="28"/>
      <c r="AK143" s="883"/>
      <c r="AL143" s="487">
        <f t="shared" si="74"/>
        <v>8</v>
      </c>
      <c r="AM143" s="54">
        <f>AM139</f>
        <v>2</v>
      </c>
      <c r="AN143" s="52">
        <v>9</v>
      </c>
      <c r="AO143" s="881"/>
      <c r="AP143" s="47" t="s">
        <v>179</v>
      </c>
      <c r="AQ143" s="53"/>
      <c r="AR143" s="53"/>
      <c r="AS143" s="53"/>
      <c r="AT143" s="53"/>
      <c r="AU143" s="53"/>
      <c r="AV143" s="53"/>
      <c r="AW143" s="477">
        <f t="shared" si="72"/>
        <v>0</v>
      </c>
      <c r="AX143" s="477">
        <f t="shared" si="73"/>
        <v>0</v>
      </c>
    </row>
    <row r="144" spans="2:50" x14ac:dyDescent="0.2">
      <c r="B144" s="29"/>
      <c r="C144" s="29"/>
      <c r="D144" s="29"/>
      <c r="E144" s="35"/>
      <c r="F144" s="29"/>
      <c r="G144" s="29"/>
      <c r="H144" s="29"/>
      <c r="I144" s="29"/>
      <c r="J144" s="29"/>
      <c r="K144" s="28"/>
      <c r="L144" s="28"/>
      <c r="M144" s="28"/>
      <c r="N144" s="28"/>
      <c r="O144" s="28"/>
      <c r="P144" s="28"/>
      <c r="Q144" s="28"/>
      <c r="AC144" s="28"/>
      <c r="AD144" s="28"/>
      <c r="AE144" s="28"/>
      <c r="AF144" s="31">
        <v>138</v>
      </c>
      <c r="AG144" s="32" t="s">
        <v>1244</v>
      </c>
      <c r="AH144" s="31">
        <v>0</v>
      </c>
      <c r="AI144" s="28"/>
      <c r="AJ144" s="28"/>
      <c r="AK144" s="883"/>
      <c r="AL144" s="487">
        <f t="shared" si="74"/>
        <v>8</v>
      </c>
      <c r="AM144" s="54">
        <f>AM140</f>
        <v>2</v>
      </c>
      <c r="AN144" s="56">
        <v>10</v>
      </c>
      <c r="AO144" s="881"/>
      <c r="AP144" s="47" t="s">
        <v>180</v>
      </c>
      <c r="AQ144" s="53"/>
      <c r="AR144" s="53"/>
      <c r="AS144" s="53"/>
      <c r="AT144" s="53"/>
      <c r="AU144" s="53"/>
      <c r="AV144" s="53"/>
      <c r="AW144" s="477">
        <f t="shared" si="72"/>
        <v>0</v>
      </c>
      <c r="AX144" s="477">
        <f t="shared" si="73"/>
        <v>0</v>
      </c>
    </row>
    <row r="145" spans="2:50" x14ac:dyDescent="0.2">
      <c r="B145" s="29"/>
      <c r="C145" s="29"/>
      <c r="D145" s="29"/>
      <c r="E145" s="35"/>
      <c r="F145" s="29"/>
      <c r="G145" s="29"/>
      <c r="H145" s="29"/>
      <c r="I145" s="29"/>
      <c r="J145" s="29"/>
      <c r="K145" s="28"/>
      <c r="L145" s="28"/>
      <c r="M145" s="28"/>
      <c r="N145" s="28"/>
      <c r="O145" s="28"/>
      <c r="P145" s="28"/>
      <c r="Q145" s="28"/>
      <c r="AC145" s="28"/>
      <c r="AD145" s="28"/>
      <c r="AE145" s="28"/>
      <c r="AF145" s="31">
        <v>139</v>
      </c>
      <c r="AG145" s="32" t="s">
        <v>1245</v>
      </c>
      <c r="AH145" s="31">
        <v>0</v>
      </c>
      <c r="AI145" s="28"/>
      <c r="AJ145" s="28"/>
      <c r="AK145" s="883"/>
      <c r="AL145" s="487">
        <f t="shared" si="74"/>
        <v>8</v>
      </c>
      <c r="AM145" s="54">
        <f>AM141</f>
        <v>2</v>
      </c>
      <c r="AN145" s="56">
        <v>11</v>
      </c>
      <c r="AO145" s="881"/>
      <c r="AP145" s="47" t="s">
        <v>151</v>
      </c>
      <c r="AQ145" s="53"/>
      <c r="AR145" s="53"/>
      <c r="AS145" s="53"/>
      <c r="AT145" s="53"/>
      <c r="AU145" s="53"/>
      <c r="AV145" s="53"/>
      <c r="AW145" s="477">
        <f t="shared" si="72"/>
        <v>0</v>
      </c>
      <c r="AX145" s="477">
        <f t="shared" si="73"/>
        <v>0</v>
      </c>
    </row>
    <row r="146" spans="2:50" x14ac:dyDescent="0.2">
      <c r="B146" s="29"/>
      <c r="C146" s="29"/>
      <c r="D146" s="29"/>
      <c r="E146" s="35"/>
      <c r="F146" s="29"/>
      <c r="G146" s="29"/>
      <c r="H146" s="29"/>
      <c r="I146" s="29"/>
      <c r="J146" s="29"/>
      <c r="K146" s="28"/>
      <c r="L146" s="28"/>
      <c r="M146" s="28"/>
      <c r="N146" s="28"/>
      <c r="O146" s="28"/>
      <c r="P146" s="28"/>
      <c r="Q146" s="28"/>
      <c r="AC146" s="28"/>
      <c r="AD146" s="28"/>
      <c r="AE146" s="28"/>
      <c r="AF146" s="31">
        <v>140</v>
      </c>
      <c r="AG146" s="32" t="s">
        <v>1246</v>
      </c>
      <c r="AH146" s="31">
        <v>0</v>
      </c>
      <c r="AI146" s="28"/>
      <c r="AJ146" s="28"/>
      <c r="AK146" s="883"/>
      <c r="AL146" s="487">
        <f t="shared" si="74"/>
        <v>8</v>
      </c>
      <c r="AM146" s="54">
        <f>AM142</f>
        <v>2</v>
      </c>
      <c r="AN146" s="56">
        <v>12</v>
      </c>
      <c r="AO146" s="880"/>
      <c r="AP146" s="47" t="s">
        <v>181</v>
      </c>
      <c r="AQ146" s="53"/>
      <c r="AR146" s="53"/>
      <c r="AS146" s="53"/>
      <c r="AT146" s="53"/>
      <c r="AU146" s="53"/>
      <c r="AV146" s="53"/>
      <c r="AW146" s="477">
        <f t="shared" si="72"/>
        <v>0</v>
      </c>
      <c r="AX146" s="477">
        <f t="shared" si="73"/>
        <v>0</v>
      </c>
    </row>
    <row r="147" spans="2:50" x14ac:dyDescent="0.2">
      <c r="B147" s="29"/>
      <c r="C147" s="29"/>
      <c r="D147" s="29"/>
      <c r="E147" s="35"/>
      <c r="F147" s="29"/>
      <c r="G147" s="29"/>
      <c r="H147" s="29"/>
      <c r="I147" s="29"/>
      <c r="J147" s="29"/>
      <c r="K147" s="28"/>
      <c r="L147" s="28"/>
      <c r="M147" s="28"/>
      <c r="N147" s="28"/>
      <c r="O147" s="28"/>
      <c r="P147" s="28"/>
      <c r="Q147" s="28"/>
      <c r="AC147" s="28"/>
      <c r="AD147" s="28"/>
      <c r="AE147" s="28"/>
      <c r="AF147" s="31">
        <v>141</v>
      </c>
      <c r="AG147" s="32" t="s">
        <v>1247</v>
      </c>
      <c r="AH147" s="31">
        <v>0</v>
      </c>
      <c r="AI147" s="28"/>
      <c r="AJ147" s="28"/>
      <c r="AK147" s="883"/>
      <c r="AL147" s="487">
        <f>AL143</f>
        <v>8</v>
      </c>
      <c r="AM147" s="51">
        <v>3</v>
      </c>
      <c r="AN147" s="56">
        <v>2</v>
      </c>
      <c r="AO147" s="879" t="s">
        <v>167</v>
      </c>
      <c r="AP147" s="47" t="s">
        <v>162</v>
      </c>
      <c r="AQ147" s="53"/>
      <c r="AR147" s="53"/>
      <c r="AS147" s="53"/>
      <c r="AT147" s="53"/>
      <c r="AU147" s="53"/>
      <c r="AV147" s="53"/>
      <c r="AW147" s="477">
        <f t="shared" si="72"/>
        <v>0</v>
      </c>
      <c r="AX147" s="477">
        <f t="shared" si="73"/>
        <v>0</v>
      </c>
    </row>
    <row r="148" spans="2:50" x14ac:dyDescent="0.2">
      <c r="B148" s="29"/>
      <c r="C148" s="29"/>
      <c r="D148" s="29"/>
      <c r="E148" s="35"/>
      <c r="F148" s="29"/>
      <c r="G148" s="29"/>
      <c r="H148" s="29"/>
      <c r="I148" s="29"/>
      <c r="J148" s="29"/>
      <c r="K148" s="28"/>
      <c r="L148" s="28"/>
      <c r="M148" s="28"/>
      <c r="N148" s="28"/>
      <c r="O148" s="28"/>
      <c r="P148" s="28"/>
      <c r="Q148" s="28"/>
      <c r="AC148" s="28"/>
      <c r="AD148" s="28"/>
      <c r="AE148" s="28"/>
      <c r="AF148" s="31">
        <v>142</v>
      </c>
      <c r="AG148" s="32" t="s">
        <v>1248</v>
      </c>
      <c r="AH148" s="31">
        <v>0</v>
      </c>
      <c r="AI148" s="28"/>
      <c r="AJ148" s="28"/>
      <c r="AK148" s="883"/>
      <c r="AL148" s="487">
        <f>AL143</f>
        <v>8</v>
      </c>
      <c r="AM148" s="54">
        <f>AM147</f>
        <v>3</v>
      </c>
      <c r="AN148" s="56">
        <v>3</v>
      </c>
      <c r="AO148" s="881"/>
      <c r="AP148" s="47" t="s">
        <v>123</v>
      </c>
      <c r="AQ148" s="53"/>
      <c r="AR148" s="53"/>
      <c r="AS148" s="53"/>
      <c r="AT148" s="53"/>
      <c r="AU148" s="53"/>
      <c r="AV148" s="53"/>
      <c r="AW148" s="477">
        <f t="shared" si="72"/>
        <v>0</v>
      </c>
      <c r="AX148" s="477">
        <f t="shared" si="73"/>
        <v>0</v>
      </c>
    </row>
    <row r="149" spans="2:50" x14ac:dyDescent="0.2">
      <c r="B149" s="29"/>
      <c r="C149" s="29"/>
      <c r="D149" s="29"/>
      <c r="E149" s="35"/>
      <c r="F149" s="29"/>
      <c r="G149" s="29"/>
      <c r="H149" s="29"/>
      <c r="I149" s="29"/>
      <c r="J149" s="29"/>
      <c r="K149" s="28"/>
      <c r="L149" s="28"/>
      <c r="M149" s="28"/>
      <c r="N149" s="28"/>
      <c r="O149" s="28"/>
      <c r="P149" s="28"/>
      <c r="Q149" s="28"/>
      <c r="AC149" s="28"/>
      <c r="AD149" s="28"/>
      <c r="AE149" s="28"/>
      <c r="AF149" s="31">
        <v>143</v>
      </c>
      <c r="AG149" s="32" t="s">
        <v>1249</v>
      </c>
      <c r="AH149" s="31">
        <v>0</v>
      </c>
      <c r="AI149" s="28"/>
      <c r="AJ149" s="28"/>
      <c r="AK149" s="883"/>
      <c r="AL149" s="487">
        <f t="shared" ref="AL149:AM159" si="75">AL148</f>
        <v>8</v>
      </c>
      <c r="AM149" s="54">
        <f>AM147</f>
        <v>3</v>
      </c>
      <c r="AN149" s="56">
        <v>4</v>
      </c>
      <c r="AO149" s="881"/>
      <c r="AP149" s="47" t="s">
        <v>122</v>
      </c>
      <c r="AQ149" s="53"/>
      <c r="AR149" s="53"/>
      <c r="AS149" s="53"/>
      <c r="AT149" s="53"/>
      <c r="AU149" s="53"/>
      <c r="AV149" s="53"/>
      <c r="AW149" s="477">
        <f t="shared" si="72"/>
        <v>0</v>
      </c>
      <c r="AX149" s="477">
        <f t="shared" si="73"/>
        <v>0</v>
      </c>
    </row>
    <row r="150" spans="2:50" x14ac:dyDescent="0.2">
      <c r="B150" s="29"/>
      <c r="C150" s="29"/>
      <c r="D150" s="29"/>
      <c r="E150" s="35"/>
      <c r="F150" s="29"/>
      <c r="G150" s="29"/>
      <c r="H150" s="29"/>
      <c r="I150" s="29"/>
      <c r="J150" s="29"/>
      <c r="K150" s="28"/>
      <c r="L150" s="28"/>
      <c r="M150" s="28"/>
      <c r="N150" s="28"/>
      <c r="O150" s="28"/>
      <c r="P150" s="28"/>
      <c r="Q150" s="28"/>
      <c r="AC150" s="28"/>
      <c r="AD150" s="28"/>
      <c r="AE150" s="28"/>
      <c r="AF150" s="31">
        <v>144</v>
      </c>
      <c r="AG150" s="32" t="s">
        <v>1250</v>
      </c>
      <c r="AH150" s="31">
        <v>0</v>
      </c>
      <c r="AI150" s="28"/>
      <c r="AJ150" s="28"/>
      <c r="AK150" s="883"/>
      <c r="AL150" s="487">
        <f t="shared" si="75"/>
        <v>8</v>
      </c>
      <c r="AM150" s="54">
        <f t="shared" si="75"/>
        <v>3</v>
      </c>
      <c r="AN150" s="56">
        <v>5</v>
      </c>
      <c r="AO150" s="881"/>
      <c r="AP150" s="47" t="s">
        <v>121</v>
      </c>
      <c r="AQ150" s="53"/>
      <c r="AR150" s="53"/>
      <c r="AS150" s="53"/>
      <c r="AT150" s="53"/>
      <c r="AU150" s="53"/>
      <c r="AV150" s="53"/>
      <c r="AW150" s="477">
        <f t="shared" si="72"/>
        <v>0</v>
      </c>
      <c r="AX150" s="477">
        <f t="shared" si="73"/>
        <v>0</v>
      </c>
    </row>
    <row r="151" spans="2:50" x14ac:dyDescent="0.2">
      <c r="B151" s="29"/>
      <c r="C151" s="29"/>
      <c r="D151" s="29"/>
      <c r="E151" s="35"/>
      <c r="F151" s="29"/>
      <c r="G151" s="29"/>
      <c r="H151" s="29"/>
      <c r="I151" s="29"/>
      <c r="J151" s="29"/>
      <c r="K151" s="28"/>
      <c r="L151" s="28"/>
      <c r="M151" s="28"/>
      <c r="N151" s="28"/>
      <c r="O151" s="28"/>
      <c r="P151" s="28"/>
      <c r="Q151" s="28"/>
      <c r="AC151" s="28"/>
      <c r="AD151" s="28"/>
      <c r="AE151" s="28"/>
      <c r="AF151" s="31">
        <v>145</v>
      </c>
      <c r="AG151" s="32" t="s">
        <v>1251</v>
      </c>
      <c r="AH151" s="31">
        <v>0</v>
      </c>
      <c r="AI151" s="28"/>
      <c r="AJ151" s="28"/>
      <c r="AK151" s="883"/>
      <c r="AL151" s="487">
        <f t="shared" si="75"/>
        <v>8</v>
      </c>
      <c r="AM151" s="60">
        <f t="shared" si="75"/>
        <v>3</v>
      </c>
      <c r="AN151" s="56">
        <v>6</v>
      </c>
      <c r="AO151" s="880"/>
      <c r="AP151" s="47" t="s">
        <v>63</v>
      </c>
      <c r="AQ151" s="785">
        <v>59.34</v>
      </c>
      <c r="AR151" s="785">
        <v>21.88</v>
      </c>
      <c r="AS151" s="785">
        <v>62.75</v>
      </c>
      <c r="AT151" s="785">
        <v>298.83</v>
      </c>
      <c r="AU151" s="785">
        <v>62.75</v>
      </c>
      <c r="AV151" s="785">
        <v>175.31</v>
      </c>
      <c r="AW151" s="477">
        <f t="shared" si="72"/>
        <v>361.58</v>
      </c>
      <c r="AX151" s="477">
        <f t="shared" si="73"/>
        <v>238.06</v>
      </c>
    </row>
    <row r="152" spans="2:50" x14ac:dyDescent="0.2">
      <c r="B152" s="29"/>
      <c r="C152" s="29"/>
      <c r="D152" s="29"/>
      <c r="E152" s="35"/>
      <c r="F152" s="29"/>
      <c r="G152" s="29"/>
      <c r="H152" s="29"/>
      <c r="I152" s="29"/>
      <c r="J152" s="29"/>
      <c r="K152" s="28"/>
      <c r="L152" s="28"/>
      <c r="M152" s="28"/>
      <c r="N152" s="28"/>
      <c r="O152" s="28"/>
      <c r="P152" s="28"/>
      <c r="Q152" s="28"/>
      <c r="AC152" s="28"/>
      <c r="AD152" s="28"/>
      <c r="AE152" s="28"/>
      <c r="AF152" s="31">
        <v>146</v>
      </c>
      <c r="AG152" s="32" t="s">
        <v>1252</v>
      </c>
      <c r="AH152" s="31">
        <v>0</v>
      </c>
      <c r="AI152" s="28"/>
      <c r="AJ152" s="28"/>
      <c r="AK152" s="883"/>
      <c r="AL152" s="487">
        <f t="shared" si="75"/>
        <v>8</v>
      </c>
      <c r="AM152" s="54">
        <v>4</v>
      </c>
      <c r="AN152" s="52">
        <v>5</v>
      </c>
      <c r="AO152" s="879" t="s">
        <v>168</v>
      </c>
      <c r="AP152" s="47" t="s">
        <v>121</v>
      </c>
      <c r="AQ152" s="53"/>
      <c r="AR152" s="53"/>
      <c r="AS152" s="53"/>
      <c r="AT152" s="53"/>
      <c r="AU152" s="53"/>
      <c r="AV152" s="53"/>
      <c r="AW152" s="477">
        <f t="shared" si="72"/>
        <v>0</v>
      </c>
      <c r="AX152" s="477">
        <f t="shared" si="73"/>
        <v>0</v>
      </c>
    </row>
    <row r="153" spans="2:50" x14ac:dyDescent="0.2">
      <c r="B153" s="29"/>
      <c r="C153" s="29"/>
      <c r="D153" s="29"/>
      <c r="E153" s="35"/>
      <c r="F153" s="29"/>
      <c r="G153" s="29"/>
      <c r="H153" s="29"/>
      <c r="I153" s="29"/>
      <c r="J153" s="29"/>
      <c r="K153" s="28"/>
      <c r="L153" s="28"/>
      <c r="M153" s="28"/>
      <c r="N153" s="28"/>
      <c r="O153" s="28"/>
      <c r="P153" s="28"/>
      <c r="Q153" s="28"/>
      <c r="AC153" s="28"/>
      <c r="AD153" s="28"/>
      <c r="AE153" s="28"/>
      <c r="AF153" s="31">
        <v>147</v>
      </c>
      <c r="AG153" s="32" t="s">
        <v>1253</v>
      </c>
      <c r="AH153" s="31">
        <v>0</v>
      </c>
      <c r="AI153" s="28"/>
      <c r="AJ153" s="28"/>
      <c r="AK153" s="883"/>
      <c r="AL153" s="487">
        <f t="shared" si="75"/>
        <v>8</v>
      </c>
      <c r="AM153" s="60">
        <v>4</v>
      </c>
      <c r="AN153" s="52">
        <v>6</v>
      </c>
      <c r="AO153" s="880"/>
      <c r="AP153" s="47" t="s">
        <v>63</v>
      </c>
      <c r="AQ153" s="53"/>
      <c r="AR153" s="53"/>
      <c r="AS153" s="53"/>
      <c r="AT153" s="53"/>
      <c r="AU153" s="53"/>
      <c r="AV153" s="53"/>
      <c r="AW153" s="477">
        <f t="shared" si="72"/>
        <v>0</v>
      </c>
      <c r="AX153" s="477">
        <f t="shared" si="73"/>
        <v>0</v>
      </c>
    </row>
    <row r="154" spans="2:50" x14ac:dyDescent="0.2">
      <c r="B154" s="29"/>
      <c r="C154" s="29"/>
      <c r="D154" s="29"/>
      <c r="E154" s="35"/>
      <c r="F154" s="29"/>
      <c r="G154" s="29"/>
      <c r="H154" s="29"/>
      <c r="I154" s="29"/>
      <c r="J154" s="29"/>
      <c r="K154" s="28"/>
      <c r="L154" s="28"/>
      <c r="M154" s="28"/>
      <c r="N154" s="28"/>
      <c r="O154" s="28"/>
      <c r="P154" s="28"/>
      <c r="Q154" s="28"/>
      <c r="AC154" s="28"/>
      <c r="AD154" s="28"/>
      <c r="AE154" s="28"/>
      <c r="AF154" s="31">
        <v>148</v>
      </c>
      <c r="AG154" s="32" t="s">
        <v>1254</v>
      </c>
      <c r="AH154" s="31">
        <v>0</v>
      </c>
      <c r="AI154" s="28"/>
      <c r="AJ154" s="28"/>
      <c r="AK154" s="883"/>
      <c r="AL154" s="487">
        <f t="shared" si="75"/>
        <v>8</v>
      </c>
      <c r="AM154" s="54">
        <v>5</v>
      </c>
      <c r="AN154" s="52">
        <v>7</v>
      </c>
      <c r="AO154" s="879" t="s">
        <v>166</v>
      </c>
      <c r="AP154" s="47" t="s">
        <v>64</v>
      </c>
      <c r="AQ154" s="785"/>
      <c r="AR154" s="785"/>
      <c r="AS154" s="785">
        <v>1109.83</v>
      </c>
      <c r="AT154" s="785">
        <v>298.83</v>
      </c>
      <c r="AU154" s="785">
        <v>296</v>
      </c>
      <c r="AV154" s="785">
        <v>175.31</v>
      </c>
      <c r="AW154" s="477">
        <f t="shared" si="72"/>
        <v>1408.6599999999999</v>
      </c>
      <c r="AX154" s="477">
        <f t="shared" si="73"/>
        <v>471.31</v>
      </c>
    </row>
    <row r="155" spans="2:50" x14ac:dyDescent="0.2">
      <c r="B155" s="29"/>
      <c r="C155" s="29"/>
      <c r="D155" s="29"/>
      <c r="E155" s="35"/>
      <c r="F155" s="29"/>
      <c r="G155" s="29"/>
      <c r="H155" s="29"/>
      <c r="I155" s="29"/>
      <c r="J155" s="29"/>
      <c r="K155" s="28"/>
      <c r="L155" s="28"/>
      <c r="M155" s="28"/>
      <c r="N155" s="28"/>
      <c r="O155" s="28"/>
      <c r="P155" s="28"/>
      <c r="Q155" s="28"/>
      <c r="AC155" s="28"/>
      <c r="AD155" s="28"/>
      <c r="AE155" s="28"/>
      <c r="AF155" s="31">
        <v>149</v>
      </c>
      <c r="AG155" s="32" t="s">
        <v>1255</v>
      </c>
      <c r="AH155" s="31">
        <v>0</v>
      </c>
      <c r="AI155" s="28"/>
      <c r="AJ155" s="28"/>
      <c r="AK155" s="883"/>
      <c r="AL155" s="487">
        <f t="shared" si="75"/>
        <v>8</v>
      </c>
      <c r="AM155" s="54">
        <v>5</v>
      </c>
      <c r="AN155" s="52">
        <v>8</v>
      </c>
      <c r="AO155" s="881"/>
      <c r="AP155" s="47" t="s">
        <v>150</v>
      </c>
      <c r="AQ155" s="53"/>
      <c r="AR155" s="53"/>
      <c r="AS155" s="53"/>
      <c r="AT155" s="53"/>
      <c r="AU155" s="53"/>
      <c r="AV155" s="53"/>
      <c r="AW155" s="477">
        <f t="shared" si="72"/>
        <v>0</v>
      </c>
      <c r="AX155" s="477">
        <f t="shared" si="73"/>
        <v>0</v>
      </c>
    </row>
    <row r="156" spans="2:50" x14ac:dyDescent="0.2">
      <c r="B156" s="29"/>
      <c r="C156" s="29"/>
      <c r="D156" s="29"/>
      <c r="E156" s="35"/>
      <c r="F156" s="29"/>
      <c r="G156" s="29"/>
      <c r="H156" s="29"/>
      <c r="I156" s="29"/>
      <c r="J156" s="29"/>
      <c r="K156" s="28"/>
      <c r="L156" s="28"/>
      <c r="M156" s="28"/>
      <c r="N156" s="28"/>
      <c r="O156" s="28"/>
      <c r="P156" s="28"/>
      <c r="Q156" s="28"/>
      <c r="AC156" s="28"/>
      <c r="AD156" s="28"/>
      <c r="AE156" s="28"/>
      <c r="AF156" s="31">
        <v>150</v>
      </c>
      <c r="AG156" s="32" t="s">
        <v>1256</v>
      </c>
      <c r="AH156" s="31">
        <v>0</v>
      </c>
      <c r="AI156" s="28"/>
      <c r="AJ156" s="28"/>
      <c r="AK156" s="883"/>
      <c r="AL156" s="487">
        <f t="shared" si="75"/>
        <v>8</v>
      </c>
      <c r="AM156" s="54">
        <v>5</v>
      </c>
      <c r="AN156" s="52">
        <v>9</v>
      </c>
      <c r="AO156" s="881"/>
      <c r="AP156" s="47" t="s">
        <v>179</v>
      </c>
      <c r="AQ156" s="53"/>
      <c r="AR156" s="53"/>
      <c r="AS156" s="53"/>
      <c r="AT156" s="53"/>
      <c r="AU156" s="53"/>
      <c r="AV156" s="53"/>
      <c r="AW156" s="477">
        <f t="shared" si="72"/>
        <v>0</v>
      </c>
      <c r="AX156" s="477">
        <f t="shared" si="73"/>
        <v>0</v>
      </c>
    </row>
    <row r="157" spans="2:50" x14ac:dyDescent="0.2">
      <c r="B157" s="29"/>
      <c r="C157" s="29"/>
      <c r="D157" s="29"/>
      <c r="E157" s="35"/>
      <c r="F157" s="29"/>
      <c r="G157" s="29"/>
      <c r="H157" s="29"/>
      <c r="I157" s="29"/>
      <c r="J157" s="29"/>
      <c r="K157" s="28"/>
      <c r="L157" s="28"/>
      <c r="M157" s="28"/>
      <c r="N157" s="28"/>
      <c r="O157" s="28"/>
      <c r="P157" s="28"/>
      <c r="Q157" s="28"/>
      <c r="AC157" s="28"/>
      <c r="AD157" s="28"/>
      <c r="AE157" s="28"/>
      <c r="AF157" s="31">
        <v>151</v>
      </c>
      <c r="AG157" s="32" t="s">
        <v>1257</v>
      </c>
      <c r="AH157" s="31">
        <v>0</v>
      </c>
      <c r="AI157" s="28"/>
      <c r="AJ157" s="28"/>
      <c r="AK157" s="883"/>
      <c r="AL157" s="487">
        <f t="shared" si="75"/>
        <v>8</v>
      </c>
      <c r="AM157" s="54">
        <v>5</v>
      </c>
      <c r="AN157" s="52">
        <v>10</v>
      </c>
      <c r="AO157" s="881"/>
      <c r="AP157" s="47" t="s">
        <v>180</v>
      </c>
      <c r="AQ157" s="53"/>
      <c r="AR157" s="53"/>
      <c r="AS157" s="53"/>
      <c r="AT157" s="53"/>
      <c r="AU157" s="53"/>
      <c r="AV157" s="53"/>
      <c r="AW157" s="477">
        <f t="shared" si="72"/>
        <v>0</v>
      </c>
      <c r="AX157" s="477">
        <f t="shared" si="73"/>
        <v>0</v>
      </c>
    </row>
    <row r="158" spans="2:50" x14ac:dyDescent="0.2">
      <c r="B158" s="29"/>
      <c r="C158" s="29"/>
      <c r="D158" s="29"/>
      <c r="E158" s="35"/>
      <c r="F158" s="29"/>
      <c r="G158" s="29"/>
      <c r="H158" s="29"/>
      <c r="I158" s="29"/>
      <c r="J158" s="29"/>
      <c r="K158" s="28"/>
      <c r="L158" s="28"/>
      <c r="M158" s="28"/>
      <c r="N158" s="28"/>
      <c r="O158" s="28"/>
      <c r="P158" s="28"/>
      <c r="Q158" s="28"/>
      <c r="AC158" s="28"/>
      <c r="AD158" s="28"/>
      <c r="AE158" s="28"/>
      <c r="AF158" s="31">
        <v>152</v>
      </c>
      <c r="AG158" s="32" t="s">
        <v>1258</v>
      </c>
      <c r="AH158" s="31">
        <v>0</v>
      </c>
      <c r="AI158" s="28"/>
      <c r="AJ158" s="28"/>
      <c r="AK158" s="883"/>
      <c r="AL158" s="487">
        <f t="shared" si="75"/>
        <v>8</v>
      </c>
      <c r="AM158" s="54">
        <v>5</v>
      </c>
      <c r="AN158" s="52">
        <v>11</v>
      </c>
      <c r="AO158" s="881"/>
      <c r="AP158" s="47" t="s">
        <v>151</v>
      </c>
      <c r="AQ158" s="785"/>
      <c r="AR158" s="785"/>
      <c r="AS158" s="785">
        <v>1094.6500000000001</v>
      </c>
      <c r="AT158" s="785">
        <v>298.83</v>
      </c>
      <c r="AU158" s="785">
        <v>292.95999999999998</v>
      </c>
      <c r="AV158" s="785">
        <v>175.31</v>
      </c>
      <c r="AW158" s="477">
        <f t="shared" si="72"/>
        <v>1393.48</v>
      </c>
      <c r="AX158" s="477">
        <f t="shared" si="73"/>
        <v>468.27</v>
      </c>
    </row>
    <row r="159" spans="2:50" x14ac:dyDescent="0.2">
      <c r="B159" s="29"/>
      <c r="C159" s="29"/>
      <c r="D159" s="29"/>
      <c r="E159" s="35"/>
      <c r="F159" s="29"/>
      <c r="G159" s="29"/>
      <c r="H159" s="29"/>
      <c r="I159" s="29"/>
      <c r="J159" s="29"/>
      <c r="K159" s="28"/>
      <c r="L159" s="28"/>
      <c r="M159" s="28"/>
      <c r="N159" s="28"/>
      <c r="O159" s="28"/>
      <c r="P159" s="28"/>
      <c r="Q159" s="28"/>
      <c r="AC159" s="28"/>
      <c r="AD159" s="28"/>
      <c r="AE159" s="28"/>
      <c r="AF159" s="31">
        <v>153</v>
      </c>
      <c r="AG159" s="32" t="s">
        <v>1259</v>
      </c>
      <c r="AH159" s="31">
        <v>0</v>
      </c>
      <c r="AI159" s="28"/>
      <c r="AJ159" s="28"/>
      <c r="AK159" s="884"/>
      <c r="AL159" s="488">
        <f t="shared" si="75"/>
        <v>8</v>
      </c>
      <c r="AM159" s="60">
        <v>5</v>
      </c>
      <c r="AN159" s="52">
        <v>12</v>
      </c>
      <c r="AO159" s="880"/>
      <c r="AP159" s="47" t="s">
        <v>181</v>
      </c>
      <c r="AQ159" s="53"/>
      <c r="AR159" s="53"/>
      <c r="AS159" s="53"/>
      <c r="AT159" s="53"/>
      <c r="AU159" s="53"/>
      <c r="AV159" s="53"/>
    </row>
    <row r="160" spans="2:50" x14ac:dyDescent="0.2">
      <c r="B160" s="29"/>
      <c r="C160" s="29"/>
      <c r="D160" s="29"/>
      <c r="E160" s="35"/>
      <c r="F160" s="29"/>
      <c r="G160" s="29"/>
      <c r="H160" s="29"/>
      <c r="I160" s="29"/>
      <c r="J160" s="29"/>
      <c r="K160" s="28"/>
      <c r="L160" s="28"/>
      <c r="M160" s="28"/>
      <c r="N160" s="28"/>
      <c r="O160" s="28"/>
      <c r="P160" s="28"/>
      <c r="Q160" s="28"/>
      <c r="AC160" s="28"/>
      <c r="AD160" s="28"/>
      <c r="AE160" s="28"/>
      <c r="AF160" s="31">
        <v>154</v>
      </c>
      <c r="AG160" s="32" t="s">
        <v>1260</v>
      </c>
      <c r="AH160" s="31">
        <v>0</v>
      </c>
      <c r="AI160" s="28"/>
      <c r="AJ160" s="28"/>
      <c r="AK160" s="882">
        <v>2022</v>
      </c>
      <c r="AL160" s="486">
        <v>9</v>
      </c>
      <c r="AM160" s="51">
        <v>2</v>
      </c>
      <c r="AN160" s="52">
        <v>5</v>
      </c>
      <c r="AO160" s="879" t="s">
        <v>153</v>
      </c>
      <c r="AP160" s="47" t="s">
        <v>121</v>
      </c>
      <c r="AQ160" s="53"/>
      <c r="AR160" s="53"/>
      <c r="AS160" s="53"/>
      <c r="AT160" s="53"/>
      <c r="AU160" s="53"/>
      <c r="AV160" s="53"/>
      <c r="AW160" s="477">
        <f t="shared" ref="AW160:AW179" si="76">AS160+AT160</f>
        <v>0</v>
      </c>
      <c r="AX160" s="477">
        <f t="shared" ref="AX160:AX179" si="77">AU160+AV160</f>
        <v>0</v>
      </c>
    </row>
    <row r="161" spans="2:50" x14ac:dyDescent="0.2">
      <c r="B161" s="29"/>
      <c r="C161" s="29"/>
      <c r="D161" s="29"/>
      <c r="E161" s="35"/>
      <c r="F161" s="29"/>
      <c r="G161" s="29"/>
      <c r="H161" s="29"/>
      <c r="I161" s="29"/>
      <c r="J161" s="29"/>
      <c r="K161" s="28"/>
      <c r="L161" s="28"/>
      <c r="M161" s="28"/>
      <c r="N161" s="28"/>
      <c r="O161" s="28"/>
      <c r="P161" s="28"/>
      <c r="Q161" s="28"/>
      <c r="AC161" s="28"/>
      <c r="AD161" s="28"/>
      <c r="AE161" s="28"/>
      <c r="AF161" s="31">
        <v>155</v>
      </c>
      <c r="AG161" s="32" t="s">
        <v>1261</v>
      </c>
      <c r="AH161" s="31">
        <v>0</v>
      </c>
      <c r="AI161" s="28"/>
      <c r="AJ161" s="28"/>
      <c r="AK161" s="883"/>
      <c r="AL161" s="487">
        <f t="shared" ref="AL161:AM167" si="78">AL160</f>
        <v>9</v>
      </c>
      <c r="AM161" s="54">
        <f t="shared" si="78"/>
        <v>2</v>
      </c>
      <c r="AN161" s="52">
        <v>6</v>
      </c>
      <c r="AO161" s="881"/>
      <c r="AP161" s="47" t="s">
        <v>63</v>
      </c>
      <c r="AQ161" s="53"/>
      <c r="AR161" s="53"/>
      <c r="AS161" s="53"/>
      <c r="AT161" s="53"/>
      <c r="AU161" s="53"/>
      <c r="AV161" s="53"/>
      <c r="AW161" s="477">
        <f t="shared" si="76"/>
        <v>0</v>
      </c>
      <c r="AX161" s="477">
        <f t="shared" si="77"/>
        <v>0</v>
      </c>
    </row>
    <row r="162" spans="2:50" x14ac:dyDescent="0.2">
      <c r="B162" s="29"/>
      <c r="C162" s="29"/>
      <c r="D162" s="29"/>
      <c r="E162" s="35"/>
      <c r="F162" s="29"/>
      <c r="G162" s="29"/>
      <c r="H162" s="29"/>
      <c r="I162" s="29"/>
      <c r="J162" s="29"/>
      <c r="K162" s="28"/>
      <c r="L162" s="28"/>
      <c r="M162" s="28"/>
      <c r="N162" s="28"/>
      <c r="O162" s="28"/>
      <c r="P162" s="28"/>
      <c r="Q162" s="28"/>
      <c r="AC162" s="28"/>
      <c r="AD162" s="28"/>
      <c r="AE162" s="28"/>
      <c r="AF162" s="31">
        <v>156</v>
      </c>
      <c r="AG162" s="32" t="s">
        <v>1262</v>
      </c>
      <c r="AH162" s="31">
        <v>0</v>
      </c>
      <c r="AI162" s="28"/>
      <c r="AJ162" s="28"/>
      <c r="AK162" s="883"/>
      <c r="AL162" s="487">
        <f t="shared" si="78"/>
        <v>9</v>
      </c>
      <c r="AM162" s="54">
        <f>AM160</f>
        <v>2</v>
      </c>
      <c r="AN162" s="52">
        <v>7</v>
      </c>
      <c r="AO162" s="881"/>
      <c r="AP162" s="47" t="s">
        <v>64</v>
      </c>
      <c r="AQ162" s="53"/>
      <c r="AR162" s="53"/>
      <c r="AS162" s="53"/>
      <c r="AT162" s="53"/>
      <c r="AU162" s="53"/>
      <c r="AV162" s="53"/>
      <c r="AW162" s="477">
        <f t="shared" si="76"/>
        <v>0</v>
      </c>
      <c r="AX162" s="477">
        <f t="shared" si="77"/>
        <v>0</v>
      </c>
    </row>
    <row r="163" spans="2:50" x14ac:dyDescent="0.2">
      <c r="B163" s="29"/>
      <c r="C163" s="29"/>
      <c r="D163" s="29"/>
      <c r="E163" s="35"/>
      <c r="F163" s="29"/>
      <c r="G163" s="29"/>
      <c r="H163" s="29"/>
      <c r="I163" s="29"/>
      <c r="J163" s="29"/>
      <c r="K163" s="28"/>
      <c r="L163" s="28"/>
      <c r="M163" s="28"/>
      <c r="N163" s="28"/>
      <c r="O163" s="28"/>
      <c r="P163" s="28"/>
      <c r="Q163" s="28"/>
      <c r="AC163" s="28"/>
      <c r="AD163" s="28"/>
      <c r="AE163" s="28"/>
      <c r="AF163" s="31">
        <v>157</v>
      </c>
      <c r="AG163" s="32" t="s">
        <v>1263</v>
      </c>
      <c r="AH163" s="31">
        <v>0</v>
      </c>
      <c r="AI163" s="28"/>
      <c r="AJ163" s="28"/>
      <c r="AK163" s="883"/>
      <c r="AL163" s="487">
        <f t="shared" si="78"/>
        <v>9</v>
      </c>
      <c r="AM163" s="54">
        <f>AM160</f>
        <v>2</v>
      </c>
      <c r="AN163" s="52">
        <v>8</v>
      </c>
      <c r="AO163" s="881"/>
      <c r="AP163" s="47" t="s">
        <v>150</v>
      </c>
      <c r="AQ163" s="53"/>
      <c r="AR163" s="53"/>
      <c r="AS163" s="53"/>
      <c r="AT163" s="53"/>
      <c r="AU163" s="53"/>
      <c r="AV163" s="53"/>
      <c r="AW163" s="477">
        <f t="shared" si="76"/>
        <v>0</v>
      </c>
      <c r="AX163" s="477">
        <f t="shared" si="77"/>
        <v>0</v>
      </c>
    </row>
    <row r="164" spans="2:50" x14ac:dyDescent="0.2">
      <c r="B164" s="29"/>
      <c r="C164" s="29"/>
      <c r="D164" s="29"/>
      <c r="E164" s="35"/>
      <c r="F164" s="29"/>
      <c r="G164" s="29"/>
      <c r="H164" s="29"/>
      <c r="I164" s="29"/>
      <c r="J164" s="29"/>
      <c r="K164" s="28"/>
      <c r="L164" s="28"/>
      <c r="M164" s="28"/>
      <c r="N164" s="28"/>
      <c r="O164" s="28"/>
      <c r="P164" s="28"/>
      <c r="Q164" s="28"/>
      <c r="AC164" s="28"/>
      <c r="AD164" s="28"/>
      <c r="AE164" s="28"/>
      <c r="AF164" s="31">
        <v>158</v>
      </c>
      <c r="AG164" s="32" t="s">
        <v>1264</v>
      </c>
      <c r="AH164" s="31">
        <v>0</v>
      </c>
      <c r="AI164" s="28"/>
      <c r="AJ164" s="28"/>
      <c r="AK164" s="883"/>
      <c r="AL164" s="487">
        <f t="shared" si="78"/>
        <v>9</v>
      </c>
      <c r="AM164" s="54">
        <f>AM160</f>
        <v>2</v>
      </c>
      <c r="AN164" s="52">
        <v>9</v>
      </c>
      <c r="AO164" s="881"/>
      <c r="AP164" s="47" t="s">
        <v>179</v>
      </c>
      <c r="AQ164" s="53"/>
      <c r="AR164" s="53"/>
      <c r="AS164" s="53"/>
      <c r="AT164" s="53"/>
      <c r="AU164" s="53"/>
      <c r="AV164" s="53"/>
      <c r="AW164" s="477">
        <f t="shared" si="76"/>
        <v>0</v>
      </c>
      <c r="AX164" s="477">
        <f t="shared" si="77"/>
        <v>0</v>
      </c>
    </row>
    <row r="165" spans="2:50" x14ac:dyDescent="0.2">
      <c r="B165" s="29"/>
      <c r="C165" s="29"/>
      <c r="D165" s="29"/>
      <c r="E165" s="35"/>
      <c r="F165" s="29"/>
      <c r="G165" s="29"/>
      <c r="H165" s="29"/>
      <c r="I165" s="29"/>
      <c r="J165" s="29"/>
      <c r="K165" s="28"/>
      <c r="L165" s="28"/>
      <c r="M165" s="28"/>
      <c r="N165" s="28"/>
      <c r="O165" s="28"/>
      <c r="P165" s="28"/>
      <c r="Q165" s="28"/>
      <c r="AC165" s="28"/>
      <c r="AD165" s="28"/>
      <c r="AE165" s="28"/>
      <c r="AF165" s="31">
        <v>159</v>
      </c>
      <c r="AG165" s="32" t="s">
        <v>1265</v>
      </c>
      <c r="AH165" s="31">
        <v>0</v>
      </c>
      <c r="AI165" s="28"/>
      <c r="AJ165" s="28"/>
      <c r="AK165" s="883"/>
      <c r="AL165" s="487">
        <f t="shared" si="78"/>
        <v>9</v>
      </c>
      <c r="AM165" s="54">
        <f>AM161</f>
        <v>2</v>
      </c>
      <c r="AN165" s="56">
        <v>10</v>
      </c>
      <c r="AO165" s="881"/>
      <c r="AP165" s="47" t="s">
        <v>180</v>
      </c>
      <c r="AQ165" s="53"/>
      <c r="AR165" s="53"/>
      <c r="AS165" s="53"/>
      <c r="AT165" s="53"/>
      <c r="AU165" s="53"/>
      <c r="AV165" s="53"/>
      <c r="AW165" s="477">
        <f t="shared" si="76"/>
        <v>0</v>
      </c>
      <c r="AX165" s="477">
        <f t="shared" si="77"/>
        <v>0</v>
      </c>
    </row>
    <row r="166" spans="2:50" x14ac:dyDescent="0.2">
      <c r="B166" s="29"/>
      <c r="C166" s="29"/>
      <c r="D166" s="29"/>
      <c r="E166" s="35"/>
      <c r="F166" s="29"/>
      <c r="G166" s="29"/>
      <c r="H166" s="29"/>
      <c r="I166" s="29"/>
      <c r="J166" s="29"/>
      <c r="K166" s="28"/>
      <c r="L166" s="28"/>
      <c r="M166" s="28"/>
      <c r="N166" s="28"/>
      <c r="O166" s="28"/>
      <c r="P166" s="28"/>
      <c r="Q166" s="28"/>
      <c r="AC166" s="28"/>
      <c r="AD166" s="28"/>
      <c r="AE166" s="28"/>
      <c r="AF166" s="31">
        <v>160</v>
      </c>
      <c r="AG166" s="32" t="s">
        <v>1266</v>
      </c>
      <c r="AH166" s="31">
        <v>0</v>
      </c>
      <c r="AI166" s="28"/>
      <c r="AJ166" s="28"/>
      <c r="AK166" s="883"/>
      <c r="AL166" s="487">
        <f t="shared" si="78"/>
        <v>9</v>
      </c>
      <c r="AM166" s="54">
        <f>AM162</f>
        <v>2</v>
      </c>
      <c r="AN166" s="56">
        <v>11</v>
      </c>
      <c r="AO166" s="881"/>
      <c r="AP166" s="47" t="s">
        <v>151</v>
      </c>
      <c r="AQ166" s="53"/>
      <c r="AR166" s="53"/>
      <c r="AS166" s="53"/>
      <c r="AT166" s="53"/>
      <c r="AU166" s="53"/>
      <c r="AV166" s="53"/>
      <c r="AW166" s="477">
        <f t="shared" si="76"/>
        <v>0</v>
      </c>
      <c r="AX166" s="477">
        <f t="shared" si="77"/>
        <v>0</v>
      </c>
    </row>
    <row r="167" spans="2:50" x14ac:dyDescent="0.2">
      <c r="B167" s="29"/>
      <c r="C167" s="29"/>
      <c r="D167" s="29"/>
      <c r="E167" s="35"/>
      <c r="F167" s="29"/>
      <c r="G167" s="29"/>
      <c r="H167" s="29"/>
      <c r="I167" s="29"/>
      <c r="J167" s="29"/>
      <c r="K167" s="28"/>
      <c r="L167" s="28"/>
      <c r="M167" s="28"/>
      <c r="N167" s="28"/>
      <c r="O167" s="28"/>
      <c r="P167" s="28"/>
      <c r="Q167" s="28"/>
      <c r="AC167" s="28"/>
      <c r="AD167" s="28"/>
      <c r="AE167" s="28"/>
      <c r="AF167" s="31">
        <v>161</v>
      </c>
      <c r="AG167" s="32" t="s">
        <v>1267</v>
      </c>
      <c r="AH167" s="31">
        <v>0</v>
      </c>
      <c r="AI167" s="28"/>
      <c r="AJ167" s="28"/>
      <c r="AK167" s="883"/>
      <c r="AL167" s="487">
        <f t="shared" si="78"/>
        <v>9</v>
      </c>
      <c r="AM167" s="54">
        <f>AM163</f>
        <v>2</v>
      </c>
      <c r="AN167" s="56">
        <v>12</v>
      </c>
      <c r="AO167" s="880"/>
      <c r="AP167" s="47" t="s">
        <v>181</v>
      </c>
      <c r="AQ167" s="53"/>
      <c r="AR167" s="53"/>
      <c r="AS167" s="53"/>
      <c r="AT167" s="53"/>
      <c r="AU167" s="53"/>
      <c r="AV167" s="53"/>
      <c r="AW167" s="477">
        <f t="shared" si="76"/>
        <v>0</v>
      </c>
      <c r="AX167" s="477">
        <f t="shared" si="77"/>
        <v>0</v>
      </c>
    </row>
    <row r="168" spans="2:50" x14ac:dyDescent="0.2">
      <c r="B168" s="29"/>
      <c r="C168" s="29"/>
      <c r="D168" s="29"/>
      <c r="E168" s="35"/>
      <c r="F168" s="29"/>
      <c r="G168" s="29"/>
      <c r="H168" s="29"/>
      <c r="I168" s="29"/>
      <c r="J168" s="29"/>
      <c r="K168" s="28"/>
      <c r="L168" s="28"/>
      <c r="M168" s="28"/>
      <c r="N168" s="28"/>
      <c r="O168" s="28"/>
      <c r="P168" s="28"/>
      <c r="Q168" s="28"/>
      <c r="AC168" s="28"/>
      <c r="AD168" s="28"/>
      <c r="AE168" s="28"/>
      <c r="AF168" s="31">
        <v>162</v>
      </c>
      <c r="AG168" s="32" t="s">
        <v>1268</v>
      </c>
      <c r="AH168" s="31">
        <v>0</v>
      </c>
      <c r="AI168" s="28"/>
      <c r="AJ168" s="28"/>
      <c r="AK168" s="883"/>
      <c r="AL168" s="487">
        <f>AL164</f>
        <v>9</v>
      </c>
      <c r="AM168" s="51">
        <v>3</v>
      </c>
      <c r="AN168" s="56">
        <v>2</v>
      </c>
      <c r="AO168" s="879" t="s">
        <v>167</v>
      </c>
      <c r="AP168" s="47" t="s">
        <v>162</v>
      </c>
      <c r="AQ168" s="53"/>
      <c r="AR168" s="53"/>
      <c r="AS168" s="53"/>
      <c r="AT168" s="53"/>
      <c r="AU168" s="53"/>
      <c r="AV168" s="53"/>
      <c r="AW168" s="477">
        <f t="shared" si="76"/>
        <v>0</v>
      </c>
      <c r="AX168" s="477">
        <f t="shared" si="77"/>
        <v>0</v>
      </c>
    </row>
    <row r="169" spans="2:50" x14ac:dyDescent="0.2">
      <c r="B169" s="29"/>
      <c r="C169" s="29"/>
      <c r="D169" s="29"/>
      <c r="E169" s="35"/>
      <c r="F169" s="29"/>
      <c r="G169" s="29"/>
      <c r="H169" s="29"/>
      <c r="I169" s="29"/>
      <c r="J169" s="29"/>
      <c r="K169" s="28"/>
      <c r="L169" s="28"/>
      <c r="M169" s="28"/>
      <c r="N169" s="28"/>
      <c r="O169" s="28"/>
      <c r="P169" s="28"/>
      <c r="Q169" s="28"/>
      <c r="AC169" s="28"/>
      <c r="AD169" s="28"/>
      <c r="AE169" s="28"/>
      <c r="AF169" s="31">
        <v>163</v>
      </c>
      <c r="AG169" s="32" t="s">
        <v>1269</v>
      </c>
      <c r="AH169" s="31">
        <v>0</v>
      </c>
      <c r="AI169" s="28"/>
      <c r="AJ169" s="28"/>
      <c r="AK169" s="883"/>
      <c r="AL169" s="487">
        <f>AL164</f>
        <v>9</v>
      </c>
      <c r="AM169" s="54">
        <f>AM168</f>
        <v>3</v>
      </c>
      <c r="AN169" s="56">
        <v>3</v>
      </c>
      <c r="AO169" s="881"/>
      <c r="AP169" s="47" t="s">
        <v>123</v>
      </c>
      <c r="AQ169" s="53"/>
      <c r="AR169" s="53"/>
      <c r="AS169" s="53"/>
      <c r="AT169" s="53"/>
      <c r="AU169" s="53"/>
      <c r="AV169" s="53"/>
      <c r="AW169" s="477">
        <f t="shared" si="76"/>
        <v>0</v>
      </c>
      <c r="AX169" s="477">
        <f t="shared" si="77"/>
        <v>0</v>
      </c>
    </row>
    <row r="170" spans="2:50" x14ac:dyDescent="0.2">
      <c r="B170" s="29"/>
      <c r="C170" s="29"/>
      <c r="D170" s="29"/>
      <c r="E170" s="35"/>
      <c r="F170" s="29"/>
      <c r="G170" s="29"/>
      <c r="H170" s="29"/>
      <c r="I170" s="29"/>
      <c r="J170" s="29"/>
      <c r="K170" s="28"/>
      <c r="L170" s="28"/>
      <c r="M170" s="28"/>
      <c r="N170" s="28"/>
      <c r="O170" s="28"/>
      <c r="P170" s="28"/>
      <c r="Q170" s="28"/>
      <c r="AC170" s="28"/>
      <c r="AD170" s="28"/>
      <c r="AE170" s="28"/>
      <c r="AF170" s="31">
        <v>164</v>
      </c>
      <c r="AG170" s="32" t="s">
        <v>1270</v>
      </c>
      <c r="AH170" s="31">
        <v>0</v>
      </c>
      <c r="AI170" s="28"/>
      <c r="AJ170" s="28"/>
      <c r="AK170" s="883"/>
      <c r="AL170" s="487">
        <f t="shared" ref="AL170:AM180" si="79">AL169</f>
        <v>9</v>
      </c>
      <c r="AM170" s="54">
        <f>AM168</f>
        <v>3</v>
      </c>
      <c r="AN170" s="56">
        <v>4</v>
      </c>
      <c r="AO170" s="881"/>
      <c r="AP170" s="47" t="s">
        <v>122</v>
      </c>
      <c r="AQ170" s="53"/>
      <c r="AR170" s="53"/>
      <c r="AS170" s="53"/>
      <c r="AT170" s="53"/>
      <c r="AU170" s="53"/>
      <c r="AV170" s="53"/>
      <c r="AW170" s="477">
        <f t="shared" si="76"/>
        <v>0</v>
      </c>
      <c r="AX170" s="477">
        <f t="shared" si="77"/>
        <v>0</v>
      </c>
    </row>
    <row r="171" spans="2:50" x14ac:dyDescent="0.2">
      <c r="B171" s="29"/>
      <c r="C171" s="29"/>
      <c r="D171" s="29"/>
      <c r="E171" s="35"/>
      <c r="F171" s="29"/>
      <c r="G171" s="29"/>
      <c r="H171" s="29"/>
      <c r="I171" s="29"/>
      <c r="J171" s="29"/>
      <c r="K171" s="28"/>
      <c r="L171" s="28"/>
      <c r="M171" s="28"/>
      <c r="N171" s="28"/>
      <c r="O171" s="28"/>
      <c r="P171" s="28"/>
      <c r="Q171" s="28"/>
      <c r="AC171" s="28"/>
      <c r="AD171" s="28"/>
      <c r="AE171" s="28"/>
      <c r="AF171" s="31">
        <v>165</v>
      </c>
      <c r="AG171" s="32" t="s">
        <v>1271</v>
      </c>
      <c r="AH171" s="31">
        <v>0</v>
      </c>
      <c r="AI171" s="28"/>
      <c r="AJ171" s="28"/>
      <c r="AK171" s="883"/>
      <c r="AL171" s="487">
        <f t="shared" si="79"/>
        <v>9</v>
      </c>
      <c r="AM171" s="54">
        <f t="shared" si="79"/>
        <v>3</v>
      </c>
      <c r="AN171" s="56">
        <v>5</v>
      </c>
      <c r="AO171" s="881"/>
      <c r="AP171" s="47" t="s">
        <v>121</v>
      </c>
      <c r="AQ171" s="53"/>
      <c r="AR171" s="53"/>
      <c r="AS171" s="53"/>
      <c r="AT171" s="53"/>
      <c r="AU171" s="53"/>
      <c r="AV171" s="53"/>
      <c r="AW171" s="477">
        <f t="shared" si="76"/>
        <v>0</v>
      </c>
      <c r="AX171" s="477">
        <f t="shared" si="77"/>
        <v>0</v>
      </c>
    </row>
    <row r="172" spans="2:50" x14ac:dyDescent="0.2">
      <c r="B172" s="29"/>
      <c r="C172" s="29"/>
      <c r="D172" s="29"/>
      <c r="E172" s="35"/>
      <c r="F172" s="29"/>
      <c r="G172" s="29"/>
      <c r="H172" s="29"/>
      <c r="I172" s="29"/>
      <c r="J172" s="29"/>
      <c r="K172" s="28"/>
      <c r="L172" s="28"/>
      <c r="M172" s="28"/>
      <c r="N172" s="28"/>
      <c r="O172" s="28"/>
      <c r="P172" s="28"/>
      <c r="Q172" s="28"/>
      <c r="AC172" s="28"/>
      <c r="AD172" s="28"/>
      <c r="AE172" s="28"/>
      <c r="AF172" s="31">
        <v>166</v>
      </c>
      <c r="AG172" s="32" t="s">
        <v>1272</v>
      </c>
      <c r="AH172" s="31">
        <v>0</v>
      </c>
      <c r="AI172" s="28"/>
      <c r="AJ172" s="28"/>
      <c r="AK172" s="883"/>
      <c r="AL172" s="487">
        <f t="shared" si="79"/>
        <v>9</v>
      </c>
      <c r="AM172" s="60">
        <f t="shared" si="79"/>
        <v>3</v>
      </c>
      <c r="AN172" s="56">
        <v>6</v>
      </c>
      <c r="AO172" s="880"/>
      <c r="AP172" s="792" t="s">
        <v>63</v>
      </c>
      <c r="AQ172" s="793">
        <v>66.69</v>
      </c>
      <c r="AR172" s="793">
        <v>24.16</v>
      </c>
      <c r="AS172" s="793">
        <v>79.13</v>
      </c>
      <c r="AT172" s="793">
        <v>339.56</v>
      </c>
      <c r="AU172" s="793">
        <v>79.13</v>
      </c>
      <c r="AV172" s="793">
        <v>212.09</v>
      </c>
      <c r="AW172" s="477">
        <f t="shared" si="76"/>
        <v>418.69</v>
      </c>
      <c r="AX172" s="477">
        <f t="shared" si="77"/>
        <v>291.22000000000003</v>
      </c>
    </row>
    <row r="173" spans="2:50" x14ac:dyDescent="0.2">
      <c r="B173" s="29"/>
      <c r="C173" s="29"/>
      <c r="D173" s="29"/>
      <c r="E173" s="35"/>
      <c r="F173" s="29"/>
      <c r="G173" s="29"/>
      <c r="H173" s="29"/>
      <c r="I173" s="29"/>
      <c r="J173" s="29"/>
      <c r="K173" s="28"/>
      <c r="L173" s="28"/>
      <c r="M173" s="28"/>
      <c r="N173" s="28"/>
      <c r="O173" s="28"/>
      <c r="P173" s="28"/>
      <c r="Q173" s="28"/>
      <c r="AC173" s="28"/>
      <c r="AD173" s="28"/>
      <c r="AE173" s="28"/>
      <c r="AF173" s="31">
        <v>167</v>
      </c>
      <c r="AG173" s="32" t="s">
        <v>1273</v>
      </c>
      <c r="AH173" s="31">
        <v>0</v>
      </c>
      <c r="AI173" s="28"/>
      <c r="AJ173" s="28"/>
      <c r="AK173" s="883"/>
      <c r="AL173" s="487">
        <f t="shared" si="79"/>
        <v>9</v>
      </c>
      <c r="AM173" s="54">
        <v>4</v>
      </c>
      <c r="AN173" s="52">
        <v>5</v>
      </c>
      <c r="AO173" s="879" t="s">
        <v>168</v>
      </c>
      <c r="AP173" s="47" t="s">
        <v>121</v>
      </c>
      <c r="AQ173" s="53"/>
      <c r="AR173" s="53"/>
      <c r="AS173" s="53"/>
      <c r="AT173" s="53"/>
      <c r="AU173" s="53"/>
      <c r="AV173" s="53"/>
      <c r="AW173" s="477">
        <f t="shared" si="76"/>
        <v>0</v>
      </c>
      <c r="AX173" s="477">
        <f t="shared" si="77"/>
        <v>0</v>
      </c>
    </row>
    <row r="174" spans="2:50" x14ac:dyDescent="0.2">
      <c r="B174" s="29"/>
      <c r="C174" s="29"/>
      <c r="D174" s="29"/>
      <c r="E174" s="35"/>
      <c r="F174" s="29"/>
      <c r="G174" s="29"/>
      <c r="H174" s="29"/>
      <c r="I174" s="29"/>
      <c r="J174" s="29"/>
      <c r="K174" s="28"/>
      <c r="L174" s="28"/>
      <c r="M174" s="28"/>
      <c r="N174" s="28"/>
      <c r="O174" s="28"/>
      <c r="P174" s="28"/>
      <c r="Q174" s="28"/>
      <c r="AC174" s="28"/>
      <c r="AD174" s="28"/>
      <c r="AE174" s="28"/>
      <c r="AF174" s="31">
        <v>168</v>
      </c>
      <c r="AG174" s="32" t="s">
        <v>1274</v>
      </c>
      <c r="AH174" s="31">
        <v>0</v>
      </c>
      <c r="AI174" s="28"/>
      <c r="AJ174" s="28"/>
      <c r="AK174" s="883"/>
      <c r="AL174" s="487">
        <f t="shared" si="79"/>
        <v>9</v>
      </c>
      <c r="AM174" s="60">
        <v>4</v>
      </c>
      <c r="AN174" s="52">
        <v>6</v>
      </c>
      <c r="AO174" s="880"/>
      <c r="AP174" s="47" t="s">
        <v>63</v>
      </c>
      <c r="AQ174" s="53"/>
      <c r="AR174" s="53"/>
      <c r="AS174" s="53"/>
      <c r="AT174" s="53"/>
      <c r="AU174" s="53"/>
      <c r="AV174" s="53"/>
      <c r="AW174" s="477">
        <f t="shared" si="76"/>
        <v>0</v>
      </c>
      <c r="AX174" s="477">
        <f t="shared" si="77"/>
        <v>0</v>
      </c>
    </row>
    <row r="175" spans="2:50" x14ac:dyDescent="0.2">
      <c r="B175" s="29"/>
      <c r="C175" s="29"/>
      <c r="D175" s="29"/>
      <c r="E175" s="35"/>
      <c r="F175" s="29"/>
      <c r="G175" s="29"/>
      <c r="H175" s="29"/>
      <c r="I175" s="29"/>
      <c r="J175" s="29"/>
      <c r="K175" s="28"/>
      <c r="L175" s="28"/>
      <c r="M175" s="28"/>
      <c r="N175" s="28"/>
      <c r="O175" s="28"/>
      <c r="P175" s="28"/>
      <c r="Q175" s="28"/>
      <c r="AC175" s="28"/>
      <c r="AD175" s="28"/>
      <c r="AE175" s="28"/>
      <c r="AF175" s="31">
        <v>169</v>
      </c>
      <c r="AG175" s="32" t="s">
        <v>1275</v>
      </c>
      <c r="AH175" s="31">
        <v>0</v>
      </c>
      <c r="AI175" s="28"/>
      <c r="AJ175" s="28"/>
      <c r="AK175" s="883"/>
      <c r="AL175" s="487">
        <f t="shared" si="79"/>
        <v>9</v>
      </c>
      <c r="AM175" s="54">
        <v>5</v>
      </c>
      <c r="AN175" s="52">
        <v>7</v>
      </c>
      <c r="AO175" s="879" t="s">
        <v>166</v>
      </c>
      <c r="AP175" s="792" t="s">
        <v>64</v>
      </c>
      <c r="AQ175" s="793">
        <v>0</v>
      </c>
      <c r="AR175" s="793">
        <v>0</v>
      </c>
      <c r="AS175" s="793">
        <v>1101.4000000000001</v>
      </c>
      <c r="AT175" s="793">
        <v>339.56</v>
      </c>
      <c r="AU175" s="793">
        <v>307.58</v>
      </c>
      <c r="AV175" s="793">
        <v>212.09</v>
      </c>
      <c r="AW175" s="477">
        <f t="shared" si="76"/>
        <v>1440.96</v>
      </c>
      <c r="AX175" s="477">
        <f t="shared" si="77"/>
        <v>519.66999999999996</v>
      </c>
    </row>
    <row r="176" spans="2:50" x14ac:dyDescent="0.2">
      <c r="B176" s="29"/>
      <c r="C176" s="29"/>
      <c r="D176" s="29"/>
      <c r="E176" s="35"/>
      <c r="F176" s="29"/>
      <c r="G176" s="29"/>
      <c r="H176" s="29"/>
      <c r="I176" s="29"/>
      <c r="J176" s="29"/>
      <c r="K176" s="28"/>
      <c r="L176" s="28"/>
      <c r="M176" s="28"/>
      <c r="N176" s="28"/>
      <c r="O176" s="28"/>
      <c r="P176" s="28"/>
      <c r="Q176" s="28"/>
      <c r="AC176" s="28"/>
      <c r="AD176" s="28"/>
      <c r="AE176" s="28"/>
      <c r="AF176" s="31">
        <v>170</v>
      </c>
      <c r="AG176" s="32" t="s">
        <v>1276</v>
      </c>
      <c r="AH176" s="31">
        <v>0</v>
      </c>
      <c r="AI176" s="28"/>
      <c r="AJ176" s="28"/>
      <c r="AK176" s="883"/>
      <c r="AL176" s="487">
        <f t="shared" si="79"/>
        <v>9</v>
      </c>
      <c r="AM176" s="54">
        <v>5</v>
      </c>
      <c r="AN176" s="52">
        <v>8</v>
      </c>
      <c r="AO176" s="881"/>
      <c r="AP176" s="47" t="s">
        <v>150</v>
      </c>
      <c r="AQ176" s="53"/>
      <c r="AR176" s="53"/>
      <c r="AS176" s="53"/>
      <c r="AT176" s="53"/>
      <c r="AU176" s="53"/>
      <c r="AV176" s="53"/>
      <c r="AW176" s="477">
        <f t="shared" si="76"/>
        <v>0</v>
      </c>
      <c r="AX176" s="477">
        <f t="shared" si="77"/>
        <v>0</v>
      </c>
    </row>
    <row r="177" spans="2:50" x14ac:dyDescent="0.2">
      <c r="B177" s="29"/>
      <c r="C177" s="29"/>
      <c r="D177" s="29"/>
      <c r="E177" s="35"/>
      <c r="F177" s="29"/>
      <c r="G177" s="29"/>
      <c r="H177" s="29"/>
      <c r="I177" s="29"/>
      <c r="J177" s="29"/>
      <c r="K177" s="28"/>
      <c r="L177" s="28"/>
      <c r="M177" s="28"/>
      <c r="N177" s="28"/>
      <c r="O177" s="28"/>
      <c r="P177" s="28"/>
      <c r="Q177" s="28"/>
      <c r="AC177" s="28"/>
      <c r="AD177" s="28"/>
      <c r="AE177" s="28"/>
      <c r="AF177" s="31">
        <v>171</v>
      </c>
      <c r="AG177" s="32" t="s">
        <v>1277</v>
      </c>
      <c r="AH177" s="31">
        <v>0</v>
      </c>
      <c r="AI177" s="28"/>
      <c r="AJ177" s="28"/>
      <c r="AK177" s="883"/>
      <c r="AL177" s="487">
        <f t="shared" si="79"/>
        <v>9</v>
      </c>
      <c r="AM177" s="54">
        <v>5</v>
      </c>
      <c r="AN177" s="52">
        <v>9</v>
      </c>
      <c r="AO177" s="881"/>
      <c r="AP177" s="47" t="s">
        <v>179</v>
      </c>
      <c r="AQ177" s="53"/>
      <c r="AR177" s="53"/>
      <c r="AS177" s="53"/>
      <c r="AT177" s="53"/>
      <c r="AU177" s="53"/>
      <c r="AV177" s="53"/>
      <c r="AW177" s="477">
        <f t="shared" si="76"/>
        <v>0</v>
      </c>
      <c r="AX177" s="477">
        <f t="shared" si="77"/>
        <v>0</v>
      </c>
    </row>
    <row r="178" spans="2:50" x14ac:dyDescent="0.2">
      <c r="B178" s="29"/>
      <c r="C178" s="29"/>
      <c r="D178" s="29"/>
      <c r="E178" s="35"/>
      <c r="F178" s="29"/>
      <c r="G178" s="29"/>
      <c r="H178" s="29"/>
      <c r="I178" s="29"/>
      <c r="J178" s="29"/>
      <c r="K178" s="28"/>
      <c r="L178" s="28"/>
      <c r="M178" s="28"/>
      <c r="N178" s="28"/>
      <c r="O178" s="28"/>
      <c r="P178" s="28"/>
      <c r="Q178" s="28"/>
      <c r="AC178" s="28"/>
      <c r="AD178" s="28"/>
      <c r="AE178" s="28"/>
      <c r="AF178" s="31">
        <v>172</v>
      </c>
      <c r="AG178" s="32" t="s">
        <v>1278</v>
      </c>
      <c r="AH178" s="31">
        <v>0</v>
      </c>
      <c r="AI178" s="28"/>
      <c r="AJ178" s="28"/>
      <c r="AK178" s="883"/>
      <c r="AL178" s="487">
        <f t="shared" si="79"/>
        <v>9</v>
      </c>
      <c r="AM178" s="54">
        <v>5</v>
      </c>
      <c r="AN178" s="52">
        <v>10</v>
      </c>
      <c r="AO178" s="881"/>
      <c r="AP178" s="47" t="s">
        <v>180</v>
      </c>
      <c r="AQ178" s="53"/>
      <c r="AR178" s="53"/>
      <c r="AS178" s="53"/>
      <c r="AT178" s="53"/>
      <c r="AU178" s="53"/>
      <c r="AV178" s="53"/>
      <c r="AW178" s="477">
        <f t="shared" si="76"/>
        <v>0</v>
      </c>
      <c r="AX178" s="477">
        <f t="shared" si="77"/>
        <v>0</v>
      </c>
    </row>
    <row r="179" spans="2:50" x14ac:dyDescent="0.2">
      <c r="B179" s="29"/>
      <c r="C179" s="29"/>
      <c r="D179" s="29"/>
      <c r="E179" s="35"/>
      <c r="F179" s="29"/>
      <c r="G179" s="29"/>
      <c r="H179" s="29"/>
      <c r="I179" s="29"/>
      <c r="J179" s="29"/>
      <c r="K179" s="28"/>
      <c r="L179" s="28"/>
      <c r="M179" s="28"/>
      <c r="N179" s="28"/>
      <c r="O179" s="28"/>
      <c r="P179" s="28"/>
      <c r="Q179" s="28"/>
      <c r="AC179" s="28"/>
      <c r="AD179" s="28"/>
      <c r="AE179" s="28"/>
      <c r="AF179" s="31">
        <v>173</v>
      </c>
      <c r="AG179" s="32" t="s">
        <v>1279</v>
      </c>
      <c r="AH179" s="31">
        <v>0</v>
      </c>
      <c r="AI179" s="28"/>
      <c r="AJ179" s="28"/>
      <c r="AK179" s="883"/>
      <c r="AL179" s="487">
        <f t="shared" si="79"/>
        <v>9</v>
      </c>
      <c r="AM179" s="54">
        <v>5</v>
      </c>
      <c r="AN179" s="52">
        <v>11</v>
      </c>
      <c r="AO179" s="881"/>
      <c r="AP179" s="792" t="s">
        <v>151</v>
      </c>
      <c r="AQ179" s="793">
        <v>0</v>
      </c>
      <c r="AR179" s="793">
        <v>0</v>
      </c>
      <c r="AS179" s="793">
        <v>1086.5899999999999</v>
      </c>
      <c r="AT179" s="793">
        <v>339.56</v>
      </c>
      <c r="AU179" s="793">
        <v>304.62</v>
      </c>
      <c r="AV179" s="793">
        <v>212.09</v>
      </c>
      <c r="AW179" s="477">
        <f t="shared" si="76"/>
        <v>1426.1499999999999</v>
      </c>
      <c r="AX179" s="477">
        <f t="shared" si="77"/>
        <v>516.71</v>
      </c>
    </row>
    <row r="180" spans="2:50" x14ac:dyDescent="0.2">
      <c r="B180" s="29"/>
      <c r="C180" s="29"/>
      <c r="D180" s="29"/>
      <c r="E180" s="35"/>
      <c r="F180" s="29"/>
      <c r="G180" s="29"/>
      <c r="H180" s="29"/>
      <c r="I180" s="29"/>
      <c r="J180" s="29"/>
      <c r="K180" s="28"/>
      <c r="L180" s="28"/>
      <c r="M180" s="28"/>
      <c r="N180" s="28"/>
      <c r="O180" s="28"/>
      <c r="P180" s="28"/>
      <c r="Q180" s="28"/>
      <c r="AC180" s="28"/>
      <c r="AD180" s="28"/>
      <c r="AE180" s="28"/>
      <c r="AF180" s="31">
        <v>174</v>
      </c>
      <c r="AG180" s="32" t="s">
        <v>1280</v>
      </c>
      <c r="AH180" s="31">
        <v>0</v>
      </c>
      <c r="AI180" s="28"/>
      <c r="AJ180" s="28"/>
      <c r="AK180" s="884"/>
      <c r="AL180" s="488">
        <f t="shared" si="79"/>
        <v>9</v>
      </c>
      <c r="AM180" s="60">
        <v>5</v>
      </c>
      <c r="AN180" s="52">
        <v>12</v>
      </c>
      <c r="AO180" s="880"/>
      <c r="AP180" s="47" t="s">
        <v>181</v>
      </c>
      <c r="AQ180" s="53"/>
      <c r="AR180" s="53"/>
      <c r="AS180" s="53">
        <f>AS179</f>
        <v>1086.5899999999999</v>
      </c>
      <c r="AT180" s="53">
        <f>AT179</f>
        <v>339.56</v>
      </c>
      <c r="AU180" s="53">
        <f>AU179</f>
        <v>304.62</v>
      </c>
      <c r="AV180" s="53">
        <f>AV179</f>
        <v>212.09</v>
      </c>
    </row>
    <row r="181" spans="2:50" x14ac:dyDescent="0.2">
      <c r="B181" s="29"/>
      <c r="C181" s="29"/>
      <c r="D181" s="29"/>
      <c r="E181" s="35"/>
      <c r="F181" s="29"/>
      <c r="G181" s="29"/>
      <c r="H181" s="29"/>
      <c r="I181" s="29"/>
      <c r="J181" s="29"/>
      <c r="K181" s="28"/>
      <c r="L181" s="28"/>
      <c r="M181" s="28"/>
      <c r="N181" s="28"/>
      <c r="O181" s="28"/>
      <c r="P181" s="28"/>
      <c r="Q181" s="28"/>
      <c r="AC181" s="28"/>
      <c r="AD181" s="28"/>
      <c r="AE181" s="28"/>
      <c r="AF181" s="31">
        <v>175</v>
      </c>
      <c r="AG181" s="32" t="s">
        <v>1281</v>
      </c>
      <c r="AH181" s="31">
        <v>0</v>
      </c>
      <c r="AI181" s="28"/>
      <c r="AJ181" s="28"/>
      <c r="AK181" s="882">
        <v>2023</v>
      </c>
      <c r="AL181" s="486">
        <v>10</v>
      </c>
      <c r="AM181" s="51">
        <v>2</v>
      </c>
      <c r="AN181" s="52">
        <v>5</v>
      </c>
      <c r="AO181" s="879" t="s">
        <v>153</v>
      </c>
      <c r="AP181" s="47" t="s">
        <v>121</v>
      </c>
      <c r="AQ181" s="53"/>
      <c r="AR181" s="53"/>
      <c r="AS181" s="53"/>
      <c r="AT181" s="53"/>
      <c r="AU181" s="53"/>
      <c r="AV181" s="53"/>
      <c r="AW181" s="477">
        <f t="shared" ref="AW181:AW200" si="80">AS181+AT181</f>
        <v>0</v>
      </c>
      <c r="AX181" s="477">
        <f t="shared" ref="AX181:AX200" si="81">AU181+AV181</f>
        <v>0</v>
      </c>
    </row>
    <row r="182" spans="2:50" x14ac:dyDescent="0.2">
      <c r="B182" s="29"/>
      <c r="C182" s="29"/>
      <c r="D182" s="29"/>
      <c r="E182" s="35"/>
      <c r="F182" s="29"/>
      <c r="G182" s="29"/>
      <c r="H182" s="29"/>
      <c r="I182" s="29"/>
      <c r="J182" s="29"/>
      <c r="K182" s="28"/>
      <c r="L182" s="28"/>
      <c r="M182" s="28"/>
      <c r="N182" s="28"/>
      <c r="O182" s="28"/>
      <c r="P182" s="28"/>
      <c r="Q182" s="28"/>
      <c r="AC182" s="28"/>
      <c r="AD182" s="28"/>
      <c r="AE182" s="28"/>
      <c r="AF182" s="31">
        <v>176</v>
      </c>
      <c r="AG182" s="32" t="s">
        <v>1282</v>
      </c>
      <c r="AH182" s="31">
        <v>0</v>
      </c>
      <c r="AI182" s="28"/>
      <c r="AJ182" s="28"/>
      <c r="AK182" s="883"/>
      <c r="AL182" s="487">
        <f t="shared" ref="AL182:AM188" si="82">AL181</f>
        <v>10</v>
      </c>
      <c r="AM182" s="54">
        <f t="shared" si="82"/>
        <v>2</v>
      </c>
      <c r="AN182" s="52">
        <v>6</v>
      </c>
      <c r="AO182" s="881"/>
      <c r="AP182" s="47" t="s">
        <v>63</v>
      </c>
      <c r="AQ182" s="53"/>
      <c r="AR182" s="53"/>
      <c r="AS182" s="53"/>
      <c r="AT182" s="53"/>
      <c r="AU182" s="53"/>
      <c r="AV182" s="53"/>
      <c r="AW182" s="477">
        <f t="shared" si="80"/>
        <v>0</v>
      </c>
      <c r="AX182" s="477">
        <f t="shared" si="81"/>
        <v>0</v>
      </c>
    </row>
    <row r="183" spans="2:50" x14ac:dyDescent="0.2">
      <c r="B183" s="29"/>
      <c r="C183" s="29"/>
      <c r="D183" s="29"/>
      <c r="E183" s="35"/>
      <c r="F183" s="29"/>
      <c r="G183" s="29"/>
      <c r="H183" s="29"/>
      <c r="I183" s="29"/>
      <c r="J183" s="29"/>
      <c r="K183" s="28"/>
      <c r="L183" s="28"/>
      <c r="M183" s="28"/>
      <c r="N183" s="28"/>
      <c r="O183" s="28"/>
      <c r="P183" s="28"/>
      <c r="Q183" s="28"/>
      <c r="AC183" s="28"/>
      <c r="AD183" s="28"/>
      <c r="AE183" s="28"/>
      <c r="AF183" s="31">
        <v>177</v>
      </c>
      <c r="AG183" s="32" t="s">
        <v>1283</v>
      </c>
      <c r="AH183" s="31">
        <v>0</v>
      </c>
      <c r="AI183" s="28"/>
      <c r="AJ183" s="28"/>
      <c r="AK183" s="883"/>
      <c r="AL183" s="487">
        <f t="shared" si="82"/>
        <v>10</v>
      </c>
      <c r="AM183" s="54">
        <f>AM181</f>
        <v>2</v>
      </c>
      <c r="AN183" s="52">
        <v>7</v>
      </c>
      <c r="AO183" s="881"/>
      <c r="AP183" s="47" t="s">
        <v>64</v>
      </c>
      <c r="AQ183" s="53"/>
      <c r="AR183" s="53"/>
      <c r="AS183" s="53"/>
      <c r="AT183" s="53"/>
      <c r="AU183" s="53"/>
      <c r="AV183" s="53"/>
      <c r="AW183" s="477">
        <f t="shared" si="80"/>
        <v>0</v>
      </c>
      <c r="AX183" s="477">
        <f t="shared" si="81"/>
        <v>0</v>
      </c>
    </row>
    <row r="184" spans="2:50" x14ac:dyDescent="0.2">
      <c r="B184" s="29"/>
      <c r="C184" s="29"/>
      <c r="D184" s="29"/>
      <c r="E184" s="35"/>
      <c r="F184" s="29"/>
      <c r="G184" s="29"/>
      <c r="H184" s="29"/>
      <c r="I184" s="29"/>
      <c r="J184" s="29"/>
      <c r="K184" s="28"/>
      <c r="L184" s="28"/>
      <c r="M184" s="28"/>
      <c r="N184" s="28"/>
      <c r="O184" s="28"/>
      <c r="P184" s="28"/>
      <c r="Q184" s="28"/>
      <c r="AC184" s="28"/>
      <c r="AD184" s="28"/>
      <c r="AE184" s="28"/>
      <c r="AF184" s="31">
        <v>178</v>
      </c>
      <c r="AG184" s="32" t="s">
        <v>1284</v>
      </c>
      <c r="AH184" s="31">
        <v>0</v>
      </c>
      <c r="AI184" s="28"/>
      <c r="AJ184" s="28"/>
      <c r="AK184" s="883"/>
      <c r="AL184" s="487">
        <f t="shared" si="82"/>
        <v>10</v>
      </c>
      <c r="AM184" s="54">
        <f>AM181</f>
        <v>2</v>
      </c>
      <c r="AN184" s="52">
        <v>8</v>
      </c>
      <c r="AO184" s="881"/>
      <c r="AP184" s="47" t="s">
        <v>150</v>
      </c>
      <c r="AQ184" s="53"/>
      <c r="AR184" s="53"/>
      <c r="AS184" s="53"/>
      <c r="AT184" s="53"/>
      <c r="AU184" s="53"/>
      <c r="AV184" s="53"/>
      <c r="AW184" s="477">
        <f t="shared" si="80"/>
        <v>0</v>
      </c>
      <c r="AX184" s="477">
        <f t="shared" si="81"/>
        <v>0</v>
      </c>
    </row>
    <row r="185" spans="2:50" x14ac:dyDescent="0.2">
      <c r="B185" s="29"/>
      <c r="C185" s="29"/>
      <c r="D185" s="29"/>
      <c r="E185" s="35"/>
      <c r="F185" s="29"/>
      <c r="G185" s="29"/>
      <c r="H185" s="29"/>
      <c r="I185" s="29"/>
      <c r="J185" s="29"/>
      <c r="K185" s="28"/>
      <c r="L185" s="28"/>
      <c r="M185" s="28"/>
      <c r="N185" s="28"/>
      <c r="O185" s="28"/>
      <c r="P185" s="28"/>
      <c r="Q185" s="28"/>
      <c r="AC185" s="28"/>
      <c r="AD185" s="28"/>
      <c r="AE185" s="28"/>
      <c r="AF185" s="31">
        <v>179</v>
      </c>
      <c r="AG185" s="32" t="s">
        <v>1285</v>
      </c>
      <c r="AH185" s="31">
        <v>0</v>
      </c>
      <c r="AI185" s="28"/>
      <c r="AJ185" s="28"/>
      <c r="AK185" s="883"/>
      <c r="AL185" s="487">
        <f t="shared" si="82"/>
        <v>10</v>
      </c>
      <c r="AM185" s="54">
        <f>AM181</f>
        <v>2</v>
      </c>
      <c r="AN185" s="52">
        <v>9</v>
      </c>
      <c r="AO185" s="881"/>
      <c r="AP185" s="47" t="s">
        <v>179</v>
      </c>
      <c r="AQ185" s="53"/>
      <c r="AR185" s="53"/>
      <c r="AS185" s="53"/>
      <c r="AT185" s="53"/>
      <c r="AU185" s="53"/>
      <c r="AV185" s="53"/>
      <c r="AW185" s="477">
        <f t="shared" si="80"/>
        <v>0</v>
      </c>
      <c r="AX185" s="477">
        <f t="shared" si="81"/>
        <v>0</v>
      </c>
    </row>
    <row r="186" spans="2:50" x14ac:dyDescent="0.2">
      <c r="B186" s="29"/>
      <c r="C186" s="29"/>
      <c r="D186" s="29"/>
      <c r="E186" s="35"/>
      <c r="F186" s="29"/>
      <c r="G186" s="29"/>
      <c r="H186" s="29"/>
      <c r="I186" s="29"/>
      <c r="J186" s="29"/>
      <c r="K186" s="28"/>
      <c r="L186" s="28"/>
      <c r="M186" s="28"/>
      <c r="N186" s="28"/>
      <c r="O186" s="28"/>
      <c r="P186" s="28"/>
      <c r="Q186" s="28"/>
      <c r="AC186" s="28"/>
      <c r="AD186" s="28"/>
      <c r="AE186" s="28"/>
      <c r="AF186" s="31">
        <v>180</v>
      </c>
      <c r="AG186" s="32" t="s">
        <v>1286</v>
      </c>
      <c r="AH186" s="31">
        <v>0</v>
      </c>
      <c r="AI186" s="28"/>
      <c r="AJ186" s="28"/>
      <c r="AK186" s="883"/>
      <c r="AL186" s="487">
        <f t="shared" si="82"/>
        <v>10</v>
      </c>
      <c r="AM186" s="54">
        <f>AM182</f>
        <v>2</v>
      </c>
      <c r="AN186" s="56">
        <v>10</v>
      </c>
      <c r="AO186" s="881"/>
      <c r="AP186" s="47" t="s">
        <v>180</v>
      </c>
      <c r="AQ186" s="53"/>
      <c r="AR186" s="53"/>
      <c r="AS186" s="53"/>
      <c r="AT186" s="53"/>
      <c r="AU186" s="53"/>
      <c r="AV186" s="53"/>
      <c r="AW186" s="477">
        <f t="shared" si="80"/>
        <v>0</v>
      </c>
      <c r="AX186" s="477">
        <f t="shared" si="81"/>
        <v>0</v>
      </c>
    </row>
    <row r="187" spans="2:50" x14ac:dyDescent="0.2">
      <c r="B187" s="29"/>
      <c r="C187" s="29"/>
      <c r="D187" s="29"/>
      <c r="E187" s="35"/>
      <c r="F187" s="29"/>
      <c r="G187" s="29"/>
      <c r="H187" s="29"/>
      <c r="I187" s="29"/>
      <c r="J187" s="29"/>
      <c r="K187" s="28"/>
      <c r="L187" s="28"/>
      <c r="M187" s="28"/>
      <c r="N187" s="28"/>
      <c r="O187" s="28"/>
      <c r="P187" s="28"/>
      <c r="Q187" s="28"/>
      <c r="AC187" s="28"/>
      <c r="AD187" s="28"/>
      <c r="AE187" s="28"/>
      <c r="AF187" s="31">
        <v>181</v>
      </c>
      <c r="AG187" s="32" t="s">
        <v>1287</v>
      </c>
      <c r="AH187" s="31">
        <v>0</v>
      </c>
      <c r="AI187" s="28"/>
      <c r="AJ187" s="28"/>
      <c r="AK187" s="883"/>
      <c r="AL187" s="487">
        <f t="shared" si="82"/>
        <v>10</v>
      </c>
      <c r="AM187" s="54">
        <f>AM183</f>
        <v>2</v>
      </c>
      <c r="AN187" s="56">
        <v>11</v>
      </c>
      <c r="AO187" s="881"/>
      <c r="AP187" s="47" t="s">
        <v>151</v>
      </c>
      <c r="AQ187" s="53"/>
      <c r="AR187" s="53"/>
      <c r="AS187" s="53"/>
      <c r="AT187" s="53"/>
      <c r="AU187" s="53"/>
      <c r="AV187" s="53"/>
      <c r="AW187" s="477">
        <f t="shared" si="80"/>
        <v>0</v>
      </c>
      <c r="AX187" s="477">
        <f t="shared" si="81"/>
        <v>0</v>
      </c>
    </row>
    <row r="188" spans="2:50" x14ac:dyDescent="0.2">
      <c r="B188" s="29"/>
      <c r="C188" s="29"/>
      <c r="D188" s="29"/>
      <c r="E188" s="35"/>
      <c r="F188" s="29"/>
      <c r="G188" s="29"/>
      <c r="H188" s="29"/>
      <c r="I188" s="29"/>
      <c r="J188" s="29"/>
      <c r="K188" s="28"/>
      <c r="L188" s="28"/>
      <c r="M188" s="28"/>
      <c r="N188" s="28"/>
      <c r="O188" s="28"/>
      <c r="P188" s="28"/>
      <c r="Q188" s="28"/>
      <c r="AC188" s="28"/>
      <c r="AD188" s="28"/>
      <c r="AE188" s="28"/>
      <c r="AF188" s="31">
        <v>182</v>
      </c>
      <c r="AG188" s="32" t="s">
        <v>1288</v>
      </c>
      <c r="AH188" s="31">
        <v>0</v>
      </c>
      <c r="AI188" s="28"/>
      <c r="AJ188" s="28"/>
      <c r="AK188" s="883"/>
      <c r="AL188" s="487">
        <f t="shared" si="82"/>
        <v>10</v>
      </c>
      <c r="AM188" s="54">
        <f>AM184</f>
        <v>2</v>
      </c>
      <c r="AN188" s="56">
        <v>12</v>
      </c>
      <c r="AO188" s="880"/>
      <c r="AP188" s="47" t="s">
        <v>181</v>
      </c>
      <c r="AQ188" s="53"/>
      <c r="AR188" s="53"/>
      <c r="AS188" s="53"/>
      <c r="AT188" s="53"/>
      <c r="AU188" s="53"/>
      <c r="AV188" s="53"/>
      <c r="AW188" s="477">
        <f t="shared" si="80"/>
        <v>0</v>
      </c>
      <c r="AX188" s="477">
        <f t="shared" si="81"/>
        <v>0</v>
      </c>
    </row>
    <row r="189" spans="2:50" x14ac:dyDescent="0.2">
      <c r="B189" s="29"/>
      <c r="C189" s="29"/>
      <c r="D189" s="29"/>
      <c r="E189" s="35"/>
      <c r="F189" s="29"/>
      <c r="G189" s="29"/>
      <c r="H189" s="29"/>
      <c r="I189" s="29"/>
      <c r="J189" s="29"/>
      <c r="K189" s="28"/>
      <c r="L189" s="28"/>
      <c r="M189" s="28"/>
      <c r="N189" s="28"/>
      <c r="O189" s="28"/>
      <c r="P189" s="28"/>
      <c r="Q189" s="28"/>
      <c r="AC189" s="28"/>
      <c r="AD189" s="28"/>
      <c r="AE189" s="28"/>
      <c r="AF189" s="31">
        <v>183</v>
      </c>
      <c r="AG189" s="32" t="s">
        <v>1289</v>
      </c>
      <c r="AH189" s="31">
        <v>0</v>
      </c>
      <c r="AI189" s="28"/>
      <c r="AJ189" s="28"/>
      <c r="AK189" s="883"/>
      <c r="AL189" s="487">
        <f>AL185</f>
        <v>10</v>
      </c>
      <c r="AM189" s="51">
        <v>3</v>
      </c>
      <c r="AN189" s="56">
        <v>2</v>
      </c>
      <c r="AO189" s="879" t="s">
        <v>167</v>
      </c>
      <c r="AP189" s="47" t="s">
        <v>162</v>
      </c>
      <c r="AQ189" s="53"/>
      <c r="AR189" s="53"/>
      <c r="AS189" s="53"/>
      <c r="AT189" s="53"/>
      <c r="AU189" s="53"/>
      <c r="AV189" s="53"/>
      <c r="AW189" s="477">
        <f t="shared" si="80"/>
        <v>0</v>
      </c>
      <c r="AX189" s="477">
        <f t="shared" si="81"/>
        <v>0</v>
      </c>
    </row>
    <row r="190" spans="2:50" x14ac:dyDescent="0.2">
      <c r="B190" s="29"/>
      <c r="C190" s="29"/>
      <c r="D190" s="29"/>
      <c r="E190" s="35"/>
      <c r="F190" s="29"/>
      <c r="G190" s="29"/>
      <c r="H190" s="29"/>
      <c r="I190" s="29"/>
      <c r="J190" s="29"/>
      <c r="K190" s="28"/>
      <c r="L190" s="28"/>
      <c r="M190" s="28"/>
      <c r="N190" s="28"/>
      <c r="O190" s="28"/>
      <c r="P190" s="28"/>
      <c r="Q190" s="28"/>
      <c r="AC190" s="28"/>
      <c r="AD190" s="28"/>
      <c r="AE190" s="28"/>
      <c r="AF190" s="31">
        <v>184</v>
      </c>
      <c r="AG190" s="32" t="s">
        <v>1290</v>
      </c>
      <c r="AH190" s="31">
        <v>0</v>
      </c>
      <c r="AI190" s="28"/>
      <c r="AJ190" s="28"/>
      <c r="AK190" s="883"/>
      <c r="AL190" s="487">
        <f>AL185</f>
        <v>10</v>
      </c>
      <c r="AM190" s="54">
        <f>AM189</f>
        <v>3</v>
      </c>
      <c r="AN190" s="56">
        <v>3</v>
      </c>
      <c r="AO190" s="881"/>
      <c r="AP190" s="47" t="s">
        <v>123</v>
      </c>
      <c r="AQ190" s="53"/>
      <c r="AR190" s="53"/>
      <c r="AS190" s="53"/>
      <c r="AT190" s="53"/>
      <c r="AU190" s="53"/>
      <c r="AV190" s="53"/>
      <c r="AW190" s="477">
        <f t="shared" si="80"/>
        <v>0</v>
      </c>
      <c r="AX190" s="477">
        <f t="shared" si="81"/>
        <v>0</v>
      </c>
    </row>
    <row r="191" spans="2:50" x14ac:dyDescent="0.2">
      <c r="B191" s="29"/>
      <c r="C191" s="29"/>
      <c r="D191" s="29"/>
      <c r="E191" s="35"/>
      <c r="F191" s="29"/>
      <c r="G191" s="29"/>
      <c r="H191" s="29"/>
      <c r="I191" s="29"/>
      <c r="J191" s="29"/>
      <c r="K191" s="28"/>
      <c r="L191" s="28"/>
      <c r="M191" s="28"/>
      <c r="N191" s="28"/>
      <c r="O191" s="28"/>
      <c r="P191" s="28"/>
      <c r="Q191" s="28"/>
      <c r="AC191" s="28"/>
      <c r="AD191" s="28"/>
      <c r="AE191" s="28"/>
      <c r="AF191" s="31">
        <v>185</v>
      </c>
      <c r="AG191" s="32" t="s">
        <v>1291</v>
      </c>
      <c r="AH191" s="31">
        <v>0</v>
      </c>
      <c r="AI191" s="28"/>
      <c r="AJ191" s="28"/>
      <c r="AK191" s="883"/>
      <c r="AL191" s="487">
        <f t="shared" ref="AL191:AM201" si="83">AL190</f>
        <v>10</v>
      </c>
      <c r="AM191" s="54">
        <f>AM189</f>
        <v>3</v>
      </c>
      <c r="AN191" s="56">
        <v>4</v>
      </c>
      <c r="AO191" s="881"/>
      <c r="AP191" s="47" t="s">
        <v>122</v>
      </c>
      <c r="AQ191" s="53"/>
      <c r="AR191" s="53"/>
      <c r="AS191" s="53"/>
      <c r="AT191" s="53"/>
      <c r="AU191" s="53"/>
      <c r="AV191" s="53"/>
      <c r="AW191" s="477">
        <f t="shared" si="80"/>
        <v>0</v>
      </c>
      <c r="AX191" s="477">
        <f t="shared" si="81"/>
        <v>0</v>
      </c>
    </row>
    <row r="192" spans="2:50" x14ac:dyDescent="0.2">
      <c r="B192" s="29"/>
      <c r="C192" s="29"/>
      <c r="D192" s="29"/>
      <c r="E192" s="35"/>
      <c r="F192" s="29"/>
      <c r="G192" s="29"/>
      <c r="H192" s="29"/>
      <c r="I192" s="29"/>
      <c r="J192" s="29"/>
      <c r="K192" s="28"/>
      <c r="L192" s="28"/>
      <c r="M192" s="28"/>
      <c r="N192" s="28"/>
      <c r="O192" s="28"/>
      <c r="P192" s="28"/>
      <c r="Q192" s="28"/>
      <c r="AC192" s="28"/>
      <c r="AD192" s="28"/>
      <c r="AE192" s="28"/>
      <c r="AF192" s="31">
        <v>186</v>
      </c>
      <c r="AG192" s="32" t="s">
        <v>1292</v>
      </c>
      <c r="AH192" s="31">
        <v>0</v>
      </c>
      <c r="AI192" s="28"/>
      <c r="AJ192" s="28"/>
      <c r="AK192" s="883"/>
      <c r="AL192" s="487">
        <f t="shared" si="83"/>
        <v>10</v>
      </c>
      <c r="AM192" s="54">
        <f t="shared" si="83"/>
        <v>3</v>
      </c>
      <c r="AN192" s="56">
        <v>5</v>
      </c>
      <c r="AO192" s="881"/>
      <c r="AP192" s="47" t="s">
        <v>121</v>
      </c>
      <c r="AQ192" s="53"/>
      <c r="AR192" s="53"/>
      <c r="AS192" s="53"/>
      <c r="AT192" s="53"/>
      <c r="AU192" s="53"/>
      <c r="AV192" s="53"/>
      <c r="AW192" s="477">
        <f t="shared" si="80"/>
        <v>0</v>
      </c>
      <c r="AX192" s="477">
        <f t="shared" si="81"/>
        <v>0</v>
      </c>
    </row>
    <row r="193" spans="2:50" x14ac:dyDescent="0.2">
      <c r="B193" s="29"/>
      <c r="C193" s="29"/>
      <c r="D193" s="29"/>
      <c r="E193" s="35"/>
      <c r="F193" s="29"/>
      <c r="G193" s="29"/>
      <c r="H193" s="29"/>
      <c r="I193" s="29"/>
      <c r="J193" s="29"/>
      <c r="K193" s="28"/>
      <c r="L193" s="28"/>
      <c r="M193" s="28"/>
      <c r="N193" s="28"/>
      <c r="O193" s="28"/>
      <c r="P193" s="28"/>
      <c r="Q193" s="28"/>
      <c r="AC193" s="28"/>
      <c r="AD193" s="28"/>
      <c r="AE193" s="28"/>
      <c r="AF193" s="31">
        <v>187</v>
      </c>
      <c r="AG193" s="32" t="s">
        <v>1293</v>
      </c>
      <c r="AH193" s="31">
        <v>0</v>
      </c>
      <c r="AI193" s="28"/>
      <c r="AJ193" s="28"/>
      <c r="AK193" s="883"/>
      <c r="AL193" s="487">
        <f t="shared" si="83"/>
        <v>10</v>
      </c>
      <c r="AM193" s="60">
        <f t="shared" si="83"/>
        <v>3</v>
      </c>
      <c r="AN193" s="56">
        <v>6</v>
      </c>
      <c r="AO193" s="880"/>
      <c r="AP193" s="47" t="s">
        <v>63</v>
      </c>
      <c r="AQ193" s="53"/>
      <c r="AR193" s="53"/>
      <c r="AS193" s="53"/>
      <c r="AT193" s="53"/>
      <c r="AU193" s="53"/>
      <c r="AV193" s="53"/>
      <c r="AW193" s="477">
        <f t="shared" si="80"/>
        <v>0</v>
      </c>
      <c r="AX193" s="477">
        <f t="shared" si="81"/>
        <v>0</v>
      </c>
    </row>
    <row r="194" spans="2:50" x14ac:dyDescent="0.2">
      <c r="B194" s="29"/>
      <c r="C194" s="29"/>
      <c r="D194" s="29"/>
      <c r="E194" s="35"/>
      <c r="F194" s="29"/>
      <c r="G194" s="29"/>
      <c r="H194" s="29"/>
      <c r="I194" s="29"/>
      <c r="J194" s="29"/>
      <c r="K194" s="28"/>
      <c r="L194" s="28"/>
      <c r="M194" s="28"/>
      <c r="N194" s="28"/>
      <c r="O194" s="28"/>
      <c r="P194" s="28"/>
      <c r="Q194" s="28"/>
      <c r="AC194" s="28"/>
      <c r="AD194" s="28"/>
      <c r="AE194" s="28"/>
      <c r="AF194" s="31">
        <v>188</v>
      </c>
      <c r="AG194" s="32" t="s">
        <v>1294</v>
      </c>
      <c r="AH194" s="31">
        <v>0</v>
      </c>
      <c r="AI194" s="28"/>
      <c r="AJ194" s="28"/>
      <c r="AK194" s="883"/>
      <c r="AL194" s="487">
        <f t="shared" si="83"/>
        <v>10</v>
      </c>
      <c r="AM194" s="54">
        <v>4</v>
      </c>
      <c r="AN194" s="52">
        <v>5</v>
      </c>
      <c r="AO194" s="879" t="s">
        <v>168</v>
      </c>
      <c r="AP194" s="47" t="s">
        <v>121</v>
      </c>
      <c r="AQ194" s="53"/>
      <c r="AR194" s="53"/>
      <c r="AS194" s="53"/>
      <c r="AT194" s="53"/>
      <c r="AU194" s="53"/>
      <c r="AV194" s="53"/>
      <c r="AW194" s="477">
        <f t="shared" si="80"/>
        <v>0</v>
      </c>
      <c r="AX194" s="477">
        <f t="shared" si="81"/>
        <v>0</v>
      </c>
    </row>
    <row r="195" spans="2:50" x14ac:dyDescent="0.2">
      <c r="B195" s="29"/>
      <c r="C195" s="29"/>
      <c r="D195" s="29"/>
      <c r="E195" s="35"/>
      <c r="F195" s="29"/>
      <c r="G195" s="29"/>
      <c r="H195" s="29"/>
      <c r="I195" s="29"/>
      <c r="J195" s="29"/>
      <c r="K195" s="28"/>
      <c r="L195" s="28"/>
      <c r="M195" s="28"/>
      <c r="N195" s="28"/>
      <c r="O195" s="28"/>
      <c r="P195" s="28"/>
      <c r="Q195" s="28"/>
      <c r="AC195" s="28"/>
      <c r="AD195" s="28"/>
      <c r="AE195" s="28"/>
      <c r="AF195" s="31">
        <v>189</v>
      </c>
      <c r="AG195" s="32" t="s">
        <v>1295</v>
      </c>
      <c r="AH195" s="31">
        <v>0</v>
      </c>
      <c r="AI195" s="28"/>
      <c r="AJ195" s="28"/>
      <c r="AK195" s="883"/>
      <c r="AL195" s="487">
        <f t="shared" si="83"/>
        <v>10</v>
      </c>
      <c r="AM195" s="60">
        <v>4</v>
      </c>
      <c r="AN195" s="52">
        <v>6</v>
      </c>
      <c r="AO195" s="880"/>
      <c r="AP195" s="47" t="s">
        <v>63</v>
      </c>
      <c r="AQ195" s="53"/>
      <c r="AR195" s="53"/>
      <c r="AS195" s="53"/>
      <c r="AT195" s="53"/>
      <c r="AU195" s="53"/>
      <c r="AV195" s="53"/>
      <c r="AW195" s="477">
        <f t="shared" si="80"/>
        <v>0</v>
      </c>
      <c r="AX195" s="477">
        <f t="shared" si="81"/>
        <v>0</v>
      </c>
    </row>
    <row r="196" spans="2:50" x14ac:dyDescent="0.2">
      <c r="B196" s="29"/>
      <c r="C196" s="29"/>
      <c r="D196" s="29"/>
      <c r="E196" s="35"/>
      <c r="F196" s="29"/>
      <c r="G196" s="29"/>
      <c r="H196" s="29"/>
      <c r="I196" s="29"/>
      <c r="J196" s="29"/>
      <c r="K196" s="28"/>
      <c r="L196" s="28"/>
      <c r="M196" s="28"/>
      <c r="N196" s="28"/>
      <c r="O196" s="28"/>
      <c r="P196" s="28"/>
      <c r="Q196" s="28"/>
      <c r="AC196" s="28"/>
      <c r="AD196" s="28"/>
      <c r="AE196" s="28"/>
      <c r="AF196" s="31">
        <v>190</v>
      </c>
      <c r="AG196" s="32" t="s">
        <v>1296</v>
      </c>
      <c r="AH196" s="31">
        <v>0</v>
      </c>
      <c r="AI196" s="28"/>
      <c r="AJ196" s="28"/>
      <c r="AK196" s="883"/>
      <c r="AL196" s="487">
        <f t="shared" si="83"/>
        <v>10</v>
      </c>
      <c r="AM196" s="54">
        <v>5</v>
      </c>
      <c r="AN196" s="52">
        <v>7</v>
      </c>
      <c r="AO196" s="879" t="s">
        <v>166</v>
      </c>
      <c r="AP196" s="47" t="s">
        <v>64</v>
      </c>
      <c r="AQ196" s="53"/>
      <c r="AR196" s="53"/>
      <c r="AS196" s="53"/>
      <c r="AT196" s="53"/>
      <c r="AU196" s="53"/>
      <c r="AV196" s="53"/>
      <c r="AW196" s="477">
        <f t="shared" si="80"/>
        <v>0</v>
      </c>
      <c r="AX196" s="477">
        <f t="shared" si="81"/>
        <v>0</v>
      </c>
    </row>
    <row r="197" spans="2:50" x14ac:dyDescent="0.2">
      <c r="B197" s="29"/>
      <c r="C197" s="29"/>
      <c r="D197" s="29"/>
      <c r="E197" s="35"/>
      <c r="F197" s="29"/>
      <c r="G197" s="29"/>
      <c r="H197" s="29"/>
      <c r="I197" s="29"/>
      <c r="J197" s="29"/>
      <c r="K197" s="28"/>
      <c r="L197" s="28"/>
      <c r="M197" s="28"/>
      <c r="N197" s="28"/>
      <c r="O197" s="28"/>
      <c r="P197" s="28"/>
      <c r="Q197" s="28"/>
      <c r="AC197" s="28"/>
      <c r="AD197" s="28"/>
      <c r="AE197" s="28"/>
      <c r="AF197" s="31">
        <v>191</v>
      </c>
      <c r="AG197" s="32" t="s">
        <v>1297</v>
      </c>
      <c r="AH197" s="31">
        <v>0</v>
      </c>
      <c r="AI197" s="28"/>
      <c r="AJ197" s="28"/>
      <c r="AK197" s="883"/>
      <c r="AL197" s="487">
        <f t="shared" si="83"/>
        <v>10</v>
      </c>
      <c r="AM197" s="54">
        <v>5</v>
      </c>
      <c r="AN197" s="52">
        <v>8</v>
      </c>
      <c r="AO197" s="881"/>
      <c r="AP197" s="47" t="s">
        <v>150</v>
      </c>
      <c r="AQ197" s="53"/>
      <c r="AR197" s="53"/>
      <c r="AS197" s="53"/>
      <c r="AT197" s="53"/>
      <c r="AU197" s="53"/>
      <c r="AV197" s="53"/>
      <c r="AW197" s="477">
        <f t="shared" si="80"/>
        <v>0</v>
      </c>
      <c r="AX197" s="477">
        <f t="shared" si="81"/>
        <v>0</v>
      </c>
    </row>
    <row r="198" spans="2:50" x14ac:dyDescent="0.2">
      <c r="B198" s="29"/>
      <c r="C198" s="29"/>
      <c r="D198" s="29"/>
      <c r="E198" s="35"/>
      <c r="F198" s="29"/>
      <c r="G198" s="29"/>
      <c r="H198" s="29"/>
      <c r="I198" s="29"/>
      <c r="J198" s="29"/>
      <c r="K198" s="28"/>
      <c r="L198" s="28"/>
      <c r="M198" s="28"/>
      <c r="N198" s="28"/>
      <c r="O198" s="28"/>
      <c r="P198" s="28"/>
      <c r="Q198" s="28"/>
      <c r="AC198" s="28"/>
      <c r="AD198" s="28"/>
      <c r="AE198" s="28"/>
      <c r="AF198" s="31">
        <v>192</v>
      </c>
      <c r="AG198" s="32" t="s">
        <v>1298</v>
      </c>
      <c r="AH198" s="31">
        <v>0</v>
      </c>
      <c r="AI198" s="28"/>
      <c r="AJ198" s="28"/>
      <c r="AK198" s="883"/>
      <c r="AL198" s="487">
        <f t="shared" si="83"/>
        <v>10</v>
      </c>
      <c r="AM198" s="54">
        <v>5</v>
      </c>
      <c r="AN198" s="52">
        <v>9</v>
      </c>
      <c r="AO198" s="881"/>
      <c r="AP198" s="47" t="s">
        <v>179</v>
      </c>
      <c r="AQ198" s="53"/>
      <c r="AR198" s="53"/>
      <c r="AS198" s="53"/>
      <c r="AT198" s="53"/>
      <c r="AU198" s="53"/>
      <c r="AV198" s="53"/>
      <c r="AW198" s="477">
        <f t="shared" si="80"/>
        <v>0</v>
      </c>
      <c r="AX198" s="477">
        <f t="shared" si="81"/>
        <v>0</v>
      </c>
    </row>
    <row r="199" spans="2:50" x14ac:dyDescent="0.2">
      <c r="B199" s="29"/>
      <c r="C199" s="29"/>
      <c r="D199" s="29"/>
      <c r="E199" s="35"/>
      <c r="F199" s="29"/>
      <c r="G199" s="29"/>
      <c r="H199" s="29"/>
      <c r="I199" s="29"/>
      <c r="J199" s="29"/>
      <c r="K199" s="28"/>
      <c r="L199" s="28"/>
      <c r="M199" s="28"/>
      <c r="N199" s="28"/>
      <c r="O199" s="28"/>
      <c r="P199" s="28"/>
      <c r="Q199" s="28"/>
      <c r="AC199" s="28"/>
      <c r="AD199" s="28"/>
      <c r="AE199" s="28"/>
      <c r="AF199" s="31">
        <v>193</v>
      </c>
      <c r="AG199" s="32" t="s">
        <v>1299</v>
      </c>
      <c r="AH199" s="31">
        <v>0</v>
      </c>
      <c r="AI199" s="28"/>
      <c r="AJ199" s="28"/>
      <c r="AK199" s="883"/>
      <c r="AL199" s="487">
        <f t="shared" si="83"/>
        <v>10</v>
      </c>
      <c r="AM199" s="54">
        <v>5</v>
      </c>
      <c r="AN199" s="52">
        <v>10</v>
      </c>
      <c r="AO199" s="881"/>
      <c r="AP199" s="47" t="s">
        <v>180</v>
      </c>
      <c r="AQ199" s="53"/>
      <c r="AR199" s="53"/>
      <c r="AS199" s="53"/>
      <c r="AT199" s="53"/>
      <c r="AU199" s="53"/>
      <c r="AV199" s="53"/>
      <c r="AW199" s="477">
        <f t="shared" si="80"/>
        <v>0</v>
      </c>
      <c r="AX199" s="477">
        <f t="shared" si="81"/>
        <v>0</v>
      </c>
    </row>
    <row r="200" spans="2:50" x14ac:dyDescent="0.2">
      <c r="B200" s="29"/>
      <c r="C200" s="29"/>
      <c r="D200" s="29"/>
      <c r="E200" s="35"/>
      <c r="F200" s="29"/>
      <c r="G200" s="29"/>
      <c r="H200" s="29"/>
      <c r="I200" s="29"/>
      <c r="J200" s="29"/>
      <c r="K200" s="28"/>
      <c r="L200" s="28"/>
      <c r="M200" s="28"/>
      <c r="N200" s="28"/>
      <c r="O200" s="28"/>
      <c r="P200" s="28"/>
      <c r="Q200" s="28"/>
      <c r="AC200" s="28"/>
      <c r="AD200" s="28"/>
      <c r="AE200" s="28"/>
      <c r="AF200" s="31">
        <v>194</v>
      </c>
      <c r="AG200" s="32" t="s">
        <v>1300</v>
      </c>
      <c r="AH200" s="31">
        <v>0</v>
      </c>
      <c r="AI200" s="28"/>
      <c r="AJ200" s="28"/>
      <c r="AK200" s="883"/>
      <c r="AL200" s="487">
        <f t="shared" si="83"/>
        <v>10</v>
      </c>
      <c r="AM200" s="54">
        <v>5</v>
      </c>
      <c r="AN200" s="52">
        <v>11</v>
      </c>
      <c r="AO200" s="881"/>
      <c r="AP200" s="47" t="s">
        <v>151</v>
      </c>
      <c r="AQ200" s="53"/>
      <c r="AR200" s="53"/>
      <c r="AS200" s="53"/>
      <c r="AT200" s="53"/>
      <c r="AU200" s="53"/>
      <c r="AV200" s="53"/>
      <c r="AW200" s="477">
        <f t="shared" si="80"/>
        <v>0</v>
      </c>
      <c r="AX200" s="477">
        <f t="shared" si="81"/>
        <v>0</v>
      </c>
    </row>
    <row r="201" spans="2:50" x14ac:dyDescent="0.2">
      <c r="B201" s="29"/>
      <c r="C201" s="29"/>
      <c r="D201" s="29"/>
      <c r="E201" s="35"/>
      <c r="F201" s="29"/>
      <c r="G201" s="29"/>
      <c r="H201" s="29"/>
      <c r="I201" s="29"/>
      <c r="J201" s="29"/>
      <c r="K201" s="28"/>
      <c r="L201" s="28"/>
      <c r="M201" s="28"/>
      <c r="N201" s="28"/>
      <c r="O201" s="28"/>
      <c r="P201" s="28"/>
      <c r="Q201" s="28"/>
      <c r="AC201" s="28"/>
      <c r="AD201" s="28"/>
      <c r="AE201" s="28"/>
      <c r="AF201" s="31">
        <v>195</v>
      </c>
      <c r="AG201" s="32" t="s">
        <v>1301</v>
      </c>
      <c r="AH201" s="31">
        <v>0</v>
      </c>
      <c r="AI201" s="28"/>
      <c r="AJ201" s="28"/>
      <c r="AK201" s="884"/>
      <c r="AL201" s="488">
        <f t="shared" si="83"/>
        <v>10</v>
      </c>
      <c r="AM201" s="60">
        <v>5</v>
      </c>
      <c r="AN201" s="52">
        <v>12</v>
      </c>
      <c r="AO201" s="880"/>
      <c r="AP201" s="47" t="s">
        <v>181</v>
      </c>
      <c r="AQ201" s="53"/>
      <c r="AR201" s="53"/>
      <c r="AS201" s="53"/>
      <c r="AT201" s="53"/>
      <c r="AU201" s="53"/>
      <c r="AV201" s="53"/>
    </row>
    <row r="202" spans="2:50" x14ac:dyDescent="0.2">
      <c r="B202" s="29"/>
      <c r="C202" s="29"/>
      <c r="D202" s="29"/>
      <c r="E202" s="35"/>
      <c r="F202" s="29"/>
      <c r="G202" s="29"/>
      <c r="H202" s="29"/>
      <c r="I202" s="29"/>
      <c r="J202" s="29"/>
      <c r="K202" s="28"/>
      <c r="L202" s="28"/>
      <c r="M202" s="28"/>
      <c r="N202" s="28"/>
      <c r="O202" s="28"/>
      <c r="P202" s="28"/>
      <c r="Q202" s="28"/>
      <c r="AC202" s="28"/>
      <c r="AD202" s="28"/>
      <c r="AE202" s="28"/>
      <c r="AF202" s="31">
        <v>196</v>
      </c>
      <c r="AG202" s="32" t="s">
        <v>1302</v>
      </c>
      <c r="AH202" s="31">
        <v>0</v>
      </c>
      <c r="AI202" s="28"/>
      <c r="AJ202" s="28"/>
      <c r="AK202" s="882">
        <v>2024</v>
      </c>
      <c r="AL202" s="486">
        <v>11</v>
      </c>
      <c r="AM202" s="51">
        <v>2</v>
      </c>
      <c r="AN202" s="52">
        <v>5</v>
      </c>
      <c r="AO202" s="879" t="s">
        <v>153</v>
      </c>
      <c r="AP202" s="47" t="s">
        <v>121</v>
      </c>
      <c r="AQ202" s="53"/>
      <c r="AR202" s="53"/>
      <c r="AS202" s="53"/>
      <c r="AT202" s="53"/>
      <c r="AU202" s="53"/>
      <c r="AV202" s="53"/>
      <c r="AW202" s="477">
        <f t="shared" ref="AW202:AW221" si="84">AS202+AT202</f>
        <v>0</v>
      </c>
      <c r="AX202" s="477">
        <f t="shared" ref="AX202:AX221" si="85">AU202+AV202</f>
        <v>0</v>
      </c>
    </row>
    <row r="203" spans="2:50" x14ac:dyDescent="0.2">
      <c r="B203" s="29"/>
      <c r="C203" s="29"/>
      <c r="D203" s="29"/>
      <c r="E203" s="35"/>
      <c r="F203" s="29"/>
      <c r="G203" s="29"/>
      <c r="H203" s="29"/>
      <c r="I203" s="29"/>
      <c r="J203" s="29"/>
      <c r="K203" s="28"/>
      <c r="L203" s="28"/>
      <c r="M203" s="28"/>
      <c r="N203" s="28"/>
      <c r="O203" s="28"/>
      <c r="P203" s="28"/>
      <c r="Q203" s="28"/>
      <c r="AC203" s="28"/>
      <c r="AD203" s="28"/>
      <c r="AE203" s="28"/>
      <c r="AF203" s="31">
        <v>197</v>
      </c>
      <c r="AG203" s="32" t="s">
        <v>1303</v>
      </c>
      <c r="AH203" s="31">
        <v>0</v>
      </c>
      <c r="AI203" s="28"/>
      <c r="AJ203" s="28"/>
      <c r="AK203" s="883"/>
      <c r="AL203" s="487">
        <f t="shared" ref="AL203:AM209" si="86">AL202</f>
        <v>11</v>
      </c>
      <c r="AM203" s="54">
        <f t="shared" si="86"/>
        <v>2</v>
      </c>
      <c r="AN203" s="52">
        <v>6</v>
      </c>
      <c r="AO203" s="881"/>
      <c r="AP203" s="47" t="s">
        <v>63</v>
      </c>
      <c r="AQ203" s="53"/>
      <c r="AR203" s="53"/>
      <c r="AS203" s="53"/>
      <c r="AT203" s="53"/>
      <c r="AU203" s="53"/>
      <c r="AV203" s="53"/>
      <c r="AW203" s="477">
        <f t="shared" si="84"/>
        <v>0</v>
      </c>
      <c r="AX203" s="477">
        <f t="shared" si="85"/>
        <v>0</v>
      </c>
    </row>
    <row r="204" spans="2:50" x14ac:dyDescent="0.2">
      <c r="B204" s="29"/>
      <c r="C204" s="29"/>
      <c r="D204" s="29"/>
      <c r="E204" s="35"/>
      <c r="F204" s="29"/>
      <c r="G204" s="29"/>
      <c r="H204" s="29"/>
      <c r="I204" s="29"/>
      <c r="J204" s="29"/>
      <c r="K204" s="28"/>
      <c r="L204" s="28"/>
      <c r="M204" s="28"/>
      <c r="N204" s="28"/>
      <c r="O204" s="28"/>
      <c r="P204" s="28"/>
      <c r="Q204" s="28"/>
      <c r="AC204" s="28"/>
      <c r="AD204" s="28"/>
      <c r="AE204" s="28"/>
      <c r="AF204" s="31">
        <v>198</v>
      </c>
      <c r="AG204" s="32" t="s">
        <v>1304</v>
      </c>
      <c r="AH204" s="31">
        <v>0</v>
      </c>
      <c r="AI204" s="28"/>
      <c r="AJ204" s="28"/>
      <c r="AK204" s="883"/>
      <c r="AL204" s="487">
        <f t="shared" si="86"/>
        <v>11</v>
      </c>
      <c r="AM204" s="54">
        <f>AM202</f>
        <v>2</v>
      </c>
      <c r="AN204" s="52">
        <v>7</v>
      </c>
      <c r="AO204" s="881"/>
      <c r="AP204" s="47" t="s">
        <v>64</v>
      </c>
      <c r="AQ204" s="53"/>
      <c r="AR204" s="53"/>
      <c r="AS204" s="53"/>
      <c r="AT204" s="53"/>
      <c r="AU204" s="53"/>
      <c r="AV204" s="53"/>
      <c r="AW204" s="477">
        <f t="shared" si="84"/>
        <v>0</v>
      </c>
      <c r="AX204" s="477">
        <f t="shared" si="85"/>
        <v>0</v>
      </c>
    </row>
    <row r="205" spans="2:50" x14ac:dyDescent="0.2">
      <c r="B205" s="29"/>
      <c r="C205" s="29"/>
      <c r="D205" s="29"/>
      <c r="E205" s="35"/>
      <c r="F205" s="29"/>
      <c r="G205" s="29"/>
      <c r="H205" s="29"/>
      <c r="I205" s="29"/>
      <c r="J205" s="29"/>
      <c r="K205" s="28"/>
      <c r="L205" s="28"/>
      <c r="M205" s="28"/>
      <c r="N205" s="28"/>
      <c r="O205" s="28"/>
      <c r="P205" s="28"/>
      <c r="Q205" s="28"/>
      <c r="AC205" s="28"/>
      <c r="AD205" s="28"/>
      <c r="AE205" s="28"/>
      <c r="AF205" s="31">
        <v>199</v>
      </c>
      <c r="AG205" s="32" t="s">
        <v>1305</v>
      </c>
      <c r="AH205" s="31">
        <v>0</v>
      </c>
      <c r="AI205" s="28"/>
      <c r="AJ205" s="28"/>
      <c r="AK205" s="883"/>
      <c r="AL205" s="487">
        <f t="shared" si="86"/>
        <v>11</v>
      </c>
      <c r="AM205" s="54">
        <f>AM202</f>
        <v>2</v>
      </c>
      <c r="AN205" s="52">
        <v>8</v>
      </c>
      <c r="AO205" s="881"/>
      <c r="AP205" s="47" t="s">
        <v>150</v>
      </c>
      <c r="AQ205" s="53"/>
      <c r="AR205" s="53"/>
      <c r="AS205" s="53"/>
      <c r="AT205" s="53"/>
      <c r="AU205" s="53"/>
      <c r="AV205" s="53"/>
      <c r="AW205" s="477">
        <f t="shared" si="84"/>
        <v>0</v>
      </c>
      <c r="AX205" s="477">
        <f t="shared" si="85"/>
        <v>0</v>
      </c>
    </row>
    <row r="206" spans="2:50" x14ac:dyDescent="0.2">
      <c r="B206" s="29"/>
      <c r="C206" s="29"/>
      <c r="D206" s="29"/>
      <c r="E206" s="35"/>
      <c r="F206" s="29"/>
      <c r="G206" s="29"/>
      <c r="H206" s="29"/>
      <c r="I206" s="29"/>
      <c r="J206" s="29"/>
      <c r="K206" s="28"/>
      <c r="L206" s="28"/>
      <c r="M206" s="28"/>
      <c r="N206" s="28"/>
      <c r="O206" s="28"/>
      <c r="P206" s="28"/>
      <c r="Q206" s="28"/>
      <c r="AC206" s="28"/>
      <c r="AD206" s="28"/>
      <c r="AE206" s="28"/>
      <c r="AF206" s="31">
        <v>200</v>
      </c>
      <c r="AG206" s="32" t="s">
        <v>1306</v>
      </c>
      <c r="AH206" s="31">
        <v>0</v>
      </c>
      <c r="AI206" s="28"/>
      <c r="AJ206" s="28"/>
      <c r="AK206" s="883"/>
      <c r="AL206" s="487">
        <f t="shared" si="86"/>
        <v>11</v>
      </c>
      <c r="AM206" s="54">
        <f>AM202</f>
        <v>2</v>
      </c>
      <c r="AN206" s="52">
        <v>9</v>
      </c>
      <c r="AO206" s="881"/>
      <c r="AP206" s="47" t="s">
        <v>179</v>
      </c>
      <c r="AQ206" s="53"/>
      <c r="AR206" s="53"/>
      <c r="AS206" s="53"/>
      <c r="AT206" s="53"/>
      <c r="AU206" s="53"/>
      <c r="AV206" s="53"/>
      <c r="AW206" s="477">
        <f t="shared" si="84"/>
        <v>0</v>
      </c>
      <c r="AX206" s="477">
        <f t="shared" si="85"/>
        <v>0</v>
      </c>
    </row>
    <row r="207" spans="2:50" x14ac:dyDescent="0.2">
      <c r="B207" s="29"/>
      <c r="C207" s="29"/>
      <c r="D207" s="29"/>
      <c r="E207" s="35"/>
      <c r="F207" s="29"/>
      <c r="G207" s="29"/>
      <c r="H207" s="29"/>
      <c r="I207" s="29"/>
      <c r="J207" s="29"/>
      <c r="K207" s="28"/>
      <c r="L207" s="28"/>
      <c r="M207" s="28"/>
      <c r="N207" s="28"/>
      <c r="O207" s="28"/>
      <c r="P207" s="28"/>
      <c r="Q207" s="28"/>
      <c r="AC207" s="28"/>
      <c r="AD207" s="28"/>
      <c r="AE207" s="28"/>
      <c r="AF207" s="31">
        <v>201</v>
      </c>
      <c r="AG207" s="32" t="s">
        <v>1307</v>
      </c>
      <c r="AH207" s="31">
        <v>0</v>
      </c>
      <c r="AI207" s="28"/>
      <c r="AJ207" s="28"/>
      <c r="AK207" s="883"/>
      <c r="AL207" s="487">
        <f t="shared" si="86"/>
        <v>11</v>
      </c>
      <c r="AM207" s="54">
        <f>AM203</f>
        <v>2</v>
      </c>
      <c r="AN207" s="56">
        <v>10</v>
      </c>
      <c r="AO207" s="881"/>
      <c r="AP207" s="47" t="s">
        <v>180</v>
      </c>
      <c r="AQ207" s="53"/>
      <c r="AR207" s="53"/>
      <c r="AS207" s="53"/>
      <c r="AT207" s="53"/>
      <c r="AU207" s="53"/>
      <c r="AV207" s="53"/>
      <c r="AW207" s="477">
        <f t="shared" si="84"/>
        <v>0</v>
      </c>
      <c r="AX207" s="477">
        <f t="shared" si="85"/>
        <v>0</v>
      </c>
    </row>
    <row r="208" spans="2:50" x14ac:dyDescent="0.2">
      <c r="B208" s="29"/>
      <c r="C208" s="29"/>
      <c r="D208" s="29"/>
      <c r="E208" s="35"/>
      <c r="F208" s="29"/>
      <c r="G208" s="29"/>
      <c r="H208" s="29"/>
      <c r="I208" s="29"/>
      <c r="J208" s="29"/>
      <c r="K208" s="28"/>
      <c r="L208" s="28"/>
      <c r="M208" s="28"/>
      <c r="N208" s="28"/>
      <c r="O208" s="28"/>
      <c r="P208" s="28"/>
      <c r="Q208" s="28"/>
      <c r="AC208" s="28"/>
      <c r="AD208" s="28"/>
      <c r="AE208" s="28"/>
      <c r="AF208" s="31">
        <v>202</v>
      </c>
      <c r="AG208" s="32" t="s">
        <v>1308</v>
      </c>
      <c r="AH208" s="31">
        <v>0</v>
      </c>
      <c r="AI208" s="28"/>
      <c r="AJ208" s="28"/>
      <c r="AK208" s="883"/>
      <c r="AL208" s="487">
        <f t="shared" si="86"/>
        <v>11</v>
      </c>
      <c r="AM208" s="54">
        <f>AM204</f>
        <v>2</v>
      </c>
      <c r="AN208" s="56">
        <v>11</v>
      </c>
      <c r="AO208" s="881"/>
      <c r="AP208" s="47" t="s">
        <v>151</v>
      </c>
      <c r="AQ208" s="53"/>
      <c r="AR208" s="53"/>
      <c r="AS208" s="53"/>
      <c r="AT208" s="53"/>
      <c r="AU208" s="53"/>
      <c r="AV208" s="53"/>
      <c r="AW208" s="477">
        <f t="shared" si="84"/>
        <v>0</v>
      </c>
      <c r="AX208" s="477">
        <f t="shared" si="85"/>
        <v>0</v>
      </c>
    </row>
    <row r="209" spans="2:50" x14ac:dyDescent="0.2">
      <c r="B209" s="29"/>
      <c r="C209" s="29"/>
      <c r="D209" s="29"/>
      <c r="E209" s="35"/>
      <c r="F209" s="29"/>
      <c r="G209" s="29"/>
      <c r="H209" s="29"/>
      <c r="I209" s="29"/>
      <c r="J209" s="29"/>
      <c r="K209" s="28"/>
      <c r="L209" s="28"/>
      <c r="M209" s="28"/>
      <c r="N209" s="28"/>
      <c r="O209" s="28"/>
      <c r="P209" s="28"/>
      <c r="Q209" s="28"/>
      <c r="AC209" s="28"/>
      <c r="AD209" s="28"/>
      <c r="AE209" s="28"/>
      <c r="AF209" s="31">
        <v>203</v>
      </c>
      <c r="AG209" s="32" t="s">
        <v>1309</v>
      </c>
      <c r="AH209" s="31">
        <v>0</v>
      </c>
      <c r="AI209" s="28"/>
      <c r="AJ209" s="28"/>
      <c r="AK209" s="883"/>
      <c r="AL209" s="487">
        <f t="shared" si="86"/>
        <v>11</v>
      </c>
      <c r="AM209" s="54">
        <f>AM205</f>
        <v>2</v>
      </c>
      <c r="AN209" s="56">
        <v>12</v>
      </c>
      <c r="AO209" s="880"/>
      <c r="AP209" s="47" t="s">
        <v>181</v>
      </c>
      <c r="AQ209" s="53"/>
      <c r="AR209" s="53"/>
      <c r="AS209" s="53"/>
      <c r="AT209" s="53"/>
      <c r="AU209" s="53"/>
      <c r="AV209" s="53"/>
      <c r="AW209" s="477">
        <f t="shared" si="84"/>
        <v>0</v>
      </c>
      <c r="AX209" s="477">
        <f t="shared" si="85"/>
        <v>0</v>
      </c>
    </row>
    <row r="210" spans="2:50" x14ac:dyDescent="0.2">
      <c r="B210" s="29"/>
      <c r="C210" s="29"/>
      <c r="D210" s="29"/>
      <c r="E210" s="35"/>
      <c r="F210" s="29"/>
      <c r="G210" s="29"/>
      <c r="H210" s="29"/>
      <c r="I210" s="29"/>
      <c r="J210" s="29"/>
      <c r="K210" s="28"/>
      <c r="L210" s="28"/>
      <c r="M210" s="28"/>
      <c r="N210" s="28"/>
      <c r="O210" s="28"/>
      <c r="P210" s="28"/>
      <c r="Q210" s="28"/>
      <c r="AC210" s="28"/>
      <c r="AD210" s="28"/>
      <c r="AE210" s="28"/>
      <c r="AF210" s="31">
        <v>204</v>
      </c>
      <c r="AG210" s="32" t="s">
        <v>1310</v>
      </c>
      <c r="AH210" s="31">
        <v>0</v>
      </c>
      <c r="AI210" s="28"/>
      <c r="AJ210" s="28"/>
      <c r="AK210" s="883"/>
      <c r="AL210" s="487">
        <f>AL206</f>
        <v>11</v>
      </c>
      <c r="AM210" s="51">
        <v>3</v>
      </c>
      <c r="AN210" s="56">
        <v>2</v>
      </c>
      <c r="AO210" s="879" t="s">
        <v>167</v>
      </c>
      <c r="AP210" s="47" t="s">
        <v>162</v>
      </c>
      <c r="AQ210" s="53"/>
      <c r="AR210" s="53"/>
      <c r="AS210" s="53"/>
      <c r="AT210" s="53"/>
      <c r="AU210" s="53"/>
      <c r="AV210" s="53"/>
      <c r="AW210" s="477">
        <f t="shared" si="84"/>
        <v>0</v>
      </c>
      <c r="AX210" s="477">
        <f t="shared" si="85"/>
        <v>0</v>
      </c>
    </row>
    <row r="211" spans="2:50" x14ac:dyDescent="0.2">
      <c r="B211" s="29"/>
      <c r="C211" s="29"/>
      <c r="D211" s="29"/>
      <c r="E211" s="35"/>
      <c r="F211" s="29"/>
      <c r="G211" s="29"/>
      <c r="H211" s="29"/>
      <c r="I211" s="29"/>
      <c r="J211" s="29"/>
      <c r="K211" s="28"/>
      <c r="L211" s="28"/>
      <c r="M211" s="28"/>
      <c r="N211" s="28"/>
      <c r="O211" s="28"/>
      <c r="P211" s="28"/>
      <c r="Q211" s="28"/>
      <c r="AC211" s="28"/>
      <c r="AD211" s="28"/>
      <c r="AE211" s="28"/>
      <c r="AF211" s="31">
        <v>205</v>
      </c>
      <c r="AG211" s="32" t="s">
        <v>1311</v>
      </c>
      <c r="AH211" s="31">
        <v>0</v>
      </c>
      <c r="AI211" s="28"/>
      <c r="AJ211" s="28"/>
      <c r="AK211" s="883"/>
      <c r="AL211" s="487">
        <f>AL206</f>
        <v>11</v>
      </c>
      <c r="AM211" s="54">
        <f>AM210</f>
        <v>3</v>
      </c>
      <c r="AN211" s="56">
        <v>3</v>
      </c>
      <c r="AO211" s="881"/>
      <c r="AP211" s="47" t="s">
        <v>123</v>
      </c>
      <c r="AQ211" s="53"/>
      <c r="AR211" s="53"/>
      <c r="AS211" s="53"/>
      <c r="AT211" s="53"/>
      <c r="AU211" s="53"/>
      <c r="AV211" s="53"/>
      <c r="AW211" s="477">
        <f t="shared" si="84"/>
        <v>0</v>
      </c>
      <c r="AX211" s="477">
        <f t="shared" si="85"/>
        <v>0</v>
      </c>
    </row>
    <row r="212" spans="2:50" x14ac:dyDescent="0.2">
      <c r="B212" s="29"/>
      <c r="C212" s="29"/>
      <c r="D212" s="29"/>
      <c r="E212" s="35"/>
      <c r="F212" s="29"/>
      <c r="G212" s="29"/>
      <c r="H212" s="29"/>
      <c r="I212" s="29"/>
      <c r="J212" s="29"/>
      <c r="K212" s="28"/>
      <c r="L212" s="28"/>
      <c r="M212" s="28"/>
      <c r="N212" s="28"/>
      <c r="O212" s="28"/>
      <c r="P212" s="28"/>
      <c r="Q212" s="28"/>
      <c r="AC212" s="28"/>
      <c r="AD212" s="28"/>
      <c r="AE212" s="28"/>
      <c r="AF212" s="31">
        <v>206</v>
      </c>
      <c r="AG212" s="32" t="s">
        <v>1312</v>
      </c>
      <c r="AH212" s="31">
        <v>0</v>
      </c>
      <c r="AI212" s="28"/>
      <c r="AJ212" s="28"/>
      <c r="AK212" s="883"/>
      <c r="AL212" s="487">
        <f t="shared" ref="AL212:AM222" si="87">AL211</f>
        <v>11</v>
      </c>
      <c r="AM212" s="54">
        <f>AM210</f>
        <v>3</v>
      </c>
      <c r="AN212" s="56">
        <v>4</v>
      </c>
      <c r="AO212" s="881"/>
      <c r="AP212" s="47" t="s">
        <v>122</v>
      </c>
      <c r="AQ212" s="53"/>
      <c r="AR212" s="53"/>
      <c r="AS212" s="53"/>
      <c r="AT212" s="53"/>
      <c r="AU212" s="53"/>
      <c r="AV212" s="53"/>
      <c r="AW212" s="477">
        <f t="shared" si="84"/>
        <v>0</v>
      </c>
      <c r="AX212" s="477">
        <f t="shared" si="85"/>
        <v>0</v>
      </c>
    </row>
    <row r="213" spans="2:50" x14ac:dyDescent="0.2">
      <c r="B213" s="29"/>
      <c r="C213" s="29"/>
      <c r="D213" s="29"/>
      <c r="E213" s="35"/>
      <c r="F213" s="29"/>
      <c r="G213" s="29"/>
      <c r="H213" s="29"/>
      <c r="I213" s="29"/>
      <c r="J213" s="29"/>
      <c r="K213" s="28"/>
      <c r="L213" s="28"/>
      <c r="M213" s="28"/>
      <c r="N213" s="28"/>
      <c r="O213" s="28"/>
      <c r="P213" s="28"/>
      <c r="Q213" s="28"/>
      <c r="AC213" s="28"/>
      <c r="AD213" s="28"/>
      <c r="AE213" s="28"/>
      <c r="AF213" s="31">
        <v>207</v>
      </c>
      <c r="AG213" s="32" t="s">
        <v>1313</v>
      </c>
      <c r="AH213" s="31">
        <v>0</v>
      </c>
      <c r="AI213" s="28"/>
      <c r="AJ213" s="28"/>
      <c r="AK213" s="883"/>
      <c r="AL213" s="487">
        <f t="shared" si="87"/>
        <v>11</v>
      </c>
      <c r="AM213" s="54">
        <f t="shared" si="87"/>
        <v>3</v>
      </c>
      <c r="AN213" s="56">
        <v>5</v>
      </c>
      <c r="AO213" s="881"/>
      <c r="AP213" s="47" t="s">
        <v>121</v>
      </c>
      <c r="AQ213" s="53"/>
      <c r="AR213" s="53"/>
      <c r="AS213" s="53"/>
      <c r="AT213" s="53"/>
      <c r="AU213" s="53"/>
      <c r="AV213" s="53"/>
      <c r="AW213" s="477">
        <f t="shared" si="84"/>
        <v>0</v>
      </c>
      <c r="AX213" s="477">
        <f t="shared" si="85"/>
        <v>0</v>
      </c>
    </row>
    <row r="214" spans="2:50" x14ac:dyDescent="0.2">
      <c r="B214" s="29"/>
      <c r="C214" s="29"/>
      <c r="D214" s="29"/>
      <c r="E214" s="35"/>
      <c r="F214" s="29"/>
      <c r="G214" s="29"/>
      <c r="H214" s="29"/>
      <c r="I214" s="29"/>
      <c r="J214" s="29"/>
      <c r="K214" s="28"/>
      <c r="L214" s="28"/>
      <c r="M214" s="28"/>
      <c r="N214" s="28"/>
      <c r="O214" s="28"/>
      <c r="P214" s="28"/>
      <c r="Q214" s="28"/>
      <c r="AC214" s="28"/>
      <c r="AD214" s="28"/>
      <c r="AE214" s="28"/>
      <c r="AF214" s="31">
        <v>208</v>
      </c>
      <c r="AG214" s="32" t="s">
        <v>1314</v>
      </c>
      <c r="AH214" s="31">
        <v>0</v>
      </c>
      <c r="AI214" s="28"/>
      <c r="AJ214" s="28"/>
      <c r="AK214" s="883"/>
      <c r="AL214" s="487">
        <f t="shared" si="87"/>
        <v>11</v>
      </c>
      <c r="AM214" s="60">
        <f t="shared" si="87"/>
        <v>3</v>
      </c>
      <c r="AN214" s="56">
        <v>6</v>
      </c>
      <c r="AO214" s="880"/>
      <c r="AP214" s="47" t="s">
        <v>63</v>
      </c>
      <c r="AQ214" s="53"/>
      <c r="AR214" s="53"/>
      <c r="AS214" s="53"/>
      <c r="AT214" s="53"/>
      <c r="AU214" s="53"/>
      <c r="AV214" s="53"/>
      <c r="AW214" s="477">
        <f t="shared" si="84"/>
        <v>0</v>
      </c>
      <c r="AX214" s="477">
        <f t="shared" si="85"/>
        <v>0</v>
      </c>
    </row>
    <row r="215" spans="2:50" x14ac:dyDescent="0.2">
      <c r="B215" s="29"/>
      <c r="C215" s="29"/>
      <c r="D215" s="29"/>
      <c r="E215" s="35"/>
      <c r="F215" s="29"/>
      <c r="G215" s="29"/>
      <c r="H215" s="29"/>
      <c r="I215" s="29"/>
      <c r="J215" s="29"/>
      <c r="K215" s="28"/>
      <c r="L215" s="28"/>
      <c r="M215" s="28"/>
      <c r="N215" s="28"/>
      <c r="O215" s="28"/>
      <c r="P215" s="28"/>
      <c r="Q215" s="28"/>
      <c r="AC215" s="28"/>
      <c r="AD215" s="28"/>
      <c r="AE215" s="28"/>
      <c r="AF215" s="31">
        <v>209</v>
      </c>
      <c r="AG215" s="32" t="s">
        <v>1315</v>
      </c>
      <c r="AH215" s="31">
        <v>0</v>
      </c>
      <c r="AI215" s="28"/>
      <c r="AJ215" s="28"/>
      <c r="AK215" s="883"/>
      <c r="AL215" s="487">
        <f t="shared" si="87"/>
        <v>11</v>
      </c>
      <c r="AM215" s="54">
        <v>4</v>
      </c>
      <c r="AN215" s="52">
        <v>5</v>
      </c>
      <c r="AO215" s="879" t="s">
        <v>168</v>
      </c>
      <c r="AP215" s="47" t="s">
        <v>121</v>
      </c>
      <c r="AQ215" s="53"/>
      <c r="AR215" s="53"/>
      <c r="AS215" s="53"/>
      <c r="AT215" s="53"/>
      <c r="AU215" s="53"/>
      <c r="AV215" s="53"/>
      <c r="AW215" s="477">
        <f t="shared" si="84"/>
        <v>0</v>
      </c>
      <c r="AX215" s="477">
        <f t="shared" si="85"/>
        <v>0</v>
      </c>
    </row>
    <row r="216" spans="2:50" x14ac:dyDescent="0.2">
      <c r="B216" s="29"/>
      <c r="C216" s="29"/>
      <c r="D216" s="29"/>
      <c r="E216" s="35"/>
      <c r="F216" s="29"/>
      <c r="G216" s="29"/>
      <c r="H216" s="29"/>
      <c r="I216" s="29"/>
      <c r="J216" s="29"/>
      <c r="K216" s="28"/>
      <c r="L216" s="28"/>
      <c r="M216" s="28"/>
      <c r="N216" s="28"/>
      <c r="O216" s="28"/>
      <c r="P216" s="28"/>
      <c r="Q216" s="28"/>
      <c r="AC216" s="28"/>
      <c r="AD216" s="28"/>
      <c r="AE216" s="28"/>
      <c r="AF216" s="31">
        <v>210</v>
      </c>
      <c r="AG216" s="32" t="s">
        <v>1316</v>
      </c>
      <c r="AH216" s="31">
        <v>0</v>
      </c>
      <c r="AI216" s="28"/>
      <c r="AJ216" s="28"/>
      <c r="AK216" s="883"/>
      <c r="AL216" s="487">
        <f t="shared" si="87"/>
        <v>11</v>
      </c>
      <c r="AM216" s="60">
        <v>4</v>
      </c>
      <c r="AN216" s="52">
        <v>6</v>
      </c>
      <c r="AO216" s="880"/>
      <c r="AP216" s="47" t="s">
        <v>63</v>
      </c>
      <c r="AQ216" s="53"/>
      <c r="AR216" s="53"/>
      <c r="AS216" s="53"/>
      <c r="AT216" s="53"/>
      <c r="AU216" s="53"/>
      <c r="AV216" s="53"/>
      <c r="AW216" s="477">
        <f t="shared" si="84"/>
        <v>0</v>
      </c>
      <c r="AX216" s="477">
        <f t="shared" si="85"/>
        <v>0</v>
      </c>
    </row>
    <row r="217" spans="2:50" x14ac:dyDescent="0.2">
      <c r="B217" s="29"/>
      <c r="C217" s="29"/>
      <c r="D217" s="29"/>
      <c r="E217" s="35"/>
      <c r="F217" s="29"/>
      <c r="G217" s="29"/>
      <c r="H217" s="29"/>
      <c r="I217" s="29"/>
      <c r="J217" s="29"/>
      <c r="K217" s="28"/>
      <c r="L217" s="28"/>
      <c r="M217" s="28"/>
      <c r="N217" s="28"/>
      <c r="O217" s="28"/>
      <c r="P217" s="28"/>
      <c r="Q217" s="28"/>
      <c r="AC217" s="28"/>
      <c r="AD217" s="28"/>
      <c r="AE217" s="28"/>
      <c r="AF217" s="31">
        <v>211</v>
      </c>
      <c r="AG217" s="32" t="s">
        <v>1317</v>
      </c>
      <c r="AH217" s="31">
        <v>0</v>
      </c>
      <c r="AI217" s="28"/>
      <c r="AJ217" s="28"/>
      <c r="AK217" s="883"/>
      <c r="AL217" s="487">
        <f t="shared" si="87"/>
        <v>11</v>
      </c>
      <c r="AM217" s="54">
        <v>5</v>
      </c>
      <c r="AN217" s="52">
        <v>7</v>
      </c>
      <c r="AO217" s="879" t="s">
        <v>166</v>
      </c>
      <c r="AP217" s="47" t="s">
        <v>64</v>
      </c>
      <c r="AQ217" s="53"/>
      <c r="AR217" s="53"/>
      <c r="AS217" s="53"/>
      <c r="AT217" s="53"/>
      <c r="AU217" s="53"/>
      <c r="AV217" s="53"/>
      <c r="AW217" s="477">
        <f t="shared" si="84"/>
        <v>0</v>
      </c>
      <c r="AX217" s="477">
        <f t="shared" si="85"/>
        <v>0</v>
      </c>
    </row>
    <row r="218" spans="2:50" x14ac:dyDescent="0.2">
      <c r="B218" s="29"/>
      <c r="C218" s="29"/>
      <c r="D218" s="29"/>
      <c r="E218" s="35"/>
      <c r="F218" s="29"/>
      <c r="G218" s="29"/>
      <c r="H218" s="29"/>
      <c r="I218" s="29"/>
      <c r="J218" s="29"/>
      <c r="K218" s="28"/>
      <c r="L218" s="28"/>
      <c r="M218" s="28"/>
      <c r="N218" s="28"/>
      <c r="O218" s="28"/>
      <c r="P218" s="28"/>
      <c r="Q218" s="28"/>
      <c r="AC218" s="28"/>
      <c r="AD218" s="28"/>
      <c r="AE218" s="28"/>
      <c r="AF218" s="31">
        <v>212</v>
      </c>
      <c r="AG218" s="32" t="s">
        <v>1318</v>
      </c>
      <c r="AH218" s="31">
        <v>0</v>
      </c>
      <c r="AI218" s="28"/>
      <c r="AJ218" s="28"/>
      <c r="AK218" s="883"/>
      <c r="AL218" s="487">
        <f t="shared" si="87"/>
        <v>11</v>
      </c>
      <c r="AM218" s="54">
        <v>5</v>
      </c>
      <c r="AN218" s="52">
        <v>8</v>
      </c>
      <c r="AO218" s="881"/>
      <c r="AP218" s="47" t="s">
        <v>150</v>
      </c>
      <c r="AQ218" s="53"/>
      <c r="AR218" s="53"/>
      <c r="AS218" s="53"/>
      <c r="AT218" s="53"/>
      <c r="AU218" s="53"/>
      <c r="AV218" s="53"/>
      <c r="AW218" s="477">
        <f t="shared" si="84"/>
        <v>0</v>
      </c>
      <c r="AX218" s="477">
        <f t="shared" si="85"/>
        <v>0</v>
      </c>
    </row>
    <row r="219" spans="2:50" x14ac:dyDescent="0.2">
      <c r="B219" s="29"/>
      <c r="C219" s="29"/>
      <c r="D219" s="29"/>
      <c r="E219" s="35"/>
      <c r="F219" s="29"/>
      <c r="G219" s="29"/>
      <c r="H219" s="29"/>
      <c r="I219" s="29"/>
      <c r="J219" s="29"/>
      <c r="K219" s="28"/>
      <c r="L219" s="28"/>
      <c r="M219" s="28"/>
      <c r="N219" s="28"/>
      <c r="O219" s="28"/>
      <c r="P219" s="28"/>
      <c r="Q219" s="28"/>
      <c r="AC219" s="28"/>
      <c r="AD219" s="28"/>
      <c r="AE219" s="28"/>
      <c r="AF219" s="31">
        <v>213</v>
      </c>
      <c r="AG219" s="32" t="s">
        <v>1319</v>
      </c>
      <c r="AH219" s="31">
        <v>0</v>
      </c>
      <c r="AI219" s="28"/>
      <c r="AJ219" s="28"/>
      <c r="AK219" s="883"/>
      <c r="AL219" s="487">
        <f t="shared" si="87"/>
        <v>11</v>
      </c>
      <c r="AM219" s="54">
        <v>5</v>
      </c>
      <c r="AN219" s="52">
        <v>9</v>
      </c>
      <c r="AO219" s="881"/>
      <c r="AP219" s="47" t="s">
        <v>179</v>
      </c>
      <c r="AQ219" s="53"/>
      <c r="AR219" s="53"/>
      <c r="AS219" s="53"/>
      <c r="AT219" s="53"/>
      <c r="AU219" s="53"/>
      <c r="AV219" s="53"/>
      <c r="AW219" s="477">
        <f t="shared" si="84"/>
        <v>0</v>
      </c>
      <c r="AX219" s="477">
        <f t="shared" si="85"/>
        <v>0</v>
      </c>
    </row>
    <row r="220" spans="2:50" x14ac:dyDescent="0.2">
      <c r="B220" s="29"/>
      <c r="C220" s="29"/>
      <c r="D220" s="29"/>
      <c r="E220" s="35"/>
      <c r="F220" s="29"/>
      <c r="G220" s="29"/>
      <c r="H220" s="29"/>
      <c r="I220" s="29"/>
      <c r="J220" s="29"/>
      <c r="K220" s="28"/>
      <c r="L220" s="28"/>
      <c r="M220" s="28"/>
      <c r="N220" s="28"/>
      <c r="O220" s="28"/>
      <c r="P220" s="28"/>
      <c r="Q220" s="28"/>
      <c r="AC220" s="28"/>
      <c r="AD220" s="28"/>
      <c r="AE220" s="28"/>
      <c r="AF220" s="31">
        <v>214</v>
      </c>
      <c r="AG220" s="32" t="s">
        <v>1320</v>
      </c>
      <c r="AH220" s="31">
        <v>0</v>
      </c>
      <c r="AI220" s="28"/>
      <c r="AJ220" s="28"/>
      <c r="AK220" s="883"/>
      <c r="AL220" s="487">
        <f t="shared" si="87"/>
        <v>11</v>
      </c>
      <c r="AM220" s="54">
        <v>5</v>
      </c>
      <c r="AN220" s="52">
        <v>10</v>
      </c>
      <c r="AO220" s="881"/>
      <c r="AP220" s="47" t="s">
        <v>180</v>
      </c>
      <c r="AQ220" s="53"/>
      <c r="AR220" s="53"/>
      <c r="AS220" s="53"/>
      <c r="AT220" s="53"/>
      <c r="AU220" s="53"/>
      <c r="AV220" s="53"/>
      <c r="AW220" s="477">
        <f t="shared" si="84"/>
        <v>0</v>
      </c>
      <c r="AX220" s="477">
        <f t="shared" si="85"/>
        <v>0</v>
      </c>
    </row>
    <row r="221" spans="2:50" x14ac:dyDescent="0.2">
      <c r="B221" s="29"/>
      <c r="C221" s="29"/>
      <c r="D221" s="29"/>
      <c r="E221" s="35"/>
      <c r="F221" s="29"/>
      <c r="G221" s="29"/>
      <c r="H221" s="29"/>
      <c r="I221" s="29"/>
      <c r="J221" s="29"/>
      <c r="K221" s="28"/>
      <c r="L221" s="28"/>
      <c r="M221" s="28"/>
      <c r="N221" s="28"/>
      <c r="O221" s="28"/>
      <c r="P221" s="28"/>
      <c r="Q221" s="28"/>
      <c r="AC221" s="28"/>
      <c r="AD221" s="28"/>
      <c r="AE221" s="28"/>
      <c r="AF221" s="31">
        <v>215</v>
      </c>
      <c r="AG221" s="32" t="s">
        <v>1321</v>
      </c>
      <c r="AH221" s="31">
        <v>0</v>
      </c>
      <c r="AI221" s="28"/>
      <c r="AJ221" s="28"/>
      <c r="AK221" s="883"/>
      <c r="AL221" s="487">
        <f t="shared" si="87"/>
        <v>11</v>
      </c>
      <c r="AM221" s="54">
        <v>5</v>
      </c>
      <c r="AN221" s="52">
        <v>11</v>
      </c>
      <c r="AO221" s="881"/>
      <c r="AP221" s="47" t="s">
        <v>151</v>
      </c>
      <c r="AQ221" s="53"/>
      <c r="AR221" s="53"/>
      <c r="AS221" s="53"/>
      <c r="AT221" s="53"/>
      <c r="AU221" s="53"/>
      <c r="AV221" s="53"/>
      <c r="AW221" s="477">
        <f t="shared" si="84"/>
        <v>0</v>
      </c>
      <c r="AX221" s="477">
        <f t="shared" si="85"/>
        <v>0</v>
      </c>
    </row>
    <row r="222" spans="2:50" x14ac:dyDescent="0.2">
      <c r="B222" s="29"/>
      <c r="C222" s="29"/>
      <c r="D222" s="29"/>
      <c r="E222" s="35"/>
      <c r="F222" s="29"/>
      <c r="G222" s="29"/>
      <c r="H222" s="29"/>
      <c r="I222" s="29"/>
      <c r="J222" s="29"/>
      <c r="K222" s="28"/>
      <c r="L222" s="28"/>
      <c r="M222" s="28"/>
      <c r="N222" s="28"/>
      <c r="O222" s="28"/>
      <c r="P222" s="28"/>
      <c r="Q222" s="28"/>
      <c r="AC222" s="28"/>
      <c r="AD222" s="28"/>
      <c r="AE222" s="28"/>
      <c r="AF222" s="31">
        <v>216</v>
      </c>
      <c r="AG222" s="32" t="s">
        <v>1322</v>
      </c>
      <c r="AH222" s="31">
        <v>0</v>
      </c>
      <c r="AI222" s="28"/>
      <c r="AJ222" s="28"/>
      <c r="AK222" s="884"/>
      <c r="AL222" s="488">
        <f t="shared" si="87"/>
        <v>11</v>
      </c>
      <c r="AM222" s="60">
        <v>5</v>
      </c>
      <c r="AN222" s="52">
        <v>12</v>
      </c>
      <c r="AO222" s="880"/>
      <c r="AP222" s="47" t="s">
        <v>181</v>
      </c>
      <c r="AQ222" s="53"/>
      <c r="AR222" s="53"/>
      <c r="AS222" s="53"/>
      <c r="AT222" s="53"/>
      <c r="AU222" s="53"/>
      <c r="AV222" s="53"/>
    </row>
    <row r="223" spans="2:50" x14ac:dyDescent="0.2">
      <c r="B223" s="29"/>
      <c r="C223" s="29"/>
      <c r="D223" s="29"/>
      <c r="E223" s="35"/>
      <c r="F223" s="29"/>
      <c r="G223" s="29"/>
      <c r="H223" s="29"/>
      <c r="I223" s="29"/>
      <c r="J223" s="29"/>
      <c r="K223" s="28"/>
      <c r="L223" s="28"/>
      <c r="M223" s="28"/>
      <c r="N223" s="28"/>
      <c r="O223" s="28"/>
      <c r="P223" s="28"/>
      <c r="Q223" s="28"/>
      <c r="AC223" s="28"/>
      <c r="AD223" s="28"/>
      <c r="AE223" s="28"/>
      <c r="AF223" s="31">
        <v>217</v>
      </c>
      <c r="AG223" s="32" t="s">
        <v>1323</v>
      </c>
      <c r="AH223" s="31">
        <v>0</v>
      </c>
      <c r="AI223" s="28"/>
      <c r="AJ223" s="28"/>
    </row>
    <row r="224" spans="2:50" x14ac:dyDescent="0.2">
      <c r="B224" s="29"/>
      <c r="C224" s="29"/>
      <c r="D224" s="29"/>
      <c r="E224" s="35"/>
      <c r="F224" s="29"/>
      <c r="G224" s="29"/>
      <c r="H224" s="29"/>
      <c r="I224" s="29"/>
      <c r="J224" s="29"/>
      <c r="K224" s="28"/>
      <c r="L224" s="28"/>
      <c r="M224" s="28"/>
      <c r="N224" s="28"/>
      <c r="O224" s="28"/>
      <c r="P224" s="28"/>
      <c r="Q224" s="28"/>
      <c r="AC224" s="28"/>
      <c r="AD224" s="28"/>
      <c r="AE224" s="28"/>
      <c r="AF224" s="31">
        <v>218</v>
      </c>
      <c r="AG224" s="32" t="s">
        <v>1324</v>
      </c>
      <c r="AH224" s="31">
        <v>0</v>
      </c>
      <c r="AI224" s="28"/>
      <c r="AJ224" s="28"/>
    </row>
    <row r="225" spans="2:36" x14ac:dyDescent="0.2">
      <c r="B225" s="29"/>
      <c r="C225" s="29"/>
      <c r="D225" s="29"/>
      <c r="E225" s="35"/>
      <c r="F225" s="29"/>
      <c r="G225" s="29"/>
      <c r="H225" s="29"/>
      <c r="I225" s="29"/>
      <c r="J225" s="29"/>
      <c r="K225" s="28"/>
      <c r="L225" s="28"/>
      <c r="M225" s="28"/>
      <c r="N225" s="28"/>
      <c r="O225" s="28"/>
      <c r="P225" s="28"/>
      <c r="Q225" s="28"/>
      <c r="AC225" s="28"/>
      <c r="AD225" s="28"/>
      <c r="AE225" s="28"/>
      <c r="AF225" s="31">
        <v>219</v>
      </c>
      <c r="AG225" s="32" t="s">
        <v>1325</v>
      </c>
      <c r="AH225" s="31">
        <v>0</v>
      </c>
      <c r="AI225" s="28"/>
      <c r="AJ225" s="28"/>
    </row>
    <row r="226" spans="2:36" x14ac:dyDescent="0.2">
      <c r="B226" s="29"/>
      <c r="C226" s="29"/>
      <c r="D226" s="29"/>
      <c r="E226" s="35"/>
      <c r="F226" s="29"/>
      <c r="G226" s="29"/>
      <c r="H226" s="29"/>
      <c r="I226" s="29"/>
      <c r="J226" s="29"/>
      <c r="K226" s="28"/>
      <c r="L226" s="28"/>
      <c r="M226" s="28"/>
      <c r="N226" s="28"/>
      <c r="O226" s="28"/>
      <c r="P226" s="28"/>
      <c r="Q226" s="28"/>
      <c r="AC226" s="28"/>
      <c r="AD226" s="28"/>
      <c r="AE226" s="28"/>
      <c r="AF226" s="31">
        <v>220</v>
      </c>
      <c r="AG226" s="32" t="s">
        <v>1326</v>
      </c>
      <c r="AH226" s="31">
        <v>0</v>
      </c>
      <c r="AI226" s="28"/>
      <c r="AJ226" s="28"/>
    </row>
    <row r="227" spans="2:36" x14ac:dyDescent="0.2">
      <c r="B227" s="29"/>
      <c r="C227" s="29"/>
      <c r="D227" s="29"/>
      <c r="E227" s="35"/>
      <c r="F227" s="29"/>
      <c r="G227" s="29"/>
      <c r="H227" s="29"/>
      <c r="I227" s="29"/>
      <c r="J227" s="29"/>
      <c r="K227" s="28"/>
      <c r="L227" s="28"/>
      <c r="M227" s="28"/>
      <c r="N227" s="28"/>
      <c r="O227" s="28"/>
      <c r="P227" s="28"/>
      <c r="Q227" s="28"/>
      <c r="AC227" s="28"/>
      <c r="AD227" s="28"/>
      <c r="AE227" s="28"/>
      <c r="AF227" s="31">
        <v>221</v>
      </c>
      <c r="AG227" s="32" t="s">
        <v>1327</v>
      </c>
      <c r="AH227" s="31">
        <v>0</v>
      </c>
      <c r="AI227" s="28"/>
      <c r="AJ227" s="28"/>
    </row>
    <row r="228" spans="2:36" x14ac:dyDescent="0.2">
      <c r="B228" s="29"/>
      <c r="C228" s="29"/>
      <c r="D228" s="29"/>
      <c r="E228" s="35"/>
      <c r="F228" s="29"/>
      <c r="G228" s="29"/>
      <c r="H228" s="29"/>
      <c r="I228" s="29"/>
      <c r="J228" s="29"/>
      <c r="K228" s="28"/>
      <c r="L228" s="28"/>
      <c r="M228" s="28"/>
      <c r="N228" s="28"/>
      <c r="O228" s="28"/>
      <c r="P228" s="28"/>
      <c r="Q228" s="28"/>
      <c r="AC228" s="28"/>
      <c r="AD228" s="28"/>
      <c r="AE228" s="28"/>
      <c r="AF228" s="31">
        <v>222</v>
      </c>
      <c r="AG228" s="32" t="s">
        <v>1328</v>
      </c>
      <c r="AH228" s="31">
        <v>0</v>
      </c>
      <c r="AI228" s="28"/>
      <c r="AJ228" s="28"/>
    </row>
    <row r="229" spans="2:36" x14ac:dyDescent="0.2">
      <c r="B229" s="29"/>
      <c r="C229" s="29"/>
      <c r="D229" s="29"/>
      <c r="E229" s="35"/>
      <c r="F229" s="29"/>
      <c r="G229" s="29"/>
      <c r="H229" s="29"/>
      <c r="I229" s="29"/>
      <c r="J229" s="29"/>
      <c r="K229" s="28"/>
      <c r="L229" s="28"/>
      <c r="M229" s="28"/>
      <c r="N229" s="28"/>
      <c r="O229" s="28"/>
      <c r="P229" s="28"/>
      <c r="Q229" s="28"/>
      <c r="AC229" s="28"/>
      <c r="AD229" s="28"/>
      <c r="AE229" s="28"/>
      <c r="AF229" s="31">
        <v>223</v>
      </c>
      <c r="AG229" s="32" t="s">
        <v>1329</v>
      </c>
      <c r="AH229" s="31">
        <v>0</v>
      </c>
      <c r="AI229" s="28"/>
      <c r="AJ229" s="28"/>
    </row>
    <row r="230" spans="2:36" x14ac:dyDescent="0.2">
      <c r="B230" s="29"/>
      <c r="C230" s="29"/>
      <c r="D230" s="29"/>
      <c r="E230" s="35"/>
      <c r="F230" s="29"/>
      <c r="G230" s="29"/>
      <c r="H230" s="29"/>
      <c r="I230" s="29"/>
      <c r="J230" s="29"/>
      <c r="K230" s="28"/>
      <c r="L230" s="28"/>
      <c r="M230" s="28"/>
      <c r="N230" s="28"/>
      <c r="O230" s="28"/>
      <c r="P230" s="28"/>
      <c r="Q230" s="28"/>
      <c r="AC230" s="28"/>
      <c r="AD230" s="28"/>
      <c r="AE230" s="28"/>
      <c r="AF230" s="31">
        <v>224</v>
      </c>
      <c r="AG230" s="32" t="s">
        <v>1330</v>
      </c>
      <c r="AH230" s="31">
        <v>0</v>
      </c>
      <c r="AI230" s="28"/>
      <c r="AJ230" s="28"/>
    </row>
    <row r="231" spans="2:36" x14ac:dyDescent="0.2">
      <c r="B231" s="29"/>
      <c r="C231" s="29"/>
      <c r="D231" s="29"/>
      <c r="E231" s="35"/>
      <c r="F231" s="29"/>
      <c r="G231" s="29"/>
      <c r="H231" s="29"/>
      <c r="I231" s="29"/>
      <c r="J231" s="29"/>
      <c r="K231" s="28"/>
      <c r="L231" s="28"/>
      <c r="M231" s="28"/>
      <c r="N231" s="28"/>
      <c r="O231" s="28"/>
      <c r="P231" s="28"/>
      <c r="Q231" s="28"/>
      <c r="AC231" s="28"/>
      <c r="AD231" s="28"/>
      <c r="AE231" s="28"/>
      <c r="AF231" s="31">
        <v>225</v>
      </c>
      <c r="AG231" s="32"/>
      <c r="AH231" s="31">
        <v>0</v>
      </c>
      <c r="AI231" s="28"/>
      <c r="AJ231" s="28"/>
    </row>
    <row r="232" spans="2:36" x14ac:dyDescent="0.2">
      <c r="B232" s="29"/>
      <c r="C232" s="29"/>
      <c r="D232" s="29"/>
      <c r="E232" s="35"/>
      <c r="F232" s="29"/>
      <c r="G232" s="29"/>
      <c r="H232" s="29"/>
      <c r="I232" s="29"/>
      <c r="J232" s="29"/>
      <c r="K232" s="28"/>
      <c r="L232" s="28"/>
      <c r="M232" s="28"/>
      <c r="N232" s="28"/>
      <c r="O232" s="28"/>
      <c r="P232" s="28"/>
      <c r="Q232" s="28"/>
      <c r="AC232" s="28"/>
      <c r="AD232" s="28"/>
      <c r="AE232" s="28"/>
      <c r="AF232" s="31">
        <v>226</v>
      </c>
      <c r="AG232" s="32"/>
      <c r="AH232" s="31">
        <v>0</v>
      </c>
      <c r="AI232" s="28"/>
      <c r="AJ232" s="28"/>
    </row>
    <row r="233" spans="2:36" x14ac:dyDescent="0.2">
      <c r="B233" s="29"/>
      <c r="C233" s="29"/>
      <c r="D233" s="29"/>
      <c r="E233" s="35"/>
      <c r="F233" s="29"/>
      <c r="G233" s="29"/>
      <c r="H233" s="29"/>
      <c r="I233" s="29"/>
      <c r="J233" s="29"/>
      <c r="K233" s="28"/>
      <c r="L233" s="28"/>
      <c r="M233" s="28"/>
      <c r="N233" s="28"/>
      <c r="O233" s="28"/>
      <c r="P233" s="28"/>
      <c r="Q233" s="28"/>
      <c r="AC233" s="28"/>
      <c r="AD233" s="28"/>
      <c r="AE233" s="28"/>
      <c r="AF233" s="31">
        <v>227</v>
      </c>
      <c r="AG233" s="32"/>
      <c r="AH233" s="31">
        <v>0</v>
      </c>
      <c r="AI233" s="28"/>
      <c r="AJ233" s="28"/>
    </row>
    <row r="234" spans="2:36" x14ac:dyDescent="0.2">
      <c r="B234" s="29"/>
      <c r="C234" s="29"/>
      <c r="D234" s="29"/>
      <c r="E234" s="35"/>
      <c r="F234" s="29"/>
      <c r="G234" s="29"/>
      <c r="H234" s="29"/>
      <c r="I234" s="29"/>
      <c r="J234" s="29"/>
      <c r="K234" s="28"/>
      <c r="L234" s="28"/>
      <c r="M234" s="28"/>
      <c r="N234" s="28"/>
      <c r="O234" s="28"/>
      <c r="P234" s="28"/>
      <c r="Q234" s="28"/>
      <c r="AC234" s="28"/>
      <c r="AD234" s="28"/>
      <c r="AE234" s="28"/>
      <c r="AF234" s="31">
        <v>228</v>
      </c>
      <c r="AG234" s="32"/>
      <c r="AH234" s="31">
        <v>0</v>
      </c>
      <c r="AI234" s="28"/>
      <c r="AJ234" s="28"/>
    </row>
    <row r="235" spans="2:36" x14ac:dyDescent="0.2">
      <c r="B235" s="29"/>
      <c r="C235" s="29"/>
      <c r="D235" s="29"/>
      <c r="E235" s="35"/>
      <c r="F235" s="29"/>
      <c r="G235" s="29"/>
      <c r="H235" s="29"/>
      <c r="I235" s="29"/>
      <c r="J235" s="29"/>
      <c r="K235" s="28"/>
      <c r="L235" s="28"/>
      <c r="M235" s="28"/>
      <c r="N235" s="28"/>
      <c r="O235" s="28"/>
      <c r="P235" s="28"/>
      <c r="Q235" s="28"/>
      <c r="AC235" s="28"/>
      <c r="AD235" s="28"/>
      <c r="AE235" s="28"/>
      <c r="AF235" s="31">
        <v>229</v>
      </c>
      <c r="AG235" s="32"/>
      <c r="AH235" s="31">
        <v>0</v>
      </c>
      <c r="AI235" s="28"/>
      <c r="AJ235" s="28"/>
    </row>
    <row r="236" spans="2:36" x14ac:dyDescent="0.2">
      <c r="B236" s="29"/>
      <c r="C236" s="29"/>
      <c r="D236" s="29"/>
      <c r="E236" s="35"/>
      <c r="F236" s="29"/>
      <c r="G236" s="29"/>
      <c r="H236" s="29"/>
      <c r="I236" s="29"/>
      <c r="J236" s="29"/>
      <c r="K236" s="28"/>
      <c r="L236" s="28"/>
      <c r="M236" s="28"/>
      <c r="N236" s="28"/>
      <c r="O236" s="28"/>
      <c r="P236" s="28"/>
      <c r="Q236" s="28"/>
      <c r="AC236" s="28"/>
      <c r="AD236" s="28"/>
      <c r="AE236" s="28"/>
      <c r="AF236" s="31">
        <v>230</v>
      </c>
      <c r="AG236" s="32"/>
      <c r="AH236" s="31">
        <v>0</v>
      </c>
      <c r="AI236" s="28"/>
      <c r="AJ236" s="28"/>
    </row>
    <row r="237" spans="2:36" x14ac:dyDescent="0.2">
      <c r="B237" s="29"/>
      <c r="C237" s="29"/>
      <c r="D237" s="29"/>
      <c r="E237" s="35"/>
      <c r="F237" s="29"/>
      <c r="G237" s="29"/>
      <c r="H237" s="29"/>
      <c r="I237" s="29"/>
      <c r="J237" s="29"/>
      <c r="K237" s="28"/>
      <c r="L237" s="28"/>
      <c r="M237" s="28"/>
      <c r="N237" s="28"/>
      <c r="O237" s="28"/>
      <c r="P237" s="28"/>
      <c r="Q237" s="28"/>
      <c r="AC237" s="28"/>
      <c r="AD237" s="28"/>
      <c r="AE237" s="28"/>
      <c r="AF237" s="31">
        <v>231</v>
      </c>
      <c r="AG237" s="32"/>
      <c r="AH237" s="31">
        <v>0</v>
      </c>
      <c r="AI237" s="28"/>
      <c r="AJ237" s="28"/>
    </row>
    <row r="238" spans="2:36" x14ac:dyDescent="0.2">
      <c r="B238" s="29"/>
      <c r="C238" s="29"/>
      <c r="D238" s="29"/>
      <c r="E238" s="35"/>
      <c r="F238" s="29"/>
      <c r="G238" s="29"/>
      <c r="H238" s="29"/>
      <c r="I238" s="29"/>
      <c r="J238" s="29"/>
      <c r="K238" s="28"/>
      <c r="L238" s="28"/>
      <c r="M238" s="28"/>
      <c r="N238" s="28"/>
      <c r="O238" s="28"/>
      <c r="P238" s="28"/>
      <c r="Q238" s="28"/>
      <c r="AC238" s="28"/>
      <c r="AD238" s="28"/>
      <c r="AE238" s="28"/>
      <c r="AF238" s="31">
        <v>232</v>
      </c>
      <c r="AG238" s="32"/>
      <c r="AH238" s="31">
        <v>0</v>
      </c>
      <c r="AI238" s="28"/>
      <c r="AJ238" s="28"/>
    </row>
    <row r="239" spans="2:36" x14ac:dyDescent="0.2">
      <c r="B239" s="29"/>
      <c r="C239" s="29"/>
      <c r="D239" s="29"/>
      <c r="E239" s="35"/>
      <c r="F239" s="29"/>
      <c r="G239" s="29"/>
      <c r="H239" s="29"/>
      <c r="I239" s="29"/>
      <c r="J239" s="29"/>
      <c r="K239" s="28"/>
      <c r="L239" s="28"/>
      <c r="M239" s="28"/>
      <c r="N239" s="28"/>
      <c r="O239" s="28"/>
      <c r="P239" s="28"/>
      <c r="Q239" s="28"/>
      <c r="AC239" s="28"/>
      <c r="AD239" s="28"/>
      <c r="AE239" s="28"/>
      <c r="AF239" s="31">
        <v>233</v>
      </c>
      <c r="AG239" s="32"/>
      <c r="AH239" s="31">
        <v>0</v>
      </c>
      <c r="AI239" s="28"/>
      <c r="AJ239" s="28"/>
    </row>
    <row r="240" spans="2:36" x14ac:dyDescent="0.2">
      <c r="B240" s="29"/>
      <c r="C240" s="29"/>
      <c r="D240" s="29"/>
      <c r="E240" s="35"/>
      <c r="F240" s="29"/>
      <c r="G240" s="29"/>
      <c r="H240" s="29"/>
      <c r="I240" s="29"/>
      <c r="J240" s="29"/>
      <c r="K240" s="28"/>
      <c r="L240" s="28"/>
      <c r="M240" s="28"/>
      <c r="N240" s="28"/>
      <c r="O240" s="28"/>
      <c r="P240" s="28"/>
      <c r="Q240" s="28"/>
      <c r="AC240" s="28"/>
      <c r="AD240" s="28"/>
      <c r="AE240" s="28"/>
      <c r="AF240" s="31">
        <v>234</v>
      </c>
      <c r="AG240" s="32"/>
      <c r="AH240" s="31">
        <v>0</v>
      </c>
      <c r="AI240" s="28"/>
      <c r="AJ240" s="28"/>
    </row>
    <row r="241" spans="2:36" x14ac:dyDescent="0.2">
      <c r="B241" s="29"/>
      <c r="C241" s="29"/>
      <c r="D241" s="29"/>
      <c r="E241" s="35"/>
      <c r="F241" s="29"/>
      <c r="G241" s="29"/>
      <c r="H241" s="29"/>
      <c r="I241" s="29"/>
      <c r="J241" s="29"/>
      <c r="K241" s="28"/>
      <c r="L241" s="28"/>
      <c r="M241" s="28"/>
      <c r="N241" s="28"/>
      <c r="O241" s="28"/>
      <c r="P241" s="28"/>
      <c r="Q241" s="28"/>
      <c r="AC241" s="28"/>
      <c r="AD241" s="28"/>
      <c r="AE241" s="28"/>
      <c r="AF241" s="31">
        <v>235</v>
      </c>
      <c r="AG241" s="32"/>
      <c r="AH241" s="31">
        <v>0</v>
      </c>
      <c r="AI241" s="28"/>
      <c r="AJ241" s="28"/>
    </row>
    <row r="242" spans="2:36" x14ac:dyDescent="0.2">
      <c r="B242" s="29"/>
      <c r="C242" s="29"/>
      <c r="D242" s="29"/>
      <c r="E242" s="35"/>
      <c r="F242" s="29"/>
      <c r="G242" s="29"/>
      <c r="H242" s="29"/>
      <c r="I242" s="29"/>
      <c r="J242" s="29"/>
      <c r="K242" s="28"/>
      <c r="L242" s="28"/>
      <c r="M242" s="28"/>
      <c r="N242" s="28"/>
      <c r="O242" s="28"/>
      <c r="P242" s="28"/>
      <c r="Q242" s="28"/>
      <c r="AC242" s="28"/>
      <c r="AD242" s="28"/>
      <c r="AE242" s="28"/>
      <c r="AF242" s="31">
        <v>236</v>
      </c>
      <c r="AG242" s="32"/>
      <c r="AH242" s="31">
        <v>0</v>
      </c>
      <c r="AI242" s="28"/>
      <c r="AJ242" s="28"/>
    </row>
    <row r="243" spans="2:36" x14ac:dyDescent="0.2">
      <c r="B243" s="29"/>
      <c r="C243" s="29"/>
      <c r="D243" s="29"/>
      <c r="E243" s="35"/>
      <c r="F243" s="29"/>
      <c r="G243" s="29"/>
      <c r="H243" s="29"/>
      <c r="I243" s="29"/>
      <c r="J243" s="29"/>
      <c r="K243" s="28"/>
      <c r="L243" s="28"/>
      <c r="M243" s="28"/>
      <c r="N243" s="28"/>
      <c r="O243" s="28"/>
      <c r="P243" s="28"/>
      <c r="Q243" s="28"/>
      <c r="AC243" s="28"/>
      <c r="AD243" s="28"/>
      <c r="AE243" s="28"/>
      <c r="AF243" s="31">
        <v>237</v>
      </c>
      <c r="AG243" s="32"/>
      <c r="AH243" s="31">
        <v>0</v>
      </c>
      <c r="AI243" s="28"/>
      <c r="AJ243" s="28"/>
    </row>
    <row r="244" spans="2:36" x14ac:dyDescent="0.2">
      <c r="B244" s="29"/>
      <c r="C244" s="29"/>
      <c r="D244" s="29"/>
      <c r="E244" s="35"/>
      <c r="F244" s="29"/>
      <c r="G244" s="29"/>
      <c r="H244" s="29"/>
      <c r="I244" s="29"/>
      <c r="J244" s="29"/>
      <c r="K244" s="28"/>
      <c r="L244" s="28"/>
      <c r="M244" s="28"/>
      <c r="N244" s="28"/>
      <c r="O244" s="28"/>
      <c r="P244" s="28"/>
      <c r="Q244" s="28"/>
      <c r="AC244" s="28"/>
      <c r="AD244" s="28"/>
      <c r="AE244" s="28"/>
      <c r="AF244" s="31">
        <v>238</v>
      </c>
      <c r="AG244" s="32"/>
      <c r="AH244" s="31">
        <v>0</v>
      </c>
      <c r="AI244" s="28"/>
      <c r="AJ244" s="28"/>
    </row>
    <row r="245" spans="2:36" x14ac:dyDescent="0.2">
      <c r="B245" s="29"/>
      <c r="C245" s="29"/>
      <c r="D245" s="29"/>
      <c r="E245" s="35"/>
      <c r="F245" s="29"/>
      <c r="G245" s="29"/>
      <c r="H245" s="29"/>
      <c r="I245" s="29"/>
      <c r="J245" s="29"/>
      <c r="K245" s="28"/>
      <c r="L245" s="28"/>
      <c r="M245" s="28"/>
      <c r="N245" s="28"/>
      <c r="O245" s="28"/>
      <c r="P245" s="28"/>
      <c r="Q245" s="28"/>
      <c r="AC245" s="28"/>
      <c r="AD245" s="28"/>
      <c r="AE245" s="28"/>
      <c r="AF245" s="31">
        <v>239</v>
      </c>
      <c r="AG245" s="32"/>
      <c r="AH245" s="31">
        <v>0</v>
      </c>
      <c r="AI245" s="28"/>
      <c r="AJ245" s="28"/>
    </row>
    <row r="246" spans="2:36" x14ac:dyDescent="0.2">
      <c r="B246" s="29"/>
      <c r="C246" s="29"/>
      <c r="D246" s="29"/>
      <c r="E246" s="35"/>
      <c r="F246" s="29"/>
      <c r="G246" s="29"/>
      <c r="H246" s="29"/>
      <c r="I246" s="29"/>
      <c r="J246" s="29"/>
      <c r="K246" s="28"/>
      <c r="L246" s="28"/>
      <c r="M246" s="28"/>
      <c r="N246" s="28"/>
      <c r="O246" s="28"/>
      <c r="P246" s="28"/>
      <c r="Q246" s="28"/>
      <c r="AC246" s="28"/>
      <c r="AD246" s="28"/>
      <c r="AE246" s="28"/>
      <c r="AF246" s="31">
        <v>240</v>
      </c>
      <c r="AG246" s="32"/>
      <c r="AH246" s="31">
        <v>0</v>
      </c>
      <c r="AI246" s="28"/>
      <c r="AJ246" s="28"/>
    </row>
    <row r="247" spans="2:36" x14ac:dyDescent="0.2">
      <c r="B247" s="29"/>
      <c r="C247" s="29"/>
      <c r="D247" s="29"/>
      <c r="E247" s="35"/>
      <c r="F247" s="29"/>
      <c r="G247" s="29"/>
      <c r="H247" s="29"/>
      <c r="I247" s="29"/>
      <c r="J247" s="29"/>
      <c r="K247" s="28"/>
      <c r="L247" s="28"/>
      <c r="M247" s="28"/>
      <c r="N247" s="28"/>
      <c r="O247" s="28"/>
      <c r="P247" s="28"/>
      <c r="Q247" s="28"/>
      <c r="AC247" s="28"/>
      <c r="AD247" s="28"/>
      <c r="AE247" s="28"/>
      <c r="AF247" s="31">
        <v>241</v>
      </c>
      <c r="AG247" s="32"/>
      <c r="AH247" s="31">
        <v>0</v>
      </c>
      <c r="AI247" s="28"/>
      <c r="AJ247" s="28"/>
    </row>
    <row r="248" spans="2:36" x14ac:dyDescent="0.2">
      <c r="B248" s="29"/>
      <c r="C248" s="29"/>
      <c r="D248" s="29"/>
      <c r="E248" s="35"/>
      <c r="F248" s="29"/>
      <c r="G248" s="29"/>
      <c r="H248" s="29"/>
      <c r="I248" s="29"/>
      <c r="J248" s="29"/>
      <c r="K248" s="28"/>
      <c r="L248" s="28"/>
      <c r="M248" s="28"/>
      <c r="N248" s="28"/>
      <c r="O248" s="28"/>
      <c r="P248" s="28"/>
      <c r="Q248" s="28"/>
      <c r="AC248" s="28"/>
      <c r="AD248" s="28"/>
      <c r="AE248" s="28"/>
      <c r="AF248" s="31">
        <v>242</v>
      </c>
      <c r="AG248" s="32"/>
      <c r="AH248" s="31">
        <v>0</v>
      </c>
      <c r="AI248" s="28"/>
      <c r="AJ248" s="28"/>
    </row>
    <row r="249" spans="2:36" x14ac:dyDescent="0.2">
      <c r="B249" s="29"/>
      <c r="C249" s="29"/>
      <c r="D249" s="29"/>
      <c r="E249" s="35"/>
      <c r="F249" s="29"/>
      <c r="G249" s="29"/>
      <c r="H249" s="29"/>
      <c r="I249" s="29"/>
      <c r="J249" s="29"/>
      <c r="K249" s="28"/>
      <c r="L249" s="28"/>
      <c r="M249" s="28"/>
      <c r="N249" s="28"/>
      <c r="O249" s="28"/>
      <c r="P249" s="28"/>
      <c r="Q249" s="28"/>
      <c r="AC249" s="28"/>
      <c r="AD249" s="28"/>
      <c r="AE249" s="28"/>
      <c r="AF249" s="31">
        <v>243</v>
      </c>
      <c r="AG249" s="32"/>
      <c r="AH249" s="31">
        <v>0</v>
      </c>
      <c r="AI249" s="28"/>
      <c r="AJ249" s="28"/>
    </row>
    <row r="250" spans="2:36" x14ac:dyDescent="0.2">
      <c r="B250" s="29"/>
      <c r="C250" s="29"/>
      <c r="D250" s="29"/>
      <c r="E250" s="35"/>
      <c r="F250" s="29"/>
      <c r="G250" s="29"/>
      <c r="H250" s="29"/>
      <c r="I250" s="29"/>
      <c r="J250" s="29"/>
      <c r="K250" s="28"/>
      <c r="L250" s="28"/>
      <c r="M250" s="28"/>
      <c r="N250" s="28"/>
      <c r="O250" s="28"/>
      <c r="P250" s="28"/>
      <c r="Q250" s="28"/>
      <c r="AC250" s="28"/>
      <c r="AD250" s="28"/>
      <c r="AE250" s="28"/>
      <c r="AF250" s="31">
        <v>244</v>
      </c>
      <c r="AG250" s="32"/>
      <c r="AH250" s="31">
        <v>0</v>
      </c>
      <c r="AI250" s="28"/>
      <c r="AJ250" s="28"/>
    </row>
    <row r="251" spans="2:36" x14ac:dyDescent="0.2">
      <c r="B251" s="29"/>
      <c r="C251" s="29"/>
      <c r="D251" s="29"/>
      <c r="E251" s="35"/>
      <c r="F251" s="29"/>
      <c r="G251" s="29"/>
      <c r="H251" s="29"/>
      <c r="I251" s="29"/>
      <c r="J251" s="29"/>
      <c r="K251" s="28"/>
      <c r="L251" s="28"/>
      <c r="M251" s="28"/>
      <c r="N251" s="28"/>
      <c r="O251" s="28"/>
      <c r="P251" s="28"/>
      <c r="Q251" s="28"/>
      <c r="AC251" s="28"/>
      <c r="AD251" s="28"/>
      <c r="AE251" s="28"/>
      <c r="AF251" s="31">
        <v>245</v>
      </c>
      <c r="AG251" s="32"/>
      <c r="AH251" s="31">
        <v>0</v>
      </c>
      <c r="AI251" s="28"/>
      <c r="AJ251" s="28"/>
    </row>
    <row r="252" spans="2:36" x14ac:dyDescent="0.2">
      <c r="B252" s="29"/>
      <c r="C252" s="29"/>
      <c r="D252" s="29"/>
      <c r="E252" s="35"/>
      <c r="F252" s="29"/>
      <c r="G252" s="29"/>
      <c r="H252" s="29"/>
      <c r="I252" s="29"/>
      <c r="J252" s="29"/>
      <c r="K252" s="28"/>
      <c r="L252" s="28"/>
      <c r="M252" s="28"/>
      <c r="N252" s="28"/>
      <c r="O252" s="28"/>
      <c r="P252" s="28"/>
      <c r="Q252" s="28"/>
      <c r="AC252" s="28"/>
      <c r="AD252" s="28"/>
      <c r="AE252" s="28"/>
      <c r="AF252" s="31">
        <v>246</v>
      </c>
      <c r="AG252" s="32"/>
      <c r="AH252" s="31">
        <v>0</v>
      </c>
      <c r="AI252" s="28"/>
      <c r="AJ252" s="28"/>
    </row>
    <row r="253" spans="2:36" x14ac:dyDescent="0.2">
      <c r="B253" s="29"/>
      <c r="C253" s="29"/>
      <c r="D253" s="29"/>
      <c r="E253" s="35"/>
      <c r="F253" s="29"/>
      <c r="G253" s="29"/>
      <c r="H253" s="29"/>
      <c r="I253" s="29"/>
      <c r="J253" s="29"/>
      <c r="K253" s="28"/>
      <c r="L253" s="28"/>
      <c r="M253" s="28"/>
      <c r="N253" s="28"/>
      <c r="O253" s="28"/>
      <c r="P253" s="28"/>
      <c r="Q253" s="28"/>
      <c r="AC253" s="28"/>
      <c r="AD253" s="28"/>
      <c r="AE253" s="28"/>
      <c r="AF253" s="31">
        <v>247</v>
      </c>
      <c r="AG253" s="32"/>
      <c r="AH253" s="31">
        <v>0</v>
      </c>
      <c r="AI253" s="28"/>
      <c r="AJ253" s="28"/>
    </row>
    <row r="254" spans="2:36" x14ac:dyDescent="0.2">
      <c r="B254" s="29"/>
      <c r="C254" s="29"/>
      <c r="D254" s="29"/>
      <c r="E254" s="35"/>
      <c r="F254" s="29"/>
      <c r="G254" s="29"/>
      <c r="H254" s="29"/>
      <c r="I254" s="29"/>
      <c r="J254" s="29"/>
      <c r="K254" s="28"/>
      <c r="L254" s="28"/>
      <c r="M254" s="28"/>
      <c r="N254" s="28"/>
      <c r="O254" s="28"/>
      <c r="P254" s="28"/>
      <c r="Q254" s="28"/>
      <c r="AC254" s="28"/>
      <c r="AD254" s="28"/>
      <c r="AE254" s="28"/>
      <c r="AF254" s="31">
        <v>248</v>
      </c>
      <c r="AG254" s="32"/>
      <c r="AH254" s="31">
        <v>0</v>
      </c>
      <c r="AI254" s="28"/>
      <c r="AJ254" s="28"/>
    </row>
    <row r="255" spans="2:36" x14ac:dyDescent="0.2">
      <c r="B255" s="29"/>
      <c r="C255" s="29"/>
      <c r="D255" s="29"/>
      <c r="E255" s="35"/>
      <c r="F255" s="29"/>
      <c r="G255" s="29"/>
      <c r="H255" s="29"/>
      <c r="I255" s="29"/>
      <c r="J255" s="29"/>
      <c r="K255" s="28"/>
      <c r="L255" s="28"/>
      <c r="M255" s="28"/>
      <c r="N255" s="28"/>
      <c r="O255" s="28"/>
      <c r="P255" s="28"/>
      <c r="Q255" s="28"/>
      <c r="AC255" s="28"/>
      <c r="AD255" s="28"/>
      <c r="AE255" s="28"/>
      <c r="AF255" s="31">
        <v>249</v>
      </c>
      <c r="AG255" s="32"/>
      <c r="AH255" s="31">
        <v>0</v>
      </c>
      <c r="AI255" s="28"/>
      <c r="AJ255" s="28"/>
    </row>
    <row r="256" spans="2:36" x14ac:dyDescent="0.2">
      <c r="B256" s="29"/>
      <c r="C256" s="29"/>
      <c r="D256" s="29"/>
      <c r="E256" s="35"/>
      <c r="F256" s="29"/>
      <c r="G256" s="29"/>
      <c r="H256" s="29"/>
      <c r="I256" s="29"/>
      <c r="J256" s="29"/>
      <c r="K256" s="28"/>
      <c r="L256" s="28"/>
      <c r="M256" s="28"/>
      <c r="N256" s="28"/>
      <c r="O256" s="28"/>
      <c r="P256" s="28"/>
      <c r="Q256" s="28"/>
      <c r="AC256" s="28"/>
      <c r="AD256" s="28"/>
      <c r="AE256" s="28"/>
      <c r="AF256" s="31">
        <v>250</v>
      </c>
      <c r="AG256" s="32"/>
      <c r="AH256" s="31">
        <v>0</v>
      </c>
      <c r="AI256" s="28"/>
      <c r="AJ256" s="28"/>
    </row>
    <row r="257" spans="2:36" x14ac:dyDescent="0.2">
      <c r="B257" s="29"/>
      <c r="C257" s="29"/>
      <c r="D257" s="29"/>
      <c r="E257" s="35"/>
      <c r="F257" s="29"/>
      <c r="G257" s="29"/>
      <c r="H257" s="29"/>
      <c r="I257" s="29"/>
      <c r="J257" s="29"/>
      <c r="K257" s="28"/>
      <c r="L257" s="28"/>
      <c r="M257" s="28"/>
      <c r="N257" s="28"/>
      <c r="O257" s="28"/>
      <c r="P257" s="28"/>
      <c r="Q257" s="28"/>
      <c r="AC257" s="28"/>
      <c r="AD257" s="28"/>
      <c r="AE257" s="28"/>
      <c r="AF257" s="31">
        <v>251</v>
      </c>
      <c r="AG257" s="32"/>
      <c r="AH257" s="31">
        <v>0</v>
      </c>
      <c r="AI257" s="28"/>
      <c r="AJ257" s="28"/>
    </row>
    <row r="258" spans="2:36" x14ac:dyDescent="0.2">
      <c r="B258" s="29"/>
      <c r="C258" s="29"/>
      <c r="D258" s="29"/>
      <c r="E258" s="35"/>
      <c r="F258" s="29"/>
      <c r="G258" s="29"/>
      <c r="H258" s="29"/>
      <c r="I258" s="29"/>
      <c r="J258" s="29"/>
      <c r="K258" s="28"/>
      <c r="L258" s="28"/>
      <c r="M258" s="28"/>
      <c r="N258" s="28"/>
      <c r="O258" s="28"/>
      <c r="P258" s="28"/>
      <c r="Q258" s="28"/>
      <c r="AC258" s="28"/>
      <c r="AD258" s="28"/>
      <c r="AE258" s="28"/>
      <c r="AF258" s="31">
        <v>252</v>
      </c>
      <c r="AG258" s="32"/>
      <c r="AH258" s="31">
        <v>0</v>
      </c>
      <c r="AI258" s="28"/>
      <c r="AJ258" s="28"/>
    </row>
    <row r="259" spans="2:36" x14ac:dyDescent="0.2">
      <c r="B259" s="29"/>
      <c r="C259" s="29"/>
      <c r="D259" s="29"/>
      <c r="E259" s="35"/>
      <c r="F259" s="29"/>
      <c r="G259" s="29"/>
      <c r="H259" s="29"/>
      <c r="I259" s="29"/>
      <c r="J259" s="29"/>
      <c r="K259" s="28"/>
      <c r="L259" s="28"/>
      <c r="M259" s="28"/>
      <c r="N259" s="28"/>
      <c r="O259" s="28"/>
      <c r="P259" s="28"/>
      <c r="Q259" s="28"/>
      <c r="AC259" s="28"/>
      <c r="AD259" s="28"/>
      <c r="AE259" s="28"/>
      <c r="AF259" s="31">
        <v>253</v>
      </c>
      <c r="AG259" s="32"/>
      <c r="AH259" s="31">
        <v>0</v>
      </c>
      <c r="AI259" s="28"/>
      <c r="AJ259" s="28"/>
    </row>
    <row r="260" spans="2:36" x14ac:dyDescent="0.2">
      <c r="B260" s="29"/>
      <c r="C260" s="29"/>
      <c r="D260" s="29"/>
      <c r="E260" s="35"/>
      <c r="F260" s="29"/>
      <c r="G260" s="29"/>
      <c r="H260" s="29"/>
      <c r="I260" s="29"/>
      <c r="J260" s="29"/>
      <c r="K260" s="28"/>
      <c r="L260" s="28"/>
      <c r="M260" s="28"/>
      <c r="N260" s="28"/>
      <c r="O260" s="28"/>
      <c r="P260" s="28"/>
      <c r="Q260" s="28"/>
      <c r="AC260" s="28"/>
      <c r="AD260" s="28"/>
      <c r="AE260" s="28"/>
      <c r="AF260" s="31">
        <v>254</v>
      </c>
      <c r="AG260" s="32"/>
      <c r="AH260" s="31">
        <v>0</v>
      </c>
      <c r="AI260" s="28"/>
      <c r="AJ260" s="28"/>
    </row>
    <row r="261" spans="2:36" x14ac:dyDescent="0.2">
      <c r="B261" s="29"/>
      <c r="C261" s="29"/>
      <c r="D261" s="29"/>
      <c r="E261" s="35"/>
      <c r="F261" s="29"/>
      <c r="G261" s="29"/>
      <c r="H261" s="29"/>
      <c r="I261" s="29"/>
      <c r="J261" s="29"/>
      <c r="K261" s="28"/>
      <c r="L261" s="28"/>
      <c r="M261" s="28"/>
      <c r="N261" s="28"/>
      <c r="O261" s="28"/>
      <c r="P261" s="28"/>
      <c r="Q261" s="28"/>
      <c r="AC261" s="28"/>
      <c r="AD261" s="28"/>
      <c r="AE261" s="28"/>
      <c r="AF261" s="31">
        <v>255</v>
      </c>
      <c r="AG261" s="32"/>
      <c r="AH261" s="31">
        <v>0</v>
      </c>
      <c r="AI261" s="28"/>
      <c r="AJ261" s="28"/>
    </row>
    <row r="262" spans="2:36" x14ac:dyDescent="0.2">
      <c r="B262" s="29"/>
      <c r="C262" s="29"/>
      <c r="D262" s="29"/>
      <c r="E262" s="35"/>
      <c r="F262" s="29"/>
      <c r="G262" s="29"/>
      <c r="H262" s="29"/>
      <c r="I262" s="29"/>
      <c r="J262" s="29"/>
      <c r="K262" s="28"/>
      <c r="L262" s="28"/>
      <c r="M262" s="28"/>
      <c r="N262" s="28"/>
      <c r="O262" s="28"/>
      <c r="P262" s="28"/>
      <c r="Q262" s="28"/>
      <c r="AC262" s="28"/>
      <c r="AD262" s="28"/>
      <c r="AE262" s="28"/>
      <c r="AF262" s="31">
        <v>256</v>
      </c>
      <c r="AG262" s="32"/>
      <c r="AH262" s="31">
        <v>0</v>
      </c>
      <c r="AI262" s="28"/>
      <c r="AJ262" s="28"/>
    </row>
    <row r="263" spans="2:36" x14ac:dyDescent="0.2">
      <c r="B263" s="29"/>
      <c r="C263" s="29"/>
      <c r="D263" s="29"/>
      <c r="E263" s="35"/>
      <c r="F263" s="29"/>
      <c r="G263" s="29"/>
      <c r="H263" s="29"/>
      <c r="I263" s="29"/>
      <c r="J263" s="29"/>
      <c r="K263" s="28"/>
      <c r="L263" s="28"/>
      <c r="M263" s="28"/>
      <c r="N263" s="28"/>
      <c r="O263" s="28"/>
      <c r="P263" s="28"/>
      <c r="Q263" s="28"/>
      <c r="AC263" s="28"/>
      <c r="AD263" s="28"/>
      <c r="AE263" s="28"/>
      <c r="AF263" s="31">
        <v>257</v>
      </c>
      <c r="AG263" s="32"/>
      <c r="AH263" s="31">
        <v>0</v>
      </c>
      <c r="AI263" s="28"/>
      <c r="AJ263" s="28"/>
    </row>
    <row r="264" spans="2:36" x14ac:dyDescent="0.2">
      <c r="B264" s="29"/>
      <c r="C264" s="29"/>
      <c r="D264" s="29"/>
      <c r="E264" s="35"/>
      <c r="F264" s="29"/>
      <c r="G264" s="29"/>
      <c r="H264" s="29"/>
      <c r="I264" s="29"/>
      <c r="J264" s="29"/>
      <c r="K264" s="28"/>
      <c r="L264" s="28"/>
      <c r="M264" s="28"/>
      <c r="N264" s="28"/>
      <c r="O264" s="28"/>
      <c r="P264" s="28"/>
      <c r="Q264" s="28"/>
      <c r="AC264" s="28"/>
      <c r="AD264" s="28"/>
      <c r="AE264" s="28"/>
      <c r="AF264" s="31">
        <v>258</v>
      </c>
      <c r="AG264" s="32"/>
      <c r="AH264" s="31">
        <v>0</v>
      </c>
      <c r="AI264" s="28"/>
      <c r="AJ264" s="28"/>
    </row>
    <row r="265" spans="2:36" x14ac:dyDescent="0.2">
      <c r="B265" s="29"/>
      <c r="C265" s="29"/>
      <c r="D265" s="29"/>
      <c r="E265" s="35"/>
      <c r="F265" s="29"/>
      <c r="G265" s="29"/>
      <c r="H265" s="29"/>
      <c r="I265" s="29"/>
      <c r="J265" s="29"/>
      <c r="K265" s="28"/>
      <c r="L265" s="28"/>
      <c r="M265" s="28"/>
      <c r="N265" s="28"/>
      <c r="O265" s="28"/>
      <c r="P265" s="28"/>
      <c r="Q265" s="28"/>
      <c r="AC265" s="28"/>
      <c r="AD265" s="28"/>
      <c r="AE265" s="28"/>
      <c r="AF265" s="31">
        <v>259</v>
      </c>
      <c r="AG265" s="32"/>
      <c r="AH265" s="31">
        <v>0</v>
      </c>
      <c r="AI265" s="28"/>
      <c r="AJ265" s="28"/>
    </row>
    <row r="266" spans="2:36" x14ac:dyDescent="0.2">
      <c r="B266" s="29"/>
      <c r="C266" s="29"/>
      <c r="D266" s="29"/>
      <c r="E266" s="35"/>
      <c r="F266" s="29"/>
      <c r="G266" s="29"/>
      <c r="H266" s="29"/>
      <c r="I266" s="29"/>
      <c r="J266" s="29"/>
      <c r="K266" s="28"/>
      <c r="L266" s="28"/>
      <c r="M266" s="28"/>
      <c r="N266" s="28"/>
      <c r="O266" s="28"/>
      <c r="P266" s="28"/>
      <c r="Q266" s="28"/>
      <c r="AC266" s="28"/>
      <c r="AD266" s="28"/>
      <c r="AE266" s="28"/>
      <c r="AF266" s="31">
        <v>260</v>
      </c>
      <c r="AG266" s="32"/>
      <c r="AH266" s="31">
        <v>0</v>
      </c>
      <c r="AI266" s="28"/>
      <c r="AJ266" s="28"/>
    </row>
    <row r="267" spans="2:36" x14ac:dyDescent="0.2">
      <c r="B267" s="29"/>
      <c r="C267" s="29"/>
      <c r="D267" s="29"/>
      <c r="E267" s="35"/>
      <c r="F267" s="29"/>
      <c r="G267" s="29"/>
      <c r="H267" s="29"/>
      <c r="I267" s="29"/>
      <c r="J267" s="29"/>
      <c r="K267" s="28"/>
      <c r="L267" s="28"/>
      <c r="M267" s="28"/>
      <c r="N267" s="28"/>
      <c r="O267" s="28"/>
      <c r="P267" s="28"/>
      <c r="Q267" s="28"/>
      <c r="AC267" s="28"/>
      <c r="AD267" s="28"/>
      <c r="AE267" s="28"/>
      <c r="AF267" s="31">
        <v>261</v>
      </c>
      <c r="AG267" s="32"/>
      <c r="AH267" s="31">
        <v>0</v>
      </c>
      <c r="AI267" s="28"/>
      <c r="AJ267" s="28"/>
    </row>
    <row r="268" spans="2:36" x14ac:dyDescent="0.2">
      <c r="B268" s="29"/>
      <c r="C268" s="29"/>
      <c r="D268" s="29"/>
      <c r="E268" s="35"/>
      <c r="F268" s="29"/>
      <c r="G268" s="29"/>
      <c r="H268" s="29"/>
      <c r="I268" s="29"/>
      <c r="J268" s="29"/>
      <c r="K268" s="28"/>
      <c r="L268" s="28"/>
      <c r="M268" s="28"/>
      <c r="N268" s="28"/>
      <c r="O268" s="28"/>
      <c r="P268" s="28"/>
      <c r="Q268" s="28"/>
      <c r="AC268" s="28"/>
      <c r="AD268" s="28"/>
      <c r="AE268" s="28"/>
      <c r="AF268" s="31">
        <v>262</v>
      </c>
      <c r="AG268" s="32"/>
      <c r="AH268" s="31">
        <v>0</v>
      </c>
      <c r="AI268" s="28"/>
      <c r="AJ268" s="28"/>
    </row>
    <row r="269" spans="2:36" x14ac:dyDescent="0.2">
      <c r="B269" s="29"/>
      <c r="C269" s="29"/>
      <c r="D269" s="29"/>
      <c r="E269" s="35"/>
      <c r="F269" s="29"/>
      <c r="G269" s="29"/>
      <c r="H269" s="29"/>
      <c r="I269" s="29"/>
      <c r="J269" s="29"/>
      <c r="K269" s="28"/>
      <c r="L269" s="28"/>
      <c r="M269" s="28"/>
      <c r="N269" s="28"/>
      <c r="O269" s="28"/>
      <c r="P269" s="28"/>
      <c r="Q269" s="28"/>
      <c r="AC269" s="28"/>
      <c r="AD269" s="28"/>
      <c r="AE269" s="28"/>
      <c r="AF269" s="31">
        <v>263</v>
      </c>
      <c r="AG269" s="32"/>
      <c r="AH269" s="31">
        <v>0</v>
      </c>
      <c r="AI269" s="28"/>
      <c r="AJ269" s="28"/>
    </row>
    <row r="270" spans="2:36" x14ac:dyDescent="0.2">
      <c r="B270" s="29"/>
      <c r="C270" s="29"/>
      <c r="D270" s="29"/>
      <c r="E270" s="35"/>
      <c r="F270" s="29"/>
      <c r="G270" s="29"/>
      <c r="H270" s="29"/>
      <c r="I270" s="29"/>
      <c r="J270" s="29"/>
      <c r="K270" s="28"/>
      <c r="L270" s="28"/>
      <c r="M270" s="28"/>
      <c r="N270" s="28"/>
      <c r="O270" s="28"/>
      <c r="P270" s="28"/>
      <c r="Q270" s="28"/>
      <c r="AC270" s="28"/>
      <c r="AD270" s="28"/>
      <c r="AE270" s="28"/>
      <c r="AF270" s="31">
        <v>264</v>
      </c>
      <c r="AG270" s="32"/>
      <c r="AH270" s="31">
        <v>0</v>
      </c>
      <c r="AI270" s="28"/>
      <c r="AJ270" s="28"/>
    </row>
    <row r="271" spans="2:36" x14ac:dyDescent="0.2">
      <c r="B271" s="29"/>
      <c r="C271" s="29"/>
      <c r="D271" s="29"/>
      <c r="E271" s="35"/>
      <c r="F271" s="29"/>
      <c r="G271" s="29"/>
      <c r="H271" s="29"/>
      <c r="I271" s="29"/>
      <c r="J271" s="29"/>
      <c r="K271" s="28"/>
      <c r="L271" s="28"/>
      <c r="M271" s="28"/>
      <c r="N271" s="28"/>
      <c r="O271" s="28"/>
      <c r="P271" s="28"/>
      <c r="Q271" s="28"/>
      <c r="AC271" s="28"/>
      <c r="AD271" s="28"/>
      <c r="AE271" s="28"/>
      <c r="AF271" s="31">
        <v>265</v>
      </c>
      <c r="AG271" s="32"/>
      <c r="AH271" s="31">
        <v>0</v>
      </c>
      <c r="AI271" s="28"/>
      <c r="AJ271" s="28"/>
    </row>
    <row r="272" spans="2:36" x14ac:dyDescent="0.2">
      <c r="B272" s="29"/>
      <c r="C272" s="29"/>
      <c r="D272" s="29"/>
      <c r="E272" s="35"/>
      <c r="F272" s="29"/>
      <c r="G272" s="29"/>
      <c r="H272" s="29"/>
      <c r="I272" s="29"/>
      <c r="J272" s="29"/>
      <c r="K272" s="28"/>
      <c r="L272" s="28"/>
      <c r="M272" s="28"/>
      <c r="N272" s="28"/>
      <c r="O272" s="28"/>
      <c r="P272" s="28"/>
      <c r="Q272" s="28"/>
      <c r="AC272" s="28"/>
      <c r="AD272" s="28"/>
      <c r="AE272" s="28"/>
      <c r="AF272" s="31">
        <v>266</v>
      </c>
      <c r="AG272" s="32"/>
      <c r="AH272" s="31">
        <v>0</v>
      </c>
      <c r="AI272" s="28"/>
      <c r="AJ272" s="28"/>
    </row>
    <row r="273" spans="2:36" x14ac:dyDescent="0.2">
      <c r="B273" s="29"/>
      <c r="C273" s="29"/>
      <c r="D273" s="29"/>
      <c r="E273" s="35"/>
      <c r="F273" s="29"/>
      <c r="G273" s="29"/>
      <c r="H273" s="29"/>
      <c r="I273" s="29"/>
      <c r="J273" s="29"/>
      <c r="K273" s="28"/>
      <c r="L273" s="28"/>
      <c r="M273" s="28"/>
      <c r="N273" s="28"/>
      <c r="O273" s="28"/>
      <c r="P273" s="28"/>
      <c r="Q273" s="28"/>
      <c r="AC273" s="28"/>
      <c r="AD273" s="28"/>
      <c r="AE273" s="28"/>
      <c r="AF273" s="31">
        <v>267</v>
      </c>
      <c r="AG273" s="32"/>
      <c r="AH273" s="31">
        <v>0</v>
      </c>
      <c r="AI273" s="28"/>
      <c r="AJ273" s="28"/>
    </row>
    <row r="274" spans="2:36" x14ac:dyDescent="0.2">
      <c r="B274" s="29"/>
      <c r="C274" s="29"/>
      <c r="D274" s="29"/>
      <c r="E274" s="35"/>
      <c r="F274" s="29"/>
      <c r="G274" s="29"/>
      <c r="H274" s="29"/>
      <c r="I274" s="29"/>
      <c r="J274" s="29"/>
      <c r="K274" s="28"/>
      <c r="L274" s="28"/>
      <c r="M274" s="28"/>
      <c r="N274" s="28"/>
      <c r="O274" s="28"/>
      <c r="P274" s="28"/>
      <c r="Q274" s="28"/>
      <c r="AC274" s="28"/>
      <c r="AD274" s="28"/>
      <c r="AE274" s="28"/>
      <c r="AF274" s="31">
        <v>268</v>
      </c>
      <c r="AG274" s="32"/>
      <c r="AH274" s="31">
        <v>0</v>
      </c>
      <c r="AI274" s="28"/>
      <c r="AJ274" s="28"/>
    </row>
    <row r="275" spans="2:36" x14ac:dyDescent="0.2">
      <c r="B275" s="29"/>
      <c r="C275" s="29"/>
      <c r="D275" s="29"/>
      <c r="E275" s="35"/>
      <c r="F275" s="29"/>
      <c r="G275" s="29"/>
      <c r="H275" s="29"/>
      <c r="I275" s="29"/>
      <c r="J275" s="29"/>
      <c r="K275" s="28"/>
      <c r="L275" s="28"/>
      <c r="M275" s="28"/>
      <c r="N275" s="28"/>
      <c r="O275" s="28"/>
      <c r="P275" s="28"/>
      <c r="Q275" s="28"/>
      <c r="AC275" s="28"/>
      <c r="AD275" s="28"/>
      <c r="AE275" s="28"/>
      <c r="AF275" s="31">
        <v>269</v>
      </c>
      <c r="AG275" s="32"/>
      <c r="AH275" s="31">
        <v>0</v>
      </c>
      <c r="AI275" s="28"/>
      <c r="AJ275" s="28"/>
    </row>
    <row r="276" spans="2:36" x14ac:dyDescent="0.2">
      <c r="B276" s="29"/>
      <c r="C276" s="29"/>
      <c r="D276" s="29"/>
      <c r="E276" s="35"/>
      <c r="F276" s="29"/>
      <c r="G276" s="29"/>
      <c r="H276" s="29"/>
      <c r="I276" s="29"/>
      <c r="J276" s="29"/>
      <c r="K276" s="28"/>
      <c r="L276" s="28"/>
      <c r="M276" s="28"/>
      <c r="N276" s="28"/>
      <c r="O276" s="28"/>
      <c r="P276" s="28"/>
      <c r="Q276" s="28"/>
      <c r="AC276" s="28"/>
      <c r="AD276" s="28"/>
      <c r="AE276" s="28"/>
      <c r="AF276" s="31">
        <v>270</v>
      </c>
      <c r="AG276" s="32"/>
      <c r="AH276" s="31">
        <v>0</v>
      </c>
      <c r="AI276" s="28"/>
      <c r="AJ276" s="28"/>
    </row>
    <row r="277" spans="2:36" x14ac:dyDescent="0.2">
      <c r="B277" s="29"/>
      <c r="C277" s="29"/>
      <c r="D277" s="29"/>
      <c r="E277" s="35"/>
      <c r="F277" s="29"/>
      <c r="G277" s="29"/>
      <c r="H277" s="29"/>
      <c r="I277" s="29"/>
      <c r="J277" s="29"/>
      <c r="K277" s="28"/>
      <c r="L277" s="28"/>
      <c r="M277" s="28"/>
      <c r="N277" s="28"/>
      <c r="O277" s="28"/>
      <c r="P277" s="28"/>
      <c r="Q277" s="28"/>
      <c r="AC277" s="28"/>
      <c r="AD277" s="28"/>
      <c r="AE277" s="28"/>
      <c r="AF277" s="31">
        <v>271</v>
      </c>
      <c r="AG277" s="32"/>
      <c r="AH277" s="31">
        <v>0</v>
      </c>
      <c r="AI277" s="28"/>
      <c r="AJ277" s="28"/>
    </row>
    <row r="278" spans="2:36" x14ac:dyDescent="0.2">
      <c r="B278" s="29"/>
      <c r="C278" s="29"/>
      <c r="D278" s="29"/>
      <c r="E278" s="35"/>
      <c r="F278" s="29"/>
      <c r="G278" s="29"/>
      <c r="H278" s="29"/>
      <c r="I278" s="29"/>
      <c r="J278" s="29"/>
      <c r="K278" s="28"/>
      <c r="L278" s="28"/>
      <c r="M278" s="28"/>
      <c r="N278" s="28"/>
      <c r="O278" s="28"/>
      <c r="P278" s="28"/>
      <c r="Q278" s="28"/>
      <c r="AC278" s="28"/>
      <c r="AD278" s="28"/>
      <c r="AE278" s="28"/>
      <c r="AF278" s="31">
        <v>272</v>
      </c>
      <c r="AG278" s="32"/>
      <c r="AH278" s="31">
        <v>0</v>
      </c>
      <c r="AI278" s="28"/>
      <c r="AJ278" s="28"/>
    </row>
    <row r="279" spans="2:36" x14ac:dyDescent="0.2">
      <c r="B279" s="29"/>
      <c r="C279" s="29"/>
      <c r="D279" s="29"/>
      <c r="E279" s="35"/>
      <c r="F279" s="29"/>
      <c r="G279" s="29"/>
      <c r="H279" s="29"/>
      <c r="I279" s="29"/>
      <c r="J279" s="29"/>
      <c r="K279" s="28"/>
      <c r="L279" s="28"/>
      <c r="M279" s="28"/>
      <c r="N279" s="28"/>
      <c r="O279" s="28"/>
      <c r="P279" s="28"/>
      <c r="Q279" s="28"/>
      <c r="AC279" s="28"/>
      <c r="AD279" s="28"/>
      <c r="AE279" s="28"/>
      <c r="AF279" s="31">
        <v>273</v>
      </c>
      <c r="AG279" s="32"/>
      <c r="AH279" s="31">
        <v>0</v>
      </c>
      <c r="AI279" s="28"/>
      <c r="AJ279" s="28"/>
    </row>
    <row r="280" spans="2:36" x14ac:dyDescent="0.2">
      <c r="B280" s="29"/>
      <c r="C280" s="29"/>
      <c r="D280" s="29"/>
      <c r="E280" s="35"/>
      <c r="F280" s="29"/>
      <c r="G280" s="29"/>
      <c r="H280" s="29"/>
      <c r="I280" s="29"/>
      <c r="J280" s="29"/>
      <c r="K280" s="28"/>
      <c r="L280" s="28"/>
      <c r="M280" s="28"/>
      <c r="N280" s="28"/>
      <c r="O280" s="28"/>
      <c r="P280" s="28"/>
      <c r="Q280" s="28"/>
      <c r="AC280" s="28"/>
      <c r="AD280" s="28"/>
      <c r="AE280" s="28"/>
      <c r="AF280" s="31">
        <v>274</v>
      </c>
      <c r="AG280" s="32"/>
      <c r="AH280" s="31">
        <v>0</v>
      </c>
      <c r="AI280" s="28"/>
      <c r="AJ280" s="28"/>
    </row>
    <row r="281" spans="2:36" x14ac:dyDescent="0.2">
      <c r="B281" s="29"/>
      <c r="C281" s="29"/>
      <c r="D281" s="29"/>
      <c r="E281" s="35"/>
      <c r="F281" s="29"/>
      <c r="G281" s="29"/>
      <c r="H281" s="29"/>
      <c r="I281" s="29"/>
      <c r="J281" s="29"/>
      <c r="K281" s="28"/>
      <c r="L281" s="28"/>
      <c r="M281" s="28"/>
      <c r="N281" s="28"/>
      <c r="O281" s="28"/>
      <c r="P281" s="28"/>
      <c r="Q281" s="28"/>
      <c r="AC281" s="28"/>
      <c r="AD281" s="28"/>
      <c r="AE281" s="28"/>
      <c r="AF281" s="31">
        <v>275</v>
      </c>
      <c r="AG281" s="32"/>
      <c r="AH281" s="31">
        <v>0</v>
      </c>
      <c r="AI281" s="28"/>
      <c r="AJ281" s="28"/>
    </row>
    <row r="282" spans="2:36" x14ac:dyDescent="0.2">
      <c r="B282" s="29"/>
      <c r="C282" s="29"/>
      <c r="D282" s="29"/>
      <c r="E282" s="35"/>
      <c r="F282" s="29"/>
      <c r="G282" s="29"/>
      <c r="H282" s="29"/>
      <c r="I282" s="29"/>
      <c r="J282" s="29"/>
      <c r="K282" s="28"/>
      <c r="L282" s="28"/>
      <c r="M282" s="28"/>
      <c r="N282" s="28"/>
      <c r="O282" s="28"/>
      <c r="P282" s="28"/>
      <c r="Q282" s="28"/>
      <c r="AC282" s="28"/>
      <c r="AD282" s="28"/>
      <c r="AE282" s="28"/>
      <c r="AF282" s="31">
        <v>276</v>
      </c>
      <c r="AG282" s="32"/>
      <c r="AH282" s="31">
        <v>0</v>
      </c>
      <c r="AI282" s="28"/>
      <c r="AJ282" s="28"/>
    </row>
    <row r="283" spans="2:36" x14ac:dyDescent="0.2">
      <c r="B283" s="29"/>
      <c r="C283" s="29"/>
      <c r="D283" s="29"/>
      <c r="E283" s="35"/>
      <c r="F283" s="29"/>
      <c r="G283" s="29"/>
      <c r="H283" s="29"/>
      <c r="I283" s="29"/>
      <c r="J283" s="29"/>
      <c r="K283" s="28"/>
      <c r="L283" s="28"/>
      <c r="M283" s="28"/>
      <c r="N283" s="28"/>
      <c r="O283" s="28"/>
      <c r="P283" s="28"/>
      <c r="Q283" s="28"/>
      <c r="AC283" s="28"/>
      <c r="AD283" s="28"/>
      <c r="AE283" s="28"/>
      <c r="AF283" s="31">
        <v>277</v>
      </c>
      <c r="AG283" s="32"/>
      <c r="AH283" s="31">
        <v>0</v>
      </c>
      <c r="AI283" s="28"/>
      <c r="AJ283" s="28"/>
    </row>
    <row r="284" spans="2:36" x14ac:dyDescent="0.2">
      <c r="B284" s="29"/>
      <c r="C284" s="29"/>
      <c r="D284" s="29"/>
      <c r="E284" s="35"/>
      <c r="F284" s="29"/>
      <c r="G284" s="29"/>
      <c r="H284" s="29"/>
      <c r="I284" s="29"/>
      <c r="J284" s="29"/>
      <c r="K284" s="28"/>
      <c r="L284" s="28"/>
      <c r="M284" s="28"/>
      <c r="N284" s="28"/>
      <c r="O284" s="28"/>
      <c r="P284" s="28"/>
      <c r="Q284" s="28"/>
      <c r="AC284" s="28"/>
      <c r="AD284" s="28"/>
      <c r="AE284" s="28"/>
      <c r="AF284" s="31">
        <v>278</v>
      </c>
      <c r="AG284" s="32"/>
      <c r="AH284" s="31">
        <v>0</v>
      </c>
      <c r="AI284" s="28"/>
      <c r="AJ284" s="28"/>
    </row>
    <row r="285" spans="2:36" x14ac:dyDescent="0.2">
      <c r="B285" s="29"/>
      <c r="C285" s="29"/>
      <c r="D285" s="29"/>
      <c r="E285" s="35"/>
      <c r="F285" s="29"/>
      <c r="G285" s="29"/>
      <c r="H285" s="29"/>
      <c r="I285" s="29"/>
      <c r="J285" s="29"/>
      <c r="K285" s="28"/>
      <c r="L285" s="28"/>
      <c r="M285" s="28"/>
      <c r="N285" s="28"/>
      <c r="O285" s="28"/>
      <c r="P285" s="28"/>
      <c r="Q285" s="28"/>
      <c r="AC285" s="28"/>
      <c r="AD285" s="28"/>
      <c r="AE285" s="28"/>
      <c r="AF285" s="31">
        <v>279</v>
      </c>
      <c r="AG285" s="32"/>
      <c r="AH285" s="31">
        <v>0</v>
      </c>
      <c r="AI285" s="28"/>
      <c r="AJ285" s="28"/>
    </row>
    <row r="286" spans="2:36" x14ac:dyDescent="0.2">
      <c r="B286" s="29"/>
      <c r="C286" s="29"/>
      <c r="D286" s="29"/>
      <c r="E286" s="35"/>
      <c r="F286" s="29"/>
      <c r="G286" s="29"/>
      <c r="H286" s="29"/>
      <c r="I286" s="29"/>
      <c r="J286" s="29"/>
      <c r="K286" s="28"/>
      <c r="L286" s="28"/>
      <c r="M286" s="28"/>
      <c r="N286" s="28"/>
      <c r="O286" s="28"/>
      <c r="P286" s="28"/>
      <c r="Q286" s="28"/>
      <c r="AC286" s="28"/>
      <c r="AD286" s="28"/>
      <c r="AE286" s="28"/>
      <c r="AF286" s="31">
        <v>280</v>
      </c>
      <c r="AG286" s="32"/>
      <c r="AH286" s="31">
        <v>0</v>
      </c>
      <c r="AI286" s="28"/>
      <c r="AJ286" s="28"/>
    </row>
    <row r="287" spans="2:36" x14ac:dyDescent="0.2">
      <c r="B287" s="29"/>
      <c r="C287" s="29"/>
      <c r="D287" s="29"/>
      <c r="E287" s="35"/>
      <c r="F287" s="29"/>
      <c r="G287" s="29"/>
      <c r="H287" s="29"/>
      <c r="I287" s="29"/>
      <c r="J287" s="29"/>
      <c r="K287" s="28"/>
      <c r="L287" s="28"/>
      <c r="M287" s="28"/>
      <c r="N287" s="28"/>
      <c r="O287" s="28"/>
      <c r="P287" s="28"/>
      <c r="Q287" s="28"/>
      <c r="AC287" s="28"/>
      <c r="AD287" s="28"/>
      <c r="AE287" s="28"/>
      <c r="AF287" s="31">
        <v>281</v>
      </c>
      <c r="AG287" s="32"/>
      <c r="AH287" s="31">
        <v>0</v>
      </c>
      <c r="AI287" s="28"/>
      <c r="AJ287" s="28"/>
    </row>
    <row r="288" spans="2:36" x14ac:dyDescent="0.2">
      <c r="B288" s="29"/>
      <c r="C288" s="29"/>
      <c r="D288" s="29"/>
      <c r="E288" s="35"/>
      <c r="F288" s="29"/>
      <c r="G288" s="29"/>
      <c r="H288" s="29"/>
      <c r="I288" s="29"/>
      <c r="J288" s="29"/>
      <c r="K288" s="28"/>
      <c r="L288" s="28"/>
      <c r="M288" s="28"/>
      <c r="N288" s="28"/>
      <c r="O288" s="28"/>
      <c r="P288" s="28"/>
      <c r="Q288" s="28"/>
      <c r="AC288" s="28"/>
      <c r="AD288" s="28"/>
      <c r="AE288" s="28"/>
      <c r="AF288" s="31">
        <v>282</v>
      </c>
      <c r="AG288" s="32"/>
      <c r="AH288" s="31">
        <v>0</v>
      </c>
      <c r="AI288" s="28"/>
      <c r="AJ288" s="28"/>
    </row>
    <row r="289" spans="2:36" x14ac:dyDescent="0.2">
      <c r="B289" s="29"/>
      <c r="C289" s="29"/>
      <c r="D289" s="29"/>
      <c r="E289" s="35"/>
      <c r="F289" s="29"/>
      <c r="G289" s="29"/>
      <c r="H289" s="29"/>
      <c r="I289" s="29"/>
      <c r="J289" s="29"/>
      <c r="K289" s="28"/>
      <c r="L289" s="28"/>
      <c r="M289" s="28"/>
      <c r="N289" s="28"/>
      <c r="O289" s="28"/>
      <c r="P289" s="28"/>
      <c r="Q289" s="28"/>
      <c r="AC289" s="28"/>
      <c r="AD289" s="28"/>
      <c r="AE289" s="28"/>
      <c r="AF289" s="31">
        <v>283</v>
      </c>
      <c r="AG289" s="32"/>
      <c r="AH289" s="31">
        <v>0</v>
      </c>
      <c r="AI289" s="28"/>
      <c r="AJ289" s="28"/>
    </row>
    <row r="290" spans="2:36" x14ac:dyDescent="0.2">
      <c r="B290" s="29"/>
      <c r="C290" s="29"/>
      <c r="D290" s="29"/>
      <c r="E290" s="35"/>
      <c r="F290" s="29"/>
      <c r="G290" s="29"/>
      <c r="H290" s="29"/>
      <c r="I290" s="29"/>
      <c r="J290" s="29"/>
      <c r="K290" s="28"/>
      <c r="L290" s="28"/>
      <c r="M290" s="28"/>
      <c r="N290" s="28"/>
      <c r="O290" s="28"/>
      <c r="P290" s="28"/>
      <c r="Q290" s="28"/>
      <c r="AC290" s="28"/>
      <c r="AD290" s="28"/>
      <c r="AE290" s="28"/>
      <c r="AF290" s="31">
        <v>284</v>
      </c>
      <c r="AG290" s="32"/>
      <c r="AH290" s="31">
        <v>0</v>
      </c>
      <c r="AI290" s="28"/>
      <c r="AJ290" s="28"/>
    </row>
    <row r="291" spans="2:36" x14ac:dyDescent="0.2">
      <c r="B291" s="29"/>
      <c r="C291" s="29"/>
      <c r="D291" s="29"/>
      <c r="E291" s="35"/>
      <c r="F291" s="29"/>
      <c r="G291" s="29"/>
      <c r="H291" s="29"/>
      <c r="I291" s="29"/>
      <c r="J291" s="29"/>
      <c r="K291" s="28"/>
      <c r="L291" s="28"/>
      <c r="M291" s="28"/>
      <c r="N291" s="28"/>
      <c r="O291" s="28"/>
      <c r="P291" s="28"/>
      <c r="Q291" s="28"/>
      <c r="AC291" s="28"/>
      <c r="AD291" s="28"/>
      <c r="AE291" s="28"/>
      <c r="AF291" s="31">
        <v>285</v>
      </c>
      <c r="AG291" s="32"/>
      <c r="AH291" s="31">
        <v>0</v>
      </c>
      <c r="AI291" s="28"/>
      <c r="AJ291" s="28"/>
    </row>
    <row r="292" spans="2:36" x14ac:dyDescent="0.2">
      <c r="B292" s="29"/>
      <c r="C292" s="29"/>
      <c r="D292" s="29"/>
      <c r="E292" s="35"/>
      <c r="F292" s="29"/>
      <c r="G292" s="29"/>
      <c r="H292" s="29"/>
      <c r="I292" s="29"/>
      <c r="J292" s="29"/>
      <c r="K292" s="28"/>
      <c r="L292" s="28"/>
      <c r="M292" s="28"/>
      <c r="N292" s="28"/>
      <c r="O292" s="28"/>
      <c r="P292" s="28"/>
      <c r="Q292" s="28"/>
      <c r="AC292" s="28"/>
      <c r="AD292" s="28"/>
      <c r="AE292" s="28"/>
      <c r="AF292" s="31">
        <v>286</v>
      </c>
      <c r="AG292" s="32"/>
      <c r="AH292" s="31">
        <v>0</v>
      </c>
      <c r="AI292" s="28"/>
      <c r="AJ292" s="28"/>
    </row>
    <row r="293" spans="2:36" x14ac:dyDescent="0.2">
      <c r="B293" s="29"/>
      <c r="C293" s="29"/>
      <c r="D293" s="29"/>
      <c r="E293" s="35"/>
      <c r="F293" s="29"/>
      <c r="G293" s="29"/>
      <c r="H293" s="29"/>
      <c r="I293" s="29"/>
      <c r="J293" s="29"/>
      <c r="K293" s="28"/>
      <c r="L293" s="28"/>
      <c r="M293" s="28"/>
      <c r="N293" s="28"/>
      <c r="O293" s="28"/>
      <c r="P293" s="28"/>
      <c r="Q293" s="28"/>
      <c r="AC293" s="28"/>
      <c r="AE293" s="28"/>
      <c r="AF293" s="31">
        <v>287</v>
      </c>
      <c r="AG293" s="32"/>
      <c r="AH293" s="31">
        <v>0</v>
      </c>
      <c r="AI293" s="28"/>
      <c r="AJ293" s="28"/>
    </row>
    <row r="294" spans="2:36" x14ac:dyDescent="0.2">
      <c r="B294" s="29"/>
      <c r="C294" s="29"/>
      <c r="D294" s="29"/>
      <c r="E294" s="35"/>
      <c r="F294" s="29"/>
      <c r="G294" s="29"/>
      <c r="H294" s="29"/>
      <c r="I294" s="29"/>
      <c r="J294" s="29"/>
      <c r="K294" s="28"/>
      <c r="L294" s="28"/>
      <c r="M294" s="28"/>
      <c r="N294" s="28"/>
      <c r="O294" s="28"/>
      <c r="P294" s="28"/>
      <c r="Q294" s="28"/>
      <c r="AC294" s="28"/>
      <c r="AE294" s="28"/>
      <c r="AF294" s="31">
        <v>288</v>
      </c>
      <c r="AG294" s="32"/>
      <c r="AH294" s="31">
        <v>0</v>
      </c>
      <c r="AI294" s="28"/>
      <c r="AJ294" s="28"/>
    </row>
    <row r="295" spans="2:36" x14ac:dyDescent="0.2">
      <c r="B295" s="29"/>
      <c r="C295" s="29"/>
      <c r="D295" s="29"/>
      <c r="E295" s="35"/>
      <c r="F295" s="29"/>
      <c r="G295" s="29"/>
      <c r="Q295" s="28"/>
      <c r="AC295" s="28"/>
      <c r="AI295" s="28"/>
      <c r="AJ295" s="28"/>
    </row>
    <row r="296" spans="2:36" x14ac:dyDescent="0.2">
      <c r="B296" s="29"/>
      <c r="C296" s="29"/>
      <c r="D296" s="29"/>
      <c r="E296" s="35"/>
      <c r="F296" s="29"/>
      <c r="G296" s="29"/>
      <c r="Q296" s="28"/>
      <c r="AC296" s="28"/>
      <c r="AI296" s="28"/>
      <c r="AJ296" s="28"/>
    </row>
    <row r="297" spans="2:36" x14ac:dyDescent="0.2">
      <c r="B297" s="29"/>
      <c r="C297" s="29"/>
      <c r="D297" s="29"/>
      <c r="E297" s="35"/>
      <c r="F297" s="29"/>
      <c r="G297" s="29"/>
      <c r="Q297" s="28"/>
      <c r="AC297" s="28"/>
      <c r="AI297" s="28"/>
      <c r="AJ297" s="28"/>
    </row>
    <row r="298" spans="2:36" x14ac:dyDescent="0.2">
      <c r="B298" s="29"/>
      <c r="C298" s="29"/>
      <c r="D298" s="29"/>
      <c r="E298" s="35"/>
      <c r="F298" s="29"/>
      <c r="G298" s="29"/>
      <c r="Q298" s="28"/>
      <c r="AC298" s="28"/>
      <c r="AI298" s="28"/>
      <c r="AJ298" s="28"/>
    </row>
    <row r="299" spans="2:36" x14ac:dyDescent="0.2">
      <c r="B299" s="29"/>
      <c r="C299" s="29"/>
      <c r="D299" s="29"/>
      <c r="E299" s="35"/>
      <c r="F299" s="29"/>
      <c r="G299" s="29"/>
    </row>
    <row r="300" spans="2:36" x14ac:dyDescent="0.2">
      <c r="B300" s="29"/>
      <c r="C300" s="29"/>
      <c r="D300" s="29"/>
      <c r="E300" s="35"/>
      <c r="F300" s="29"/>
    </row>
    <row r="301" spans="2:36" x14ac:dyDescent="0.2">
      <c r="B301" s="29"/>
      <c r="C301" s="29"/>
      <c r="D301" s="29"/>
      <c r="E301" s="35"/>
      <c r="F301" s="29"/>
    </row>
    <row r="302" spans="2:36" x14ac:dyDescent="0.2">
      <c r="B302" s="29"/>
      <c r="C302" s="29"/>
      <c r="D302" s="29"/>
      <c r="E302" s="35"/>
      <c r="F302" s="29"/>
    </row>
    <row r="303" spans="2:36" x14ac:dyDescent="0.2">
      <c r="B303" s="29"/>
      <c r="C303" s="29"/>
      <c r="D303" s="29"/>
      <c r="E303" s="35"/>
      <c r="F303" s="29"/>
    </row>
    <row r="304" spans="2:36" x14ac:dyDescent="0.2">
      <c r="B304" s="29"/>
      <c r="C304" s="29"/>
      <c r="D304" s="29"/>
      <c r="E304" s="35"/>
      <c r="F304" s="29"/>
    </row>
    <row r="305" spans="2:6" x14ac:dyDescent="0.2">
      <c r="B305" s="29"/>
      <c r="C305" s="29"/>
      <c r="D305" s="29"/>
      <c r="E305" s="35"/>
      <c r="F305" s="29"/>
    </row>
    <row r="306" spans="2:6" x14ac:dyDescent="0.2">
      <c r="B306" s="29"/>
      <c r="C306" s="29"/>
      <c r="D306" s="29"/>
      <c r="E306" s="35"/>
      <c r="F306" s="29"/>
    </row>
    <row r="307" spans="2:6" x14ac:dyDescent="0.2">
      <c r="B307" s="29"/>
      <c r="C307" s="29"/>
      <c r="D307" s="29"/>
      <c r="E307" s="35"/>
      <c r="F307" s="29"/>
    </row>
    <row r="308" spans="2:6" x14ac:dyDescent="0.2">
      <c r="B308" s="29"/>
      <c r="C308" s="29"/>
      <c r="D308" s="29"/>
      <c r="E308" s="35"/>
      <c r="F308" s="29"/>
    </row>
    <row r="309" spans="2:6" x14ac:dyDescent="0.2">
      <c r="B309" s="29"/>
      <c r="C309" s="29"/>
      <c r="D309" s="29"/>
      <c r="E309" s="35"/>
      <c r="F309" s="29"/>
    </row>
    <row r="310" spans="2:6" x14ac:dyDescent="0.2">
      <c r="B310" s="29"/>
      <c r="C310" s="29"/>
      <c r="D310" s="29"/>
      <c r="E310" s="35"/>
      <c r="F310" s="29"/>
    </row>
    <row r="311" spans="2:6" x14ac:dyDescent="0.2">
      <c r="B311" s="29"/>
      <c r="C311" s="29"/>
      <c r="D311" s="29"/>
      <c r="E311" s="35"/>
      <c r="F311" s="29"/>
    </row>
    <row r="312" spans="2:6" x14ac:dyDescent="0.2">
      <c r="B312" s="29"/>
      <c r="C312" s="29"/>
      <c r="D312" s="29"/>
      <c r="E312" s="35"/>
      <c r="F312" s="29"/>
    </row>
  </sheetData>
  <sheetProtection algorithmName="SHA-512" hashValue="siGemAF26eQJtU4or6nrB9EeiRNhR0pdayUWKr0MJoJ08FclE4jQijGhbTtjFFGTEZkjg59gcM5SaPdnaxEeOg==" saltValue="qkhA0zPkB2MLr9cZu4Rr1w==" spinCount="100000" sheet="1" objects="1" scenarios="1"/>
  <mergeCells count="131">
    <mergeCell ref="B6:F6"/>
    <mergeCell ref="B8:F8"/>
    <mergeCell ref="B9:F9"/>
    <mergeCell ref="B23:F23"/>
    <mergeCell ref="H7:H8"/>
    <mergeCell ref="B19:F19"/>
    <mergeCell ref="H32:N32"/>
    <mergeCell ref="H33:N33"/>
    <mergeCell ref="B7:F7"/>
    <mergeCell ref="I7:I8"/>
    <mergeCell ref="J7:J8"/>
    <mergeCell ref="B15:F15"/>
    <mergeCell ref="H6:P6"/>
    <mergeCell ref="B13:F13"/>
    <mergeCell ref="M7:M8"/>
    <mergeCell ref="K7:K8"/>
    <mergeCell ref="L7:L8"/>
    <mergeCell ref="AA12:AA22"/>
    <mergeCell ref="T12:T22"/>
    <mergeCell ref="B44:F44"/>
    <mergeCell ref="B41:F41"/>
    <mergeCell ref="H38:I38"/>
    <mergeCell ref="O7:O8"/>
    <mergeCell ref="P7:P8"/>
    <mergeCell ref="H31:O31"/>
    <mergeCell ref="T23:T33"/>
    <mergeCell ref="B14:F14"/>
    <mergeCell ref="AK13:AK33"/>
    <mergeCell ref="AO13:AO20"/>
    <mergeCell ref="AO21:AO25"/>
    <mergeCell ref="AO26:AO27"/>
    <mergeCell ref="AO28:AO33"/>
    <mergeCell ref="AF6:AH6"/>
    <mergeCell ref="B42:F42"/>
    <mergeCell ref="B43:F43"/>
    <mergeCell ref="B20:F20"/>
    <mergeCell ref="B21:F21"/>
    <mergeCell ref="AD6:AD9"/>
    <mergeCell ref="B38:F38"/>
    <mergeCell ref="B40:F40"/>
    <mergeCell ref="B17:F17"/>
    <mergeCell ref="B18:F18"/>
    <mergeCell ref="B12:F12"/>
    <mergeCell ref="N7:N8"/>
    <mergeCell ref="AB10:AB11"/>
    <mergeCell ref="B16:F16"/>
    <mergeCell ref="Z10:AA10"/>
    <mergeCell ref="R9:AB9"/>
    <mergeCell ref="V10:W10"/>
    <mergeCell ref="X10:Y10"/>
    <mergeCell ref="Z12:Z22"/>
    <mergeCell ref="AS10:AV10"/>
    <mergeCell ref="AQ11:AR11"/>
    <mergeCell ref="Z23:Z33"/>
    <mergeCell ref="AA23:AA33"/>
    <mergeCell ref="T89:T99"/>
    <mergeCell ref="T100:T110"/>
    <mergeCell ref="T111:T121"/>
    <mergeCell ref="Z56:Z66"/>
    <mergeCell ref="AA56:AA66"/>
    <mergeCell ref="Z67:Z77"/>
    <mergeCell ref="AA67:AA77"/>
    <mergeCell ref="Z78:Z88"/>
    <mergeCell ref="AA78:AA88"/>
    <mergeCell ref="Z89:Z99"/>
    <mergeCell ref="AA89:AA99"/>
    <mergeCell ref="Z34:Z44"/>
    <mergeCell ref="AA34:AA44"/>
    <mergeCell ref="Z45:Z55"/>
    <mergeCell ref="AQ10:AR10"/>
    <mergeCell ref="Z100:Z110"/>
    <mergeCell ref="AA100:AA110"/>
    <mergeCell ref="Z111:Z121"/>
    <mergeCell ref="AA111:AA121"/>
    <mergeCell ref="AK97:AK117"/>
    <mergeCell ref="AK118:AK138"/>
    <mergeCell ref="AK139:AK159"/>
    <mergeCell ref="AK160:AK180"/>
    <mergeCell ref="AK181:AK201"/>
    <mergeCell ref="AK202:AK222"/>
    <mergeCell ref="B51:E51"/>
    <mergeCell ref="B52:E52"/>
    <mergeCell ref="AK34:AK54"/>
    <mergeCell ref="AK55:AK75"/>
    <mergeCell ref="AK76:AK96"/>
    <mergeCell ref="T34:T44"/>
    <mergeCell ref="T45:T55"/>
    <mergeCell ref="T56:T66"/>
    <mergeCell ref="T67:T77"/>
    <mergeCell ref="T78:T88"/>
    <mergeCell ref="B46:F46"/>
    <mergeCell ref="B48:F48"/>
    <mergeCell ref="B49:F49"/>
    <mergeCell ref="B47:F47"/>
    <mergeCell ref="AA45:AA55"/>
    <mergeCell ref="AO68:AO69"/>
    <mergeCell ref="AO70:AO75"/>
    <mergeCell ref="AO76:AO83"/>
    <mergeCell ref="AO84:AO88"/>
    <mergeCell ref="AO89:AO90"/>
    <mergeCell ref="AO91:AO96"/>
    <mergeCell ref="AO34:AO41"/>
    <mergeCell ref="AO42:AO46"/>
    <mergeCell ref="AO47:AO48"/>
    <mergeCell ref="AO49:AO54"/>
    <mergeCell ref="AO55:AO62"/>
    <mergeCell ref="AO63:AO67"/>
    <mergeCell ref="AO131:AO132"/>
    <mergeCell ref="AO133:AO138"/>
    <mergeCell ref="AO139:AO146"/>
    <mergeCell ref="AO147:AO151"/>
    <mergeCell ref="AO152:AO153"/>
    <mergeCell ref="AO154:AO159"/>
    <mergeCell ref="AO97:AO104"/>
    <mergeCell ref="AO105:AO109"/>
    <mergeCell ref="AO110:AO111"/>
    <mergeCell ref="AO112:AO117"/>
    <mergeCell ref="AO118:AO125"/>
    <mergeCell ref="AO126:AO130"/>
    <mergeCell ref="AO194:AO195"/>
    <mergeCell ref="AO196:AO201"/>
    <mergeCell ref="AO202:AO209"/>
    <mergeCell ref="AO210:AO214"/>
    <mergeCell ref="AO215:AO216"/>
    <mergeCell ref="AO217:AO222"/>
    <mergeCell ref="AO160:AO167"/>
    <mergeCell ref="AO168:AO172"/>
    <mergeCell ref="AO173:AO174"/>
    <mergeCell ref="AO175:AO180"/>
    <mergeCell ref="AO181:AO188"/>
    <mergeCell ref="AO189:AO193"/>
  </mergeCells>
  <conditionalFormatting sqref="B3">
    <cfRule type="expression" dxfId="171" priority="7">
      <formula>#REF!="NÃO"</formula>
    </cfRule>
    <cfRule type="expression" dxfId="170" priority="8">
      <formula>#REF!="SIM"</formula>
    </cfRule>
  </conditionalFormatting>
  <conditionalFormatting sqref="B3">
    <cfRule type="expression" dxfId="169" priority="5">
      <formula>AND(B3&lt;0.1*#REF!)</formula>
    </cfRule>
    <cfRule type="expression" dxfId="168" priority="6">
      <formula>AND(B3&gt;=0.1*#REF!)</formula>
    </cfRule>
  </conditionalFormatting>
  <conditionalFormatting sqref="B3:D3">
    <cfRule type="expression" dxfId="167" priority="3">
      <formula>#REF!="NÃO"</formula>
    </cfRule>
    <cfRule type="expression" dxfId="166" priority="4">
      <formula>#REF!="SIM"</formula>
    </cfRule>
  </conditionalFormatting>
  <conditionalFormatting sqref="D3">
    <cfRule type="expression" dxfId="165" priority="1">
      <formula>AND(D3&lt;0.1*#REF!)</formula>
    </cfRule>
    <cfRule type="expression" dxfId="164" priority="2">
      <formula>AND(D3&gt;=0.1*#REF!)</formula>
    </cfRule>
  </conditionalFormatting>
  <dataValidations disablePrompts="1" count="1">
    <dataValidation allowBlank="1" showErrorMessage="1" sqref="B3:C3"/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6">
    <tabColor theme="9"/>
  </sheetPr>
  <dimension ref="B2:Z14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10" sqref="M10"/>
    </sheetView>
  </sheetViews>
  <sheetFormatPr defaultColWidth="9.140625" defaultRowHeight="15" customHeight="1" outlineLevelRow="1" x14ac:dyDescent="0.25"/>
  <cols>
    <col min="1" max="2" width="3.42578125" style="410" customWidth="1"/>
    <col min="3" max="7" width="10.42578125" style="410" customWidth="1"/>
    <col min="8" max="9" width="11.42578125" style="410" customWidth="1"/>
    <col min="10" max="10" width="13.42578125" style="410" customWidth="1"/>
    <col min="11" max="11" width="17.42578125" style="410" customWidth="1"/>
    <col min="12" max="12" width="16.85546875" style="410" bestFit="1" customWidth="1"/>
    <col min="13" max="14" width="14.42578125" style="410" customWidth="1"/>
    <col min="15" max="16" width="3.42578125" style="410" customWidth="1"/>
    <col min="17" max="17" width="13.85546875" style="410" customWidth="1"/>
    <col min="18" max="21" width="10.42578125" style="410" customWidth="1"/>
    <col min="22" max="22" width="11.42578125" style="410" customWidth="1"/>
    <col min="23" max="23" width="10.42578125" style="410" customWidth="1"/>
    <col min="24" max="24" width="18.42578125" style="410" customWidth="1"/>
    <col min="25" max="25" width="15.85546875" style="728" bestFit="1" customWidth="1"/>
    <col min="26" max="16384" width="9.140625" style="410"/>
  </cols>
  <sheetData>
    <row r="2" spans="2:26" ht="22.5" customHeight="1" x14ac:dyDescent="0.25">
      <c r="B2" s="1157" t="s">
        <v>958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ILUMINAÇÃO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P5" s="717"/>
      <c r="Q5" s="718"/>
      <c r="R5" s="718"/>
      <c r="S5" s="718"/>
      <c r="T5" s="718"/>
      <c r="U5" s="718"/>
      <c r="V5" s="718"/>
      <c r="W5" s="718"/>
      <c r="X5" s="719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716" t="s">
        <v>285</v>
      </c>
      <c r="I7" s="716" t="s">
        <v>16</v>
      </c>
      <c r="J7" s="716" t="s">
        <v>239</v>
      </c>
      <c r="K7" s="172" t="s">
        <v>286</v>
      </c>
      <c r="L7" s="716" t="s">
        <v>796</v>
      </c>
      <c r="M7" s="127" t="s">
        <v>240</v>
      </c>
      <c r="N7" s="127" t="s">
        <v>241</v>
      </c>
      <c r="P7" s="1145" t="str">
        <f>B7</f>
        <v>Materiais e equipamentos</v>
      </c>
      <c r="Q7" s="1145"/>
      <c r="R7" s="1145"/>
      <c r="S7" s="1146"/>
      <c r="T7" s="1146"/>
      <c r="U7" s="1146"/>
      <c r="V7" s="716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175" t="str">
        <f>IF(ISBLANK('IlumCusto (ORÇ)'!C8)," ",'IlumCusto (ORÇ)'!C8)</f>
        <v>led tubular 16 W</v>
      </c>
      <c r="D8" s="1176"/>
      <c r="E8" s="1176"/>
      <c r="F8" s="1176"/>
      <c r="G8" s="1176"/>
      <c r="H8" s="581">
        <f>'IlumCusto (ORÇ)'!H8</f>
        <v>12.800819252432156</v>
      </c>
      <c r="I8" s="582">
        <f>'IlumCusto (ORÇ)'!I8</f>
        <v>160</v>
      </c>
      <c r="J8" s="574">
        <f>'IlumCusto (ORÇ)'!J8</f>
        <v>24.83</v>
      </c>
      <c r="K8" s="344">
        <f>I8*J8</f>
        <v>3972.7999999999997</v>
      </c>
      <c r="L8" s="344">
        <f>K8-M8-N8</f>
        <v>3972.7999999999997</v>
      </c>
      <c r="M8" s="343"/>
      <c r="N8" s="343"/>
      <c r="P8" s="173">
        <f>B8</f>
        <v>1</v>
      </c>
      <c r="Q8" s="1177" t="str">
        <f>IF(OR(C8=0,C8=""),"",C8)</f>
        <v>led tubular 16 W</v>
      </c>
      <c r="R8" s="1177"/>
      <c r="S8" s="1177"/>
      <c r="T8" s="1177"/>
      <c r="U8" s="1178"/>
      <c r="V8" s="174">
        <f>IF(H8="",0,H8)</f>
        <v>12.800819252432156</v>
      </c>
      <c r="W8" s="345">
        <f>IF(OR(V8="",V8=0),0,(Desc*((1+Desc)^V8))/(((1+Desc)^V8)-1))</f>
        <v>0.1276686431123697</v>
      </c>
      <c r="X8" s="346">
        <f>IF(AND(K8&gt;0,'Custo Contábil'!$D$7&gt;0),ROUND(K8*('Custo Contábil'!$D$20/'Custo Contábil'!$D$7)*W8,2),0)</f>
        <v>1034.17</v>
      </c>
      <c r="Y8" s="729">
        <f>V8*X8</f>
        <v>13238.223246287764</v>
      </c>
    </row>
    <row r="9" spans="2:26" ht="15" customHeight="1" outlineLevel="1" x14ac:dyDescent="0.25">
      <c r="B9" s="175">
        <v>2</v>
      </c>
      <c r="C9" s="1175" t="str">
        <f>IF(ISBLANK('IlumCusto (ORÇ)'!C9)," ",'IlumCusto (ORÇ)'!C9)</f>
        <v>led tubular 16 W</v>
      </c>
      <c r="D9" s="1176"/>
      <c r="E9" s="1176"/>
      <c r="F9" s="1176"/>
      <c r="G9" s="1176"/>
      <c r="H9" s="581">
        <f>'IlumCusto (ORÇ)'!H9</f>
        <v>20</v>
      </c>
      <c r="I9" s="582">
        <f>'IlumCusto (ORÇ)'!I9</f>
        <v>28</v>
      </c>
      <c r="J9" s="574">
        <f>'IlumCusto (ORÇ)'!J9</f>
        <v>24.83</v>
      </c>
      <c r="K9" s="344">
        <f t="shared" ref="K9:K72" si="0">I9*J9</f>
        <v>695.24</v>
      </c>
      <c r="L9" s="344">
        <f t="shared" ref="L9:L72" si="1">K9-M9-N9</f>
        <v>695.24</v>
      </c>
      <c r="M9" s="343"/>
      <c r="N9" s="343"/>
      <c r="P9" s="173">
        <f t="shared" ref="P9:P106" si="2">B9</f>
        <v>2</v>
      </c>
      <c r="Q9" s="1177" t="str">
        <f t="shared" ref="Q9:Q72" si="3">IF(OR(C9=0,C9=""),"",C9)</f>
        <v>led tubular 16 W</v>
      </c>
      <c r="R9" s="1177"/>
      <c r="S9" s="1177"/>
      <c r="T9" s="1177"/>
      <c r="U9" s="1178"/>
      <c r="V9" s="174">
        <f t="shared" ref="V9:V72" si="4">IF(H9="",0,H9)</f>
        <v>20</v>
      </c>
      <c r="W9" s="345">
        <f t="shared" ref="W9:W39" si="5">IF(OR(V9="",V9=0),0,(Desc*((1+Desc)^V9))/(((1+Desc)^V9)-1))</f>
        <v>0.10185220882315059</v>
      </c>
      <c r="X9" s="346">
        <f>IF(AND(K9&gt;0,'Custo Contábil'!$D$7&gt;0),ROUND(K9*('Custo Contábil'!$D$20/'Custo Contábil'!$D$7)*W9,2),0)</f>
        <v>144.38</v>
      </c>
      <c r="Y9" s="729">
        <f t="shared" ref="Y9:Y72" si="6">V9*X9</f>
        <v>2887.6</v>
      </c>
    </row>
    <row r="10" spans="2:26" ht="15" customHeight="1" outlineLevel="1" x14ac:dyDescent="0.25">
      <c r="B10" s="173">
        <v>3</v>
      </c>
      <c r="C10" s="1175" t="str">
        <f>IF(ISBLANK('IlumCusto (ORÇ)'!C10)," ",'IlumCusto (ORÇ)'!C10)</f>
        <v>led tubular 16 W</v>
      </c>
      <c r="D10" s="1176"/>
      <c r="E10" s="1176"/>
      <c r="F10" s="1176"/>
      <c r="G10" s="1176"/>
      <c r="H10" s="581">
        <f>'IlumCusto (ORÇ)'!H10</f>
        <v>20</v>
      </c>
      <c r="I10" s="582">
        <f>'IlumCusto (ORÇ)'!I10</f>
        <v>8</v>
      </c>
      <c r="J10" s="574">
        <f>'IlumCusto (ORÇ)'!J10</f>
        <v>24.83</v>
      </c>
      <c r="K10" s="344">
        <f t="shared" si="0"/>
        <v>198.64</v>
      </c>
      <c r="L10" s="344">
        <f t="shared" si="1"/>
        <v>198.64</v>
      </c>
      <c r="M10" s="343"/>
      <c r="N10" s="343"/>
      <c r="P10" s="173">
        <f t="shared" si="2"/>
        <v>3</v>
      </c>
      <c r="Q10" s="1177" t="str">
        <f t="shared" si="3"/>
        <v>led tubular 16 W</v>
      </c>
      <c r="R10" s="1177"/>
      <c r="S10" s="1177"/>
      <c r="T10" s="1177"/>
      <c r="U10" s="1178"/>
      <c r="V10" s="174">
        <f t="shared" si="4"/>
        <v>20</v>
      </c>
      <c r="W10" s="345">
        <f t="shared" si="5"/>
        <v>0.10185220882315059</v>
      </c>
      <c r="X10" s="346">
        <f>IF(AND(K10&gt;0,'Custo Contábil'!$D$7&gt;0),ROUND(K10*('Custo Contábil'!$D$20/'Custo Contábil'!$D$7)*W10,2),0)</f>
        <v>41.25</v>
      </c>
      <c r="Y10" s="729">
        <f t="shared" si="6"/>
        <v>825</v>
      </c>
    </row>
    <row r="11" spans="2:26" ht="15" customHeight="1" outlineLevel="1" x14ac:dyDescent="0.25">
      <c r="B11" s="175">
        <v>4</v>
      </c>
      <c r="C11" s="1175" t="str">
        <f>IF(ISBLANK('IlumCusto (ORÇ)'!C11)," ",'IlumCusto (ORÇ)'!C11)</f>
        <v>Led tubular 16 W</v>
      </c>
      <c r="D11" s="1176"/>
      <c r="E11" s="1176"/>
      <c r="F11" s="1176"/>
      <c r="G11" s="1176"/>
      <c r="H11" s="581">
        <f>'IlumCusto (ORÇ)'!H11</f>
        <v>20</v>
      </c>
      <c r="I11" s="582">
        <f>'IlumCusto (ORÇ)'!I11</f>
        <v>64</v>
      </c>
      <c r="J11" s="574">
        <f>'IlumCusto (ORÇ)'!J11</f>
        <v>24.83</v>
      </c>
      <c r="K11" s="344">
        <f t="shared" si="0"/>
        <v>1589.12</v>
      </c>
      <c r="L11" s="344">
        <f t="shared" si="1"/>
        <v>1589.12</v>
      </c>
      <c r="M11" s="343"/>
      <c r="N11" s="343"/>
      <c r="P11" s="173">
        <f t="shared" si="2"/>
        <v>4</v>
      </c>
      <c r="Q11" s="1177" t="str">
        <f t="shared" si="3"/>
        <v>Led tubular 16 W</v>
      </c>
      <c r="R11" s="1177"/>
      <c r="S11" s="1177"/>
      <c r="T11" s="1177"/>
      <c r="U11" s="1178"/>
      <c r="V11" s="174">
        <f t="shared" si="4"/>
        <v>20</v>
      </c>
      <c r="W11" s="345">
        <f t="shared" si="5"/>
        <v>0.10185220882315059</v>
      </c>
      <c r="X11" s="346">
        <f>IF(AND(K11&gt;0,'Custo Contábil'!$D$7&gt;0),ROUND(K11*('Custo Contábil'!$D$20/'Custo Contábil'!$D$7)*W11,2),0)</f>
        <v>330.02</v>
      </c>
      <c r="Y11" s="729">
        <f t="shared" si="6"/>
        <v>6600.4</v>
      </c>
    </row>
    <row r="12" spans="2:26" ht="15" customHeight="1" outlineLevel="1" x14ac:dyDescent="0.25">
      <c r="B12" s="173">
        <v>5</v>
      </c>
      <c r="C12" s="1175" t="str">
        <f>IF(ISBLANK('IlumCusto (ORÇ)'!C12)," ",'IlumCusto (ORÇ)'!C12)</f>
        <v>Led tubular 16W</v>
      </c>
      <c r="D12" s="1176"/>
      <c r="E12" s="1176"/>
      <c r="F12" s="1176"/>
      <c r="G12" s="1176"/>
      <c r="H12" s="581">
        <f>'IlumCusto (ORÇ)'!H12</f>
        <v>20</v>
      </c>
      <c r="I12" s="582">
        <f>'IlumCusto (ORÇ)'!I12</f>
        <v>30</v>
      </c>
      <c r="J12" s="574">
        <f>'IlumCusto (ORÇ)'!J12</f>
        <v>24.83</v>
      </c>
      <c r="K12" s="344">
        <f t="shared" si="0"/>
        <v>744.9</v>
      </c>
      <c r="L12" s="344">
        <f t="shared" si="1"/>
        <v>744.9</v>
      </c>
      <c r="M12" s="343"/>
      <c r="N12" s="343"/>
      <c r="P12" s="173">
        <f t="shared" si="2"/>
        <v>5</v>
      </c>
      <c r="Q12" s="1177" t="str">
        <f t="shared" si="3"/>
        <v>Led tubular 16W</v>
      </c>
      <c r="R12" s="1177"/>
      <c r="S12" s="1177"/>
      <c r="T12" s="1177"/>
      <c r="U12" s="1178"/>
      <c r="V12" s="174">
        <f t="shared" si="4"/>
        <v>20</v>
      </c>
      <c r="W12" s="345">
        <f t="shared" si="5"/>
        <v>0.10185220882315059</v>
      </c>
      <c r="X12" s="346">
        <f>IF(AND(K12&gt;0,'Custo Contábil'!$D$7&gt;0),ROUND(K12*('Custo Contábil'!$D$20/'Custo Contábil'!$D$7)*W12,2),0)</f>
        <v>154.69999999999999</v>
      </c>
      <c r="Y12" s="729">
        <f t="shared" si="6"/>
        <v>3094</v>
      </c>
    </row>
    <row r="13" spans="2:26" ht="15" customHeight="1" outlineLevel="1" x14ac:dyDescent="0.25">
      <c r="B13" s="175">
        <v>6</v>
      </c>
      <c r="C13" s="1175" t="str">
        <f>IF(ISBLANK('IlumCusto (ORÇ)'!C13)," ",'IlumCusto (ORÇ)'!C13)</f>
        <v>Led tubular 8W</v>
      </c>
      <c r="D13" s="1176"/>
      <c r="E13" s="1176"/>
      <c r="F13" s="1176"/>
      <c r="G13" s="1176"/>
      <c r="H13" s="581">
        <f>'IlumCusto (ORÇ)'!H13</f>
        <v>12.800819252432156</v>
      </c>
      <c r="I13" s="582">
        <f>'IlumCusto (ORÇ)'!I13</f>
        <v>8</v>
      </c>
      <c r="J13" s="574">
        <f>'IlumCusto (ORÇ)'!J13</f>
        <v>17.559999999999999</v>
      </c>
      <c r="K13" s="344">
        <f t="shared" si="0"/>
        <v>140.47999999999999</v>
      </c>
      <c r="L13" s="344">
        <f t="shared" si="1"/>
        <v>140.47999999999999</v>
      </c>
      <c r="M13" s="343"/>
      <c r="N13" s="343"/>
      <c r="P13" s="173">
        <f t="shared" si="2"/>
        <v>6</v>
      </c>
      <c r="Q13" s="1177" t="str">
        <f t="shared" si="3"/>
        <v>Led tubular 8W</v>
      </c>
      <c r="R13" s="1177"/>
      <c r="S13" s="1177"/>
      <c r="T13" s="1177"/>
      <c r="U13" s="1178"/>
      <c r="V13" s="174">
        <f t="shared" si="4"/>
        <v>12.800819252432156</v>
      </c>
      <c r="W13" s="345">
        <f t="shared" si="5"/>
        <v>0.1276686431123697</v>
      </c>
      <c r="X13" s="346">
        <f>IF(AND(K13&gt;0,'Custo Contábil'!$D$7&gt;0),ROUND(K13*('Custo Contábil'!$D$20/'Custo Contábil'!$D$7)*W13,2),0)</f>
        <v>36.57</v>
      </c>
      <c r="Y13" s="729">
        <f t="shared" si="6"/>
        <v>468.12596006144395</v>
      </c>
    </row>
    <row r="14" spans="2:26" ht="15" customHeight="1" outlineLevel="1" x14ac:dyDescent="0.25">
      <c r="B14" s="173">
        <v>7</v>
      </c>
      <c r="C14" s="1175" t="str">
        <f>IF(ISBLANK('IlumCusto (ORÇ)'!C14)," ",'IlumCusto (ORÇ)'!C14)</f>
        <v>Led tubular 8W</v>
      </c>
      <c r="D14" s="1176"/>
      <c r="E14" s="1176"/>
      <c r="F14" s="1176"/>
      <c r="G14" s="1176"/>
      <c r="H14" s="581">
        <f>'IlumCusto (ORÇ)'!H14</f>
        <v>6.8756875687568755</v>
      </c>
      <c r="I14" s="582">
        <f>'IlumCusto (ORÇ)'!I14</f>
        <v>8</v>
      </c>
      <c r="J14" s="574">
        <f>'IlumCusto (ORÇ)'!J14</f>
        <v>17.559999999999999</v>
      </c>
      <c r="K14" s="344">
        <f t="shared" si="0"/>
        <v>140.47999999999999</v>
      </c>
      <c r="L14" s="344">
        <f t="shared" si="1"/>
        <v>140.47999999999999</v>
      </c>
      <c r="M14" s="343"/>
      <c r="N14" s="343"/>
      <c r="P14" s="173">
        <f t="shared" si="2"/>
        <v>7</v>
      </c>
      <c r="Q14" s="1177" t="str">
        <f t="shared" si="3"/>
        <v>Led tubular 8W</v>
      </c>
      <c r="R14" s="1177"/>
      <c r="S14" s="1177"/>
      <c r="T14" s="1177"/>
      <c r="U14" s="1178"/>
      <c r="V14" s="174">
        <f t="shared" si="4"/>
        <v>6.8756875687568755</v>
      </c>
      <c r="W14" s="345">
        <f t="shared" si="5"/>
        <v>0.19469436539384899</v>
      </c>
      <c r="X14" s="346">
        <f>IF(AND(K14&gt;0,'Custo Contábil'!$D$7&gt;0),ROUND(K14*('Custo Contábil'!$D$20/'Custo Contábil'!$D$7)*W14,2),0)</f>
        <v>55.77</v>
      </c>
      <c r="Y14" s="729">
        <f t="shared" si="6"/>
        <v>383.45709570957098</v>
      </c>
    </row>
    <row r="15" spans="2:26" ht="15" customHeight="1" outlineLevel="1" x14ac:dyDescent="0.25">
      <c r="B15" s="175">
        <v>8</v>
      </c>
      <c r="C15" s="1175" t="str">
        <f>IF(ISBLANK('IlumCusto (ORÇ)'!C15)," ",'IlumCusto (ORÇ)'!C15)</f>
        <v>Led tubular 8W</v>
      </c>
      <c r="D15" s="1176"/>
      <c r="E15" s="1176"/>
      <c r="F15" s="1176"/>
      <c r="G15" s="1176"/>
      <c r="H15" s="581">
        <f>'IlumCusto (ORÇ)'!H15</f>
        <v>20</v>
      </c>
      <c r="I15" s="582">
        <f>'IlumCusto (ORÇ)'!I15</f>
        <v>102</v>
      </c>
      <c r="J15" s="574">
        <f>'IlumCusto (ORÇ)'!J15</f>
        <v>17.559999999999999</v>
      </c>
      <c r="K15" s="344">
        <f t="shared" si="0"/>
        <v>1791.12</v>
      </c>
      <c r="L15" s="344">
        <f t="shared" si="1"/>
        <v>1791.12</v>
      </c>
      <c r="M15" s="343"/>
      <c r="N15" s="343"/>
      <c r="P15" s="173">
        <f t="shared" si="2"/>
        <v>8</v>
      </c>
      <c r="Q15" s="1177" t="str">
        <f t="shared" si="3"/>
        <v>Led tubular 8W</v>
      </c>
      <c r="R15" s="1177"/>
      <c r="S15" s="1177"/>
      <c r="T15" s="1177"/>
      <c r="U15" s="1178"/>
      <c r="V15" s="174">
        <f t="shared" si="4"/>
        <v>20</v>
      </c>
      <c r="W15" s="345">
        <f t="shared" si="5"/>
        <v>0.10185220882315059</v>
      </c>
      <c r="X15" s="346">
        <f>IF(AND(K15&gt;0,'Custo Contábil'!$D$7&gt;0),ROUND(K15*('Custo Contábil'!$D$20/'Custo Contábil'!$D$7)*W15,2),0)</f>
        <v>371.97</v>
      </c>
      <c r="Y15" s="729">
        <f t="shared" si="6"/>
        <v>7439.4000000000005</v>
      </c>
    </row>
    <row r="16" spans="2:26" ht="15" customHeight="1" outlineLevel="1" x14ac:dyDescent="0.25">
      <c r="B16" s="173">
        <v>9</v>
      </c>
      <c r="C16" s="1175" t="str">
        <f>IF(ISBLANK('IlumCusto (ORÇ)'!C16)," ",'IlumCusto (ORÇ)'!C16)</f>
        <v>Led bulbo 8W</v>
      </c>
      <c r="D16" s="1176"/>
      <c r="E16" s="1176"/>
      <c r="F16" s="1176"/>
      <c r="G16" s="1176"/>
      <c r="H16" s="581">
        <f>'IlumCusto (ORÇ)'!H16</f>
        <v>12.800819252432156</v>
      </c>
      <c r="I16" s="582">
        <f>'IlumCusto (ORÇ)'!I16</f>
        <v>12</v>
      </c>
      <c r="J16" s="574">
        <f>'IlumCusto (ORÇ)'!J16</f>
        <v>11.26</v>
      </c>
      <c r="K16" s="344">
        <f t="shared" si="0"/>
        <v>135.12</v>
      </c>
      <c r="L16" s="344">
        <f t="shared" si="1"/>
        <v>135.12</v>
      </c>
      <c r="M16" s="343"/>
      <c r="N16" s="343"/>
      <c r="P16" s="173">
        <f t="shared" si="2"/>
        <v>9</v>
      </c>
      <c r="Q16" s="1177" t="str">
        <f t="shared" si="3"/>
        <v>Led bulbo 8W</v>
      </c>
      <c r="R16" s="1177"/>
      <c r="S16" s="1177"/>
      <c r="T16" s="1177"/>
      <c r="U16" s="1178"/>
      <c r="V16" s="174">
        <f t="shared" si="4"/>
        <v>12.800819252432156</v>
      </c>
      <c r="W16" s="345">
        <f t="shared" si="5"/>
        <v>0.1276686431123697</v>
      </c>
      <c r="X16" s="346">
        <f>IF(AND(K16&gt;0,'Custo Contábil'!$D$7&gt;0),ROUND(K16*('Custo Contábil'!$D$20/'Custo Contábil'!$D$7)*W16,2),0)</f>
        <v>35.17</v>
      </c>
      <c r="Y16" s="729">
        <f t="shared" si="6"/>
        <v>450.20481310803893</v>
      </c>
    </row>
    <row r="17" spans="2:25" ht="15" customHeight="1" outlineLevel="1" x14ac:dyDescent="0.25">
      <c r="B17" s="175">
        <v>10</v>
      </c>
      <c r="C17" s="1175" t="str">
        <f>IF(ISBLANK('IlumCusto (ORÇ)'!C17)," ",'IlumCusto (ORÇ)'!C17)</f>
        <v>Led Bulbo 8W</v>
      </c>
      <c r="D17" s="1176"/>
      <c r="E17" s="1176"/>
      <c r="F17" s="1176"/>
      <c r="G17" s="1176"/>
      <c r="H17" s="581">
        <f>'IlumCusto (ORÇ)'!H17</f>
        <v>20</v>
      </c>
      <c r="I17" s="582">
        <f>'IlumCusto (ORÇ)'!I17</f>
        <v>46</v>
      </c>
      <c r="J17" s="574">
        <f>'IlumCusto (ORÇ)'!J17</f>
        <v>11.26</v>
      </c>
      <c r="K17" s="344">
        <f t="shared" si="0"/>
        <v>517.96</v>
      </c>
      <c r="L17" s="344">
        <f t="shared" si="1"/>
        <v>517.96</v>
      </c>
      <c r="M17" s="343"/>
      <c r="N17" s="343"/>
      <c r="P17" s="173">
        <f t="shared" si="2"/>
        <v>10</v>
      </c>
      <c r="Q17" s="1177" t="str">
        <f t="shared" si="3"/>
        <v>Led Bulbo 8W</v>
      </c>
      <c r="R17" s="1177"/>
      <c r="S17" s="1177"/>
      <c r="T17" s="1177"/>
      <c r="U17" s="1178"/>
      <c r="V17" s="174">
        <f t="shared" si="4"/>
        <v>20</v>
      </c>
      <c r="W17" s="345">
        <f t="shared" si="5"/>
        <v>0.10185220882315059</v>
      </c>
      <c r="X17" s="346">
        <f>IF(AND(K17&gt;0,'Custo Contábil'!$D$7&gt;0),ROUND(K17*('Custo Contábil'!$D$20/'Custo Contábil'!$D$7)*W17,2),0)</f>
        <v>107.57</v>
      </c>
      <c r="Y17" s="729">
        <f t="shared" si="6"/>
        <v>2151.3999999999996</v>
      </c>
    </row>
    <row r="18" spans="2:25" ht="15" customHeight="1" outlineLevel="1" x14ac:dyDescent="0.25">
      <c r="B18" s="173">
        <v>11</v>
      </c>
      <c r="C18" s="1175" t="str">
        <f>IF(ISBLANK('IlumCusto (ORÇ)'!C18)," ",'IlumCusto (ORÇ)'!C18)</f>
        <v>Led bulbo 8W</v>
      </c>
      <c r="D18" s="1176"/>
      <c r="E18" s="1176"/>
      <c r="F18" s="1176"/>
      <c r="G18" s="1176"/>
      <c r="H18" s="581">
        <f>'IlumCusto (ORÇ)'!H18</f>
        <v>6.8756875687568755</v>
      </c>
      <c r="I18" s="582">
        <f>'IlumCusto (ORÇ)'!I18</f>
        <v>9</v>
      </c>
      <c r="J18" s="574">
        <f>'IlumCusto (ORÇ)'!J18</f>
        <v>11.26</v>
      </c>
      <c r="K18" s="344">
        <f t="shared" si="0"/>
        <v>101.34</v>
      </c>
      <c r="L18" s="344">
        <f t="shared" si="1"/>
        <v>101.34</v>
      </c>
      <c r="M18" s="343"/>
      <c r="N18" s="343"/>
      <c r="P18" s="173">
        <f t="shared" si="2"/>
        <v>11</v>
      </c>
      <c r="Q18" s="1177" t="str">
        <f t="shared" si="3"/>
        <v>Led bulbo 8W</v>
      </c>
      <c r="R18" s="1177"/>
      <c r="S18" s="1177"/>
      <c r="T18" s="1177"/>
      <c r="U18" s="1178"/>
      <c r="V18" s="174">
        <f t="shared" si="4"/>
        <v>6.8756875687568755</v>
      </c>
      <c r="W18" s="345">
        <f t="shared" si="5"/>
        <v>0.19469436539384899</v>
      </c>
      <c r="X18" s="346">
        <f>IF(AND(K18&gt;0,'Custo Contábil'!$D$7&gt;0),ROUND(K18*('Custo Contábil'!$D$20/'Custo Contábil'!$D$7)*W18,2),0)</f>
        <v>40.229999999999997</v>
      </c>
      <c r="Y18" s="729">
        <f t="shared" si="6"/>
        <v>276.60891089108907</v>
      </c>
    </row>
    <row r="19" spans="2:25" ht="15" customHeight="1" outlineLevel="1" x14ac:dyDescent="0.25">
      <c r="B19" s="175">
        <v>12</v>
      </c>
      <c r="C19" s="1175" t="str">
        <f>IF(ISBLANK('IlumCusto (ORÇ)'!C19)," ",'IlumCusto (ORÇ)'!C19)</f>
        <v>Led bulbo 8W</v>
      </c>
      <c r="D19" s="1176"/>
      <c r="E19" s="1176"/>
      <c r="F19" s="1176"/>
      <c r="G19" s="1176"/>
      <c r="H19" s="581">
        <f>'IlumCusto (ORÇ)'!H19</f>
        <v>12.800819252432156</v>
      </c>
      <c r="I19" s="582">
        <f>'IlumCusto (ORÇ)'!I19</f>
        <v>1</v>
      </c>
      <c r="J19" s="574">
        <f>'IlumCusto (ORÇ)'!J19</f>
        <v>11.26</v>
      </c>
      <c r="K19" s="344">
        <f t="shared" si="0"/>
        <v>11.26</v>
      </c>
      <c r="L19" s="344">
        <f t="shared" si="1"/>
        <v>11.26</v>
      </c>
      <c r="M19" s="343"/>
      <c r="N19" s="343"/>
      <c r="P19" s="173">
        <f t="shared" si="2"/>
        <v>12</v>
      </c>
      <c r="Q19" s="1177" t="str">
        <f t="shared" si="3"/>
        <v>Led bulbo 8W</v>
      </c>
      <c r="R19" s="1177"/>
      <c r="S19" s="1177"/>
      <c r="T19" s="1177"/>
      <c r="U19" s="1178"/>
      <c r="V19" s="174">
        <f t="shared" si="4"/>
        <v>12.800819252432156</v>
      </c>
      <c r="W19" s="345">
        <f t="shared" si="5"/>
        <v>0.1276686431123697</v>
      </c>
      <c r="X19" s="346">
        <f>IF(AND(K19&gt;0,'Custo Contábil'!$D$7&gt;0),ROUND(K19*('Custo Contábil'!$D$20/'Custo Contábil'!$D$7)*W19,2),0)</f>
        <v>2.93</v>
      </c>
      <c r="Y19" s="729">
        <f t="shared" si="6"/>
        <v>37.506400409626217</v>
      </c>
    </row>
    <row r="20" spans="2:25" ht="15" customHeight="1" outlineLevel="1" x14ac:dyDescent="0.25">
      <c r="B20" s="173">
        <v>13</v>
      </c>
      <c r="C20" s="1175" t="str">
        <f>IF(ISBLANK('IlumCusto (ORÇ)'!C20)," ",'IlumCusto (ORÇ)'!C20)</f>
        <v xml:space="preserve"> </v>
      </c>
      <c r="D20" s="1176"/>
      <c r="E20" s="1176"/>
      <c r="F20" s="1176"/>
      <c r="G20" s="1176"/>
      <c r="H20" s="581">
        <f>'IlumCusto (ORÇ)'!H20</f>
        <v>0</v>
      </c>
      <c r="I20" s="582">
        <f>'IlumCusto (ORÇ)'!I20</f>
        <v>0</v>
      </c>
      <c r="J20" s="574">
        <f>'IlumCusto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729">
        <f t="shared" si="6"/>
        <v>0</v>
      </c>
    </row>
    <row r="21" spans="2:25" ht="15" customHeight="1" outlineLevel="1" x14ac:dyDescent="0.25">
      <c r="B21" s="175">
        <v>14</v>
      </c>
      <c r="C21" s="1175" t="str">
        <f>IF(ISBLANK('IlumCusto (ORÇ)'!C21)," ",'IlumCusto (ORÇ)'!C21)</f>
        <v xml:space="preserve"> </v>
      </c>
      <c r="D21" s="1176"/>
      <c r="E21" s="1176"/>
      <c r="F21" s="1176"/>
      <c r="G21" s="1176"/>
      <c r="H21" s="581">
        <f>'IlumCusto (ORÇ)'!H21</f>
        <v>0</v>
      </c>
      <c r="I21" s="582">
        <f>'IlumCusto (ORÇ)'!I21</f>
        <v>0</v>
      </c>
      <c r="J21" s="574">
        <f>'IlumCusto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729">
        <f t="shared" si="6"/>
        <v>0</v>
      </c>
    </row>
    <row r="22" spans="2:25" ht="15" customHeight="1" outlineLevel="1" x14ac:dyDescent="0.25">
      <c r="B22" s="173">
        <v>15</v>
      </c>
      <c r="C22" s="1175" t="str">
        <f>IF(ISBLANK('IlumCusto (ORÇ)'!C22)," ",'IlumCusto (ORÇ)'!C22)</f>
        <v xml:space="preserve"> </v>
      </c>
      <c r="D22" s="1176"/>
      <c r="E22" s="1176"/>
      <c r="F22" s="1176"/>
      <c r="G22" s="1176"/>
      <c r="H22" s="581">
        <f>'IlumCusto (ORÇ)'!H22</f>
        <v>0</v>
      </c>
      <c r="I22" s="582">
        <f>'IlumCusto (ORÇ)'!I22</f>
        <v>0</v>
      </c>
      <c r="J22" s="574">
        <f>'IlumCusto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729">
        <f t="shared" si="6"/>
        <v>0</v>
      </c>
    </row>
    <row r="23" spans="2:25" ht="15" customHeight="1" outlineLevel="1" x14ac:dyDescent="0.25">
      <c r="B23" s="175">
        <v>16</v>
      </c>
      <c r="C23" s="1175" t="str">
        <f>IF(ISBLANK('IlumCusto (ORÇ)'!C23)," ",'IlumCusto (ORÇ)'!C23)</f>
        <v xml:space="preserve"> </v>
      </c>
      <c r="D23" s="1176"/>
      <c r="E23" s="1176"/>
      <c r="F23" s="1176"/>
      <c r="G23" s="1176"/>
      <c r="H23" s="581">
        <f>'IlumCusto (ORÇ)'!H23</f>
        <v>0</v>
      </c>
      <c r="I23" s="582">
        <f>'IlumCusto (ORÇ)'!I23</f>
        <v>0</v>
      </c>
      <c r="J23" s="574">
        <f>'IlumCusto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729">
        <f t="shared" si="6"/>
        <v>0</v>
      </c>
    </row>
    <row r="24" spans="2:25" ht="15" customHeight="1" outlineLevel="1" x14ac:dyDescent="0.25">
      <c r="B24" s="173">
        <v>17</v>
      </c>
      <c r="C24" s="1175" t="str">
        <f>IF(ISBLANK('IlumCusto (ORÇ)'!C24)," ",'IlumCusto (ORÇ)'!C24)</f>
        <v xml:space="preserve"> </v>
      </c>
      <c r="D24" s="1176"/>
      <c r="E24" s="1176"/>
      <c r="F24" s="1176"/>
      <c r="G24" s="1176"/>
      <c r="H24" s="581">
        <f>'IlumCusto (ORÇ)'!H24</f>
        <v>0</v>
      </c>
      <c r="I24" s="582">
        <f>'IlumCusto (ORÇ)'!I24</f>
        <v>0</v>
      </c>
      <c r="J24" s="574">
        <f>'IlumCusto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729">
        <f t="shared" si="6"/>
        <v>0</v>
      </c>
    </row>
    <row r="25" spans="2:25" ht="15" customHeight="1" outlineLevel="1" x14ac:dyDescent="0.25">
      <c r="B25" s="175">
        <v>18</v>
      </c>
      <c r="C25" s="1175" t="str">
        <f>IF(ISBLANK('IlumCusto (ORÇ)'!C25)," ",'IlumCusto (ORÇ)'!C25)</f>
        <v xml:space="preserve"> </v>
      </c>
      <c r="D25" s="1176"/>
      <c r="E25" s="1176"/>
      <c r="F25" s="1176"/>
      <c r="G25" s="1176"/>
      <c r="H25" s="581">
        <f>'IlumCusto (ORÇ)'!H25</f>
        <v>0</v>
      </c>
      <c r="I25" s="582">
        <f>'IlumCusto (ORÇ)'!I25</f>
        <v>0</v>
      </c>
      <c r="J25" s="574">
        <f>'IlumCusto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729">
        <f t="shared" si="6"/>
        <v>0</v>
      </c>
    </row>
    <row r="26" spans="2:25" ht="15" customHeight="1" outlineLevel="1" x14ac:dyDescent="0.25">
      <c r="B26" s="173">
        <v>19</v>
      </c>
      <c r="C26" s="1175" t="str">
        <f>IF(ISBLANK('IlumCusto (ORÇ)'!C26)," ",'IlumCusto (ORÇ)'!C26)</f>
        <v xml:space="preserve"> </v>
      </c>
      <c r="D26" s="1176"/>
      <c r="E26" s="1176"/>
      <c r="F26" s="1176"/>
      <c r="G26" s="1176"/>
      <c r="H26" s="581">
        <f>'IlumCusto (ORÇ)'!H26</f>
        <v>0</v>
      </c>
      <c r="I26" s="582">
        <f>'IlumCusto (ORÇ)'!I26</f>
        <v>0</v>
      </c>
      <c r="J26" s="574">
        <f>'IlumCusto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729">
        <f t="shared" si="6"/>
        <v>0</v>
      </c>
    </row>
    <row r="27" spans="2:25" ht="15" customHeight="1" outlineLevel="1" x14ac:dyDescent="0.25">
      <c r="B27" s="175">
        <v>20</v>
      </c>
      <c r="C27" s="1175" t="str">
        <f>IF(ISBLANK('IlumCusto (ORÇ)'!C27)," ",'IlumCusto (ORÇ)'!C27)</f>
        <v xml:space="preserve"> </v>
      </c>
      <c r="D27" s="1176"/>
      <c r="E27" s="1176"/>
      <c r="F27" s="1176"/>
      <c r="G27" s="1176"/>
      <c r="H27" s="581">
        <f>'IlumCusto (ORÇ)'!H27</f>
        <v>0</v>
      </c>
      <c r="I27" s="582">
        <f>'IlumCusto (ORÇ)'!I27</f>
        <v>0</v>
      </c>
      <c r="J27" s="574">
        <f>'IlumCusto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729">
        <f t="shared" si="6"/>
        <v>0</v>
      </c>
    </row>
    <row r="28" spans="2:25" ht="15" customHeight="1" outlineLevel="1" x14ac:dyDescent="0.25">
      <c r="B28" s="173">
        <v>21</v>
      </c>
      <c r="C28" s="1175" t="str">
        <f>IF(ISBLANK('IlumCusto (ORÇ)'!C28)," ",'IlumCusto (ORÇ)'!C28)</f>
        <v xml:space="preserve"> </v>
      </c>
      <c r="D28" s="1176"/>
      <c r="E28" s="1176"/>
      <c r="F28" s="1176"/>
      <c r="G28" s="1176"/>
      <c r="H28" s="581">
        <f>'IlumCusto (ORÇ)'!H28</f>
        <v>0</v>
      </c>
      <c r="I28" s="582">
        <f>'IlumCusto (ORÇ)'!I28</f>
        <v>0</v>
      </c>
      <c r="J28" s="574">
        <f>'IlumCusto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729">
        <f t="shared" si="6"/>
        <v>0</v>
      </c>
    </row>
    <row r="29" spans="2:25" ht="15" customHeight="1" outlineLevel="1" x14ac:dyDescent="0.25">
      <c r="B29" s="175">
        <v>22</v>
      </c>
      <c r="C29" s="1175" t="str">
        <f>IF(ISBLANK('IlumCusto (ORÇ)'!C29)," ",'IlumCusto (ORÇ)'!C29)</f>
        <v xml:space="preserve"> </v>
      </c>
      <c r="D29" s="1176"/>
      <c r="E29" s="1176"/>
      <c r="F29" s="1176"/>
      <c r="G29" s="1176"/>
      <c r="H29" s="581">
        <f>'IlumCusto (ORÇ)'!H29</f>
        <v>0</v>
      </c>
      <c r="I29" s="582">
        <f>'IlumCusto (ORÇ)'!I29</f>
        <v>0</v>
      </c>
      <c r="J29" s="574">
        <f>'IlumCusto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729">
        <f t="shared" si="6"/>
        <v>0</v>
      </c>
    </row>
    <row r="30" spans="2:25" ht="15" customHeight="1" outlineLevel="1" x14ac:dyDescent="0.25">
      <c r="B30" s="173">
        <v>23</v>
      </c>
      <c r="C30" s="1175" t="str">
        <f>IF(ISBLANK('IlumCusto (ORÇ)'!C30)," ",'IlumCusto (ORÇ)'!C30)</f>
        <v xml:space="preserve"> </v>
      </c>
      <c r="D30" s="1176"/>
      <c r="E30" s="1176"/>
      <c r="F30" s="1176"/>
      <c r="G30" s="1176"/>
      <c r="H30" s="581">
        <f>'IlumCusto (ORÇ)'!H30</f>
        <v>0</v>
      </c>
      <c r="I30" s="582">
        <f>'IlumCusto (ORÇ)'!I30</f>
        <v>0</v>
      </c>
      <c r="J30" s="574">
        <f>'IlumCusto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729">
        <f t="shared" si="6"/>
        <v>0</v>
      </c>
    </row>
    <row r="31" spans="2:25" ht="15" customHeight="1" outlineLevel="1" x14ac:dyDescent="0.25">
      <c r="B31" s="175">
        <v>24</v>
      </c>
      <c r="C31" s="1175" t="str">
        <f>IF(ISBLANK('IlumCusto (ORÇ)'!C31)," ",'IlumCusto (ORÇ)'!C31)</f>
        <v xml:space="preserve"> </v>
      </c>
      <c r="D31" s="1176"/>
      <c r="E31" s="1176"/>
      <c r="F31" s="1176"/>
      <c r="G31" s="1176"/>
      <c r="H31" s="581">
        <f>'IlumCusto (ORÇ)'!H31</f>
        <v>0</v>
      </c>
      <c r="I31" s="582">
        <f>'IlumCusto (ORÇ)'!I31</f>
        <v>0</v>
      </c>
      <c r="J31" s="574">
        <f>'IlumCusto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729">
        <f t="shared" si="6"/>
        <v>0</v>
      </c>
    </row>
    <row r="32" spans="2:25" ht="15" customHeight="1" outlineLevel="1" x14ac:dyDescent="0.25">
      <c r="B32" s="173">
        <v>25</v>
      </c>
      <c r="C32" s="1175" t="str">
        <f>IF(ISBLANK('IlumCusto (ORÇ)'!C32)," ",'IlumCusto (ORÇ)'!C32)</f>
        <v xml:space="preserve"> </v>
      </c>
      <c r="D32" s="1176"/>
      <c r="E32" s="1176"/>
      <c r="F32" s="1176"/>
      <c r="G32" s="1176"/>
      <c r="H32" s="581">
        <f>'IlumCusto (ORÇ)'!H32</f>
        <v>0</v>
      </c>
      <c r="I32" s="582">
        <f>'IlumCusto (ORÇ)'!I32</f>
        <v>0</v>
      </c>
      <c r="J32" s="574">
        <f>'IlumCusto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729">
        <f t="shared" si="6"/>
        <v>0</v>
      </c>
    </row>
    <row r="33" spans="2:25" ht="15" customHeight="1" outlineLevel="1" x14ac:dyDescent="0.25">
      <c r="B33" s="175">
        <v>26</v>
      </c>
      <c r="C33" s="1175" t="str">
        <f>IF(ISBLANK('IlumCusto (ORÇ)'!C33)," ",'IlumCusto (ORÇ)'!C33)</f>
        <v xml:space="preserve"> </v>
      </c>
      <c r="D33" s="1176"/>
      <c r="E33" s="1176"/>
      <c r="F33" s="1176"/>
      <c r="G33" s="1176"/>
      <c r="H33" s="581">
        <f>'IlumCusto (ORÇ)'!H33</f>
        <v>0</v>
      </c>
      <c r="I33" s="582">
        <f>'IlumCusto (ORÇ)'!I33</f>
        <v>0</v>
      </c>
      <c r="J33" s="574">
        <f>'IlumCusto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729">
        <f t="shared" si="6"/>
        <v>0</v>
      </c>
    </row>
    <row r="34" spans="2:25" ht="15" customHeight="1" outlineLevel="1" x14ac:dyDescent="0.25">
      <c r="B34" s="173">
        <v>27</v>
      </c>
      <c r="C34" s="1175" t="str">
        <f>IF(ISBLANK('IlumCusto (ORÇ)'!C34)," ",'IlumCusto (ORÇ)'!C34)</f>
        <v xml:space="preserve"> </v>
      </c>
      <c r="D34" s="1176"/>
      <c r="E34" s="1176"/>
      <c r="F34" s="1176"/>
      <c r="G34" s="1176"/>
      <c r="H34" s="581">
        <f>'IlumCusto (ORÇ)'!H34</f>
        <v>0</v>
      </c>
      <c r="I34" s="582">
        <f>'IlumCusto (ORÇ)'!I34</f>
        <v>0</v>
      </c>
      <c r="J34" s="574">
        <f>'IlumCusto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729">
        <f t="shared" si="6"/>
        <v>0</v>
      </c>
    </row>
    <row r="35" spans="2:25" ht="15" customHeight="1" outlineLevel="1" x14ac:dyDescent="0.25">
      <c r="B35" s="175">
        <v>28</v>
      </c>
      <c r="C35" s="1175" t="str">
        <f>IF(ISBLANK('IlumCusto (ORÇ)'!C35)," ",'IlumCusto (ORÇ)'!C35)</f>
        <v xml:space="preserve"> </v>
      </c>
      <c r="D35" s="1176"/>
      <c r="E35" s="1176"/>
      <c r="F35" s="1176"/>
      <c r="G35" s="1176"/>
      <c r="H35" s="581">
        <f>'IlumCusto (ORÇ)'!H35</f>
        <v>0</v>
      </c>
      <c r="I35" s="582">
        <f>'IlumCusto (ORÇ)'!I35</f>
        <v>0</v>
      </c>
      <c r="J35" s="574">
        <f>'IlumCusto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729">
        <f t="shared" si="6"/>
        <v>0</v>
      </c>
    </row>
    <row r="36" spans="2:25" ht="15" customHeight="1" outlineLevel="1" x14ac:dyDescent="0.25">
      <c r="B36" s="173">
        <v>29</v>
      </c>
      <c r="C36" s="1175" t="str">
        <f>IF(ISBLANK('IlumCusto (ORÇ)'!C36)," ",'IlumCusto (ORÇ)'!C36)</f>
        <v xml:space="preserve"> </v>
      </c>
      <c r="D36" s="1176"/>
      <c r="E36" s="1176"/>
      <c r="F36" s="1176"/>
      <c r="G36" s="1176"/>
      <c r="H36" s="581">
        <f>'IlumCusto (ORÇ)'!H36</f>
        <v>0</v>
      </c>
      <c r="I36" s="582">
        <f>'IlumCusto (ORÇ)'!I36</f>
        <v>0</v>
      </c>
      <c r="J36" s="574">
        <f>'IlumCusto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729">
        <f t="shared" si="6"/>
        <v>0</v>
      </c>
    </row>
    <row r="37" spans="2:25" ht="15" customHeight="1" outlineLevel="1" x14ac:dyDescent="0.25">
      <c r="B37" s="175">
        <v>30</v>
      </c>
      <c r="C37" s="1175" t="str">
        <f>IF(ISBLANK('IlumCusto (ORÇ)'!C37)," ",'IlumCusto (ORÇ)'!C37)</f>
        <v xml:space="preserve"> </v>
      </c>
      <c r="D37" s="1176"/>
      <c r="E37" s="1176"/>
      <c r="F37" s="1176"/>
      <c r="G37" s="1176"/>
      <c r="H37" s="581">
        <f>'IlumCusto (ORÇ)'!H37</f>
        <v>0</v>
      </c>
      <c r="I37" s="582">
        <f>'IlumCusto (ORÇ)'!I37</f>
        <v>0</v>
      </c>
      <c r="J37" s="574">
        <f>'IlumCusto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729">
        <f t="shared" si="6"/>
        <v>0</v>
      </c>
    </row>
    <row r="38" spans="2:25" ht="15" customHeight="1" outlineLevel="1" x14ac:dyDescent="0.25">
      <c r="B38" s="173">
        <v>31</v>
      </c>
      <c r="C38" s="1175" t="str">
        <f>IF(ISBLANK('IlumCusto (ORÇ)'!C38)," ",'IlumCusto (ORÇ)'!C38)</f>
        <v xml:space="preserve"> </v>
      </c>
      <c r="D38" s="1176"/>
      <c r="E38" s="1176"/>
      <c r="F38" s="1176"/>
      <c r="G38" s="1176"/>
      <c r="H38" s="581">
        <f>'IlumCusto (ORÇ)'!H38</f>
        <v>0</v>
      </c>
      <c r="I38" s="582">
        <f>'IlumCusto (ORÇ)'!I38</f>
        <v>0</v>
      </c>
      <c r="J38" s="574">
        <f>'IlumCusto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729">
        <f t="shared" si="6"/>
        <v>0</v>
      </c>
    </row>
    <row r="39" spans="2:25" ht="15" customHeight="1" outlineLevel="1" x14ac:dyDescent="0.25">
      <c r="B39" s="175">
        <v>32</v>
      </c>
      <c r="C39" s="1175" t="str">
        <f>IF(ISBLANK('IlumCusto (ORÇ)'!C39)," ",'IlumCusto (ORÇ)'!C39)</f>
        <v xml:space="preserve"> </v>
      </c>
      <c r="D39" s="1176"/>
      <c r="E39" s="1176"/>
      <c r="F39" s="1176"/>
      <c r="G39" s="1176"/>
      <c r="H39" s="581">
        <f>'IlumCusto (ORÇ)'!H39</f>
        <v>0</v>
      </c>
      <c r="I39" s="582">
        <f>'IlumCusto (ORÇ)'!I39</f>
        <v>0</v>
      </c>
      <c r="J39" s="574">
        <f>'IlumCusto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729">
        <f t="shared" si="6"/>
        <v>0</v>
      </c>
    </row>
    <row r="40" spans="2:25" ht="15" customHeight="1" outlineLevel="1" x14ac:dyDescent="0.25">
      <c r="B40" s="173">
        <v>33</v>
      </c>
      <c r="C40" s="1175" t="str">
        <f>IF(ISBLANK('IlumCusto (ORÇ)'!C40)," ",'IlumCusto (ORÇ)'!C40)</f>
        <v xml:space="preserve"> </v>
      </c>
      <c r="D40" s="1176"/>
      <c r="E40" s="1176"/>
      <c r="F40" s="1176"/>
      <c r="G40" s="1176"/>
      <c r="H40" s="581">
        <f>'IlumCusto (ORÇ)'!H40</f>
        <v>0</v>
      </c>
      <c r="I40" s="582">
        <f>'IlumCusto (ORÇ)'!I40</f>
        <v>0</v>
      </c>
      <c r="J40" s="574">
        <f>'IlumCusto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ref="W40:W71" si="7">IF(OR(V40="",V40=0),0,(Desc*((1+Desc)^V40))/(((1+Desc)^V40)-1))</f>
        <v>0</v>
      </c>
      <c r="X40" s="346">
        <f>IF(AND(K40&gt;0,'Custo Contábil'!$D$7&gt;0),ROUND(K40*('Custo Contábil'!$D$20/'Custo Contábil'!$D$7)*W40,2),0)</f>
        <v>0</v>
      </c>
      <c r="Y40" s="729">
        <f t="shared" si="6"/>
        <v>0</v>
      </c>
    </row>
    <row r="41" spans="2:25" ht="15" customHeight="1" outlineLevel="1" x14ac:dyDescent="0.25">
      <c r="B41" s="175">
        <v>34</v>
      </c>
      <c r="C41" s="1175" t="str">
        <f>IF(ISBLANK('IlumCusto (ORÇ)'!C41)," ",'IlumCusto (ORÇ)'!C41)</f>
        <v xml:space="preserve"> </v>
      </c>
      <c r="D41" s="1176"/>
      <c r="E41" s="1176"/>
      <c r="F41" s="1176"/>
      <c r="G41" s="1176"/>
      <c r="H41" s="581">
        <f>'IlumCusto (ORÇ)'!H41</f>
        <v>0</v>
      </c>
      <c r="I41" s="582">
        <f>'IlumCusto (ORÇ)'!I41</f>
        <v>0</v>
      </c>
      <c r="J41" s="574">
        <f>'IlumCusto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7"/>
        <v>0</v>
      </c>
      <c r="X41" s="346">
        <f>IF(AND(K41&gt;0,'Custo Contábil'!$D$7&gt;0),ROUND(K41*('Custo Contábil'!$D$20/'Custo Contábil'!$D$7)*W41,2),0)</f>
        <v>0</v>
      </c>
      <c r="Y41" s="729">
        <f t="shared" si="6"/>
        <v>0</v>
      </c>
    </row>
    <row r="42" spans="2:25" ht="15" customHeight="1" outlineLevel="1" x14ac:dyDescent="0.25">
      <c r="B42" s="173">
        <v>35</v>
      </c>
      <c r="C42" s="1175" t="str">
        <f>IF(ISBLANK('IlumCusto (ORÇ)'!C42)," ",'IlumCusto (ORÇ)'!C42)</f>
        <v xml:space="preserve"> </v>
      </c>
      <c r="D42" s="1176"/>
      <c r="E42" s="1176"/>
      <c r="F42" s="1176"/>
      <c r="G42" s="1176"/>
      <c r="H42" s="581">
        <f>'IlumCusto (ORÇ)'!H42</f>
        <v>0</v>
      </c>
      <c r="I42" s="582">
        <f>'IlumCusto (ORÇ)'!I42</f>
        <v>0</v>
      </c>
      <c r="J42" s="574">
        <f>'IlumCusto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7"/>
        <v>0</v>
      </c>
      <c r="X42" s="346">
        <f>IF(AND(K42&gt;0,'Custo Contábil'!$D$7&gt;0),ROUND(K42*('Custo Contábil'!$D$20/'Custo Contábil'!$D$7)*W42,2),0)</f>
        <v>0</v>
      </c>
      <c r="Y42" s="729">
        <f t="shared" si="6"/>
        <v>0</v>
      </c>
    </row>
    <row r="43" spans="2:25" ht="15" customHeight="1" outlineLevel="1" x14ac:dyDescent="0.25">
      <c r="B43" s="175">
        <v>36</v>
      </c>
      <c r="C43" s="1175" t="str">
        <f>IF(ISBLANK('IlumCusto (ORÇ)'!C43)," ",'IlumCusto (ORÇ)'!C43)</f>
        <v xml:space="preserve"> </v>
      </c>
      <c r="D43" s="1176"/>
      <c r="E43" s="1176"/>
      <c r="F43" s="1176"/>
      <c r="G43" s="1176"/>
      <c r="H43" s="581">
        <f>'IlumCusto (ORÇ)'!H43</f>
        <v>0</v>
      </c>
      <c r="I43" s="582">
        <f>'IlumCusto (ORÇ)'!I43</f>
        <v>0</v>
      </c>
      <c r="J43" s="574">
        <f>'IlumCusto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7"/>
        <v>0</v>
      </c>
      <c r="X43" s="346">
        <f>IF(AND(K43&gt;0,'Custo Contábil'!$D$7&gt;0),ROUND(K43*('Custo Contábil'!$D$20/'Custo Contábil'!$D$7)*W43,2),0)</f>
        <v>0</v>
      </c>
      <c r="Y43" s="729">
        <f t="shared" si="6"/>
        <v>0</v>
      </c>
    </row>
    <row r="44" spans="2:25" ht="15" customHeight="1" outlineLevel="1" x14ac:dyDescent="0.25">
      <c r="B44" s="173">
        <v>37</v>
      </c>
      <c r="C44" s="1175" t="str">
        <f>IF(ISBLANK('IlumCusto (ORÇ)'!C44)," ",'IlumCusto (ORÇ)'!C44)</f>
        <v xml:space="preserve"> </v>
      </c>
      <c r="D44" s="1176"/>
      <c r="E44" s="1176"/>
      <c r="F44" s="1176"/>
      <c r="G44" s="1176"/>
      <c r="H44" s="581">
        <f>'IlumCusto (ORÇ)'!H44</f>
        <v>0</v>
      </c>
      <c r="I44" s="582">
        <f>'IlumCusto (ORÇ)'!I44</f>
        <v>0</v>
      </c>
      <c r="J44" s="574">
        <f>'IlumCusto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7"/>
        <v>0</v>
      </c>
      <c r="X44" s="346">
        <f>IF(AND(K44&gt;0,'Custo Contábil'!$D$7&gt;0),ROUND(K44*('Custo Contábil'!$D$20/'Custo Contábil'!$D$7)*W44,2),0)</f>
        <v>0</v>
      </c>
      <c r="Y44" s="729">
        <f t="shared" si="6"/>
        <v>0</v>
      </c>
    </row>
    <row r="45" spans="2:25" ht="15" customHeight="1" outlineLevel="1" x14ac:dyDescent="0.25">
      <c r="B45" s="175">
        <v>38</v>
      </c>
      <c r="C45" s="1175" t="str">
        <f>IF(ISBLANK('IlumCusto (ORÇ)'!C45)," ",'IlumCusto (ORÇ)'!C45)</f>
        <v xml:space="preserve"> </v>
      </c>
      <c r="D45" s="1176"/>
      <c r="E45" s="1176"/>
      <c r="F45" s="1176"/>
      <c r="G45" s="1176"/>
      <c r="H45" s="581">
        <f>'IlumCusto (ORÇ)'!H45</f>
        <v>0</v>
      </c>
      <c r="I45" s="582">
        <f>'IlumCusto (ORÇ)'!I45</f>
        <v>0</v>
      </c>
      <c r="J45" s="574">
        <f>'IlumCusto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7"/>
        <v>0</v>
      </c>
      <c r="X45" s="346">
        <f>IF(AND(K45&gt;0,'Custo Contábil'!$D$7&gt;0),ROUND(K45*('Custo Contábil'!$D$20/'Custo Contábil'!$D$7)*W45,2),0)</f>
        <v>0</v>
      </c>
      <c r="Y45" s="729">
        <f t="shared" si="6"/>
        <v>0</v>
      </c>
    </row>
    <row r="46" spans="2:25" ht="15" customHeight="1" outlineLevel="1" x14ac:dyDescent="0.25">
      <c r="B46" s="173">
        <v>39</v>
      </c>
      <c r="C46" s="1175" t="str">
        <f>IF(ISBLANK('IlumCusto (ORÇ)'!C46)," ",'IlumCusto (ORÇ)'!C46)</f>
        <v xml:space="preserve"> </v>
      </c>
      <c r="D46" s="1176"/>
      <c r="E46" s="1176"/>
      <c r="F46" s="1176"/>
      <c r="G46" s="1176"/>
      <c r="H46" s="581">
        <f>'IlumCusto (ORÇ)'!H46</f>
        <v>0</v>
      </c>
      <c r="I46" s="582">
        <f>'IlumCusto (ORÇ)'!I46</f>
        <v>0</v>
      </c>
      <c r="J46" s="574">
        <f>'IlumCusto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7"/>
        <v>0</v>
      </c>
      <c r="X46" s="346">
        <f>IF(AND(K46&gt;0,'Custo Contábil'!$D$7&gt;0),ROUND(K46*('Custo Contábil'!$D$20/'Custo Contábil'!$D$7)*W46,2),0)</f>
        <v>0</v>
      </c>
      <c r="Y46" s="729">
        <f t="shared" si="6"/>
        <v>0</v>
      </c>
    </row>
    <row r="47" spans="2:25" ht="15" customHeight="1" outlineLevel="1" x14ac:dyDescent="0.25">
      <c r="B47" s="175">
        <v>40</v>
      </c>
      <c r="C47" s="1175" t="str">
        <f>IF(ISBLANK('IlumCusto (ORÇ)'!C47)," ",'IlumCusto (ORÇ)'!C47)</f>
        <v xml:space="preserve"> </v>
      </c>
      <c r="D47" s="1176"/>
      <c r="E47" s="1176"/>
      <c r="F47" s="1176"/>
      <c r="G47" s="1176"/>
      <c r="H47" s="581">
        <f>'IlumCusto (ORÇ)'!H47</f>
        <v>0</v>
      </c>
      <c r="I47" s="582">
        <f>'IlumCusto (ORÇ)'!I47</f>
        <v>0</v>
      </c>
      <c r="J47" s="574">
        <f>'IlumCusto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7"/>
        <v>0</v>
      </c>
      <c r="X47" s="346">
        <f>IF(AND(K47&gt;0,'Custo Contábil'!$D$7&gt;0),ROUND(K47*('Custo Contábil'!$D$20/'Custo Contábil'!$D$7)*W47,2),0)</f>
        <v>0</v>
      </c>
      <c r="Y47" s="729">
        <f t="shared" si="6"/>
        <v>0</v>
      </c>
    </row>
    <row r="48" spans="2:25" ht="15" customHeight="1" outlineLevel="1" x14ac:dyDescent="0.25">
      <c r="B48" s="173">
        <v>41</v>
      </c>
      <c r="C48" s="1175" t="str">
        <f>IF(ISBLANK('IlumCusto (ORÇ)'!C48)," ",'IlumCusto (ORÇ)'!C48)</f>
        <v xml:space="preserve"> </v>
      </c>
      <c r="D48" s="1176"/>
      <c r="E48" s="1176"/>
      <c r="F48" s="1176"/>
      <c r="G48" s="1176"/>
      <c r="H48" s="581">
        <f>'IlumCusto (ORÇ)'!H48</f>
        <v>0</v>
      </c>
      <c r="I48" s="582">
        <f>'IlumCusto (ORÇ)'!I48</f>
        <v>0</v>
      </c>
      <c r="J48" s="574">
        <f>'IlumCusto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P48" s="173">
        <f t="shared" si="2"/>
        <v>41</v>
      </c>
      <c r="Q48" s="1177" t="str">
        <f t="shared" si="3"/>
        <v xml:space="preserve"> </v>
      </c>
      <c r="R48" s="1177"/>
      <c r="S48" s="1177"/>
      <c r="T48" s="1177"/>
      <c r="U48" s="1178"/>
      <c r="V48" s="174">
        <f t="shared" si="4"/>
        <v>0</v>
      </c>
      <c r="W48" s="345">
        <f t="shared" si="7"/>
        <v>0</v>
      </c>
      <c r="X48" s="346">
        <f>IF(AND(K48&gt;0,'Custo Contábil'!$D$7&gt;0),ROUND(K48*('Custo Contábil'!$D$20/'Custo Contábil'!$D$7)*W48,2),0)</f>
        <v>0</v>
      </c>
      <c r="Y48" s="729">
        <f t="shared" si="6"/>
        <v>0</v>
      </c>
    </row>
    <row r="49" spans="2:25" ht="15" customHeight="1" outlineLevel="1" x14ac:dyDescent="0.25">
      <c r="B49" s="175">
        <v>42</v>
      </c>
      <c r="C49" s="1175" t="str">
        <f>IF(ISBLANK('IlumCusto (ORÇ)'!C49)," ",'IlumCusto (ORÇ)'!C49)</f>
        <v xml:space="preserve"> </v>
      </c>
      <c r="D49" s="1176"/>
      <c r="E49" s="1176"/>
      <c r="F49" s="1176"/>
      <c r="G49" s="1176"/>
      <c r="H49" s="581">
        <f>'IlumCusto (ORÇ)'!H49</f>
        <v>0</v>
      </c>
      <c r="I49" s="582">
        <f>'IlumCusto (ORÇ)'!I49</f>
        <v>0</v>
      </c>
      <c r="J49" s="574">
        <f>'IlumCusto (ORÇ)'!J49</f>
        <v>0</v>
      </c>
      <c r="K49" s="344">
        <f t="shared" si="0"/>
        <v>0</v>
      </c>
      <c r="L49" s="344">
        <f t="shared" si="1"/>
        <v>0</v>
      </c>
      <c r="M49" s="343"/>
      <c r="N49" s="343"/>
      <c r="P49" s="173">
        <f t="shared" si="2"/>
        <v>42</v>
      </c>
      <c r="Q49" s="1177" t="str">
        <f t="shared" si="3"/>
        <v xml:space="preserve"> </v>
      </c>
      <c r="R49" s="1177"/>
      <c r="S49" s="1177"/>
      <c r="T49" s="1177"/>
      <c r="U49" s="1178"/>
      <c r="V49" s="174">
        <f t="shared" si="4"/>
        <v>0</v>
      </c>
      <c r="W49" s="345">
        <f t="shared" si="7"/>
        <v>0</v>
      </c>
      <c r="X49" s="346">
        <f>IF(AND(K49&gt;0,'Custo Contábil'!$D$7&gt;0),ROUND(K49*('Custo Contábil'!$D$20/'Custo Contábil'!$D$7)*W49,2),0)</f>
        <v>0</v>
      </c>
      <c r="Y49" s="729">
        <f t="shared" si="6"/>
        <v>0</v>
      </c>
    </row>
    <row r="50" spans="2:25" ht="15" customHeight="1" outlineLevel="1" x14ac:dyDescent="0.25">
      <c r="B50" s="173">
        <v>43</v>
      </c>
      <c r="C50" s="1175" t="str">
        <f>IF(ISBLANK('IlumCusto (ORÇ)'!C50)," ",'IlumCusto (ORÇ)'!C50)</f>
        <v xml:space="preserve"> </v>
      </c>
      <c r="D50" s="1176"/>
      <c r="E50" s="1176"/>
      <c r="F50" s="1176"/>
      <c r="G50" s="1176"/>
      <c r="H50" s="581">
        <f>'IlumCusto (ORÇ)'!H50</f>
        <v>0</v>
      </c>
      <c r="I50" s="582">
        <f>'IlumCusto (ORÇ)'!I50</f>
        <v>0</v>
      </c>
      <c r="J50" s="574">
        <f>'IlumCusto (ORÇ)'!J50</f>
        <v>0</v>
      </c>
      <c r="K50" s="344">
        <f t="shared" si="0"/>
        <v>0</v>
      </c>
      <c r="L50" s="344">
        <f t="shared" si="1"/>
        <v>0</v>
      </c>
      <c r="M50" s="343"/>
      <c r="N50" s="343"/>
      <c r="P50" s="173">
        <f t="shared" si="2"/>
        <v>43</v>
      </c>
      <c r="Q50" s="1177" t="str">
        <f t="shared" si="3"/>
        <v xml:space="preserve"> </v>
      </c>
      <c r="R50" s="1177"/>
      <c r="S50" s="1177"/>
      <c r="T50" s="1177"/>
      <c r="U50" s="1178"/>
      <c r="V50" s="174">
        <f t="shared" si="4"/>
        <v>0</v>
      </c>
      <c r="W50" s="345">
        <f t="shared" si="7"/>
        <v>0</v>
      </c>
      <c r="X50" s="346">
        <f>IF(AND(K50&gt;0,'Custo Contábil'!$D$7&gt;0),ROUND(K50*('Custo Contábil'!$D$20/'Custo Contábil'!$D$7)*W50,2),0)</f>
        <v>0</v>
      </c>
      <c r="Y50" s="729">
        <f t="shared" si="6"/>
        <v>0</v>
      </c>
    </row>
    <row r="51" spans="2:25" ht="15" customHeight="1" outlineLevel="1" x14ac:dyDescent="0.25">
      <c r="B51" s="175">
        <v>44</v>
      </c>
      <c r="C51" s="1175" t="str">
        <f>IF(ISBLANK('IlumCusto (ORÇ)'!C51)," ",'IlumCusto (ORÇ)'!C51)</f>
        <v xml:space="preserve"> </v>
      </c>
      <c r="D51" s="1176"/>
      <c r="E51" s="1176"/>
      <c r="F51" s="1176"/>
      <c r="G51" s="1176"/>
      <c r="H51" s="581">
        <f>'IlumCusto (ORÇ)'!H51</f>
        <v>0</v>
      </c>
      <c r="I51" s="582">
        <f>'IlumCusto (ORÇ)'!I51</f>
        <v>0</v>
      </c>
      <c r="J51" s="574">
        <f>'IlumCusto (ORÇ)'!J51</f>
        <v>0</v>
      </c>
      <c r="K51" s="344">
        <f t="shared" si="0"/>
        <v>0</v>
      </c>
      <c r="L51" s="344">
        <f t="shared" si="1"/>
        <v>0</v>
      </c>
      <c r="M51" s="343"/>
      <c r="N51" s="343"/>
      <c r="P51" s="173">
        <f t="shared" si="2"/>
        <v>44</v>
      </c>
      <c r="Q51" s="1177" t="str">
        <f t="shared" si="3"/>
        <v xml:space="preserve"> </v>
      </c>
      <c r="R51" s="1177"/>
      <c r="S51" s="1177"/>
      <c r="T51" s="1177"/>
      <c r="U51" s="1178"/>
      <c r="V51" s="174">
        <f t="shared" si="4"/>
        <v>0</v>
      </c>
      <c r="W51" s="345">
        <f t="shared" si="7"/>
        <v>0</v>
      </c>
      <c r="X51" s="346">
        <f>IF(AND(K51&gt;0,'Custo Contábil'!$D$7&gt;0),ROUND(K51*('Custo Contábil'!$D$20/'Custo Contábil'!$D$7)*W51,2),0)</f>
        <v>0</v>
      </c>
      <c r="Y51" s="729">
        <f t="shared" si="6"/>
        <v>0</v>
      </c>
    </row>
    <row r="52" spans="2:25" ht="15" customHeight="1" outlineLevel="1" x14ac:dyDescent="0.25">
      <c r="B52" s="173">
        <v>45</v>
      </c>
      <c r="C52" s="1175" t="str">
        <f>IF(ISBLANK('IlumCusto (ORÇ)'!C52)," ",'IlumCusto (ORÇ)'!C52)</f>
        <v xml:space="preserve"> </v>
      </c>
      <c r="D52" s="1176"/>
      <c r="E52" s="1176"/>
      <c r="F52" s="1176"/>
      <c r="G52" s="1176"/>
      <c r="H52" s="581">
        <f>'IlumCusto (ORÇ)'!H52</f>
        <v>0</v>
      </c>
      <c r="I52" s="582">
        <f>'IlumCusto (ORÇ)'!I52</f>
        <v>0</v>
      </c>
      <c r="J52" s="574">
        <f>'IlumCusto (ORÇ)'!J52</f>
        <v>0</v>
      </c>
      <c r="K52" s="344">
        <f t="shared" si="0"/>
        <v>0</v>
      </c>
      <c r="L52" s="344">
        <f t="shared" si="1"/>
        <v>0</v>
      </c>
      <c r="M52" s="343"/>
      <c r="N52" s="343"/>
      <c r="P52" s="173">
        <f t="shared" si="2"/>
        <v>45</v>
      </c>
      <c r="Q52" s="1177" t="str">
        <f t="shared" si="3"/>
        <v xml:space="preserve"> </v>
      </c>
      <c r="R52" s="1177"/>
      <c r="S52" s="1177"/>
      <c r="T52" s="1177"/>
      <c r="U52" s="1178"/>
      <c r="V52" s="174">
        <f t="shared" si="4"/>
        <v>0</v>
      </c>
      <c r="W52" s="345">
        <f t="shared" si="7"/>
        <v>0</v>
      </c>
      <c r="X52" s="346">
        <f>IF(AND(K52&gt;0,'Custo Contábil'!$D$7&gt;0),ROUND(K52*('Custo Contábil'!$D$20/'Custo Contábil'!$D$7)*W52,2),0)</f>
        <v>0</v>
      </c>
      <c r="Y52" s="729">
        <f t="shared" si="6"/>
        <v>0</v>
      </c>
    </row>
    <row r="53" spans="2:25" ht="15" customHeight="1" outlineLevel="1" x14ac:dyDescent="0.25">
      <c r="B53" s="175">
        <v>46</v>
      </c>
      <c r="C53" s="1175" t="str">
        <f>IF(ISBLANK('IlumCusto (ORÇ)'!C53)," ",'IlumCusto (ORÇ)'!C53)</f>
        <v xml:space="preserve"> </v>
      </c>
      <c r="D53" s="1176"/>
      <c r="E53" s="1176"/>
      <c r="F53" s="1176"/>
      <c r="G53" s="1176"/>
      <c r="H53" s="581">
        <f>'IlumCusto (ORÇ)'!H53</f>
        <v>0</v>
      </c>
      <c r="I53" s="582">
        <f>'IlumCusto (ORÇ)'!I53</f>
        <v>0</v>
      </c>
      <c r="J53" s="574">
        <f>'IlumCusto (ORÇ)'!J53</f>
        <v>0</v>
      </c>
      <c r="K53" s="344">
        <f t="shared" si="0"/>
        <v>0</v>
      </c>
      <c r="L53" s="344">
        <f t="shared" si="1"/>
        <v>0</v>
      </c>
      <c r="M53" s="343"/>
      <c r="N53" s="343"/>
      <c r="P53" s="173">
        <f t="shared" si="2"/>
        <v>46</v>
      </c>
      <c r="Q53" s="1177" t="str">
        <f t="shared" si="3"/>
        <v xml:space="preserve"> </v>
      </c>
      <c r="R53" s="1177"/>
      <c r="S53" s="1177"/>
      <c r="T53" s="1177"/>
      <c r="U53" s="1178"/>
      <c r="V53" s="174">
        <f t="shared" si="4"/>
        <v>0</v>
      </c>
      <c r="W53" s="345">
        <f t="shared" si="7"/>
        <v>0</v>
      </c>
      <c r="X53" s="346">
        <f>IF(AND(K53&gt;0,'Custo Contábil'!$D$7&gt;0),ROUND(K53*('Custo Contábil'!$D$20/'Custo Contábil'!$D$7)*W53,2),0)</f>
        <v>0</v>
      </c>
      <c r="Y53" s="729">
        <f t="shared" si="6"/>
        <v>0</v>
      </c>
    </row>
    <row r="54" spans="2:25" ht="15" customHeight="1" outlineLevel="1" x14ac:dyDescent="0.25">
      <c r="B54" s="173">
        <v>47</v>
      </c>
      <c r="C54" s="1175" t="str">
        <f>IF(ISBLANK('IlumCusto (ORÇ)'!C54)," ",'IlumCusto (ORÇ)'!C54)</f>
        <v xml:space="preserve"> </v>
      </c>
      <c r="D54" s="1176"/>
      <c r="E54" s="1176"/>
      <c r="F54" s="1176"/>
      <c r="G54" s="1176"/>
      <c r="H54" s="581">
        <f>'IlumCusto (ORÇ)'!H54</f>
        <v>0</v>
      </c>
      <c r="I54" s="582">
        <f>'IlumCusto (ORÇ)'!I54</f>
        <v>0</v>
      </c>
      <c r="J54" s="574">
        <f>'IlumCusto (ORÇ)'!J54</f>
        <v>0</v>
      </c>
      <c r="K54" s="344">
        <f t="shared" si="0"/>
        <v>0</v>
      </c>
      <c r="L54" s="344">
        <f t="shared" si="1"/>
        <v>0</v>
      </c>
      <c r="M54" s="343"/>
      <c r="N54" s="343"/>
      <c r="P54" s="173">
        <f t="shared" si="2"/>
        <v>47</v>
      </c>
      <c r="Q54" s="1177" t="str">
        <f t="shared" si="3"/>
        <v xml:space="preserve"> </v>
      </c>
      <c r="R54" s="1177"/>
      <c r="S54" s="1177"/>
      <c r="T54" s="1177"/>
      <c r="U54" s="1178"/>
      <c r="V54" s="174">
        <f t="shared" si="4"/>
        <v>0</v>
      </c>
      <c r="W54" s="345">
        <f t="shared" si="7"/>
        <v>0</v>
      </c>
      <c r="X54" s="346">
        <f>IF(AND(K54&gt;0,'Custo Contábil'!$D$7&gt;0),ROUND(K54*('Custo Contábil'!$D$20/'Custo Contábil'!$D$7)*W54,2),0)</f>
        <v>0</v>
      </c>
      <c r="Y54" s="729">
        <f t="shared" si="6"/>
        <v>0</v>
      </c>
    </row>
    <row r="55" spans="2:25" ht="15" customHeight="1" outlineLevel="1" x14ac:dyDescent="0.25">
      <c r="B55" s="175">
        <v>48</v>
      </c>
      <c r="C55" s="1175" t="str">
        <f>IF(ISBLANK('IlumCusto (ORÇ)'!C55)," ",'IlumCusto (ORÇ)'!C55)</f>
        <v xml:space="preserve"> </v>
      </c>
      <c r="D55" s="1176"/>
      <c r="E55" s="1176"/>
      <c r="F55" s="1176"/>
      <c r="G55" s="1176"/>
      <c r="H55" s="581">
        <f>'IlumCusto (ORÇ)'!H55</f>
        <v>0</v>
      </c>
      <c r="I55" s="582">
        <f>'IlumCusto (ORÇ)'!I55</f>
        <v>0</v>
      </c>
      <c r="J55" s="574">
        <f>'IlumCusto (ORÇ)'!J55</f>
        <v>0</v>
      </c>
      <c r="K55" s="344">
        <f t="shared" si="0"/>
        <v>0</v>
      </c>
      <c r="L55" s="344">
        <f t="shared" si="1"/>
        <v>0</v>
      </c>
      <c r="M55" s="343"/>
      <c r="N55" s="343"/>
      <c r="P55" s="173">
        <f t="shared" si="2"/>
        <v>48</v>
      </c>
      <c r="Q55" s="1177" t="str">
        <f t="shared" si="3"/>
        <v xml:space="preserve"> </v>
      </c>
      <c r="R55" s="1177"/>
      <c r="S55" s="1177"/>
      <c r="T55" s="1177"/>
      <c r="U55" s="1178"/>
      <c r="V55" s="174">
        <f t="shared" si="4"/>
        <v>0</v>
      </c>
      <c r="W55" s="345">
        <f t="shared" si="7"/>
        <v>0</v>
      </c>
      <c r="X55" s="346">
        <f>IF(AND(K55&gt;0,'Custo Contábil'!$D$7&gt;0),ROUND(K55*('Custo Contábil'!$D$20/'Custo Contábil'!$D$7)*W55,2),0)</f>
        <v>0</v>
      </c>
      <c r="Y55" s="729">
        <f t="shared" si="6"/>
        <v>0</v>
      </c>
    </row>
    <row r="56" spans="2:25" ht="15" customHeight="1" outlineLevel="1" x14ac:dyDescent="0.25">
      <c r="B56" s="173">
        <v>49</v>
      </c>
      <c r="C56" s="1175" t="str">
        <f>IF(ISBLANK('IlumCusto (ORÇ)'!C56)," ",'IlumCusto (ORÇ)'!C56)</f>
        <v xml:space="preserve"> </v>
      </c>
      <c r="D56" s="1176"/>
      <c r="E56" s="1176"/>
      <c r="F56" s="1176"/>
      <c r="G56" s="1176"/>
      <c r="H56" s="581">
        <f>'IlumCusto (ORÇ)'!H56</f>
        <v>0</v>
      </c>
      <c r="I56" s="582">
        <f>'IlumCusto (ORÇ)'!I56</f>
        <v>0</v>
      </c>
      <c r="J56" s="574">
        <f>'IlumCusto (ORÇ)'!J56</f>
        <v>0</v>
      </c>
      <c r="K56" s="344">
        <f t="shared" si="0"/>
        <v>0</v>
      </c>
      <c r="L56" s="344">
        <f t="shared" si="1"/>
        <v>0</v>
      </c>
      <c r="M56" s="343"/>
      <c r="N56" s="343"/>
      <c r="P56" s="173">
        <f t="shared" si="2"/>
        <v>49</v>
      </c>
      <c r="Q56" s="1177" t="str">
        <f t="shared" si="3"/>
        <v xml:space="preserve"> </v>
      </c>
      <c r="R56" s="1177"/>
      <c r="S56" s="1177"/>
      <c r="T56" s="1177"/>
      <c r="U56" s="1178"/>
      <c r="V56" s="174">
        <f t="shared" si="4"/>
        <v>0</v>
      </c>
      <c r="W56" s="345">
        <f t="shared" si="7"/>
        <v>0</v>
      </c>
      <c r="X56" s="346">
        <f>IF(AND(K56&gt;0,'Custo Contábil'!$D$7&gt;0),ROUND(K56*('Custo Contábil'!$D$20/'Custo Contábil'!$D$7)*W56,2),0)</f>
        <v>0</v>
      </c>
      <c r="Y56" s="729">
        <f t="shared" si="6"/>
        <v>0</v>
      </c>
    </row>
    <row r="57" spans="2:25" ht="15" customHeight="1" outlineLevel="1" x14ac:dyDescent="0.25">
      <c r="B57" s="175">
        <v>50</v>
      </c>
      <c r="C57" s="1175" t="str">
        <f>IF(ISBLANK('IlumCusto (ORÇ)'!C57)," ",'IlumCusto (ORÇ)'!C57)</f>
        <v xml:space="preserve"> </v>
      </c>
      <c r="D57" s="1176"/>
      <c r="E57" s="1176"/>
      <c r="F57" s="1176"/>
      <c r="G57" s="1176"/>
      <c r="H57" s="581">
        <f>'IlumCusto (ORÇ)'!H57</f>
        <v>0</v>
      </c>
      <c r="I57" s="582">
        <f>'IlumCusto (ORÇ)'!I57</f>
        <v>0</v>
      </c>
      <c r="J57" s="574">
        <f>'IlumCusto (ORÇ)'!J57</f>
        <v>0</v>
      </c>
      <c r="K57" s="344">
        <f t="shared" si="0"/>
        <v>0</v>
      </c>
      <c r="L57" s="344">
        <f t="shared" si="1"/>
        <v>0</v>
      </c>
      <c r="M57" s="343"/>
      <c r="N57" s="343"/>
      <c r="P57" s="173">
        <f t="shared" si="2"/>
        <v>50</v>
      </c>
      <c r="Q57" s="1177" t="str">
        <f t="shared" si="3"/>
        <v xml:space="preserve"> </v>
      </c>
      <c r="R57" s="1177"/>
      <c r="S57" s="1177"/>
      <c r="T57" s="1177"/>
      <c r="U57" s="1178"/>
      <c r="V57" s="174">
        <f t="shared" si="4"/>
        <v>0</v>
      </c>
      <c r="W57" s="345">
        <f t="shared" si="7"/>
        <v>0</v>
      </c>
      <c r="X57" s="346">
        <f>IF(AND(K57&gt;0,'Custo Contábil'!$D$7&gt;0),ROUND(K57*('Custo Contábil'!$D$20/'Custo Contábil'!$D$7)*W57,2),0)</f>
        <v>0</v>
      </c>
      <c r="Y57" s="729">
        <f t="shared" si="6"/>
        <v>0</v>
      </c>
    </row>
    <row r="58" spans="2:25" ht="15" customHeight="1" outlineLevel="1" x14ac:dyDescent="0.25">
      <c r="B58" s="173">
        <v>51</v>
      </c>
      <c r="C58" s="1175" t="str">
        <f>IF(ISBLANK('IlumCusto (ORÇ)'!C58)," ",'IlumCusto (ORÇ)'!C58)</f>
        <v xml:space="preserve"> </v>
      </c>
      <c r="D58" s="1176"/>
      <c r="E58" s="1176"/>
      <c r="F58" s="1176"/>
      <c r="G58" s="1176"/>
      <c r="H58" s="581">
        <f>'IlumCusto (ORÇ)'!H58</f>
        <v>0</v>
      </c>
      <c r="I58" s="582">
        <f>'IlumCusto (ORÇ)'!I58</f>
        <v>0</v>
      </c>
      <c r="J58" s="574">
        <f>'IlumCusto (ORÇ)'!J58</f>
        <v>0</v>
      </c>
      <c r="K58" s="344">
        <f t="shared" si="0"/>
        <v>0</v>
      </c>
      <c r="L58" s="344">
        <f t="shared" si="1"/>
        <v>0</v>
      </c>
      <c r="M58" s="343"/>
      <c r="N58" s="343"/>
      <c r="P58" s="173">
        <f t="shared" si="2"/>
        <v>51</v>
      </c>
      <c r="Q58" s="1177" t="str">
        <f t="shared" si="3"/>
        <v xml:space="preserve"> </v>
      </c>
      <c r="R58" s="1177"/>
      <c r="S58" s="1177"/>
      <c r="T58" s="1177"/>
      <c r="U58" s="1178"/>
      <c r="V58" s="174">
        <f t="shared" si="4"/>
        <v>0</v>
      </c>
      <c r="W58" s="345">
        <f t="shared" si="7"/>
        <v>0</v>
      </c>
      <c r="X58" s="346">
        <f>IF(AND(K58&gt;0,'Custo Contábil'!$D$7&gt;0),ROUND(K58*('Custo Contábil'!$D$20/'Custo Contábil'!$D$7)*W58,2),0)</f>
        <v>0</v>
      </c>
      <c r="Y58" s="729">
        <f t="shared" si="6"/>
        <v>0</v>
      </c>
    </row>
    <row r="59" spans="2:25" ht="15" customHeight="1" outlineLevel="1" x14ac:dyDescent="0.25">
      <c r="B59" s="175">
        <v>52</v>
      </c>
      <c r="C59" s="1175" t="str">
        <f>IF(ISBLANK('IlumCusto (ORÇ)'!C59)," ",'IlumCusto (ORÇ)'!C59)</f>
        <v xml:space="preserve"> </v>
      </c>
      <c r="D59" s="1176"/>
      <c r="E59" s="1176"/>
      <c r="F59" s="1176"/>
      <c r="G59" s="1176"/>
      <c r="H59" s="581">
        <f>'IlumCusto (ORÇ)'!H59</f>
        <v>0</v>
      </c>
      <c r="I59" s="582">
        <f>'IlumCusto (ORÇ)'!I59</f>
        <v>0</v>
      </c>
      <c r="J59" s="574">
        <f>'IlumCusto (ORÇ)'!J59</f>
        <v>0</v>
      </c>
      <c r="K59" s="344">
        <f t="shared" si="0"/>
        <v>0</v>
      </c>
      <c r="L59" s="344">
        <f t="shared" si="1"/>
        <v>0</v>
      </c>
      <c r="M59" s="343"/>
      <c r="N59" s="343"/>
      <c r="P59" s="173">
        <f t="shared" si="2"/>
        <v>52</v>
      </c>
      <c r="Q59" s="1177" t="str">
        <f t="shared" si="3"/>
        <v xml:space="preserve"> </v>
      </c>
      <c r="R59" s="1177"/>
      <c r="S59" s="1177"/>
      <c r="T59" s="1177"/>
      <c r="U59" s="1178"/>
      <c r="V59" s="174">
        <f t="shared" si="4"/>
        <v>0</v>
      </c>
      <c r="W59" s="345">
        <f t="shared" si="7"/>
        <v>0</v>
      </c>
      <c r="X59" s="346">
        <f>IF(AND(K59&gt;0,'Custo Contábil'!$D$7&gt;0),ROUND(K59*('Custo Contábil'!$D$20/'Custo Contábil'!$D$7)*W59,2),0)</f>
        <v>0</v>
      </c>
      <c r="Y59" s="729">
        <f t="shared" si="6"/>
        <v>0</v>
      </c>
    </row>
    <row r="60" spans="2:25" ht="15" customHeight="1" outlineLevel="1" x14ac:dyDescent="0.25">
      <c r="B60" s="173">
        <v>53</v>
      </c>
      <c r="C60" s="1175" t="str">
        <f>IF(ISBLANK('IlumCusto (ORÇ)'!C60)," ",'IlumCusto (ORÇ)'!C60)</f>
        <v xml:space="preserve"> </v>
      </c>
      <c r="D60" s="1176"/>
      <c r="E60" s="1176"/>
      <c r="F60" s="1176"/>
      <c r="G60" s="1176"/>
      <c r="H60" s="581">
        <f>'IlumCusto (ORÇ)'!H60</f>
        <v>0</v>
      </c>
      <c r="I60" s="582">
        <f>'IlumCusto (ORÇ)'!I60</f>
        <v>0</v>
      </c>
      <c r="J60" s="574">
        <f>'IlumCusto (ORÇ)'!J60</f>
        <v>0</v>
      </c>
      <c r="K60" s="344">
        <f t="shared" si="0"/>
        <v>0</v>
      </c>
      <c r="L60" s="344">
        <f t="shared" si="1"/>
        <v>0</v>
      </c>
      <c r="M60" s="343"/>
      <c r="N60" s="343"/>
      <c r="P60" s="173">
        <f t="shared" si="2"/>
        <v>53</v>
      </c>
      <c r="Q60" s="1177" t="str">
        <f t="shared" si="3"/>
        <v xml:space="preserve"> </v>
      </c>
      <c r="R60" s="1177"/>
      <c r="S60" s="1177"/>
      <c r="T60" s="1177"/>
      <c r="U60" s="1178"/>
      <c r="V60" s="174">
        <f t="shared" si="4"/>
        <v>0</v>
      </c>
      <c r="W60" s="345">
        <f t="shared" si="7"/>
        <v>0</v>
      </c>
      <c r="X60" s="346">
        <f>IF(AND(K60&gt;0,'Custo Contábil'!$D$7&gt;0),ROUND(K60*('Custo Contábil'!$D$20/'Custo Contábil'!$D$7)*W60,2),0)</f>
        <v>0</v>
      </c>
      <c r="Y60" s="729">
        <f t="shared" si="6"/>
        <v>0</v>
      </c>
    </row>
    <row r="61" spans="2:25" ht="15" customHeight="1" outlineLevel="1" x14ac:dyDescent="0.25">
      <c r="B61" s="175">
        <v>54</v>
      </c>
      <c r="C61" s="1175" t="str">
        <f>IF(ISBLANK('IlumCusto (ORÇ)'!C61)," ",'IlumCusto (ORÇ)'!C61)</f>
        <v xml:space="preserve"> </v>
      </c>
      <c r="D61" s="1176"/>
      <c r="E61" s="1176"/>
      <c r="F61" s="1176"/>
      <c r="G61" s="1176"/>
      <c r="H61" s="581">
        <f>'IlumCusto (ORÇ)'!H61</f>
        <v>0</v>
      </c>
      <c r="I61" s="582">
        <f>'IlumCusto (ORÇ)'!I61</f>
        <v>0</v>
      </c>
      <c r="J61" s="574">
        <f>'IlumCusto (ORÇ)'!J61</f>
        <v>0</v>
      </c>
      <c r="K61" s="344">
        <f t="shared" si="0"/>
        <v>0</v>
      </c>
      <c r="L61" s="344">
        <f t="shared" si="1"/>
        <v>0</v>
      </c>
      <c r="M61" s="343"/>
      <c r="N61" s="343"/>
      <c r="P61" s="173">
        <f t="shared" si="2"/>
        <v>54</v>
      </c>
      <c r="Q61" s="1177" t="str">
        <f t="shared" si="3"/>
        <v xml:space="preserve"> </v>
      </c>
      <c r="R61" s="1177"/>
      <c r="S61" s="1177"/>
      <c r="T61" s="1177"/>
      <c r="U61" s="1178"/>
      <c r="V61" s="174">
        <f t="shared" si="4"/>
        <v>0</v>
      </c>
      <c r="W61" s="345">
        <f t="shared" si="7"/>
        <v>0</v>
      </c>
      <c r="X61" s="346">
        <f>IF(AND(K61&gt;0,'Custo Contábil'!$D$7&gt;0),ROUND(K61*('Custo Contábil'!$D$20/'Custo Contábil'!$D$7)*W61,2),0)</f>
        <v>0</v>
      </c>
      <c r="Y61" s="729">
        <f t="shared" si="6"/>
        <v>0</v>
      </c>
    </row>
    <row r="62" spans="2:25" ht="15" customHeight="1" outlineLevel="1" x14ac:dyDescent="0.25">
      <c r="B62" s="173">
        <v>55</v>
      </c>
      <c r="C62" s="1175" t="str">
        <f>IF(ISBLANK('IlumCusto (ORÇ)'!C62)," ",'IlumCusto (ORÇ)'!C62)</f>
        <v xml:space="preserve"> </v>
      </c>
      <c r="D62" s="1176"/>
      <c r="E62" s="1176"/>
      <c r="F62" s="1176"/>
      <c r="G62" s="1176"/>
      <c r="H62" s="581">
        <f>'IlumCusto (ORÇ)'!H62</f>
        <v>0</v>
      </c>
      <c r="I62" s="582">
        <f>'IlumCusto (ORÇ)'!I62</f>
        <v>0</v>
      </c>
      <c r="J62" s="574">
        <f>'IlumCusto (ORÇ)'!J62</f>
        <v>0</v>
      </c>
      <c r="K62" s="344">
        <f t="shared" si="0"/>
        <v>0</v>
      </c>
      <c r="L62" s="344">
        <f t="shared" si="1"/>
        <v>0</v>
      </c>
      <c r="M62" s="343"/>
      <c r="N62" s="343"/>
      <c r="P62" s="173">
        <f t="shared" si="2"/>
        <v>55</v>
      </c>
      <c r="Q62" s="1177" t="str">
        <f t="shared" si="3"/>
        <v xml:space="preserve"> </v>
      </c>
      <c r="R62" s="1177"/>
      <c r="S62" s="1177"/>
      <c r="T62" s="1177"/>
      <c r="U62" s="1178"/>
      <c r="V62" s="174">
        <f t="shared" si="4"/>
        <v>0</v>
      </c>
      <c r="W62" s="345">
        <f t="shared" si="7"/>
        <v>0</v>
      </c>
      <c r="X62" s="346">
        <f>IF(AND(K62&gt;0,'Custo Contábil'!$D$7&gt;0),ROUND(K62*('Custo Contábil'!$D$20/'Custo Contábil'!$D$7)*W62,2),0)</f>
        <v>0</v>
      </c>
      <c r="Y62" s="729">
        <f t="shared" si="6"/>
        <v>0</v>
      </c>
    </row>
    <row r="63" spans="2:25" ht="15" customHeight="1" outlineLevel="1" x14ac:dyDescent="0.25">
      <c r="B63" s="175">
        <v>56</v>
      </c>
      <c r="C63" s="1175" t="str">
        <f>IF(ISBLANK('IlumCusto (ORÇ)'!C63)," ",'IlumCusto (ORÇ)'!C63)</f>
        <v xml:space="preserve"> </v>
      </c>
      <c r="D63" s="1176"/>
      <c r="E63" s="1176"/>
      <c r="F63" s="1176"/>
      <c r="G63" s="1176"/>
      <c r="H63" s="581">
        <f>'IlumCusto (ORÇ)'!H63</f>
        <v>0</v>
      </c>
      <c r="I63" s="582">
        <f>'IlumCusto (ORÇ)'!I63</f>
        <v>0</v>
      </c>
      <c r="J63" s="574">
        <f>'IlumCusto (ORÇ)'!J63</f>
        <v>0</v>
      </c>
      <c r="K63" s="344">
        <f t="shared" si="0"/>
        <v>0</v>
      </c>
      <c r="L63" s="344">
        <f t="shared" si="1"/>
        <v>0</v>
      </c>
      <c r="M63" s="343"/>
      <c r="N63" s="343"/>
      <c r="P63" s="173">
        <f t="shared" si="2"/>
        <v>56</v>
      </c>
      <c r="Q63" s="1177" t="str">
        <f t="shared" si="3"/>
        <v xml:space="preserve"> </v>
      </c>
      <c r="R63" s="1177"/>
      <c r="S63" s="1177"/>
      <c r="T63" s="1177"/>
      <c r="U63" s="1178"/>
      <c r="V63" s="174">
        <f t="shared" si="4"/>
        <v>0</v>
      </c>
      <c r="W63" s="345">
        <f t="shared" si="7"/>
        <v>0</v>
      </c>
      <c r="X63" s="346">
        <f>IF(AND(K63&gt;0,'Custo Contábil'!$D$7&gt;0),ROUND(K63*('Custo Contábil'!$D$20/'Custo Contábil'!$D$7)*W63,2),0)</f>
        <v>0</v>
      </c>
      <c r="Y63" s="729">
        <f t="shared" si="6"/>
        <v>0</v>
      </c>
    </row>
    <row r="64" spans="2:25" ht="15" customHeight="1" outlineLevel="1" x14ac:dyDescent="0.25">
      <c r="B64" s="173">
        <v>57</v>
      </c>
      <c r="C64" s="1175" t="str">
        <f>IF(ISBLANK('IlumCusto (ORÇ)'!C64)," ",'IlumCusto (ORÇ)'!C64)</f>
        <v xml:space="preserve"> </v>
      </c>
      <c r="D64" s="1176"/>
      <c r="E64" s="1176"/>
      <c r="F64" s="1176"/>
      <c r="G64" s="1176"/>
      <c r="H64" s="581">
        <f>'IlumCusto (ORÇ)'!H64</f>
        <v>0</v>
      </c>
      <c r="I64" s="582">
        <f>'IlumCusto (ORÇ)'!I64</f>
        <v>0</v>
      </c>
      <c r="J64" s="574">
        <f>'IlumCusto (ORÇ)'!J64</f>
        <v>0</v>
      </c>
      <c r="K64" s="344">
        <f t="shared" si="0"/>
        <v>0</v>
      </c>
      <c r="L64" s="344">
        <f t="shared" si="1"/>
        <v>0</v>
      </c>
      <c r="M64" s="343"/>
      <c r="N64" s="343"/>
      <c r="P64" s="173">
        <f t="shared" si="2"/>
        <v>57</v>
      </c>
      <c r="Q64" s="1177" t="str">
        <f t="shared" si="3"/>
        <v xml:space="preserve"> </v>
      </c>
      <c r="R64" s="1177"/>
      <c r="S64" s="1177"/>
      <c r="T64" s="1177"/>
      <c r="U64" s="1178"/>
      <c r="V64" s="174">
        <f t="shared" si="4"/>
        <v>0</v>
      </c>
      <c r="W64" s="345">
        <f t="shared" si="7"/>
        <v>0</v>
      </c>
      <c r="X64" s="346">
        <f>IF(AND(K64&gt;0,'Custo Contábil'!$D$7&gt;0),ROUND(K64*('Custo Contábil'!$D$20/'Custo Contábil'!$D$7)*W64,2),0)</f>
        <v>0</v>
      </c>
      <c r="Y64" s="729">
        <f t="shared" si="6"/>
        <v>0</v>
      </c>
    </row>
    <row r="65" spans="2:25" ht="15" customHeight="1" outlineLevel="1" x14ac:dyDescent="0.25">
      <c r="B65" s="175">
        <v>58</v>
      </c>
      <c r="C65" s="1175" t="str">
        <f>IF(ISBLANK('IlumCusto (ORÇ)'!C65)," ",'IlumCusto (ORÇ)'!C65)</f>
        <v xml:space="preserve"> </v>
      </c>
      <c r="D65" s="1176"/>
      <c r="E65" s="1176"/>
      <c r="F65" s="1176"/>
      <c r="G65" s="1176"/>
      <c r="H65" s="581">
        <f>'IlumCusto (ORÇ)'!H65</f>
        <v>0</v>
      </c>
      <c r="I65" s="582">
        <f>'IlumCusto (ORÇ)'!I65</f>
        <v>0</v>
      </c>
      <c r="J65" s="574">
        <f>'IlumCusto (ORÇ)'!J65</f>
        <v>0</v>
      </c>
      <c r="K65" s="344">
        <f t="shared" si="0"/>
        <v>0</v>
      </c>
      <c r="L65" s="344">
        <f t="shared" si="1"/>
        <v>0</v>
      </c>
      <c r="M65" s="343"/>
      <c r="N65" s="343"/>
      <c r="P65" s="173">
        <f t="shared" si="2"/>
        <v>58</v>
      </c>
      <c r="Q65" s="1177" t="str">
        <f t="shared" si="3"/>
        <v xml:space="preserve"> </v>
      </c>
      <c r="R65" s="1177"/>
      <c r="S65" s="1177"/>
      <c r="T65" s="1177"/>
      <c r="U65" s="1178"/>
      <c r="V65" s="174">
        <f t="shared" si="4"/>
        <v>0</v>
      </c>
      <c r="W65" s="345">
        <f t="shared" si="7"/>
        <v>0</v>
      </c>
      <c r="X65" s="346">
        <f>IF(AND(K65&gt;0,'Custo Contábil'!$D$7&gt;0),ROUND(K65*('Custo Contábil'!$D$20/'Custo Contábil'!$D$7)*W65,2),0)</f>
        <v>0</v>
      </c>
      <c r="Y65" s="729">
        <f t="shared" si="6"/>
        <v>0</v>
      </c>
    </row>
    <row r="66" spans="2:25" ht="15" customHeight="1" outlineLevel="1" x14ac:dyDescent="0.25">
      <c r="B66" s="173">
        <v>59</v>
      </c>
      <c r="C66" s="1175" t="str">
        <f>IF(ISBLANK('IlumCusto (ORÇ)'!C66)," ",'IlumCusto (ORÇ)'!C66)</f>
        <v xml:space="preserve"> </v>
      </c>
      <c r="D66" s="1176"/>
      <c r="E66" s="1176"/>
      <c r="F66" s="1176"/>
      <c r="G66" s="1176"/>
      <c r="H66" s="581">
        <f>'IlumCusto (ORÇ)'!H66</f>
        <v>0</v>
      </c>
      <c r="I66" s="582">
        <f>'IlumCusto (ORÇ)'!I66</f>
        <v>0</v>
      </c>
      <c r="J66" s="574">
        <f>'IlumCusto (ORÇ)'!J66</f>
        <v>0</v>
      </c>
      <c r="K66" s="344">
        <f t="shared" si="0"/>
        <v>0</v>
      </c>
      <c r="L66" s="344">
        <f t="shared" si="1"/>
        <v>0</v>
      </c>
      <c r="M66" s="343"/>
      <c r="N66" s="343"/>
      <c r="P66" s="173">
        <f t="shared" si="2"/>
        <v>59</v>
      </c>
      <c r="Q66" s="1177" t="str">
        <f t="shared" si="3"/>
        <v xml:space="preserve"> </v>
      </c>
      <c r="R66" s="1177"/>
      <c r="S66" s="1177"/>
      <c r="T66" s="1177"/>
      <c r="U66" s="1178"/>
      <c r="V66" s="174">
        <f t="shared" si="4"/>
        <v>0</v>
      </c>
      <c r="W66" s="345">
        <f t="shared" si="7"/>
        <v>0</v>
      </c>
      <c r="X66" s="346">
        <f>IF(AND(K66&gt;0,'Custo Contábil'!$D$7&gt;0),ROUND(K66*('Custo Contábil'!$D$20/'Custo Contábil'!$D$7)*W66,2),0)</f>
        <v>0</v>
      </c>
      <c r="Y66" s="729">
        <f t="shared" si="6"/>
        <v>0</v>
      </c>
    </row>
    <row r="67" spans="2:25" ht="15" customHeight="1" outlineLevel="1" x14ac:dyDescent="0.25">
      <c r="B67" s="175">
        <v>60</v>
      </c>
      <c r="C67" s="1175" t="str">
        <f>IF(ISBLANK('IlumCusto (ORÇ)'!C67)," ",'IlumCusto (ORÇ)'!C67)</f>
        <v xml:space="preserve"> </v>
      </c>
      <c r="D67" s="1176"/>
      <c r="E67" s="1176"/>
      <c r="F67" s="1176"/>
      <c r="G67" s="1176"/>
      <c r="H67" s="581">
        <f>'IlumCusto (ORÇ)'!H67</f>
        <v>0</v>
      </c>
      <c r="I67" s="582">
        <f>'IlumCusto (ORÇ)'!I67</f>
        <v>0</v>
      </c>
      <c r="J67" s="574">
        <f>'IlumCusto (ORÇ)'!J67</f>
        <v>0</v>
      </c>
      <c r="K67" s="344">
        <f t="shared" si="0"/>
        <v>0</v>
      </c>
      <c r="L67" s="344">
        <f t="shared" si="1"/>
        <v>0</v>
      </c>
      <c r="M67" s="343"/>
      <c r="N67" s="343"/>
      <c r="P67" s="173">
        <f t="shared" si="2"/>
        <v>60</v>
      </c>
      <c r="Q67" s="1177" t="str">
        <f t="shared" si="3"/>
        <v xml:space="preserve"> </v>
      </c>
      <c r="R67" s="1177"/>
      <c r="S67" s="1177"/>
      <c r="T67" s="1177"/>
      <c r="U67" s="1178"/>
      <c r="V67" s="174">
        <f t="shared" si="4"/>
        <v>0</v>
      </c>
      <c r="W67" s="345">
        <f t="shared" si="7"/>
        <v>0</v>
      </c>
      <c r="X67" s="346">
        <f>IF(AND(K67&gt;0,'Custo Contábil'!$D$7&gt;0),ROUND(K67*('Custo Contábil'!$D$20/'Custo Contábil'!$D$7)*W67,2),0)</f>
        <v>0</v>
      </c>
      <c r="Y67" s="729">
        <f t="shared" si="6"/>
        <v>0</v>
      </c>
    </row>
    <row r="68" spans="2:25" ht="15" customHeight="1" outlineLevel="1" x14ac:dyDescent="0.25">
      <c r="B68" s="173">
        <v>61</v>
      </c>
      <c r="C68" s="1175" t="str">
        <f>IF(ISBLANK('IlumCusto (ORÇ)'!C68)," ",'IlumCusto (ORÇ)'!C68)</f>
        <v xml:space="preserve"> </v>
      </c>
      <c r="D68" s="1176"/>
      <c r="E68" s="1176"/>
      <c r="F68" s="1176"/>
      <c r="G68" s="1176"/>
      <c r="H68" s="581">
        <f>'IlumCusto (ORÇ)'!H68</f>
        <v>0</v>
      </c>
      <c r="I68" s="582">
        <f>'IlumCusto (ORÇ)'!I68</f>
        <v>0</v>
      </c>
      <c r="J68" s="574">
        <f>'IlumCusto (ORÇ)'!J68</f>
        <v>0</v>
      </c>
      <c r="K68" s="344">
        <f t="shared" si="0"/>
        <v>0</v>
      </c>
      <c r="L68" s="344">
        <f t="shared" si="1"/>
        <v>0</v>
      </c>
      <c r="M68" s="343"/>
      <c r="N68" s="343"/>
      <c r="P68" s="173">
        <f t="shared" si="2"/>
        <v>61</v>
      </c>
      <c r="Q68" s="1177" t="str">
        <f t="shared" si="3"/>
        <v xml:space="preserve"> </v>
      </c>
      <c r="R68" s="1177"/>
      <c r="S68" s="1177"/>
      <c r="T68" s="1177"/>
      <c r="U68" s="1178"/>
      <c r="V68" s="174">
        <f t="shared" si="4"/>
        <v>0</v>
      </c>
      <c r="W68" s="345">
        <f t="shared" si="7"/>
        <v>0</v>
      </c>
      <c r="X68" s="346">
        <f>IF(AND(K68&gt;0,'Custo Contábil'!$D$7&gt;0),ROUND(K68*('Custo Contábil'!$D$20/'Custo Contábil'!$D$7)*W68,2),0)</f>
        <v>0</v>
      </c>
      <c r="Y68" s="729">
        <f t="shared" si="6"/>
        <v>0</v>
      </c>
    </row>
    <row r="69" spans="2:25" ht="15" customHeight="1" outlineLevel="1" x14ac:dyDescent="0.25">
      <c r="B69" s="175">
        <v>62</v>
      </c>
      <c r="C69" s="1175" t="str">
        <f>IF(ISBLANK('IlumCusto (ORÇ)'!C69)," ",'IlumCusto (ORÇ)'!C69)</f>
        <v xml:space="preserve"> </v>
      </c>
      <c r="D69" s="1176"/>
      <c r="E69" s="1176"/>
      <c r="F69" s="1176"/>
      <c r="G69" s="1176"/>
      <c r="H69" s="581">
        <f>'IlumCusto (ORÇ)'!H69</f>
        <v>0</v>
      </c>
      <c r="I69" s="582">
        <f>'IlumCusto (ORÇ)'!I69</f>
        <v>0</v>
      </c>
      <c r="J69" s="574">
        <f>'IlumCusto (ORÇ)'!J69</f>
        <v>0</v>
      </c>
      <c r="K69" s="344">
        <f t="shared" si="0"/>
        <v>0</v>
      </c>
      <c r="L69" s="344">
        <f t="shared" si="1"/>
        <v>0</v>
      </c>
      <c r="M69" s="343"/>
      <c r="N69" s="343"/>
      <c r="P69" s="173">
        <f t="shared" si="2"/>
        <v>62</v>
      </c>
      <c r="Q69" s="1177" t="str">
        <f t="shared" si="3"/>
        <v xml:space="preserve"> </v>
      </c>
      <c r="R69" s="1177"/>
      <c r="S69" s="1177"/>
      <c r="T69" s="1177"/>
      <c r="U69" s="1178"/>
      <c r="V69" s="174">
        <f t="shared" si="4"/>
        <v>0</v>
      </c>
      <c r="W69" s="345">
        <f t="shared" si="7"/>
        <v>0</v>
      </c>
      <c r="X69" s="346">
        <f>IF(AND(K69&gt;0,'Custo Contábil'!$D$7&gt;0),ROUND(K69*('Custo Contábil'!$D$20/'Custo Contábil'!$D$7)*W69,2),0)</f>
        <v>0</v>
      </c>
      <c r="Y69" s="729">
        <f t="shared" si="6"/>
        <v>0</v>
      </c>
    </row>
    <row r="70" spans="2:25" ht="15" customHeight="1" outlineLevel="1" x14ac:dyDescent="0.25">
      <c r="B70" s="173">
        <v>63</v>
      </c>
      <c r="C70" s="1175" t="str">
        <f>IF(ISBLANK('IlumCusto (ORÇ)'!C70)," ",'IlumCusto (ORÇ)'!C70)</f>
        <v xml:space="preserve"> </v>
      </c>
      <c r="D70" s="1176"/>
      <c r="E70" s="1176"/>
      <c r="F70" s="1176"/>
      <c r="G70" s="1176"/>
      <c r="H70" s="581">
        <f>'IlumCusto (ORÇ)'!H70</f>
        <v>0</v>
      </c>
      <c r="I70" s="582">
        <f>'IlumCusto (ORÇ)'!I70</f>
        <v>0</v>
      </c>
      <c r="J70" s="574">
        <f>'IlumCusto (ORÇ)'!J70</f>
        <v>0</v>
      </c>
      <c r="K70" s="344">
        <f t="shared" si="0"/>
        <v>0</v>
      </c>
      <c r="L70" s="344">
        <f t="shared" si="1"/>
        <v>0</v>
      </c>
      <c r="M70" s="343"/>
      <c r="N70" s="343"/>
      <c r="P70" s="173">
        <f t="shared" si="2"/>
        <v>63</v>
      </c>
      <c r="Q70" s="1177" t="str">
        <f t="shared" si="3"/>
        <v xml:space="preserve"> </v>
      </c>
      <c r="R70" s="1177"/>
      <c r="S70" s="1177"/>
      <c r="T70" s="1177"/>
      <c r="U70" s="1178"/>
      <c r="V70" s="174">
        <f t="shared" si="4"/>
        <v>0</v>
      </c>
      <c r="W70" s="345">
        <f t="shared" si="7"/>
        <v>0</v>
      </c>
      <c r="X70" s="346">
        <f>IF(AND(K70&gt;0,'Custo Contábil'!$D$7&gt;0),ROUND(K70*('Custo Contábil'!$D$20/'Custo Contábil'!$D$7)*W70,2),0)</f>
        <v>0</v>
      </c>
      <c r="Y70" s="729">
        <f t="shared" si="6"/>
        <v>0</v>
      </c>
    </row>
    <row r="71" spans="2:25" ht="15" customHeight="1" outlineLevel="1" x14ac:dyDescent="0.25">
      <c r="B71" s="175">
        <v>64</v>
      </c>
      <c r="C71" s="1175" t="str">
        <f>IF(ISBLANK('IlumCusto (ORÇ)'!C71)," ",'IlumCusto (ORÇ)'!C71)</f>
        <v xml:space="preserve"> </v>
      </c>
      <c r="D71" s="1176"/>
      <c r="E71" s="1176"/>
      <c r="F71" s="1176"/>
      <c r="G71" s="1176"/>
      <c r="H71" s="581">
        <f>'IlumCusto (ORÇ)'!H71</f>
        <v>0</v>
      </c>
      <c r="I71" s="582">
        <f>'IlumCusto (ORÇ)'!I71</f>
        <v>0</v>
      </c>
      <c r="J71" s="574">
        <f>'IlumCusto (ORÇ)'!J71</f>
        <v>0</v>
      </c>
      <c r="K71" s="344">
        <f t="shared" si="0"/>
        <v>0</v>
      </c>
      <c r="L71" s="344">
        <f t="shared" si="1"/>
        <v>0</v>
      </c>
      <c r="M71" s="343"/>
      <c r="N71" s="343"/>
      <c r="P71" s="173">
        <f t="shared" si="2"/>
        <v>64</v>
      </c>
      <c r="Q71" s="1177" t="str">
        <f t="shared" si="3"/>
        <v xml:space="preserve"> </v>
      </c>
      <c r="R71" s="1177"/>
      <c r="S71" s="1177"/>
      <c r="T71" s="1177"/>
      <c r="U71" s="1178"/>
      <c r="V71" s="174">
        <f t="shared" si="4"/>
        <v>0</v>
      </c>
      <c r="W71" s="345">
        <f t="shared" si="7"/>
        <v>0</v>
      </c>
      <c r="X71" s="346">
        <f>IF(AND(K71&gt;0,'Custo Contábil'!$D$7&gt;0),ROUND(K71*('Custo Contábil'!$D$20/'Custo Contábil'!$D$7)*W71,2),0)</f>
        <v>0</v>
      </c>
      <c r="Y71" s="729">
        <f t="shared" si="6"/>
        <v>0</v>
      </c>
    </row>
    <row r="72" spans="2:25" ht="15" customHeight="1" outlineLevel="1" x14ac:dyDescent="0.25">
      <c r="B72" s="173">
        <v>65</v>
      </c>
      <c r="C72" s="1175" t="str">
        <f>IF(ISBLANK('IlumCusto (ORÇ)'!C72)," ",'IlumCusto (ORÇ)'!C72)</f>
        <v xml:space="preserve"> </v>
      </c>
      <c r="D72" s="1176"/>
      <c r="E72" s="1176"/>
      <c r="F72" s="1176"/>
      <c r="G72" s="1176"/>
      <c r="H72" s="581">
        <f>'IlumCusto (ORÇ)'!H72</f>
        <v>0</v>
      </c>
      <c r="I72" s="582">
        <f>'IlumCusto (ORÇ)'!I72</f>
        <v>0</v>
      </c>
      <c r="J72" s="574">
        <f>'IlumCusto (ORÇ)'!J72</f>
        <v>0</v>
      </c>
      <c r="K72" s="344">
        <f t="shared" si="0"/>
        <v>0</v>
      </c>
      <c r="L72" s="344">
        <f t="shared" si="1"/>
        <v>0</v>
      </c>
      <c r="M72" s="343"/>
      <c r="N72" s="343"/>
      <c r="P72" s="173">
        <f t="shared" si="2"/>
        <v>65</v>
      </c>
      <c r="Q72" s="1177" t="str">
        <f t="shared" si="3"/>
        <v xml:space="preserve"> </v>
      </c>
      <c r="R72" s="1177"/>
      <c r="S72" s="1177"/>
      <c r="T72" s="1177"/>
      <c r="U72" s="1178"/>
      <c r="V72" s="174">
        <f t="shared" si="4"/>
        <v>0</v>
      </c>
      <c r="W72" s="345">
        <f t="shared" ref="W72:W103" si="8">IF(OR(V72="",V72=0),0,(Desc*((1+Desc)^V72))/(((1+Desc)^V72)-1))</f>
        <v>0</v>
      </c>
      <c r="X72" s="346">
        <f>IF(AND(K72&gt;0,'Custo Contábil'!$D$7&gt;0),ROUND(K72*('Custo Contábil'!$D$20/'Custo Contábil'!$D$7)*W72,2),0)</f>
        <v>0</v>
      </c>
      <c r="Y72" s="729">
        <f t="shared" si="6"/>
        <v>0</v>
      </c>
    </row>
    <row r="73" spans="2:25" ht="15" customHeight="1" outlineLevel="1" x14ac:dyDescent="0.25">
      <c r="B73" s="175">
        <v>66</v>
      </c>
      <c r="C73" s="1175" t="str">
        <f>IF(ISBLANK('IlumCusto (ORÇ)'!C73)," ",'IlumCusto (ORÇ)'!C73)</f>
        <v xml:space="preserve"> </v>
      </c>
      <c r="D73" s="1176"/>
      <c r="E73" s="1176"/>
      <c r="F73" s="1176"/>
      <c r="G73" s="1176"/>
      <c r="H73" s="581">
        <f>'IlumCusto (ORÇ)'!H73</f>
        <v>0</v>
      </c>
      <c r="I73" s="582">
        <f>'IlumCusto (ORÇ)'!I73</f>
        <v>0</v>
      </c>
      <c r="J73" s="574">
        <f>'IlumCusto (ORÇ)'!J73</f>
        <v>0</v>
      </c>
      <c r="K73" s="344">
        <f t="shared" ref="K73:K108" si="9">I73*J73</f>
        <v>0</v>
      </c>
      <c r="L73" s="344">
        <f t="shared" ref="L73:L108" si="10">K73-M73-N73</f>
        <v>0</v>
      </c>
      <c r="M73" s="343"/>
      <c r="N73" s="343"/>
      <c r="P73" s="173">
        <f t="shared" si="2"/>
        <v>66</v>
      </c>
      <c r="Q73" s="1177" t="str">
        <f t="shared" ref="Q73:Q107" si="11">IF(OR(C73=0,C73=""),"",C73)</f>
        <v xml:space="preserve"> </v>
      </c>
      <c r="R73" s="1177"/>
      <c r="S73" s="1177"/>
      <c r="T73" s="1177"/>
      <c r="U73" s="1178"/>
      <c r="V73" s="174">
        <f t="shared" ref="V73:V107" si="12">IF(H73="",0,H73)</f>
        <v>0</v>
      </c>
      <c r="W73" s="345">
        <f t="shared" si="8"/>
        <v>0</v>
      </c>
      <c r="X73" s="346">
        <f>IF(AND(K73&gt;0,'Custo Contábil'!$D$7&gt;0),ROUND(K73*('Custo Contábil'!$D$20/'Custo Contábil'!$D$7)*W73,2),0)</f>
        <v>0</v>
      </c>
      <c r="Y73" s="729">
        <f t="shared" ref="Y73:Y108" si="13">V73*X73</f>
        <v>0</v>
      </c>
    </row>
    <row r="74" spans="2:25" ht="15" customHeight="1" outlineLevel="1" x14ac:dyDescent="0.25">
      <c r="B74" s="173">
        <v>67</v>
      </c>
      <c r="C74" s="1175" t="str">
        <f>IF(ISBLANK('IlumCusto (ORÇ)'!C74)," ",'IlumCusto (ORÇ)'!C74)</f>
        <v xml:space="preserve"> </v>
      </c>
      <c r="D74" s="1176"/>
      <c r="E74" s="1176"/>
      <c r="F74" s="1176"/>
      <c r="G74" s="1176"/>
      <c r="H74" s="581">
        <f>'IlumCusto (ORÇ)'!H74</f>
        <v>0</v>
      </c>
      <c r="I74" s="582">
        <f>'IlumCusto (ORÇ)'!I74</f>
        <v>0</v>
      </c>
      <c r="J74" s="574">
        <f>'IlumCusto (ORÇ)'!J74</f>
        <v>0</v>
      </c>
      <c r="K74" s="344">
        <f t="shared" si="9"/>
        <v>0</v>
      </c>
      <c r="L74" s="344">
        <f t="shared" si="10"/>
        <v>0</v>
      </c>
      <c r="M74" s="343"/>
      <c r="N74" s="343"/>
      <c r="P74" s="173">
        <f t="shared" si="2"/>
        <v>67</v>
      </c>
      <c r="Q74" s="1177" t="str">
        <f t="shared" si="11"/>
        <v xml:space="preserve"> </v>
      </c>
      <c r="R74" s="1177"/>
      <c r="S74" s="1177"/>
      <c r="T74" s="1177"/>
      <c r="U74" s="1178"/>
      <c r="V74" s="174">
        <f t="shared" si="12"/>
        <v>0</v>
      </c>
      <c r="W74" s="345">
        <f t="shared" si="8"/>
        <v>0</v>
      </c>
      <c r="X74" s="346">
        <f>IF(AND(K74&gt;0,'Custo Contábil'!$D$7&gt;0),ROUND(K74*('Custo Contábil'!$D$20/'Custo Contábil'!$D$7)*W74,2),0)</f>
        <v>0</v>
      </c>
      <c r="Y74" s="729">
        <f t="shared" si="13"/>
        <v>0</v>
      </c>
    </row>
    <row r="75" spans="2:25" ht="15" customHeight="1" outlineLevel="1" x14ac:dyDescent="0.25">
      <c r="B75" s="175">
        <v>68</v>
      </c>
      <c r="C75" s="1175" t="str">
        <f>IF(ISBLANK('IlumCusto (ORÇ)'!C75)," ",'IlumCusto (ORÇ)'!C75)</f>
        <v xml:space="preserve"> </v>
      </c>
      <c r="D75" s="1176"/>
      <c r="E75" s="1176"/>
      <c r="F75" s="1176"/>
      <c r="G75" s="1176"/>
      <c r="H75" s="581">
        <f>'IlumCusto (ORÇ)'!H75</f>
        <v>0</v>
      </c>
      <c r="I75" s="582">
        <f>'IlumCusto (ORÇ)'!I75</f>
        <v>0</v>
      </c>
      <c r="J75" s="574">
        <f>'IlumCusto (ORÇ)'!J75</f>
        <v>0</v>
      </c>
      <c r="K75" s="344">
        <f t="shared" si="9"/>
        <v>0</v>
      </c>
      <c r="L75" s="344">
        <f t="shared" si="10"/>
        <v>0</v>
      </c>
      <c r="M75" s="343"/>
      <c r="N75" s="343"/>
      <c r="P75" s="173">
        <f t="shared" si="2"/>
        <v>68</v>
      </c>
      <c r="Q75" s="1177" t="str">
        <f t="shared" si="11"/>
        <v xml:space="preserve"> </v>
      </c>
      <c r="R75" s="1177"/>
      <c r="S75" s="1177"/>
      <c r="T75" s="1177"/>
      <c r="U75" s="1178"/>
      <c r="V75" s="174">
        <f t="shared" si="12"/>
        <v>0</v>
      </c>
      <c r="W75" s="345">
        <f t="shared" si="8"/>
        <v>0</v>
      </c>
      <c r="X75" s="346">
        <f>IF(AND(K75&gt;0,'Custo Contábil'!$D$7&gt;0),ROUND(K75*('Custo Contábil'!$D$20/'Custo Contábil'!$D$7)*W75,2),0)</f>
        <v>0</v>
      </c>
      <c r="Y75" s="729">
        <f t="shared" si="13"/>
        <v>0</v>
      </c>
    </row>
    <row r="76" spans="2:25" ht="15" customHeight="1" outlineLevel="1" x14ac:dyDescent="0.25">
      <c r="B76" s="173">
        <v>69</v>
      </c>
      <c r="C76" s="1175" t="str">
        <f>IF(ISBLANK('IlumCusto (ORÇ)'!C76)," ",'IlumCusto (ORÇ)'!C76)</f>
        <v xml:space="preserve"> </v>
      </c>
      <c r="D76" s="1176"/>
      <c r="E76" s="1176"/>
      <c r="F76" s="1176"/>
      <c r="G76" s="1176"/>
      <c r="H76" s="581">
        <f>'IlumCusto (ORÇ)'!H76</f>
        <v>0</v>
      </c>
      <c r="I76" s="582">
        <f>'IlumCusto (ORÇ)'!I76</f>
        <v>0</v>
      </c>
      <c r="J76" s="574">
        <f>'IlumCusto (ORÇ)'!J76</f>
        <v>0</v>
      </c>
      <c r="K76" s="344">
        <f t="shared" si="9"/>
        <v>0</v>
      </c>
      <c r="L76" s="344">
        <f t="shared" si="10"/>
        <v>0</v>
      </c>
      <c r="M76" s="343"/>
      <c r="N76" s="343"/>
      <c r="P76" s="173">
        <f t="shared" si="2"/>
        <v>69</v>
      </c>
      <c r="Q76" s="1177" t="str">
        <f t="shared" si="11"/>
        <v xml:space="preserve"> </v>
      </c>
      <c r="R76" s="1177"/>
      <c r="S76" s="1177"/>
      <c r="T76" s="1177"/>
      <c r="U76" s="1178"/>
      <c r="V76" s="174">
        <f t="shared" si="12"/>
        <v>0</v>
      </c>
      <c r="W76" s="345">
        <f t="shared" si="8"/>
        <v>0</v>
      </c>
      <c r="X76" s="346">
        <f>IF(AND(K76&gt;0,'Custo Contábil'!$D$7&gt;0),ROUND(K76*('Custo Contábil'!$D$20/'Custo Contábil'!$D$7)*W76,2),0)</f>
        <v>0</v>
      </c>
      <c r="Y76" s="729">
        <f t="shared" si="13"/>
        <v>0</v>
      </c>
    </row>
    <row r="77" spans="2:25" ht="15" customHeight="1" outlineLevel="1" x14ac:dyDescent="0.25">
      <c r="B77" s="175">
        <v>70</v>
      </c>
      <c r="C77" s="1175" t="str">
        <f>IF(ISBLANK('IlumCusto (ORÇ)'!C77)," ",'IlumCusto (ORÇ)'!C77)</f>
        <v xml:space="preserve"> </v>
      </c>
      <c r="D77" s="1176"/>
      <c r="E77" s="1176"/>
      <c r="F77" s="1176"/>
      <c r="G77" s="1176"/>
      <c r="H77" s="581">
        <f>'IlumCusto (ORÇ)'!H77</f>
        <v>0</v>
      </c>
      <c r="I77" s="582">
        <f>'IlumCusto (ORÇ)'!I77</f>
        <v>0</v>
      </c>
      <c r="J77" s="574">
        <f>'IlumCusto (ORÇ)'!J77</f>
        <v>0</v>
      </c>
      <c r="K77" s="344">
        <f t="shared" si="9"/>
        <v>0</v>
      </c>
      <c r="L77" s="344">
        <f t="shared" si="10"/>
        <v>0</v>
      </c>
      <c r="M77" s="343"/>
      <c r="N77" s="343"/>
      <c r="P77" s="173">
        <f t="shared" si="2"/>
        <v>70</v>
      </c>
      <c r="Q77" s="1177" t="str">
        <f t="shared" si="11"/>
        <v xml:space="preserve"> </v>
      </c>
      <c r="R77" s="1177"/>
      <c r="S77" s="1177"/>
      <c r="T77" s="1177"/>
      <c r="U77" s="1178"/>
      <c r="V77" s="174">
        <f t="shared" si="12"/>
        <v>0</v>
      </c>
      <c r="W77" s="345">
        <f t="shared" si="8"/>
        <v>0</v>
      </c>
      <c r="X77" s="346">
        <f>IF(AND(K77&gt;0,'Custo Contábil'!$D$7&gt;0),ROUND(K77*('Custo Contábil'!$D$20/'Custo Contábil'!$D$7)*W77,2),0)</f>
        <v>0</v>
      </c>
      <c r="Y77" s="729">
        <f t="shared" si="13"/>
        <v>0</v>
      </c>
    </row>
    <row r="78" spans="2:25" ht="15" customHeight="1" outlineLevel="1" x14ac:dyDescent="0.25">
      <c r="B78" s="173">
        <v>71</v>
      </c>
      <c r="C78" s="1175" t="str">
        <f>IF(ISBLANK('IlumCusto (ORÇ)'!C78)," ",'IlumCusto (ORÇ)'!C78)</f>
        <v xml:space="preserve"> </v>
      </c>
      <c r="D78" s="1176"/>
      <c r="E78" s="1176"/>
      <c r="F78" s="1176"/>
      <c r="G78" s="1176"/>
      <c r="H78" s="581">
        <f>'IlumCusto (ORÇ)'!H78</f>
        <v>0</v>
      </c>
      <c r="I78" s="582">
        <f>'IlumCusto (ORÇ)'!I78</f>
        <v>0</v>
      </c>
      <c r="J78" s="574">
        <f>'IlumCusto (ORÇ)'!J78</f>
        <v>0</v>
      </c>
      <c r="K78" s="344">
        <f t="shared" si="9"/>
        <v>0</v>
      </c>
      <c r="L78" s="344">
        <f t="shared" si="10"/>
        <v>0</v>
      </c>
      <c r="M78" s="343"/>
      <c r="N78" s="343"/>
      <c r="P78" s="173">
        <f t="shared" si="2"/>
        <v>71</v>
      </c>
      <c r="Q78" s="1177" t="str">
        <f t="shared" si="11"/>
        <v xml:space="preserve"> </v>
      </c>
      <c r="R78" s="1177"/>
      <c r="S78" s="1177"/>
      <c r="T78" s="1177"/>
      <c r="U78" s="1178"/>
      <c r="V78" s="174">
        <f t="shared" si="12"/>
        <v>0</v>
      </c>
      <c r="W78" s="345">
        <f t="shared" si="8"/>
        <v>0</v>
      </c>
      <c r="X78" s="346">
        <f>IF(AND(K78&gt;0,'Custo Contábil'!$D$7&gt;0),ROUND(K78*('Custo Contábil'!$D$20/'Custo Contábil'!$D$7)*W78,2),0)</f>
        <v>0</v>
      </c>
      <c r="Y78" s="729">
        <f t="shared" si="13"/>
        <v>0</v>
      </c>
    </row>
    <row r="79" spans="2:25" ht="15" customHeight="1" outlineLevel="1" x14ac:dyDescent="0.25">
      <c r="B79" s="175">
        <v>72</v>
      </c>
      <c r="C79" s="1175" t="str">
        <f>IF(ISBLANK('IlumCusto (ORÇ)'!C79)," ",'IlumCusto (ORÇ)'!C79)</f>
        <v xml:space="preserve"> </v>
      </c>
      <c r="D79" s="1176"/>
      <c r="E79" s="1176"/>
      <c r="F79" s="1176"/>
      <c r="G79" s="1176"/>
      <c r="H79" s="581">
        <f>'IlumCusto (ORÇ)'!H79</f>
        <v>0</v>
      </c>
      <c r="I79" s="582">
        <f>'IlumCusto (ORÇ)'!I79</f>
        <v>0</v>
      </c>
      <c r="J79" s="574">
        <f>'IlumCusto (ORÇ)'!J79</f>
        <v>0</v>
      </c>
      <c r="K79" s="344">
        <f t="shared" si="9"/>
        <v>0</v>
      </c>
      <c r="L79" s="344">
        <f t="shared" si="10"/>
        <v>0</v>
      </c>
      <c r="M79" s="343"/>
      <c r="N79" s="343"/>
      <c r="P79" s="173">
        <f t="shared" si="2"/>
        <v>72</v>
      </c>
      <c r="Q79" s="1177" t="str">
        <f t="shared" si="11"/>
        <v xml:space="preserve"> </v>
      </c>
      <c r="R79" s="1177"/>
      <c r="S79" s="1177"/>
      <c r="T79" s="1177"/>
      <c r="U79" s="1178"/>
      <c r="V79" s="174">
        <f t="shared" si="12"/>
        <v>0</v>
      </c>
      <c r="W79" s="345">
        <f t="shared" si="8"/>
        <v>0</v>
      </c>
      <c r="X79" s="346">
        <f>IF(AND(K79&gt;0,'Custo Contábil'!$D$7&gt;0),ROUND(K79*('Custo Contábil'!$D$20/'Custo Contábil'!$D$7)*W79,2),0)</f>
        <v>0</v>
      </c>
      <c r="Y79" s="729">
        <f t="shared" si="13"/>
        <v>0</v>
      </c>
    </row>
    <row r="80" spans="2:25" ht="15" customHeight="1" outlineLevel="1" x14ac:dyDescent="0.25">
      <c r="B80" s="173">
        <v>73</v>
      </c>
      <c r="C80" s="1175" t="str">
        <f>IF(ISBLANK('IlumCusto (ORÇ)'!C80)," ",'IlumCusto (ORÇ)'!C80)</f>
        <v xml:space="preserve"> </v>
      </c>
      <c r="D80" s="1176"/>
      <c r="E80" s="1176"/>
      <c r="F80" s="1176"/>
      <c r="G80" s="1176"/>
      <c r="H80" s="581">
        <f>'IlumCusto (ORÇ)'!H80</f>
        <v>0</v>
      </c>
      <c r="I80" s="582">
        <f>'IlumCusto (ORÇ)'!I80</f>
        <v>0</v>
      </c>
      <c r="J80" s="574">
        <f>'IlumCusto (ORÇ)'!J80</f>
        <v>0</v>
      </c>
      <c r="K80" s="344">
        <f t="shared" si="9"/>
        <v>0</v>
      </c>
      <c r="L80" s="344">
        <f t="shared" si="10"/>
        <v>0</v>
      </c>
      <c r="M80" s="343"/>
      <c r="N80" s="343"/>
      <c r="P80" s="173">
        <f t="shared" si="2"/>
        <v>73</v>
      </c>
      <c r="Q80" s="1177" t="str">
        <f t="shared" si="11"/>
        <v xml:space="preserve"> </v>
      </c>
      <c r="R80" s="1177"/>
      <c r="S80" s="1177"/>
      <c r="T80" s="1177"/>
      <c r="U80" s="1178"/>
      <c r="V80" s="174">
        <f t="shared" si="12"/>
        <v>0</v>
      </c>
      <c r="W80" s="345">
        <f t="shared" si="8"/>
        <v>0</v>
      </c>
      <c r="X80" s="346">
        <f>IF(AND(K80&gt;0,'Custo Contábil'!$D$7&gt;0),ROUND(K80*('Custo Contábil'!$D$20/'Custo Contábil'!$D$7)*W80,2),0)</f>
        <v>0</v>
      </c>
      <c r="Y80" s="729">
        <f t="shared" si="13"/>
        <v>0</v>
      </c>
    </row>
    <row r="81" spans="2:25" ht="15" customHeight="1" outlineLevel="1" x14ac:dyDescent="0.25">
      <c r="B81" s="175">
        <v>74</v>
      </c>
      <c r="C81" s="1175" t="str">
        <f>IF(ISBLANK('IlumCusto (ORÇ)'!C81)," ",'IlumCusto (ORÇ)'!C81)</f>
        <v xml:space="preserve"> </v>
      </c>
      <c r="D81" s="1176"/>
      <c r="E81" s="1176"/>
      <c r="F81" s="1176"/>
      <c r="G81" s="1176"/>
      <c r="H81" s="581">
        <f>'IlumCusto (ORÇ)'!H81</f>
        <v>0</v>
      </c>
      <c r="I81" s="582">
        <f>'IlumCusto (ORÇ)'!I81</f>
        <v>0</v>
      </c>
      <c r="J81" s="574">
        <f>'IlumCusto (ORÇ)'!J81</f>
        <v>0</v>
      </c>
      <c r="K81" s="344">
        <f t="shared" si="9"/>
        <v>0</v>
      </c>
      <c r="L81" s="344">
        <f t="shared" si="10"/>
        <v>0</v>
      </c>
      <c r="M81" s="343"/>
      <c r="N81" s="343"/>
      <c r="P81" s="173">
        <f t="shared" si="2"/>
        <v>74</v>
      </c>
      <c r="Q81" s="1177" t="str">
        <f t="shared" si="11"/>
        <v xml:space="preserve"> </v>
      </c>
      <c r="R81" s="1177"/>
      <c r="S81" s="1177"/>
      <c r="T81" s="1177"/>
      <c r="U81" s="1178"/>
      <c r="V81" s="174">
        <f t="shared" si="12"/>
        <v>0</v>
      </c>
      <c r="W81" s="345">
        <f t="shared" si="8"/>
        <v>0</v>
      </c>
      <c r="X81" s="346">
        <f>IF(AND(K81&gt;0,'Custo Contábil'!$D$7&gt;0),ROUND(K81*('Custo Contábil'!$D$20/'Custo Contábil'!$D$7)*W81,2),0)</f>
        <v>0</v>
      </c>
      <c r="Y81" s="729">
        <f t="shared" si="13"/>
        <v>0</v>
      </c>
    </row>
    <row r="82" spans="2:25" ht="15" customHeight="1" outlineLevel="1" x14ac:dyDescent="0.25">
      <c r="B82" s="173">
        <v>75</v>
      </c>
      <c r="C82" s="1175" t="str">
        <f>IF(ISBLANK('IlumCusto (ORÇ)'!C82)," ",'IlumCusto (ORÇ)'!C82)</f>
        <v xml:space="preserve"> </v>
      </c>
      <c r="D82" s="1176"/>
      <c r="E82" s="1176"/>
      <c r="F82" s="1176"/>
      <c r="G82" s="1176"/>
      <c r="H82" s="581">
        <f>'IlumCusto (ORÇ)'!H82</f>
        <v>0</v>
      </c>
      <c r="I82" s="582">
        <f>'IlumCusto (ORÇ)'!I82</f>
        <v>0</v>
      </c>
      <c r="J82" s="574">
        <f>'IlumCusto (ORÇ)'!J82</f>
        <v>0</v>
      </c>
      <c r="K82" s="344">
        <f t="shared" si="9"/>
        <v>0</v>
      </c>
      <c r="L82" s="344">
        <f t="shared" si="10"/>
        <v>0</v>
      </c>
      <c r="M82" s="343"/>
      <c r="N82" s="343"/>
      <c r="P82" s="173">
        <f t="shared" si="2"/>
        <v>75</v>
      </c>
      <c r="Q82" s="1177" t="str">
        <f t="shared" si="11"/>
        <v xml:space="preserve"> </v>
      </c>
      <c r="R82" s="1177"/>
      <c r="S82" s="1177"/>
      <c r="T82" s="1177"/>
      <c r="U82" s="1178"/>
      <c r="V82" s="174">
        <f t="shared" si="12"/>
        <v>0</v>
      </c>
      <c r="W82" s="345">
        <f t="shared" si="8"/>
        <v>0</v>
      </c>
      <c r="X82" s="346">
        <f>IF(AND(K82&gt;0,'Custo Contábil'!$D$7&gt;0),ROUND(K82*('Custo Contábil'!$D$20/'Custo Contábil'!$D$7)*W82,2),0)</f>
        <v>0</v>
      </c>
      <c r="Y82" s="729">
        <f t="shared" si="13"/>
        <v>0</v>
      </c>
    </row>
    <row r="83" spans="2:25" ht="15" customHeight="1" outlineLevel="1" x14ac:dyDescent="0.25">
      <c r="B83" s="175">
        <v>76</v>
      </c>
      <c r="C83" s="1175" t="str">
        <f>IF(ISBLANK('IlumCusto (ORÇ)'!C83)," ",'IlumCusto (ORÇ)'!C83)</f>
        <v xml:space="preserve"> </v>
      </c>
      <c r="D83" s="1176"/>
      <c r="E83" s="1176"/>
      <c r="F83" s="1176"/>
      <c r="G83" s="1176"/>
      <c r="H83" s="581">
        <f>'IlumCusto (ORÇ)'!H83</f>
        <v>0</v>
      </c>
      <c r="I83" s="582">
        <f>'IlumCusto (ORÇ)'!I83</f>
        <v>0</v>
      </c>
      <c r="J83" s="574">
        <f>'IlumCusto (ORÇ)'!J83</f>
        <v>0</v>
      </c>
      <c r="K83" s="344">
        <f t="shared" si="9"/>
        <v>0</v>
      </c>
      <c r="L83" s="344">
        <f t="shared" si="10"/>
        <v>0</v>
      </c>
      <c r="M83" s="343"/>
      <c r="N83" s="343"/>
      <c r="P83" s="173">
        <f t="shared" si="2"/>
        <v>76</v>
      </c>
      <c r="Q83" s="1177" t="str">
        <f t="shared" si="11"/>
        <v xml:space="preserve"> </v>
      </c>
      <c r="R83" s="1177"/>
      <c r="S83" s="1177"/>
      <c r="T83" s="1177"/>
      <c r="U83" s="1178"/>
      <c r="V83" s="174">
        <f t="shared" si="12"/>
        <v>0</v>
      </c>
      <c r="W83" s="345">
        <f t="shared" si="8"/>
        <v>0</v>
      </c>
      <c r="X83" s="346">
        <f>IF(AND(K83&gt;0,'Custo Contábil'!$D$7&gt;0),ROUND(K83*('Custo Contábil'!$D$20/'Custo Contábil'!$D$7)*W83,2),0)</f>
        <v>0</v>
      </c>
      <c r="Y83" s="729">
        <f t="shared" si="13"/>
        <v>0</v>
      </c>
    </row>
    <row r="84" spans="2:25" ht="15" customHeight="1" outlineLevel="1" x14ac:dyDescent="0.25">
      <c r="B84" s="173">
        <v>77</v>
      </c>
      <c r="C84" s="1175" t="str">
        <f>IF(ISBLANK('IlumCusto (ORÇ)'!C84)," ",'IlumCusto (ORÇ)'!C84)</f>
        <v xml:space="preserve"> </v>
      </c>
      <c r="D84" s="1176"/>
      <c r="E84" s="1176"/>
      <c r="F84" s="1176"/>
      <c r="G84" s="1176"/>
      <c r="H84" s="581">
        <f>'IlumCusto (ORÇ)'!H84</f>
        <v>0</v>
      </c>
      <c r="I84" s="582">
        <f>'IlumCusto (ORÇ)'!I84</f>
        <v>0</v>
      </c>
      <c r="J84" s="574">
        <f>'IlumCusto (ORÇ)'!J84</f>
        <v>0</v>
      </c>
      <c r="K84" s="344">
        <f t="shared" si="9"/>
        <v>0</v>
      </c>
      <c r="L84" s="344">
        <f t="shared" si="10"/>
        <v>0</v>
      </c>
      <c r="M84" s="343"/>
      <c r="N84" s="343"/>
      <c r="P84" s="173">
        <f t="shared" si="2"/>
        <v>77</v>
      </c>
      <c r="Q84" s="1177" t="str">
        <f t="shared" si="11"/>
        <v xml:space="preserve"> </v>
      </c>
      <c r="R84" s="1177"/>
      <c r="S84" s="1177"/>
      <c r="T84" s="1177"/>
      <c r="U84" s="1178"/>
      <c r="V84" s="174">
        <f t="shared" si="12"/>
        <v>0</v>
      </c>
      <c r="W84" s="345">
        <f t="shared" si="8"/>
        <v>0</v>
      </c>
      <c r="X84" s="346">
        <f>IF(AND(K84&gt;0,'Custo Contábil'!$D$7&gt;0),ROUND(K84*('Custo Contábil'!$D$20/'Custo Contábil'!$D$7)*W84,2),0)</f>
        <v>0</v>
      </c>
      <c r="Y84" s="729">
        <f t="shared" si="13"/>
        <v>0</v>
      </c>
    </row>
    <row r="85" spans="2:25" ht="15" customHeight="1" outlineLevel="1" x14ac:dyDescent="0.25">
      <c r="B85" s="175">
        <v>78</v>
      </c>
      <c r="C85" s="1175" t="str">
        <f>IF(ISBLANK('IlumCusto (ORÇ)'!C85)," ",'IlumCusto (ORÇ)'!C85)</f>
        <v xml:space="preserve"> </v>
      </c>
      <c r="D85" s="1176"/>
      <c r="E85" s="1176"/>
      <c r="F85" s="1176"/>
      <c r="G85" s="1176"/>
      <c r="H85" s="581">
        <f>'IlumCusto (ORÇ)'!H85</f>
        <v>0</v>
      </c>
      <c r="I85" s="582">
        <f>'IlumCusto (ORÇ)'!I85</f>
        <v>0</v>
      </c>
      <c r="J85" s="574">
        <f>'IlumCusto (ORÇ)'!J85</f>
        <v>0</v>
      </c>
      <c r="K85" s="344">
        <f t="shared" si="9"/>
        <v>0</v>
      </c>
      <c r="L85" s="344">
        <f t="shared" si="10"/>
        <v>0</v>
      </c>
      <c r="M85" s="343"/>
      <c r="N85" s="343"/>
      <c r="P85" s="173">
        <f t="shared" si="2"/>
        <v>78</v>
      </c>
      <c r="Q85" s="1177" t="str">
        <f t="shared" si="11"/>
        <v xml:space="preserve"> </v>
      </c>
      <c r="R85" s="1177"/>
      <c r="S85" s="1177"/>
      <c r="T85" s="1177"/>
      <c r="U85" s="1178"/>
      <c r="V85" s="174">
        <f t="shared" si="12"/>
        <v>0</v>
      </c>
      <c r="W85" s="345">
        <f t="shared" si="8"/>
        <v>0</v>
      </c>
      <c r="X85" s="346">
        <f>IF(AND(K85&gt;0,'Custo Contábil'!$D$7&gt;0),ROUND(K85*('Custo Contábil'!$D$20/'Custo Contábil'!$D$7)*W85,2),0)</f>
        <v>0</v>
      </c>
      <c r="Y85" s="729">
        <f t="shared" si="13"/>
        <v>0</v>
      </c>
    </row>
    <row r="86" spans="2:25" ht="15" customHeight="1" outlineLevel="1" x14ac:dyDescent="0.25">
      <c r="B86" s="173">
        <v>79</v>
      </c>
      <c r="C86" s="1175" t="str">
        <f>IF(ISBLANK('IlumCusto (ORÇ)'!C86)," ",'IlumCusto (ORÇ)'!C86)</f>
        <v xml:space="preserve"> </v>
      </c>
      <c r="D86" s="1176"/>
      <c r="E86" s="1176"/>
      <c r="F86" s="1176"/>
      <c r="G86" s="1176"/>
      <c r="H86" s="581">
        <f>'IlumCusto (ORÇ)'!H86</f>
        <v>0</v>
      </c>
      <c r="I86" s="582">
        <f>'IlumCusto (ORÇ)'!I86</f>
        <v>0</v>
      </c>
      <c r="J86" s="574">
        <f>'IlumCusto (ORÇ)'!J86</f>
        <v>0</v>
      </c>
      <c r="K86" s="344">
        <f t="shared" si="9"/>
        <v>0</v>
      </c>
      <c r="L86" s="344">
        <f t="shared" si="10"/>
        <v>0</v>
      </c>
      <c r="M86" s="343"/>
      <c r="N86" s="343"/>
      <c r="P86" s="173">
        <f t="shared" si="2"/>
        <v>79</v>
      </c>
      <c r="Q86" s="1177" t="str">
        <f t="shared" si="11"/>
        <v xml:space="preserve"> </v>
      </c>
      <c r="R86" s="1177"/>
      <c r="S86" s="1177"/>
      <c r="T86" s="1177"/>
      <c r="U86" s="1178"/>
      <c r="V86" s="174">
        <f t="shared" si="12"/>
        <v>0</v>
      </c>
      <c r="W86" s="345">
        <f t="shared" si="8"/>
        <v>0</v>
      </c>
      <c r="X86" s="346">
        <f>IF(AND(K86&gt;0,'Custo Contábil'!$D$7&gt;0),ROUND(K86*('Custo Contábil'!$D$20/'Custo Contábil'!$D$7)*W86,2),0)</f>
        <v>0</v>
      </c>
      <c r="Y86" s="729">
        <f t="shared" si="13"/>
        <v>0</v>
      </c>
    </row>
    <row r="87" spans="2:25" ht="15" customHeight="1" outlineLevel="1" x14ac:dyDescent="0.25">
      <c r="B87" s="175">
        <v>80</v>
      </c>
      <c r="C87" s="1175" t="str">
        <f>IF(ISBLANK('IlumCusto (ORÇ)'!C87)," ",'IlumCusto (ORÇ)'!C87)</f>
        <v xml:space="preserve"> </v>
      </c>
      <c r="D87" s="1176"/>
      <c r="E87" s="1176"/>
      <c r="F87" s="1176"/>
      <c r="G87" s="1176"/>
      <c r="H87" s="581">
        <f>'IlumCusto (ORÇ)'!H87</f>
        <v>0</v>
      </c>
      <c r="I87" s="582">
        <f>'IlumCusto (ORÇ)'!I87</f>
        <v>0</v>
      </c>
      <c r="J87" s="574">
        <f>'IlumCusto (ORÇ)'!J87</f>
        <v>0</v>
      </c>
      <c r="K87" s="344">
        <f t="shared" si="9"/>
        <v>0</v>
      </c>
      <c r="L87" s="344">
        <f t="shared" si="10"/>
        <v>0</v>
      </c>
      <c r="M87" s="343"/>
      <c r="N87" s="343"/>
      <c r="P87" s="173">
        <f t="shared" si="2"/>
        <v>80</v>
      </c>
      <c r="Q87" s="1177" t="str">
        <f t="shared" si="11"/>
        <v xml:space="preserve"> </v>
      </c>
      <c r="R87" s="1177"/>
      <c r="S87" s="1177"/>
      <c r="T87" s="1177"/>
      <c r="U87" s="1178"/>
      <c r="V87" s="174">
        <f t="shared" si="12"/>
        <v>0</v>
      </c>
      <c r="W87" s="345">
        <f t="shared" si="8"/>
        <v>0</v>
      </c>
      <c r="X87" s="346">
        <f>IF(AND(K87&gt;0,'Custo Contábil'!$D$7&gt;0),ROUND(K87*('Custo Contábil'!$D$20/'Custo Contábil'!$D$7)*W87,2),0)</f>
        <v>0</v>
      </c>
      <c r="Y87" s="729">
        <f t="shared" si="13"/>
        <v>0</v>
      </c>
    </row>
    <row r="88" spans="2:25" ht="15" customHeight="1" outlineLevel="1" x14ac:dyDescent="0.25">
      <c r="B88" s="173">
        <v>81</v>
      </c>
      <c r="C88" s="1175" t="str">
        <f>IF(ISBLANK('IlumCusto (ORÇ)'!C88)," ",'IlumCusto (ORÇ)'!C88)</f>
        <v xml:space="preserve"> </v>
      </c>
      <c r="D88" s="1176"/>
      <c r="E88" s="1176"/>
      <c r="F88" s="1176"/>
      <c r="G88" s="1176"/>
      <c r="H88" s="581">
        <f>'IlumCusto (ORÇ)'!H88</f>
        <v>0</v>
      </c>
      <c r="I88" s="582">
        <f>'IlumCusto (ORÇ)'!I88</f>
        <v>0</v>
      </c>
      <c r="J88" s="574">
        <f>'IlumCusto (ORÇ)'!J88</f>
        <v>0</v>
      </c>
      <c r="K88" s="344">
        <f t="shared" si="9"/>
        <v>0</v>
      </c>
      <c r="L88" s="344">
        <f t="shared" si="10"/>
        <v>0</v>
      </c>
      <c r="M88" s="343"/>
      <c r="N88" s="343"/>
      <c r="P88" s="173">
        <f t="shared" si="2"/>
        <v>81</v>
      </c>
      <c r="Q88" s="1177" t="str">
        <f t="shared" si="11"/>
        <v xml:space="preserve"> </v>
      </c>
      <c r="R88" s="1177"/>
      <c r="S88" s="1177"/>
      <c r="T88" s="1177"/>
      <c r="U88" s="1178"/>
      <c r="V88" s="174">
        <f t="shared" si="12"/>
        <v>0</v>
      </c>
      <c r="W88" s="345">
        <f t="shared" si="8"/>
        <v>0</v>
      </c>
      <c r="X88" s="346">
        <f>IF(AND(K88&gt;0,'Custo Contábil'!$D$7&gt;0),ROUND(K88*('Custo Contábil'!$D$20/'Custo Contábil'!$D$7)*W88,2),0)</f>
        <v>0</v>
      </c>
      <c r="Y88" s="729">
        <f t="shared" si="13"/>
        <v>0</v>
      </c>
    </row>
    <row r="89" spans="2:25" ht="15" customHeight="1" outlineLevel="1" x14ac:dyDescent="0.25">
      <c r="B89" s="175">
        <v>82</v>
      </c>
      <c r="C89" s="1175" t="str">
        <f>IF(ISBLANK('IlumCusto (ORÇ)'!C89)," ",'IlumCusto (ORÇ)'!C89)</f>
        <v xml:space="preserve"> </v>
      </c>
      <c r="D89" s="1176"/>
      <c r="E89" s="1176"/>
      <c r="F89" s="1176"/>
      <c r="G89" s="1176"/>
      <c r="H89" s="581">
        <f>'IlumCusto (ORÇ)'!H89</f>
        <v>0</v>
      </c>
      <c r="I89" s="582">
        <f>'IlumCusto (ORÇ)'!I89</f>
        <v>0</v>
      </c>
      <c r="J89" s="574">
        <f>'IlumCusto (ORÇ)'!J89</f>
        <v>0</v>
      </c>
      <c r="K89" s="344">
        <f t="shared" si="9"/>
        <v>0</v>
      </c>
      <c r="L89" s="344">
        <f t="shared" si="10"/>
        <v>0</v>
      </c>
      <c r="M89" s="343"/>
      <c r="N89" s="343"/>
      <c r="P89" s="173">
        <f t="shared" si="2"/>
        <v>82</v>
      </c>
      <c r="Q89" s="1177" t="str">
        <f t="shared" si="11"/>
        <v xml:space="preserve"> </v>
      </c>
      <c r="R89" s="1177"/>
      <c r="S89" s="1177"/>
      <c r="T89" s="1177"/>
      <c r="U89" s="1178"/>
      <c r="V89" s="174">
        <f t="shared" si="12"/>
        <v>0</v>
      </c>
      <c r="W89" s="345">
        <f t="shared" si="8"/>
        <v>0</v>
      </c>
      <c r="X89" s="346">
        <f>IF(AND(K89&gt;0,'Custo Contábil'!$D$7&gt;0),ROUND(K89*('Custo Contábil'!$D$20/'Custo Contábil'!$D$7)*W89,2),0)</f>
        <v>0</v>
      </c>
      <c r="Y89" s="729">
        <f t="shared" si="13"/>
        <v>0</v>
      </c>
    </row>
    <row r="90" spans="2:25" ht="15" customHeight="1" outlineLevel="1" x14ac:dyDescent="0.25">
      <c r="B90" s="173">
        <v>83</v>
      </c>
      <c r="C90" s="1175" t="str">
        <f>IF(ISBLANK('IlumCusto (ORÇ)'!C90)," ",'IlumCusto (ORÇ)'!C90)</f>
        <v xml:space="preserve"> </v>
      </c>
      <c r="D90" s="1176"/>
      <c r="E90" s="1176"/>
      <c r="F90" s="1176"/>
      <c r="G90" s="1176"/>
      <c r="H90" s="581">
        <f>'IlumCusto (ORÇ)'!H90</f>
        <v>0</v>
      </c>
      <c r="I90" s="582">
        <f>'IlumCusto (ORÇ)'!I90</f>
        <v>0</v>
      </c>
      <c r="J90" s="574">
        <f>'IlumCusto (ORÇ)'!J90</f>
        <v>0</v>
      </c>
      <c r="K90" s="344">
        <f t="shared" si="9"/>
        <v>0</v>
      </c>
      <c r="L90" s="344">
        <f t="shared" si="10"/>
        <v>0</v>
      </c>
      <c r="M90" s="343"/>
      <c r="N90" s="343"/>
      <c r="P90" s="173">
        <f t="shared" si="2"/>
        <v>83</v>
      </c>
      <c r="Q90" s="1177" t="str">
        <f t="shared" si="11"/>
        <v xml:space="preserve"> </v>
      </c>
      <c r="R90" s="1177"/>
      <c r="S90" s="1177"/>
      <c r="T90" s="1177"/>
      <c r="U90" s="1178"/>
      <c r="V90" s="174">
        <f t="shared" si="12"/>
        <v>0</v>
      </c>
      <c r="W90" s="345">
        <f t="shared" si="8"/>
        <v>0</v>
      </c>
      <c r="X90" s="346">
        <f>IF(AND(K90&gt;0,'Custo Contábil'!$D$7&gt;0),ROUND(K90*('Custo Contábil'!$D$20/'Custo Contábil'!$D$7)*W90,2),0)</f>
        <v>0</v>
      </c>
      <c r="Y90" s="729">
        <f t="shared" si="13"/>
        <v>0</v>
      </c>
    </row>
    <row r="91" spans="2:25" ht="15" customHeight="1" outlineLevel="1" x14ac:dyDescent="0.25">
      <c r="B91" s="175">
        <v>84</v>
      </c>
      <c r="C91" s="1175" t="str">
        <f>IF(ISBLANK('IlumCusto (ORÇ)'!C91)," ",'IlumCusto (ORÇ)'!C91)</f>
        <v xml:space="preserve"> </v>
      </c>
      <c r="D91" s="1176"/>
      <c r="E91" s="1176"/>
      <c r="F91" s="1176"/>
      <c r="G91" s="1176"/>
      <c r="H91" s="581">
        <f>'IlumCusto (ORÇ)'!H91</f>
        <v>0</v>
      </c>
      <c r="I91" s="582">
        <f>'IlumCusto (ORÇ)'!I91</f>
        <v>0</v>
      </c>
      <c r="J91" s="574">
        <f>'IlumCusto (ORÇ)'!J91</f>
        <v>0</v>
      </c>
      <c r="K91" s="344">
        <f t="shared" si="9"/>
        <v>0</v>
      </c>
      <c r="L91" s="344">
        <f t="shared" si="10"/>
        <v>0</v>
      </c>
      <c r="M91" s="343"/>
      <c r="N91" s="343"/>
      <c r="P91" s="173">
        <f t="shared" si="2"/>
        <v>84</v>
      </c>
      <c r="Q91" s="1177" t="str">
        <f t="shared" si="11"/>
        <v xml:space="preserve"> </v>
      </c>
      <c r="R91" s="1177"/>
      <c r="S91" s="1177"/>
      <c r="T91" s="1177"/>
      <c r="U91" s="1178"/>
      <c r="V91" s="174">
        <f t="shared" si="12"/>
        <v>0</v>
      </c>
      <c r="W91" s="345">
        <f t="shared" si="8"/>
        <v>0</v>
      </c>
      <c r="X91" s="346">
        <f>IF(AND(K91&gt;0,'Custo Contábil'!$D$7&gt;0),ROUND(K91*('Custo Contábil'!$D$20/'Custo Contábil'!$D$7)*W91,2),0)</f>
        <v>0</v>
      </c>
      <c r="Y91" s="729">
        <f t="shared" si="13"/>
        <v>0</v>
      </c>
    </row>
    <row r="92" spans="2:25" ht="15" customHeight="1" outlineLevel="1" x14ac:dyDescent="0.25">
      <c r="B92" s="173">
        <v>85</v>
      </c>
      <c r="C92" s="1175" t="str">
        <f>IF(ISBLANK('IlumCusto (ORÇ)'!C92)," ",'IlumCusto (ORÇ)'!C92)</f>
        <v xml:space="preserve"> </v>
      </c>
      <c r="D92" s="1176"/>
      <c r="E92" s="1176"/>
      <c r="F92" s="1176"/>
      <c r="G92" s="1176"/>
      <c r="H92" s="581">
        <f>'IlumCusto (ORÇ)'!H92</f>
        <v>0</v>
      </c>
      <c r="I92" s="582">
        <f>'IlumCusto (ORÇ)'!I92</f>
        <v>0</v>
      </c>
      <c r="J92" s="574">
        <f>'IlumCusto (ORÇ)'!J92</f>
        <v>0</v>
      </c>
      <c r="K92" s="344">
        <f t="shared" si="9"/>
        <v>0</v>
      </c>
      <c r="L92" s="344">
        <f t="shared" si="10"/>
        <v>0</v>
      </c>
      <c r="M92" s="343"/>
      <c r="N92" s="343"/>
      <c r="P92" s="173">
        <f t="shared" si="2"/>
        <v>85</v>
      </c>
      <c r="Q92" s="1177" t="str">
        <f t="shared" si="11"/>
        <v xml:space="preserve"> </v>
      </c>
      <c r="R92" s="1177"/>
      <c r="S92" s="1177"/>
      <c r="T92" s="1177"/>
      <c r="U92" s="1178"/>
      <c r="V92" s="174">
        <f t="shared" si="12"/>
        <v>0</v>
      </c>
      <c r="W92" s="345">
        <f t="shared" si="8"/>
        <v>0</v>
      </c>
      <c r="X92" s="346">
        <f>IF(AND(K92&gt;0,'Custo Contábil'!$D$7&gt;0),ROUND(K92*('Custo Contábil'!$D$20/'Custo Contábil'!$D$7)*W92,2),0)</f>
        <v>0</v>
      </c>
      <c r="Y92" s="729">
        <f t="shared" si="13"/>
        <v>0</v>
      </c>
    </row>
    <row r="93" spans="2:25" ht="15" customHeight="1" outlineLevel="1" x14ac:dyDescent="0.25">
      <c r="B93" s="175">
        <v>86</v>
      </c>
      <c r="C93" s="1175" t="str">
        <f>IF(ISBLANK('IlumCusto (ORÇ)'!C93)," ",'IlumCusto (ORÇ)'!C93)</f>
        <v xml:space="preserve"> </v>
      </c>
      <c r="D93" s="1176"/>
      <c r="E93" s="1176"/>
      <c r="F93" s="1176"/>
      <c r="G93" s="1176"/>
      <c r="H93" s="581">
        <f>'IlumCusto (ORÇ)'!H93</f>
        <v>0</v>
      </c>
      <c r="I93" s="582">
        <f>'IlumCusto (ORÇ)'!I93</f>
        <v>0</v>
      </c>
      <c r="J93" s="574">
        <f>'IlumCusto (ORÇ)'!J93</f>
        <v>0</v>
      </c>
      <c r="K93" s="344">
        <f t="shared" si="9"/>
        <v>0</v>
      </c>
      <c r="L93" s="344">
        <f t="shared" si="10"/>
        <v>0</v>
      </c>
      <c r="M93" s="343"/>
      <c r="N93" s="343"/>
      <c r="P93" s="173">
        <f t="shared" si="2"/>
        <v>86</v>
      </c>
      <c r="Q93" s="1177" t="str">
        <f t="shared" si="11"/>
        <v xml:space="preserve"> </v>
      </c>
      <c r="R93" s="1177"/>
      <c r="S93" s="1177"/>
      <c r="T93" s="1177"/>
      <c r="U93" s="1178"/>
      <c r="V93" s="174">
        <f t="shared" si="12"/>
        <v>0</v>
      </c>
      <c r="W93" s="345">
        <f t="shared" si="8"/>
        <v>0</v>
      </c>
      <c r="X93" s="346">
        <f>IF(AND(K93&gt;0,'Custo Contábil'!$D$7&gt;0),ROUND(K93*('Custo Contábil'!$D$20/'Custo Contábil'!$D$7)*W93,2),0)</f>
        <v>0</v>
      </c>
      <c r="Y93" s="729">
        <f t="shared" si="13"/>
        <v>0</v>
      </c>
    </row>
    <row r="94" spans="2:25" ht="15" customHeight="1" outlineLevel="1" x14ac:dyDescent="0.25">
      <c r="B94" s="173">
        <v>87</v>
      </c>
      <c r="C94" s="1175" t="str">
        <f>IF(ISBLANK('IlumCusto (ORÇ)'!C94)," ",'IlumCusto (ORÇ)'!C94)</f>
        <v xml:space="preserve"> </v>
      </c>
      <c r="D94" s="1176"/>
      <c r="E94" s="1176"/>
      <c r="F94" s="1176"/>
      <c r="G94" s="1176"/>
      <c r="H94" s="581">
        <f>'IlumCusto (ORÇ)'!H94</f>
        <v>0</v>
      </c>
      <c r="I94" s="582">
        <f>'IlumCusto (ORÇ)'!I94</f>
        <v>0</v>
      </c>
      <c r="J94" s="574">
        <f>'IlumCusto (ORÇ)'!J94</f>
        <v>0</v>
      </c>
      <c r="K94" s="344">
        <f t="shared" si="9"/>
        <v>0</v>
      </c>
      <c r="L94" s="344">
        <f t="shared" si="10"/>
        <v>0</v>
      </c>
      <c r="M94" s="343"/>
      <c r="N94" s="343"/>
      <c r="P94" s="173">
        <f t="shared" si="2"/>
        <v>87</v>
      </c>
      <c r="Q94" s="1177" t="str">
        <f t="shared" si="11"/>
        <v xml:space="preserve"> </v>
      </c>
      <c r="R94" s="1177"/>
      <c r="S94" s="1177"/>
      <c r="T94" s="1177"/>
      <c r="U94" s="1178"/>
      <c r="V94" s="174">
        <f t="shared" si="12"/>
        <v>0</v>
      </c>
      <c r="W94" s="345">
        <f t="shared" si="8"/>
        <v>0</v>
      </c>
      <c r="X94" s="346">
        <f>IF(AND(K94&gt;0,'Custo Contábil'!$D$7&gt;0),ROUND(K94*('Custo Contábil'!$D$20/'Custo Contábil'!$D$7)*W94,2),0)</f>
        <v>0</v>
      </c>
      <c r="Y94" s="729">
        <f t="shared" si="13"/>
        <v>0</v>
      </c>
    </row>
    <row r="95" spans="2:25" ht="15" customHeight="1" outlineLevel="1" x14ac:dyDescent="0.25">
      <c r="B95" s="175">
        <v>88</v>
      </c>
      <c r="C95" s="1175" t="str">
        <f>IF(ISBLANK('IlumCusto (ORÇ)'!C95)," ",'IlumCusto (ORÇ)'!C95)</f>
        <v xml:space="preserve"> </v>
      </c>
      <c r="D95" s="1176"/>
      <c r="E95" s="1176"/>
      <c r="F95" s="1176"/>
      <c r="G95" s="1176"/>
      <c r="H95" s="581">
        <f>'IlumCusto (ORÇ)'!H95</f>
        <v>0</v>
      </c>
      <c r="I95" s="582">
        <f>'IlumCusto (ORÇ)'!I95</f>
        <v>0</v>
      </c>
      <c r="J95" s="574">
        <f>'IlumCusto (ORÇ)'!J95</f>
        <v>0</v>
      </c>
      <c r="K95" s="344">
        <f t="shared" si="9"/>
        <v>0</v>
      </c>
      <c r="L95" s="344">
        <f t="shared" si="10"/>
        <v>0</v>
      </c>
      <c r="M95" s="343"/>
      <c r="N95" s="343"/>
      <c r="P95" s="173">
        <f t="shared" si="2"/>
        <v>88</v>
      </c>
      <c r="Q95" s="1177" t="str">
        <f t="shared" si="11"/>
        <v xml:space="preserve"> </v>
      </c>
      <c r="R95" s="1177"/>
      <c r="S95" s="1177"/>
      <c r="T95" s="1177"/>
      <c r="U95" s="1178"/>
      <c r="V95" s="174">
        <f t="shared" si="12"/>
        <v>0</v>
      </c>
      <c r="W95" s="345">
        <f t="shared" si="8"/>
        <v>0</v>
      </c>
      <c r="X95" s="346">
        <f>IF(AND(K95&gt;0,'Custo Contábil'!$D$7&gt;0),ROUND(K95*('Custo Contábil'!$D$20/'Custo Contábil'!$D$7)*W95,2),0)</f>
        <v>0</v>
      </c>
      <c r="Y95" s="729">
        <f t="shared" si="13"/>
        <v>0</v>
      </c>
    </row>
    <row r="96" spans="2:25" ht="15" customHeight="1" outlineLevel="1" x14ac:dyDescent="0.25">
      <c r="B96" s="173">
        <v>89</v>
      </c>
      <c r="C96" s="1175" t="str">
        <f>IF(ISBLANK('IlumCusto (ORÇ)'!C96)," ",'IlumCusto (ORÇ)'!C96)</f>
        <v xml:space="preserve"> </v>
      </c>
      <c r="D96" s="1176"/>
      <c r="E96" s="1176"/>
      <c r="F96" s="1176"/>
      <c r="G96" s="1176"/>
      <c r="H96" s="581">
        <f>'IlumCusto (ORÇ)'!H96</f>
        <v>0</v>
      </c>
      <c r="I96" s="582">
        <f>'IlumCusto (ORÇ)'!I96</f>
        <v>0</v>
      </c>
      <c r="J96" s="574">
        <f>'IlumCusto (ORÇ)'!J96</f>
        <v>0</v>
      </c>
      <c r="K96" s="344">
        <f t="shared" si="9"/>
        <v>0</v>
      </c>
      <c r="L96" s="344">
        <f t="shared" si="10"/>
        <v>0</v>
      </c>
      <c r="M96" s="343"/>
      <c r="N96" s="343"/>
      <c r="P96" s="173">
        <f t="shared" si="2"/>
        <v>89</v>
      </c>
      <c r="Q96" s="1177" t="str">
        <f t="shared" si="11"/>
        <v xml:space="preserve"> </v>
      </c>
      <c r="R96" s="1177"/>
      <c r="S96" s="1177"/>
      <c r="T96" s="1177"/>
      <c r="U96" s="1178"/>
      <c r="V96" s="174">
        <f t="shared" si="12"/>
        <v>0</v>
      </c>
      <c r="W96" s="345">
        <f t="shared" si="8"/>
        <v>0</v>
      </c>
      <c r="X96" s="346">
        <f>IF(AND(K96&gt;0,'Custo Contábil'!$D$7&gt;0),ROUND(K96*('Custo Contábil'!$D$20/'Custo Contábil'!$D$7)*W96,2),0)</f>
        <v>0</v>
      </c>
      <c r="Y96" s="729">
        <f t="shared" si="13"/>
        <v>0</v>
      </c>
    </row>
    <row r="97" spans="2:25" ht="15" customHeight="1" outlineLevel="1" x14ac:dyDescent="0.25">
      <c r="B97" s="175">
        <v>90</v>
      </c>
      <c r="C97" s="1175" t="str">
        <f>IF(ISBLANK('IlumCusto (ORÇ)'!C97)," ",'IlumCusto (ORÇ)'!C97)</f>
        <v xml:space="preserve"> </v>
      </c>
      <c r="D97" s="1176"/>
      <c r="E97" s="1176"/>
      <c r="F97" s="1176"/>
      <c r="G97" s="1176"/>
      <c r="H97" s="581">
        <f>'IlumCusto (ORÇ)'!H97</f>
        <v>0</v>
      </c>
      <c r="I97" s="582">
        <f>'IlumCusto (ORÇ)'!I97</f>
        <v>0</v>
      </c>
      <c r="J97" s="574">
        <f>'IlumCusto (ORÇ)'!J97</f>
        <v>0</v>
      </c>
      <c r="K97" s="344">
        <f t="shared" si="9"/>
        <v>0</v>
      </c>
      <c r="L97" s="344">
        <f t="shared" si="10"/>
        <v>0</v>
      </c>
      <c r="M97" s="343"/>
      <c r="N97" s="343"/>
      <c r="P97" s="173">
        <f t="shared" si="2"/>
        <v>90</v>
      </c>
      <c r="Q97" s="1177" t="str">
        <f t="shared" si="11"/>
        <v xml:space="preserve"> </v>
      </c>
      <c r="R97" s="1177"/>
      <c r="S97" s="1177"/>
      <c r="T97" s="1177"/>
      <c r="U97" s="1178"/>
      <c r="V97" s="174">
        <f t="shared" si="12"/>
        <v>0</v>
      </c>
      <c r="W97" s="345">
        <f t="shared" si="8"/>
        <v>0</v>
      </c>
      <c r="X97" s="346">
        <f>IF(AND(K97&gt;0,'Custo Contábil'!$D$7&gt;0),ROUND(K97*('Custo Contábil'!$D$20/'Custo Contábil'!$D$7)*W97,2),0)</f>
        <v>0</v>
      </c>
      <c r="Y97" s="729">
        <f t="shared" si="13"/>
        <v>0</v>
      </c>
    </row>
    <row r="98" spans="2:25" ht="15" customHeight="1" outlineLevel="1" x14ac:dyDescent="0.25">
      <c r="B98" s="173">
        <v>91</v>
      </c>
      <c r="C98" s="1175" t="str">
        <f>IF(ISBLANK('IlumCusto (ORÇ)'!C98)," ",'IlumCusto (ORÇ)'!C98)</f>
        <v xml:space="preserve"> </v>
      </c>
      <c r="D98" s="1176"/>
      <c r="E98" s="1176"/>
      <c r="F98" s="1176"/>
      <c r="G98" s="1176"/>
      <c r="H98" s="581">
        <f>'IlumCusto (ORÇ)'!H98</f>
        <v>0</v>
      </c>
      <c r="I98" s="582">
        <f>'IlumCusto (ORÇ)'!I98</f>
        <v>0</v>
      </c>
      <c r="J98" s="574">
        <f>'IlumCusto (ORÇ)'!J98</f>
        <v>0</v>
      </c>
      <c r="K98" s="344">
        <f t="shared" si="9"/>
        <v>0</v>
      </c>
      <c r="L98" s="344">
        <f t="shared" si="10"/>
        <v>0</v>
      </c>
      <c r="M98" s="343"/>
      <c r="N98" s="343"/>
      <c r="P98" s="173">
        <f t="shared" si="2"/>
        <v>91</v>
      </c>
      <c r="Q98" s="1177" t="str">
        <f t="shared" si="11"/>
        <v xml:space="preserve"> </v>
      </c>
      <c r="R98" s="1177"/>
      <c r="S98" s="1177"/>
      <c r="T98" s="1177"/>
      <c r="U98" s="1178"/>
      <c r="V98" s="174">
        <f t="shared" si="12"/>
        <v>0</v>
      </c>
      <c r="W98" s="345">
        <f t="shared" si="8"/>
        <v>0</v>
      </c>
      <c r="X98" s="346">
        <f>IF(AND(K98&gt;0,'Custo Contábil'!$D$7&gt;0),ROUND(K98*('Custo Contábil'!$D$20/'Custo Contábil'!$D$7)*W98,2),0)</f>
        <v>0</v>
      </c>
      <c r="Y98" s="729">
        <f t="shared" si="13"/>
        <v>0</v>
      </c>
    </row>
    <row r="99" spans="2:25" ht="15" customHeight="1" outlineLevel="1" x14ac:dyDescent="0.25">
      <c r="B99" s="175">
        <v>92</v>
      </c>
      <c r="C99" s="1175" t="str">
        <f>IF(ISBLANK('IlumCusto (ORÇ)'!C99)," ",'IlumCusto (ORÇ)'!C99)</f>
        <v xml:space="preserve"> </v>
      </c>
      <c r="D99" s="1176"/>
      <c r="E99" s="1176"/>
      <c r="F99" s="1176"/>
      <c r="G99" s="1176"/>
      <c r="H99" s="581">
        <f>'IlumCusto (ORÇ)'!H99</f>
        <v>0</v>
      </c>
      <c r="I99" s="582">
        <f>'IlumCusto (ORÇ)'!I99</f>
        <v>0</v>
      </c>
      <c r="J99" s="574">
        <f>'IlumCusto (ORÇ)'!J99</f>
        <v>0</v>
      </c>
      <c r="K99" s="344">
        <f t="shared" si="9"/>
        <v>0</v>
      </c>
      <c r="L99" s="344">
        <f t="shared" si="10"/>
        <v>0</v>
      </c>
      <c r="M99" s="343"/>
      <c r="N99" s="343"/>
      <c r="P99" s="173">
        <f t="shared" si="2"/>
        <v>92</v>
      </c>
      <c r="Q99" s="1177" t="str">
        <f t="shared" si="11"/>
        <v xml:space="preserve"> </v>
      </c>
      <c r="R99" s="1177"/>
      <c r="S99" s="1177"/>
      <c r="T99" s="1177"/>
      <c r="U99" s="1178"/>
      <c r="V99" s="174">
        <f t="shared" si="12"/>
        <v>0</v>
      </c>
      <c r="W99" s="345">
        <f t="shared" si="8"/>
        <v>0</v>
      </c>
      <c r="X99" s="346">
        <f>IF(AND(K99&gt;0,'Custo Contábil'!$D$7&gt;0),ROUND(K99*('Custo Contábil'!$D$20/'Custo Contábil'!$D$7)*W99,2),0)</f>
        <v>0</v>
      </c>
      <c r="Y99" s="729">
        <f t="shared" si="13"/>
        <v>0</v>
      </c>
    </row>
    <row r="100" spans="2:25" ht="15" customHeight="1" outlineLevel="1" x14ac:dyDescent="0.25">
      <c r="B100" s="173">
        <v>93</v>
      </c>
      <c r="C100" s="1175" t="str">
        <f>IF(ISBLANK('IlumCusto (ORÇ)'!C100)," ",'IlumCusto (ORÇ)'!C100)</f>
        <v xml:space="preserve"> </v>
      </c>
      <c r="D100" s="1176"/>
      <c r="E100" s="1176"/>
      <c r="F100" s="1176"/>
      <c r="G100" s="1176"/>
      <c r="H100" s="581">
        <f>'IlumCusto (ORÇ)'!H100</f>
        <v>0</v>
      </c>
      <c r="I100" s="582">
        <f>'IlumCusto (ORÇ)'!I100</f>
        <v>0</v>
      </c>
      <c r="J100" s="574">
        <f>'IlumCusto (ORÇ)'!J100</f>
        <v>0</v>
      </c>
      <c r="K100" s="344">
        <f t="shared" si="9"/>
        <v>0</v>
      </c>
      <c r="L100" s="344">
        <f t="shared" si="10"/>
        <v>0</v>
      </c>
      <c r="M100" s="343"/>
      <c r="N100" s="343"/>
      <c r="P100" s="173">
        <f t="shared" si="2"/>
        <v>93</v>
      </c>
      <c r="Q100" s="1177" t="str">
        <f t="shared" si="11"/>
        <v xml:space="preserve"> </v>
      </c>
      <c r="R100" s="1177"/>
      <c r="S100" s="1177"/>
      <c r="T100" s="1177"/>
      <c r="U100" s="1178"/>
      <c r="V100" s="174">
        <f t="shared" si="12"/>
        <v>0</v>
      </c>
      <c r="W100" s="345">
        <f t="shared" si="8"/>
        <v>0</v>
      </c>
      <c r="X100" s="346">
        <f>IF(AND(K100&gt;0,'Custo Contábil'!$D$7&gt;0),ROUND(K100*('Custo Contábil'!$D$20/'Custo Contábil'!$D$7)*W100,2),0)</f>
        <v>0</v>
      </c>
      <c r="Y100" s="729">
        <f t="shared" si="13"/>
        <v>0</v>
      </c>
    </row>
    <row r="101" spans="2:25" ht="15" customHeight="1" outlineLevel="1" x14ac:dyDescent="0.25">
      <c r="B101" s="175">
        <v>94</v>
      </c>
      <c r="C101" s="1175" t="str">
        <f>IF(ISBLANK('IlumCusto (ORÇ)'!C101)," ",'IlumCusto (ORÇ)'!C101)</f>
        <v xml:space="preserve"> </v>
      </c>
      <c r="D101" s="1176"/>
      <c r="E101" s="1176"/>
      <c r="F101" s="1176"/>
      <c r="G101" s="1176"/>
      <c r="H101" s="581">
        <f>'IlumCusto (ORÇ)'!H101</f>
        <v>0</v>
      </c>
      <c r="I101" s="582">
        <f>'IlumCusto (ORÇ)'!I101</f>
        <v>0</v>
      </c>
      <c r="J101" s="574">
        <f>'IlumCusto (ORÇ)'!J101</f>
        <v>0</v>
      </c>
      <c r="K101" s="344">
        <f t="shared" si="9"/>
        <v>0</v>
      </c>
      <c r="L101" s="344">
        <f t="shared" si="10"/>
        <v>0</v>
      </c>
      <c r="M101" s="343"/>
      <c r="N101" s="343"/>
      <c r="P101" s="173">
        <f t="shared" si="2"/>
        <v>94</v>
      </c>
      <c r="Q101" s="1177" t="str">
        <f t="shared" si="11"/>
        <v xml:space="preserve"> </v>
      </c>
      <c r="R101" s="1177"/>
      <c r="S101" s="1177"/>
      <c r="T101" s="1177"/>
      <c r="U101" s="1178"/>
      <c r="V101" s="174">
        <f t="shared" si="12"/>
        <v>0</v>
      </c>
      <c r="W101" s="345">
        <f t="shared" si="8"/>
        <v>0</v>
      </c>
      <c r="X101" s="346">
        <f>IF(AND(K101&gt;0,'Custo Contábil'!$D$7&gt;0),ROUND(K101*('Custo Contábil'!$D$20/'Custo Contábil'!$D$7)*W101,2),0)</f>
        <v>0</v>
      </c>
      <c r="Y101" s="729">
        <f t="shared" si="13"/>
        <v>0</v>
      </c>
    </row>
    <row r="102" spans="2:25" ht="15" customHeight="1" outlineLevel="1" x14ac:dyDescent="0.25">
      <c r="B102" s="173">
        <v>95</v>
      </c>
      <c r="C102" s="1175" t="str">
        <f>IF(ISBLANK('IlumCusto (ORÇ)'!C102)," ",'IlumCusto (ORÇ)'!C102)</f>
        <v xml:space="preserve"> </v>
      </c>
      <c r="D102" s="1176"/>
      <c r="E102" s="1176"/>
      <c r="F102" s="1176"/>
      <c r="G102" s="1176"/>
      <c r="H102" s="581">
        <f>'IlumCusto (ORÇ)'!H102</f>
        <v>0</v>
      </c>
      <c r="I102" s="582">
        <f>'IlumCusto (ORÇ)'!I102</f>
        <v>0</v>
      </c>
      <c r="J102" s="574">
        <f>'IlumCusto (ORÇ)'!J102</f>
        <v>0</v>
      </c>
      <c r="K102" s="344">
        <f t="shared" si="9"/>
        <v>0</v>
      </c>
      <c r="L102" s="344">
        <f t="shared" si="10"/>
        <v>0</v>
      </c>
      <c r="M102" s="343"/>
      <c r="N102" s="343"/>
      <c r="P102" s="173">
        <f t="shared" si="2"/>
        <v>95</v>
      </c>
      <c r="Q102" s="1177" t="str">
        <f t="shared" si="11"/>
        <v xml:space="preserve"> </v>
      </c>
      <c r="R102" s="1177"/>
      <c r="S102" s="1177"/>
      <c r="T102" s="1177"/>
      <c r="U102" s="1178"/>
      <c r="V102" s="174">
        <f t="shared" si="12"/>
        <v>0</v>
      </c>
      <c r="W102" s="345">
        <f t="shared" si="8"/>
        <v>0</v>
      </c>
      <c r="X102" s="346">
        <f>IF(AND(K102&gt;0,'Custo Contábil'!$D$7&gt;0),ROUND(K102*('Custo Contábil'!$D$20/'Custo Contábil'!$D$7)*W102,2),0)</f>
        <v>0</v>
      </c>
      <c r="Y102" s="729">
        <f t="shared" si="13"/>
        <v>0</v>
      </c>
    </row>
    <row r="103" spans="2:25" ht="15" customHeight="1" outlineLevel="1" x14ac:dyDescent="0.25">
      <c r="B103" s="175">
        <v>96</v>
      </c>
      <c r="C103" s="1175" t="str">
        <f>IF(ISBLANK('IlumCusto (ORÇ)'!C103)," ",'IlumCusto (ORÇ)'!C103)</f>
        <v xml:space="preserve"> </v>
      </c>
      <c r="D103" s="1176"/>
      <c r="E103" s="1176"/>
      <c r="F103" s="1176"/>
      <c r="G103" s="1176"/>
      <c r="H103" s="581">
        <f>'IlumCusto (ORÇ)'!H103</f>
        <v>0</v>
      </c>
      <c r="I103" s="582">
        <f>'IlumCusto (ORÇ)'!I103</f>
        <v>0</v>
      </c>
      <c r="J103" s="574">
        <f>'IlumCusto (ORÇ)'!J103</f>
        <v>0</v>
      </c>
      <c r="K103" s="344">
        <f t="shared" si="9"/>
        <v>0</v>
      </c>
      <c r="L103" s="344">
        <f t="shared" si="10"/>
        <v>0</v>
      </c>
      <c r="M103" s="343"/>
      <c r="N103" s="343"/>
      <c r="P103" s="173">
        <f t="shared" si="2"/>
        <v>96</v>
      </c>
      <c r="Q103" s="1177" t="str">
        <f t="shared" si="11"/>
        <v xml:space="preserve"> </v>
      </c>
      <c r="R103" s="1177"/>
      <c r="S103" s="1177"/>
      <c r="T103" s="1177"/>
      <c r="U103" s="1178"/>
      <c r="V103" s="174">
        <f t="shared" si="12"/>
        <v>0</v>
      </c>
      <c r="W103" s="345">
        <f t="shared" si="8"/>
        <v>0</v>
      </c>
      <c r="X103" s="346">
        <f>IF(AND(K103&gt;0,'Custo Contábil'!$D$7&gt;0),ROUND(K103*('Custo Contábil'!$D$20/'Custo Contábil'!$D$7)*W103,2),0)</f>
        <v>0</v>
      </c>
      <c r="Y103" s="729">
        <f t="shared" si="13"/>
        <v>0</v>
      </c>
    </row>
    <row r="104" spans="2:25" ht="15" customHeight="1" outlineLevel="1" x14ac:dyDescent="0.25">
      <c r="B104" s="173">
        <v>97</v>
      </c>
      <c r="C104" s="1175" t="str">
        <f>IF(ISBLANK('IlumCusto (ORÇ)'!C104)," ",'IlumCusto (ORÇ)'!C104)</f>
        <v xml:space="preserve"> </v>
      </c>
      <c r="D104" s="1176"/>
      <c r="E104" s="1176"/>
      <c r="F104" s="1176"/>
      <c r="G104" s="1176"/>
      <c r="H104" s="581">
        <f>'IlumCusto (ORÇ)'!H104</f>
        <v>0</v>
      </c>
      <c r="I104" s="582">
        <f>'IlumCusto (ORÇ)'!I104</f>
        <v>0</v>
      </c>
      <c r="J104" s="574">
        <f>'IlumCusto (ORÇ)'!J104</f>
        <v>0</v>
      </c>
      <c r="K104" s="344">
        <f t="shared" si="9"/>
        <v>0</v>
      </c>
      <c r="L104" s="344">
        <f t="shared" si="10"/>
        <v>0</v>
      </c>
      <c r="M104" s="343"/>
      <c r="N104" s="343"/>
      <c r="P104" s="173">
        <f t="shared" si="2"/>
        <v>97</v>
      </c>
      <c r="Q104" s="1177" t="str">
        <f t="shared" si="11"/>
        <v xml:space="preserve"> </v>
      </c>
      <c r="R104" s="1177"/>
      <c r="S104" s="1177"/>
      <c r="T104" s="1177"/>
      <c r="U104" s="1178"/>
      <c r="V104" s="174">
        <f t="shared" si="12"/>
        <v>0</v>
      </c>
      <c r="W104" s="345">
        <f>IF(OR(V104="",V104=0),0,(Desc*((1+Desc)^V104))/(((1+Desc)^V104)-1))</f>
        <v>0</v>
      </c>
      <c r="X104" s="346">
        <f>IF(AND(K104&gt;0,'Custo Contábil'!$D$7&gt;0),ROUND(K104*('Custo Contábil'!$D$20/'Custo Contábil'!$D$7)*W104,2),0)</f>
        <v>0</v>
      </c>
      <c r="Y104" s="729">
        <f t="shared" si="13"/>
        <v>0</v>
      </c>
    </row>
    <row r="105" spans="2:25" ht="15" customHeight="1" outlineLevel="1" x14ac:dyDescent="0.25">
      <c r="B105" s="175">
        <v>98</v>
      </c>
      <c r="C105" s="1175" t="str">
        <f>IF(ISBLANK('IlumCusto (ORÇ)'!C105)," ",'IlumCusto (ORÇ)'!C105)</f>
        <v xml:space="preserve"> </v>
      </c>
      <c r="D105" s="1176"/>
      <c r="E105" s="1176"/>
      <c r="F105" s="1176"/>
      <c r="G105" s="1176"/>
      <c r="H105" s="581">
        <f>'IlumCusto (ORÇ)'!H105</f>
        <v>0</v>
      </c>
      <c r="I105" s="582">
        <f>'IlumCusto (ORÇ)'!I105</f>
        <v>0</v>
      </c>
      <c r="J105" s="574">
        <f>'IlumCusto (ORÇ)'!J105</f>
        <v>0</v>
      </c>
      <c r="K105" s="344">
        <f t="shared" si="9"/>
        <v>0</v>
      </c>
      <c r="L105" s="344">
        <f t="shared" si="10"/>
        <v>0</v>
      </c>
      <c r="M105" s="343"/>
      <c r="N105" s="343"/>
      <c r="P105" s="173">
        <f t="shared" si="2"/>
        <v>98</v>
      </c>
      <c r="Q105" s="1177" t="str">
        <f t="shared" si="11"/>
        <v xml:space="preserve"> </v>
      </c>
      <c r="R105" s="1177"/>
      <c r="S105" s="1177"/>
      <c r="T105" s="1177"/>
      <c r="U105" s="1178"/>
      <c r="V105" s="174">
        <f t="shared" si="12"/>
        <v>0</v>
      </c>
      <c r="W105" s="345">
        <f>IF(OR(V105="",V105=0),0,(Desc*((1+Desc)^V105))/(((1+Desc)^V105)-1))</f>
        <v>0</v>
      </c>
      <c r="X105" s="346">
        <f>IF(AND(K105&gt;0,'Custo Contábil'!$D$7&gt;0),ROUND(K105*('Custo Contábil'!$D$20/'Custo Contábil'!$D$7)*W105,2),0)</f>
        <v>0</v>
      </c>
      <c r="Y105" s="729">
        <f t="shared" si="13"/>
        <v>0</v>
      </c>
    </row>
    <row r="106" spans="2:25" ht="15" customHeight="1" outlineLevel="1" x14ac:dyDescent="0.25">
      <c r="B106" s="173">
        <v>99</v>
      </c>
      <c r="C106" s="1175" t="str">
        <f>IF(ISBLANK('IlumCusto (ORÇ)'!C106)," ",'IlumCusto (ORÇ)'!C106)</f>
        <v xml:space="preserve"> </v>
      </c>
      <c r="D106" s="1176"/>
      <c r="E106" s="1176"/>
      <c r="F106" s="1176"/>
      <c r="G106" s="1176"/>
      <c r="H106" s="581">
        <f>'IlumCusto (ORÇ)'!H106</f>
        <v>0</v>
      </c>
      <c r="I106" s="582">
        <f>'IlumCusto (ORÇ)'!I106</f>
        <v>0</v>
      </c>
      <c r="J106" s="574">
        <f>'IlumCusto (ORÇ)'!J106</f>
        <v>0</v>
      </c>
      <c r="K106" s="344">
        <f t="shared" si="9"/>
        <v>0</v>
      </c>
      <c r="L106" s="344">
        <f t="shared" si="10"/>
        <v>0</v>
      </c>
      <c r="M106" s="343"/>
      <c r="N106" s="343"/>
      <c r="P106" s="173">
        <f t="shared" si="2"/>
        <v>99</v>
      </c>
      <c r="Q106" s="1177" t="str">
        <f t="shared" si="11"/>
        <v xml:space="preserve"> </v>
      </c>
      <c r="R106" s="1177"/>
      <c r="S106" s="1177"/>
      <c r="T106" s="1177"/>
      <c r="U106" s="1178"/>
      <c r="V106" s="174">
        <f t="shared" si="12"/>
        <v>0</v>
      </c>
      <c r="W106" s="345">
        <f>IF(OR(V106="",V106=0),0,(Desc*((1+Desc)^V106))/(((1+Desc)^V106)-1))</f>
        <v>0</v>
      </c>
      <c r="X106" s="346">
        <f>IF(AND(K106&gt;0,'Custo Contábil'!$D$7&gt;0),ROUND(K106*('Custo Contábil'!$D$20/'Custo Contábil'!$D$7)*W106,2),0)</f>
        <v>0</v>
      </c>
      <c r="Y106" s="729">
        <f t="shared" si="13"/>
        <v>0</v>
      </c>
    </row>
    <row r="107" spans="2:25" ht="15" customHeight="1" outlineLevel="1" x14ac:dyDescent="0.25">
      <c r="B107" s="175">
        <v>100</v>
      </c>
      <c r="C107" s="1175" t="str">
        <f>IF(ISBLANK('IlumCusto (ORÇ)'!C107)," ",'IlumCusto (ORÇ)'!C107)</f>
        <v xml:space="preserve"> </v>
      </c>
      <c r="D107" s="1176"/>
      <c r="E107" s="1176"/>
      <c r="F107" s="1176"/>
      <c r="G107" s="1176"/>
      <c r="H107" s="581">
        <f>'IlumCusto (ORÇ)'!H107</f>
        <v>0</v>
      </c>
      <c r="I107" s="582">
        <f>'IlumCusto (ORÇ)'!I107</f>
        <v>0</v>
      </c>
      <c r="J107" s="574">
        <f>'IlumCusto (ORÇ)'!J107</f>
        <v>0</v>
      </c>
      <c r="K107" s="344">
        <f t="shared" si="9"/>
        <v>0</v>
      </c>
      <c r="L107" s="344">
        <f t="shared" si="10"/>
        <v>0</v>
      </c>
      <c r="M107" s="343"/>
      <c r="N107" s="343"/>
      <c r="P107" s="173">
        <f>B107</f>
        <v>100</v>
      </c>
      <c r="Q107" s="1177" t="str">
        <f t="shared" si="11"/>
        <v xml:space="preserve"> </v>
      </c>
      <c r="R107" s="1177"/>
      <c r="S107" s="1177"/>
      <c r="T107" s="1177"/>
      <c r="U107" s="1178"/>
      <c r="V107" s="174">
        <f t="shared" si="12"/>
        <v>0</v>
      </c>
      <c r="W107" s="345">
        <f>IF(OR(V107="",V107=0),0,(Desc*((1+Desc)^V107))/(((1+Desc)^V107)-1))</f>
        <v>0</v>
      </c>
      <c r="X107" s="346">
        <f>IF(AND(K107&gt;0,'Custo Contábil'!$D$7&gt;0),ROUND(K107*('Custo Contábil'!$D$20/'Custo Contábil'!$D$7)*W107,2),0)</f>
        <v>0</v>
      </c>
      <c r="Y107" s="729">
        <f t="shared" si="13"/>
        <v>0</v>
      </c>
    </row>
    <row r="108" spans="2:25" x14ac:dyDescent="0.25">
      <c r="B108" s="173"/>
      <c r="C108" s="1175" t="str">
        <f>IF(ISBLANK('IlumCusto (ORÇ)'!C108)," ",'IlumCusto (ORÇ)'!C108)</f>
        <v>Acessórios</v>
      </c>
      <c r="D108" s="1176"/>
      <c r="E108" s="1176"/>
      <c r="F108" s="1176"/>
      <c r="G108" s="1176"/>
      <c r="H108" s="581">
        <f>'IlumCusto (ORÇ)'!H108</f>
        <v>20</v>
      </c>
      <c r="I108" s="582">
        <f>'IlumCusto (ORÇ)'!I108</f>
        <v>0</v>
      </c>
      <c r="J108" s="574">
        <f>'IlumCusto (ORÇ)'!J108</f>
        <v>0</v>
      </c>
      <c r="K108" s="344">
        <f t="shared" si="9"/>
        <v>0</v>
      </c>
      <c r="L108" s="344">
        <f t="shared" si="10"/>
        <v>0</v>
      </c>
      <c r="M108" s="343"/>
      <c r="N108" s="343"/>
      <c r="P108" s="173"/>
      <c r="Q108" s="1177" t="str">
        <f>IF(OR(C108=0,C108=""),"",C108)</f>
        <v>Acessórios</v>
      </c>
      <c r="R108" s="1177"/>
      <c r="S108" s="1177"/>
      <c r="T108" s="1177"/>
      <c r="U108" s="1178"/>
      <c r="V108" s="174">
        <f>IF(H108="",0,H108)</f>
        <v>20</v>
      </c>
      <c r="W108" s="345">
        <f>IF(OR(V108="",V108=0),0,(Desc*((1+Desc)^V108))/(((1+Desc)^V108)-1))</f>
        <v>0.10185220882315059</v>
      </c>
      <c r="X108" s="346">
        <f>IF(AND(K108&gt;0,'Custo Contábil'!$D$7&gt;0),ROUND(K108*('Custo Contábil'!$D$20/'Custo Contábil'!$D$7)*W108,2),0)</f>
        <v>0</v>
      </c>
      <c r="Y108" s="729">
        <f t="shared" si="13"/>
        <v>0</v>
      </c>
    </row>
    <row r="109" spans="2:25" ht="18" x14ac:dyDescent="0.25">
      <c r="B109" s="337"/>
      <c r="C109" s="1186" t="s">
        <v>290</v>
      </c>
      <c r="D109" s="1186"/>
      <c r="E109" s="1186"/>
      <c r="F109" s="1186"/>
      <c r="G109" s="1186"/>
      <c r="H109" s="1186"/>
      <c r="I109" s="1186"/>
      <c r="J109" s="1187"/>
      <c r="K109" s="178">
        <f>SUM(K8:K108)</f>
        <v>10038.460000000001</v>
      </c>
      <c r="L109" s="178">
        <f>SUM(L8:L108)</f>
        <v>10038.460000000001</v>
      </c>
      <c r="M109" s="178">
        <f>SUM(M8:M108)</f>
        <v>0</v>
      </c>
      <c r="N109" s="178">
        <f>SUM(N8:N108)</f>
        <v>0</v>
      </c>
      <c r="P109" s="1170" t="s">
        <v>694</v>
      </c>
      <c r="Q109" s="1171"/>
      <c r="R109" s="1171"/>
      <c r="S109" s="1171"/>
      <c r="T109" s="1171"/>
      <c r="U109" s="1171"/>
      <c r="V109" s="1172"/>
      <c r="W109" s="179" t="s">
        <v>291</v>
      </c>
      <c r="X109" s="180">
        <f>SUM(X8:X108)</f>
        <v>2354.73</v>
      </c>
    </row>
    <row r="110" spans="2:25" ht="18" x14ac:dyDescent="0.25">
      <c r="B110" s="1161" t="s">
        <v>292</v>
      </c>
      <c r="C110" s="1162"/>
      <c r="D110" s="1162"/>
      <c r="E110" s="1162"/>
      <c r="F110" s="1162"/>
      <c r="G110" s="1162"/>
      <c r="H110" s="1162"/>
      <c r="I110" s="1162"/>
      <c r="J110" s="1162"/>
      <c r="K110" s="1162"/>
      <c r="L110" s="1162"/>
      <c r="M110" s="1162"/>
      <c r="N110" s="1163"/>
      <c r="P110" s="1170" t="s">
        <v>800</v>
      </c>
      <c r="Q110" s="1171"/>
      <c r="R110" s="1171"/>
      <c r="S110" s="1171"/>
      <c r="T110" s="1171"/>
      <c r="U110" s="1171"/>
      <c r="V110" s="1172"/>
      <c r="W110" s="179" t="s">
        <v>797</v>
      </c>
      <c r="X110" s="180">
        <f>IFERROR(X109*($L$146/$K$146),0)</f>
        <v>2354.73</v>
      </c>
    </row>
    <row r="111" spans="2:25" ht="15" customHeight="1" x14ac:dyDescent="0.25">
      <c r="B111" s="1169" t="s">
        <v>798</v>
      </c>
      <c r="C111" s="1166"/>
      <c r="D111" s="1166"/>
      <c r="E111" s="1166"/>
      <c r="F111" s="1166"/>
      <c r="G111" s="1166"/>
      <c r="H111" s="330"/>
      <c r="I111" s="330"/>
      <c r="J111" s="331"/>
      <c r="K111" s="172" t="s">
        <v>286</v>
      </c>
      <c r="L111" s="328" t="s">
        <v>796</v>
      </c>
      <c r="M111" s="127" t="s">
        <v>240</v>
      </c>
      <c r="N111" s="127" t="s">
        <v>241</v>
      </c>
      <c r="P111" s="411"/>
      <c r="Q111" s="411"/>
      <c r="R111" s="412"/>
      <c r="S111" s="413"/>
      <c r="T111" s="413"/>
      <c r="U111" s="413"/>
      <c r="V111" s="414"/>
    </row>
    <row r="112" spans="2:25" ht="15" customHeight="1" x14ac:dyDescent="0.35">
      <c r="B112" s="181"/>
      <c r="C112" s="1174" t="s">
        <v>293</v>
      </c>
      <c r="D112" s="1174"/>
      <c r="E112" s="1174"/>
      <c r="F112" s="1174"/>
      <c r="G112" s="1174"/>
      <c r="H112" s="330"/>
      <c r="I112" s="330"/>
      <c r="J112" s="331"/>
      <c r="K112" s="344">
        <f>SUM(L112:N112)</f>
        <v>409.3611654182136</v>
      </c>
      <c r="L112" s="344">
        <f>'Custo Contábil'!D39</f>
        <v>409.3611654182136</v>
      </c>
      <c r="M112" s="344">
        <v>0</v>
      </c>
      <c r="N112" s="344">
        <v>0</v>
      </c>
      <c r="P112" s="730" t="s">
        <v>807</v>
      </c>
      <c r="Q112" s="731"/>
      <c r="R112" s="732">
        <f>RCB!G5</f>
        <v>0.41579115954371054</v>
      </c>
      <c r="T112" s="1188" t="s">
        <v>709</v>
      </c>
      <c r="U112" s="1189"/>
      <c r="V112" s="733">
        <f>IFERROR(SUM(Y8:Y108)/X109,0)</f>
        <v>16.074847828187323</v>
      </c>
    </row>
    <row r="113" spans="2:18" ht="15" customHeight="1" x14ac:dyDescent="0.35">
      <c r="B113" s="181"/>
      <c r="C113" s="1174" t="s">
        <v>176</v>
      </c>
      <c r="D113" s="1174"/>
      <c r="E113" s="1174"/>
      <c r="F113" s="1174"/>
      <c r="G113" s="1174"/>
      <c r="H113" s="330"/>
      <c r="I113" s="330"/>
      <c r="J113" s="331"/>
      <c r="K113" s="344">
        <f>SUM(L113:N113)</f>
        <v>682.41188687103079</v>
      </c>
      <c r="L113" s="344">
        <f>Diagnóstico!M13</f>
        <v>682.41188687103079</v>
      </c>
      <c r="M113" s="344">
        <f>Diagnóstico!N13</f>
        <v>0</v>
      </c>
      <c r="N113" s="344">
        <f>Diagnóstico!O13</f>
        <v>0</v>
      </c>
      <c r="P113" s="730" t="s">
        <v>808</v>
      </c>
      <c r="Q113" s="731"/>
      <c r="R113" s="732">
        <f>RCB!J5</f>
        <v>0.41579115954371054</v>
      </c>
    </row>
    <row r="114" spans="2:18" ht="15" customHeight="1" x14ac:dyDescent="0.25">
      <c r="B114" s="332"/>
      <c r="C114" s="1150" t="s">
        <v>294</v>
      </c>
      <c r="D114" s="1150"/>
      <c r="E114" s="1150"/>
      <c r="F114" s="1150"/>
      <c r="G114" s="1151"/>
      <c r="H114" s="127" t="s">
        <v>16</v>
      </c>
      <c r="I114" s="716" t="s">
        <v>295</v>
      </c>
      <c r="J114" s="716" t="s">
        <v>296</v>
      </c>
      <c r="K114" s="172" t="s">
        <v>286</v>
      </c>
      <c r="L114" s="328" t="s">
        <v>796</v>
      </c>
      <c r="M114" s="127" t="s">
        <v>240</v>
      </c>
      <c r="N114" s="127" t="s">
        <v>241</v>
      </c>
    </row>
    <row r="115" spans="2:18" ht="15" customHeight="1" x14ac:dyDescent="0.25">
      <c r="B115" s="173">
        <v>1</v>
      </c>
      <c r="C115" s="1175" t="str">
        <f>IF(ISBLANK('IlumCusto (ORÇ)'!C120)," ",'IlumCusto (ORÇ)'!C120)</f>
        <v>Instalação</v>
      </c>
      <c r="D115" s="1176"/>
      <c r="E115" s="1176"/>
      <c r="F115" s="1176"/>
      <c r="G115" s="1176"/>
      <c r="H115" s="581">
        <f>'IlumCusto (ORÇ)'!H120</f>
        <v>2</v>
      </c>
      <c r="I115" s="582">
        <f>'IlumCusto (ORÇ)'!I120</f>
        <v>60</v>
      </c>
      <c r="J115" s="574">
        <f>'IlumCusto (ORÇ)'!J120</f>
        <v>29.5</v>
      </c>
      <c r="K115" s="344">
        <f>H115*I115*J115</f>
        <v>3540</v>
      </c>
      <c r="L115" s="344">
        <f>K115-M115-N115</f>
        <v>3540</v>
      </c>
      <c r="M115" s="343"/>
      <c r="N115" s="343"/>
    </row>
    <row r="116" spans="2:18" ht="15" customHeight="1" x14ac:dyDescent="0.25">
      <c r="B116" s="175">
        <v>2</v>
      </c>
      <c r="C116" s="1175" t="str">
        <f>IF(ISBLANK('IlumCusto (ORÇ)'!C121)," ",'IlumCusto (ORÇ)'!C121)</f>
        <v xml:space="preserve"> </v>
      </c>
      <c r="D116" s="1176"/>
      <c r="E116" s="1176"/>
      <c r="F116" s="1176"/>
      <c r="G116" s="1176"/>
      <c r="H116" s="581">
        <f>'IlumCusto (ORÇ)'!H121</f>
        <v>0</v>
      </c>
      <c r="I116" s="582">
        <f>'IlumCusto (ORÇ)'!I121</f>
        <v>0</v>
      </c>
      <c r="J116" s="574">
        <f>'IlumCusto (ORÇ)'!J121</f>
        <v>0</v>
      </c>
      <c r="K116" s="344">
        <f>H116*I116*J116</f>
        <v>0</v>
      </c>
      <c r="L116" s="344">
        <f>K116-M116-N116</f>
        <v>0</v>
      </c>
      <c r="M116" s="343"/>
      <c r="N116" s="343"/>
    </row>
    <row r="117" spans="2:18" ht="15" customHeight="1" x14ac:dyDescent="0.25">
      <c r="B117" s="173">
        <v>3</v>
      </c>
      <c r="C117" s="1175" t="str">
        <f>IF(ISBLANK('IlumCusto (ORÇ)'!C122)," ",'IlumCusto (ORÇ)'!C122)</f>
        <v xml:space="preserve"> </v>
      </c>
      <c r="D117" s="1176"/>
      <c r="E117" s="1176"/>
      <c r="F117" s="1176"/>
      <c r="G117" s="1176"/>
      <c r="H117" s="581">
        <f>'IlumCusto (ORÇ)'!H122</f>
        <v>0</v>
      </c>
      <c r="I117" s="582">
        <f>'IlumCusto (ORÇ)'!I122</f>
        <v>0</v>
      </c>
      <c r="J117" s="574">
        <f>'IlumCusto (ORÇ)'!J122</f>
        <v>0</v>
      </c>
      <c r="K117" s="344">
        <f>H117*I117*J117</f>
        <v>0</v>
      </c>
      <c r="L117" s="344">
        <f>K117-M117-N117</f>
        <v>0</v>
      </c>
      <c r="M117" s="343"/>
      <c r="N117" s="343"/>
    </row>
    <row r="118" spans="2:18" ht="15" customHeight="1" x14ac:dyDescent="0.25">
      <c r="B118" s="175">
        <v>4</v>
      </c>
      <c r="C118" s="1175" t="str">
        <f>IF(ISBLANK('IlumCusto (ORÇ)'!C123)," ",'IlumCusto (ORÇ)'!C123)</f>
        <v xml:space="preserve"> </v>
      </c>
      <c r="D118" s="1176"/>
      <c r="E118" s="1176"/>
      <c r="F118" s="1176"/>
      <c r="G118" s="1176"/>
      <c r="H118" s="581">
        <f>'IlumCusto (ORÇ)'!H123</f>
        <v>0</v>
      </c>
      <c r="I118" s="582">
        <f>'IlumCusto (ORÇ)'!I123</f>
        <v>0</v>
      </c>
      <c r="J118" s="574">
        <f>'IlumCusto (ORÇ)'!J123</f>
        <v>0</v>
      </c>
      <c r="K118" s="344">
        <f>H118*I118*J118</f>
        <v>0</v>
      </c>
      <c r="L118" s="344">
        <f>K118-M118-N118</f>
        <v>0</v>
      </c>
      <c r="M118" s="343"/>
      <c r="N118" s="343"/>
    </row>
    <row r="119" spans="2:18" ht="15" customHeight="1" x14ac:dyDescent="0.25">
      <c r="B119" s="173">
        <v>5</v>
      </c>
      <c r="C119" s="1175" t="str">
        <f>IF(ISBLANK('IlumCusto (ORÇ)'!C124)," ",'IlumCusto (ORÇ)'!C124)</f>
        <v xml:space="preserve"> </v>
      </c>
      <c r="D119" s="1176"/>
      <c r="E119" s="1176"/>
      <c r="F119" s="1176"/>
      <c r="G119" s="1176"/>
      <c r="H119" s="581">
        <f>'IlumCusto (ORÇ)'!H124</f>
        <v>0</v>
      </c>
      <c r="I119" s="582">
        <f>'IlumCusto (ORÇ)'!I124</f>
        <v>0</v>
      </c>
      <c r="J119" s="574">
        <f>'IlumCusto (ORÇ)'!J124</f>
        <v>0</v>
      </c>
      <c r="K119" s="344">
        <f>H119*I119*J119</f>
        <v>0</v>
      </c>
      <c r="L119" s="344">
        <f>K119-M119-N119</f>
        <v>0</v>
      </c>
      <c r="M119" s="343"/>
      <c r="N119" s="343"/>
    </row>
    <row r="120" spans="2:18" ht="15" customHeight="1" x14ac:dyDescent="0.25">
      <c r="B120" s="181"/>
      <c r="C120" s="1184" t="s">
        <v>298</v>
      </c>
      <c r="D120" s="1184"/>
      <c r="E120" s="1184"/>
      <c r="F120" s="1184"/>
      <c r="G120" s="1184"/>
      <c r="H120" s="1184"/>
      <c r="I120" s="1184"/>
      <c r="J120" s="1185"/>
      <c r="K120" s="344">
        <f>SUM(K115:K119)</f>
        <v>3540</v>
      </c>
      <c r="L120" s="344">
        <f>SUM(L115:L119)</f>
        <v>3540</v>
      </c>
      <c r="M120" s="344">
        <f>SUM(M115:M119)</f>
        <v>0</v>
      </c>
      <c r="N120" s="344">
        <f>SUM(N115:N119)</f>
        <v>0</v>
      </c>
    </row>
    <row r="121" spans="2:18" ht="15" customHeight="1" x14ac:dyDescent="0.25">
      <c r="B121" s="337"/>
      <c r="C121" s="1186" t="s">
        <v>299</v>
      </c>
      <c r="D121" s="1186"/>
      <c r="E121" s="1186"/>
      <c r="F121" s="1186"/>
      <c r="G121" s="1186"/>
      <c r="H121" s="1186"/>
      <c r="I121" s="1186"/>
      <c r="J121" s="1187"/>
      <c r="K121" s="178">
        <f>SUM(K120,K112:K113)</f>
        <v>4631.7730522892443</v>
      </c>
      <c r="L121" s="293">
        <f>SUM(L120,L112:L113)</f>
        <v>4631.7730522892443</v>
      </c>
      <c r="M121" s="293">
        <f>SUM(M120,M112:M113)</f>
        <v>0</v>
      </c>
      <c r="N121" s="293">
        <f>SUM(N120,N112:N113)</f>
        <v>0</v>
      </c>
    </row>
    <row r="122" spans="2:18" ht="15" customHeight="1" x14ac:dyDescent="0.25">
      <c r="B122" s="1161" t="s">
        <v>300</v>
      </c>
      <c r="C122" s="1162"/>
      <c r="D122" s="1162"/>
      <c r="E122" s="1162"/>
      <c r="F122" s="1162"/>
      <c r="G122" s="1162"/>
      <c r="H122" s="1162"/>
      <c r="I122" s="1162"/>
      <c r="J122" s="1162"/>
      <c r="K122" s="1162"/>
      <c r="L122" s="1162"/>
      <c r="M122" s="1162"/>
      <c r="N122" s="1163"/>
    </row>
    <row r="123" spans="2:18" ht="15" customHeight="1" x14ac:dyDescent="0.25">
      <c r="B123" s="1169" t="s">
        <v>798</v>
      </c>
      <c r="C123" s="1166"/>
      <c r="D123" s="1166"/>
      <c r="E123" s="1166"/>
      <c r="F123" s="1166"/>
      <c r="G123" s="1166"/>
      <c r="H123" s="330"/>
      <c r="I123" s="330"/>
      <c r="J123" s="331"/>
      <c r="K123" s="172" t="s">
        <v>286</v>
      </c>
      <c r="L123" s="328" t="s">
        <v>796</v>
      </c>
      <c r="M123" s="127" t="s">
        <v>240</v>
      </c>
      <c r="N123" s="127" t="s">
        <v>241</v>
      </c>
      <c r="P123" s="734"/>
    </row>
    <row r="124" spans="2:18" ht="15" customHeight="1" x14ac:dyDescent="0.25">
      <c r="B124" s="181"/>
      <c r="C124" s="1174" t="s">
        <v>9</v>
      </c>
      <c r="D124" s="1174"/>
      <c r="E124" s="1174"/>
      <c r="F124" s="1174"/>
      <c r="G124" s="1174"/>
      <c r="H124" s="1174"/>
      <c r="I124" s="1174"/>
      <c r="J124" s="1183"/>
      <c r="K124" s="344">
        <f>SUM(L124:N124)</f>
        <v>102.3402913545534</v>
      </c>
      <c r="L124" s="347">
        <f>'Custo Contábil'!D41</f>
        <v>102.3402913545534</v>
      </c>
      <c r="M124" s="344">
        <v>0</v>
      </c>
      <c r="N124" s="344">
        <v>0</v>
      </c>
    </row>
    <row r="125" spans="2:18" ht="15" customHeight="1" x14ac:dyDescent="0.25">
      <c r="B125" s="332"/>
      <c r="C125" s="1166" t="s">
        <v>178</v>
      </c>
      <c r="D125" s="1166"/>
      <c r="E125" s="1166"/>
      <c r="F125" s="1166"/>
      <c r="G125" s="1166"/>
      <c r="H125" s="1167"/>
      <c r="I125" s="716" t="s">
        <v>16</v>
      </c>
      <c r="J125" s="716" t="s">
        <v>301</v>
      </c>
      <c r="K125" s="172" t="s">
        <v>286</v>
      </c>
      <c r="L125" s="328" t="s">
        <v>796</v>
      </c>
      <c r="M125" s="127" t="s">
        <v>240</v>
      </c>
      <c r="N125" s="127" t="s">
        <v>241</v>
      </c>
    </row>
    <row r="126" spans="2:18" ht="15" customHeight="1" x14ac:dyDescent="0.25">
      <c r="B126" s="186">
        <v>1</v>
      </c>
      <c r="C126" s="1174" t="str">
        <f>IF(ISBLANK('IlumCusto (ORÇ)'!C136)," ",'IlumCusto (ORÇ)'!C136)</f>
        <v xml:space="preserve"> </v>
      </c>
      <c r="D126" s="1174"/>
      <c r="E126" s="1174"/>
      <c r="F126" s="1174"/>
      <c r="G126" s="1174"/>
      <c r="H126" s="1183"/>
      <c r="I126" s="582">
        <f>'IlumCusto (ORÇ)'!I136</f>
        <v>0</v>
      </c>
      <c r="J126" s="574">
        <f>'IlumCusto (ORÇ)'!J136</f>
        <v>0</v>
      </c>
      <c r="K126" s="344">
        <f>I126*J126</f>
        <v>0</v>
      </c>
      <c r="L126" s="344">
        <f>K126-M126-N126</f>
        <v>0</v>
      </c>
      <c r="M126" s="343"/>
      <c r="N126" s="343"/>
    </row>
    <row r="127" spans="2:18" ht="15" customHeight="1" x14ac:dyDescent="0.25">
      <c r="B127" s="186">
        <v>2</v>
      </c>
      <c r="C127" s="1174" t="str">
        <f>IF(ISBLANK('IlumCusto (ORÇ)'!C137)," ",'IlumCusto (ORÇ)'!C137)</f>
        <v xml:space="preserve"> </v>
      </c>
      <c r="D127" s="1174"/>
      <c r="E127" s="1174"/>
      <c r="F127" s="1174"/>
      <c r="G127" s="1174"/>
      <c r="H127" s="1183"/>
      <c r="I127" s="582">
        <f>'IlumCusto (ORÇ)'!I137</f>
        <v>0</v>
      </c>
      <c r="J127" s="574">
        <f>'IlumCusto (ORÇ)'!J137</f>
        <v>0</v>
      </c>
      <c r="K127" s="344">
        <f>I127*J127</f>
        <v>0</v>
      </c>
      <c r="L127" s="344">
        <f>K127-M127-N127</f>
        <v>0</v>
      </c>
      <c r="M127" s="343"/>
      <c r="N127" s="343"/>
    </row>
    <row r="128" spans="2:18" ht="15" customHeight="1" x14ac:dyDescent="0.25">
      <c r="B128" s="186">
        <v>3</v>
      </c>
      <c r="C128" s="1174" t="str">
        <f>IF(ISBLANK('IlumCusto (ORÇ)'!C138)," ",'IlumCusto (ORÇ)'!C138)</f>
        <v xml:space="preserve"> </v>
      </c>
      <c r="D128" s="1174"/>
      <c r="E128" s="1174"/>
      <c r="F128" s="1174"/>
      <c r="G128" s="1174"/>
      <c r="H128" s="1183"/>
      <c r="I128" s="582">
        <f>'IlumCusto (ORÇ)'!I138</f>
        <v>0</v>
      </c>
      <c r="J128" s="574">
        <f>'IlumCusto (ORÇ)'!J138</f>
        <v>0</v>
      </c>
      <c r="K128" s="344">
        <f>I128*J128</f>
        <v>0</v>
      </c>
      <c r="L128" s="344">
        <f>K128-M128-N128</f>
        <v>0</v>
      </c>
      <c r="M128" s="343"/>
      <c r="N128" s="343"/>
    </row>
    <row r="129" spans="2:16" ht="15" customHeight="1" x14ac:dyDescent="0.25">
      <c r="B129" s="181"/>
      <c r="C129" s="1184" t="s">
        <v>804</v>
      </c>
      <c r="D129" s="1184"/>
      <c r="E129" s="1184"/>
      <c r="F129" s="1184"/>
      <c r="G129" s="1184"/>
      <c r="H129" s="1184"/>
      <c r="I129" s="1184"/>
      <c r="J129" s="1185"/>
      <c r="K129" s="344">
        <f>SUM(K126:K128)</f>
        <v>0</v>
      </c>
      <c r="L129" s="344">
        <f>SUM(L126:L128)</f>
        <v>0</v>
      </c>
      <c r="M129" s="344">
        <f>SUM(M126:M128)</f>
        <v>0</v>
      </c>
      <c r="N129" s="344">
        <f>SUM(N126:N128)</f>
        <v>0</v>
      </c>
    </row>
    <row r="130" spans="2:16" ht="15" customHeight="1" x14ac:dyDescent="0.25">
      <c r="B130" s="337"/>
      <c r="C130" s="1186" t="s">
        <v>302</v>
      </c>
      <c r="D130" s="1186"/>
      <c r="E130" s="1186"/>
      <c r="F130" s="1186"/>
      <c r="G130" s="1186"/>
      <c r="H130" s="1186"/>
      <c r="I130" s="1186"/>
      <c r="J130" s="1187"/>
      <c r="K130" s="178">
        <f>SUM(K124,K129)</f>
        <v>102.3402913545534</v>
      </c>
      <c r="L130" s="178">
        <f>SUM(L124,L129)</f>
        <v>102.3402913545534</v>
      </c>
      <c r="M130" s="178">
        <f>SUM(M124,M129)</f>
        <v>0</v>
      </c>
      <c r="N130" s="178">
        <f>SUM(N124,N129)</f>
        <v>0</v>
      </c>
    </row>
    <row r="131" spans="2:16" ht="15" customHeight="1" x14ac:dyDescent="0.25">
      <c r="B131" s="341"/>
      <c r="C131" s="1179" t="s">
        <v>303</v>
      </c>
      <c r="D131" s="1179"/>
      <c r="E131" s="1179"/>
      <c r="F131" s="1179"/>
      <c r="G131" s="1179"/>
      <c r="H131" s="1179"/>
      <c r="I131" s="1179"/>
      <c r="J131" s="1180"/>
      <c r="K131" s="139">
        <f>SUM(K109,K121,K130)</f>
        <v>14772.573343643799</v>
      </c>
      <c r="L131" s="139">
        <f>SUM(L109,L121,L130)</f>
        <v>14772.573343643799</v>
      </c>
      <c r="M131" s="139">
        <f>SUM(M109,M121,M130)</f>
        <v>0</v>
      </c>
      <c r="N131" s="139">
        <f>SUM(N109,N121,N130)</f>
        <v>0</v>
      </c>
    </row>
    <row r="132" spans="2:16" ht="15" customHeight="1" x14ac:dyDescent="0.25">
      <c r="B132" s="1159" t="s">
        <v>707</v>
      </c>
      <c r="C132" s="1160"/>
      <c r="D132" s="1160"/>
      <c r="E132" s="1160"/>
      <c r="F132" s="1160"/>
      <c r="G132" s="1160"/>
      <c r="H132" s="1160"/>
      <c r="I132" s="1160"/>
      <c r="J132" s="1160"/>
      <c r="K132" s="1160"/>
      <c r="L132" s="1160"/>
      <c r="M132" s="1160"/>
      <c r="N132" s="1168"/>
    </row>
    <row r="133" spans="2:16" ht="15" customHeight="1" x14ac:dyDescent="0.25">
      <c r="B133" s="1169" t="s">
        <v>798</v>
      </c>
      <c r="C133" s="1166"/>
      <c r="D133" s="1166"/>
      <c r="E133" s="1166"/>
      <c r="F133" s="1166"/>
      <c r="G133" s="1166"/>
      <c r="H133" s="330"/>
      <c r="I133" s="330"/>
      <c r="J133" s="331"/>
      <c r="K133" s="172" t="s">
        <v>286</v>
      </c>
      <c r="L133" s="328" t="s">
        <v>796</v>
      </c>
      <c r="M133" s="127" t="s">
        <v>240</v>
      </c>
      <c r="N133" s="127" t="s">
        <v>241</v>
      </c>
    </row>
    <row r="134" spans="2:16" ht="15" customHeight="1" x14ac:dyDescent="0.25">
      <c r="B134" s="181"/>
      <c r="C134" s="1174" t="s">
        <v>304</v>
      </c>
      <c r="D134" s="1174"/>
      <c r="E134" s="1174"/>
      <c r="F134" s="1174"/>
      <c r="G134" s="1174"/>
      <c r="H134" s="1174"/>
      <c r="I134" s="1174"/>
      <c r="J134" s="1183"/>
      <c r="K134" s="344">
        <f t="shared" ref="K134:K139" si="14">SUM(L134:N134)</f>
        <v>0</v>
      </c>
      <c r="L134" s="344">
        <f>'Custo Contábil'!$D$37*'Custo Contábil'!F13</f>
        <v>0</v>
      </c>
      <c r="M134" s="344">
        <v>0</v>
      </c>
      <c r="N134" s="344">
        <v>0</v>
      </c>
    </row>
    <row r="135" spans="2:16" ht="15" customHeight="1" x14ac:dyDescent="0.25">
      <c r="B135" s="181"/>
      <c r="C135" s="1174" t="s">
        <v>12</v>
      </c>
      <c r="D135" s="1174"/>
      <c r="E135" s="1174"/>
      <c r="F135" s="1174"/>
      <c r="G135" s="1174"/>
      <c r="H135" s="1174"/>
      <c r="I135" s="1174"/>
      <c r="J135" s="1183"/>
      <c r="K135" s="344">
        <f t="shared" si="14"/>
        <v>511.70657383850534</v>
      </c>
      <c r="L135" s="344">
        <f>'Custo Contábil'!D45</f>
        <v>511.70657383850534</v>
      </c>
      <c r="M135" s="344">
        <v>0</v>
      </c>
      <c r="N135" s="344">
        <v>0</v>
      </c>
    </row>
    <row r="136" spans="2:16" ht="15" customHeight="1" x14ac:dyDescent="0.25">
      <c r="B136" s="181"/>
      <c r="C136" s="1174" t="s">
        <v>175</v>
      </c>
      <c r="D136" s="1174"/>
      <c r="E136" s="1174"/>
      <c r="F136" s="1174"/>
      <c r="G136" s="1174"/>
      <c r="H136" s="1174"/>
      <c r="I136" s="1174"/>
      <c r="J136" s="1183"/>
      <c r="K136" s="344">
        <f t="shared" si="14"/>
        <v>511.70657383850534</v>
      </c>
      <c r="L136" s="344">
        <f>Marketing!L18</f>
        <v>511.70657383850534</v>
      </c>
      <c r="M136" s="344">
        <f>Marketing!M18</f>
        <v>0</v>
      </c>
      <c r="N136" s="344">
        <f>Marketing!N18</f>
        <v>0</v>
      </c>
    </row>
    <row r="137" spans="2:16" ht="15" customHeight="1" x14ac:dyDescent="0.25">
      <c r="B137" s="181"/>
      <c r="C137" s="1174" t="s">
        <v>305</v>
      </c>
      <c r="D137" s="1174"/>
      <c r="E137" s="1174"/>
      <c r="F137" s="1174"/>
      <c r="G137" s="1174"/>
      <c r="H137" s="1174"/>
      <c r="I137" s="1174"/>
      <c r="J137" s="1183"/>
      <c r="K137" s="344">
        <f t="shared" si="14"/>
        <v>1023.3108063622431</v>
      </c>
      <c r="L137" s="344">
        <f>Treinamento!L32</f>
        <v>1023.3108063622431</v>
      </c>
      <c r="M137" s="344">
        <f>Treinamento!M32</f>
        <v>0</v>
      </c>
      <c r="N137" s="344">
        <f>Treinamento!N32</f>
        <v>0</v>
      </c>
      <c r="P137" s="734"/>
    </row>
    <row r="138" spans="2:16" ht="15" customHeight="1" x14ac:dyDescent="0.25">
      <c r="B138" s="181"/>
      <c r="C138" s="1174" t="s">
        <v>306</v>
      </c>
      <c r="D138" s="1174"/>
      <c r="E138" s="1174"/>
      <c r="F138" s="1174"/>
      <c r="G138" s="1174"/>
      <c r="H138" s="1174"/>
      <c r="I138" s="1174"/>
      <c r="J138" s="1183"/>
      <c r="K138" s="344">
        <f t="shared" si="14"/>
        <v>4185.2</v>
      </c>
      <c r="L138" s="344">
        <f>Descarte!L17</f>
        <v>4185.2</v>
      </c>
      <c r="M138" s="344">
        <f>Descarte!M17</f>
        <v>0</v>
      </c>
      <c r="N138" s="344">
        <f>Descarte!N17</f>
        <v>0</v>
      </c>
    </row>
    <row r="139" spans="2:16" ht="15" customHeight="1" x14ac:dyDescent="0.25">
      <c r="B139" s="181"/>
      <c r="C139" s="1174" t="s">
        <v>307</v>
      </c>
      <c r="D139" s="1174"/>
      <c r="E139" s="1174"/>
      <c r="F139" s="1174"/>
      <c r="G139" s="1174"/>
      <c r="H139" s="1174"/>
      <c r="I139" s="1174"/>
      <c r="J139" s="1183"/>
      <c r="K139" s="344">
        <f t="shared" si="14"/>
        <v>6864</v>
      </c>
      <c r="L139" s="344">
        <f>'M&amp;V'!N114</f>
        <v>6864</v>
      </c>
      <c r="M139" s="344">
        <f>'M&amp;V'!O114</f>
        <v>0</v>
      </c>
      <c r="N139" s="344">
        <f>'M&amp;V'!P114</f>
        <v>0</v>
      </c>
    </row>
    <row r="140" spans="2:16" ht="15" customHeight="1" x14ac:dyDescent="0.25">
      <c r="B140" s="1169" t="s">
        <v>15</v>
      </c>
      <c r="C140" s="1166"/>
      <c r="D140" s="1166"/>
      <c r="E140" s="1166"/>
      <c r="F140" s="1166"/>
      <c r="G140" s="1166"/>
      <c r="H140" s="1167"/>
      <c r="I140" s="716" t="s">
        <v>16</v>
      </c>
      <c r="J140" s="716" t="s">
        <v>301</v>
      </c>
      <c r="K140" s="172" t="s">
        <v>286</v>
      </c>
      <c r="L140" s="716" t="s">
        <v>796</v>
      </c>
      <c r="M140" s="127" t="s">
        <v>240</v>
      </c>
      <c r="N140" s="127" t="s">
        <v>241</v>
      </c>
    </row>
    <row r="141" spans="2:16" ht="15" customHeight="1" x14ac:dyDescent="0.25">
      <c r="B141" s="186">
        <v>1</v>
      </c>
      <c r="C141" s="1174" t="str">
        <f>IF(ISBLANK('IlumCusto (ORÇ)'!C150)," ",'IlumCusto (ORÇ)'!C150)</f>
        <v>Equatorial</v>
      </c>
      <c r="D141" s="1174"/>
      <c r="E141" s="1174"/>
      <c r="F141" s="1174"/>
      <c r="G141" s="1174"/>
      <c r="H141" s="1183"/>
      <c r="I141" s="582">
        <f>'IlumCusto (ORÇ)'!I150</f>
        <v>1</v>
      </c>
      <c r="J141" s="574">
        <f>'IlumCusto (ORÇ)'!J150</f>
        <v>4900</v>
      </c>
      <c r="K141" s="344">
        <f>I141*J141</f>
        <v>4900</v>
      </c>
      <c r="L141" s="344">
        <f>K141-M141-N141</f>
        <v>4900</v>
      </c>
      <c r="M141" s="343"/>
      <c r="N141" s="343"/>
    </row>
    <row r="142" spans="2:16" ht="15" customHeight="1" x14ac:dyDescent="0.25">
      <c r="B142" s="186">
        <v>2</v>
      </c>
      <c r="C142" s="1174" t="str">
        <f>IF(ISBLANK('IlumCusto (ORÇ)'!C151)," ",'IlumCusto (ORÇ)'!C151)</f>
        <v xml:space="preserve"> </v>
      </c>
      <c r="D142" s="1174"/>
      <c r="E142" s="1174"/>
      <c r="F142" s="1174"/>
      <c r="G142" s="1174"/>
      <c r="H142" s="1183"/>
      <c r="I142" s="582">
        <f>'IlumCusto (ORÇ)'!I151</f>
        <v>0</v>
      </c>
      <c r="J142" s="574">
        <f>'IlumCusto (ORÇ)'!J151</f>
        <v>0</v>
      </c>
      <c r="K142" s="344">
        <f>I142*J142</f>
        <v>0</v>
      </c>
      <c r="L142" s="344">
        <f>K142-M142-N142</f>
        <v>0</v>
      </c>
      <c r="M142" s="343"/>
      <c r="N142" s="343"/>
    </row>
    <row r="143" spans="2:16" ht="15" customHeight="1" x14ac:dyDescent="0.25">
      <c r="B143" s="186">
        <v>3</v>
      </c>
      <c r="C143" s="1174" t="str">
        <f>IF(ISBLANK('IlumCusto (ORÇ)'!C152)," ",'IlumCusto (ORÇ)'!C152)</f>
        <v xml:space="preserve"> </v>
      </c>
      <c r="D143" s="1174"/>
      <c r="E143" s="1174"/>
      <c r="F143" s="1174"/>
      <c r="G143" s="1174"/>
      <c r="H143" s="1183"/>
      <c r="I143" s="582">
        <f>'IlumCusto (ORÇ)'!I152</f>
        <v>0</v>
      </c>
      <c r="J143" s="574">
        <f>'IlumCusto (ORÇ)'!J152</f>
        <v>0</v>
      </c>
      <c r="K143" s="344">
        <f>I143*J143</f>
        <v>0</v>
      </c>
      <c r="L143" s="344">
        <f>K143-M143-N143</f>
        <v>0</v>
      </c>
      <c r="M143" s="343"/>
      <c r="N143" s="343"/>
    </row>
    <row r="144" spans="2:16" ht="15" customHeight="1" x14ac:dyDescent="0.25">
      <c r="B144" s="181"/>
      <c r="C144" s="1184" t="s">
        <v>821</v>
      </c>
      <c r="D144" s="1184"/>
      <c r="E144" s="1184"/>
      <c r="F144" s="1184"/>
      <c r="G144" s="1184"/>
      <c r="H144" s="1184"/>
      <c r="I144" s="1184"/>
      <c r="J144" s="1185"/>
      <c r="K144" s="344">
        <f>SUM(K141:K143)</f>
        <v>4900</v>
      </c>
      <c r="L144" s="344">
        <f>SUM(L141:L143)</f>
        <v>4900</v>
      </c>
      <c r="M144" s="344">
        <f>SUM(M141:M143)</f>
        <v>0</v>
      </c>
      <c r="N144" s="344">
        <f>SUM(N141:N143)</f>
        <v>0</v>
      </c>
    </row>
    <row r="145" spans="2:14" ht="15" customHeight="1" x14ac:dyDescent="0.25">
      <c r="B145" s="341"/>
      <c r="C145" s="1179" t="s">
        <v>308</v>
      </c>
      <c r="D145" s="1179"/>
      <c r="E145" s="1179"/>
      <c r="F145" s="1179"/>
      <c r="G145" s="1179"/>
      <c r="H145" s="1179"/>
      <c r="I145" s="1179"/>
      <c r="J145" s="1180"/>
      <c r="K145" s="139">
        <f>SUM(K134:K139,K144)</f>
        <v>17995.923954039252</v>
      </c>
      <c r="L145" s="139">
        <f>SUM(L134:L139,L144)</f>
        <v>17995.923954039252</v>
      </c>
      <c r="M145" s="139">
        <f>SUM(M134:M139,M144)</f>
        <v>0</v>
      </c>
      <c r="N145" s="139">
        <f>SUM(N134:N139,N144)</f>
        <v>0</v>
      </c>
    </row>
    <row r="146" spans="2:14" ht="15" customHeight="1" x14ac:dyDescent="0.25">
      <c r="B146" s="187"/>
      <c r="C146" s="1181" t="s">
        <v>695</v>
      </c>
      <c r="D146" s="1181"/>
      <c r="E146" s="1181"/>
      <c r="F146" s="1181"/>
      <c r="G146" s="1181"/>
      <c r="H146" s="1181"/>
      <c r="I146" s="1181"/>
      <c r="J146" s="1182"/>
      <c r="K146" s="180">
        <f>SUM(K131,K145)</f>
        <v>32768.497297683047</v>
      </c>
      <c r="L146" s="180">
        <f>SUM(L131,L145)</f>
        <v>32768.497297683047</v>
      </c>
      <c r="M146" s="180">
        <f>SUM(M131,M145)</f>
        <v>0</v>
      </c>
      <c r="N146" s="180">
        <f>SUM(N131,N145)</f>
        <v>0</v>
      </c>
    </row>
    <row r="147" spans="2:14" ht="15" customHeight="1" x14ac:dyDescent="0.25">
      <c r="I147" s="421"/>
      <c r="K147" s="422"/>
    </row>
  </sheetData>
  <sheetProtection password="C9A4" sheet="1" objects="1" scenarios="1"/>
  <mergeCells count="253">
    <mergeCell ref="Q88:U88"/>
    <mergeCell ref="Q89:U89"/>
    <mergeCell ref="Q90:U90"/>
    <mergeCell ref="Q91:U91"/>
    <mergeCell ref="Q92:U92"/>
    <mergeCell ref="Q93:U93"/>
    <mergeCell ref="Q82:U82"/>
    <mergeCell ref="Q83:U83"/>
    <mergeCell ref="Q84:U84"/>
    <mergeCell ref="Q85:U85"/>
    <mergeCell ref="Q86:U86"/>
    <mergeCell ref="Q87:U87"/>
    <mergeCell ref="Q76:U76"/>
    <mergeCell ref="Q77:U77"/>
    <mergeCell ref="Q78:U78"/>
    <mergeCell ref="Q79:U79"/>
    <mergeCell ref="Q80:U80"/>
    <mergeCell ref="Q81:U81"/>
    <mergeCell ref="Q70:U70"/>
    <mergeCell ref="Q71:U71"/>
    <mergeCell ref="Q72:U72"/>
    <mergeCell ref="Q73:U73"/>
    <mergeCell ref="Q74:U74"/>
    <mergeCell ref="Q75:U75"/>
    <mergeCell ref="Q64:U64"/>
    <mergeCell ref="Q65:U65"/>
    <mergeCell ref="Q66:U66"/>
    <mergeCell ref="Q67:U67"/>
    <mergeCell ref="Q68:U68"/>
    <mergeCell ref="Q69:U69"/>
    <mergeCell ref="Q58:U58"/>
    <mergeCell ref="Q59:U59"/>
    <mergeCell ref="Q60:U60"/>
    <mergeCell ref="Q61:U61"/>
    <mergeCell ref="Q62:U62"/>
    <mergeCell ref="Q63:U63"/>
    <mergeCell ref="Q54:U54"/>
    <mergeCell ref="Q55:U55"/>
    <mergeCell ref="Q56:U56"/>
    <mergeCell ref="Q57:U57"/>
    <mergeCell ref="Q46:U46"/>
    <mergeCell ref="Q47:U47"/>
    <mergeCell ref="Q48:U48"/>
    <mergeCell ref="Q49:U49"/>
    <mergeCell ref="Q50:U50"/>
    <mergeCell ref="Q51:U51"/>
    <mergeCell ref="Q52:U52"/>
    <mergeCell ref="Q53:U53"/>
    <mergeCell ref="Q38:U38"/>
    <mergeCell ref="Q39:U39"/>
    <mergeCell ref="Q12:U12"/>
    <mergeCell ref="Q13:U13"/>
    <mergeCell ref="Q14:U14"/>
    <mergeCell ref="Q15:U15"/>
    <mergeCell ref="Q28:U28"/>
    <mergeCell ref="Q29:U29"/>
    <mergeCell ref="Q30:U30"/>
    <mergeCell ref="Q31:U31"/>
    <mergeCell ref="Q32:U32"/>
    <mergeCell ref="Q22:U22"/>
    <mergeCell ref="Q23:U23"/>
    <mergeCell ref="Q24:U24"/>
    <mergeCell ref="Q25:U25"/>
    <mergeCell ref="Q26:U26"/>
    <mergeCell ref="Q27:U27"/>
    <mergeCell ref="Q16:U16"/>
    <mergeCell ref="Q17:U17"/>
    <mergeCell ref="Q18:U18"/>
    <mergeCell ref="Q19:U19"/>
    <mergeCell ref="Q20:U20"/>
    <mergeCell ref="Q21:U21"/>
    <mergeCell ref="B2:N2"/>
    <mergeCell ref="C9:G9"/>
    <mergeCell ref="C10:G10"/>
    <mergeCell ref="C11:G11"/>
    <mergeCell ref="P6:X6"/>
    <mergeCell ref="B7:G7"/>
    <mergeCell ref="P7:U7"/>
    <mergeCell ref="C8:G8"/>
    <mergeCell ref="Q8:U8"/>
    <mergeCell ref="Q9:U9"/>
    <mergeCell ref="Q10:U10"/>
    <mergeCell ref="Q11:U11"/>
    <mergeCell ref="L3:N3"/>
    <mergeCell ref="C115:G115"/>
    <mergeCell ref="C116:G116"/>
    <mergeCell ref="C107:G107"/>
    <mergeCell ref="C108:G108"/>
    <mergeCell ref="C98:G98"/>
    <mergeCell ref="Q33:U33"/>
    <mergeCell ref="Q40:U40"/>
    <mergeCell ref="Q41:U41"/>
    <mergeCell ref="B3:K4"/>
    <mergeCell ref="C25:G25"/>
    <mergeCell ref="C26:G26"/>
    <mergeCell ref="C38:G38"/>
    <mergeCell ref="C39:G39"/>
    <mergeCell ref="C40:G40"/>
    <mergeCell ref="C41:G41"/>
    <mergeCell ref="C17:G17"/>
    <mergeCell ref="Q42:U42"/>
    <mergeCell ref="Q43:U43"/>
    <mergeCell ref="Q44:U44"/>
    <mergeCell ref="Q45:U45"/>
    <mergeCell ref="Q34:U34"/>
    <mergeCell ref="Q35:U35"/>
    <mergeCell ref="Q36:U36"/>
    <mergeCell ref="Q37:U37"/>
    <mergeCell ref="C49:G49"/>
    <mergeCell ref="C50:G50"/>
    <mergeCell ref="C51:G51"/>
    <mergeCell ref="C52:G52"/>
    <mergeCell ref="C48:G48"/>
    <mergeCell ref="C63:G63"/>
    <mergeCell ref="C58:G58"/>
    <mergeCell ref="C59:G59"/>
    <mergeCell ref="C81:G81"/>
    <mergeCell ref="C53:G53"/>
    <mergeCell ref="C54:G54"/>
    <mergeCell ref="C76:G76"/>
    <mergeCell ref="C67:G67"/>
    <mergeCell ref="C68:G68"/>
    <mergeCell ref="C69:G69"/>
    <mergeCell ref="C64:G64"/>
    <mergeCell ref="C65:G65"/>
    <mergeCell ref="C66:G66"/>
    <mergeCell ref="C61:G61"/>
    <mergeCell ref="C62:G62"/>
    <mergeCell ref="C55:G55"/>
    <mergeCell ref="C56:G56"/>
    <mergeCell ref="C18:G18"/>
    <mergeCell ref="C19:G19"/>
    <mergeCell ref="C20:G20"/>
    <mergeCell ref="C21:G21"/>
    <mergeCell ref="C22:G22"/>
    <mergeCell ref="B5:N5"/>
    <mergeCell ref="C23:G23"/>
    <mergeCell ref="C24:G24"/>
    <mergeCell ref="C135:J135"/>
    <mergeCell ref="C126:H126"/>
    <mergeCell ref="B132:N132"/>
    <mergeCell ref="C99:G99"/>
    <mergeCell ref="C100:G100"/>
    <mergeCell ref="C95:G95"/>
    <mergeCell ref="C96:G96"/>
    <mergeCell ref="C97:G97"/>
    <mergeCell ref="C92:G92"/>
    <mergeCell ref="C93:G93"/>
    <mergeCell ref="C94:G94"/>
    <mergeCell ref="C89:G89"/>
    <mergeCell ref="C90:G90"/>
    <mergeCell ref="C91:G91"/>
    <mergeCell ref="C46:G46"/>
    <mergeCell ref="C47:G47"/>
    <mergeCell ref="T112:U112"/>
    <mergeCell ref="Q107:U107"/>
    <mergeCell ref="Q104:U104"/>
    <mergeCell ref="Q105:U105"/>
    <mergeCell ref="Q106:U106"/>
    <mergeCell ref="Q101:U101"/>
    <mergeCell ref="Q102:U102"/>
    <mergeCell ref="Q103:U103"/>
    <mergeCell ref="C124:J124"/>
    <mergeCell ref="C117:G117"/>
    <mergeCell ref="C118:G118"/>
    <mergeCell ref="C119:G119"/>
    <mergeCell ref="C120:J120"/>
    <mergeCell ref="C121:J121"/>
    <mergeCell ref="Q108:U108"/>
    <mergeCell ref="C109:J109"/>
    <mergeCell ref="P109:V109"/>
    <mergeCell ref="C104:G104"/>
    <mergeCell ref="C105:G105"/>
    <mergeCell ref="C106:G106"/>
    <mergeCell ref="C101:G101"/>
    <mergeCell ref="C102:G102"/>
    <mergeCell ref="C103:G103"/>
    <mergeCell ref="B123:G123"/>
    <mergeCell ref="Q98:U98"/>
    <mergeCell ref="Q99:U99"/>
    <mergeCell ref="Q100:U100"/>
    <mergeCell ref="Q96:U96"/>
    <mergeCell ref="Q97:U97"/>
    <mergeCell ref="Q95:U95"/>
    <mergeCell ref="Q94:U94"/>
    <mergeCell ref="C145:J145"/>
    <mergeCell ref="C146:J146"/>
    <mergeCell ref="C139:J139"/>
    <mergeCell ref="B140:H140"/>
    <mergeCell ref="C141:H141"/>
    <mergeCell ref="C142:H142"/>
    <mergeCell ref="C143:H143"/>
    <mergeCell ref="C144:J144"/>
    <mergeCell ref="C134:J134"/>
    <mergeCell ref="C136:J136"/>
    <mergeCell ref="C137:J137"/>
    <mergeCell ref="C138:J138"/>
    <mergeCell ref="C127:H127"/>
    <mergeCell ref="C128:H128"/>
    <mergeCell ref="C129:J129"/>
    <mergeCell ref="C130:J130"/>
    <mergeCell ref="C131:J131"/>
    <mergeCell ref="C87:G87"/>
    <mergeCell ref="C88:G88"/>
    <mergeCell ref="C85:G85"/>
    <mergeCell ref="C86:G86"/>
    <mergeCell ref="C73:G73"/>
    <mergeCell ref="C74:G74"/>
    <mergeCell ref="C75:G75"/>
    <mergeCell ref="C70:G70"/>
    <mergeCell ref="C71:G71"/>
    <mergeCell ref="C72:G72"/>
    <mergeCell ref="C79:G79"/>
    <mergeCell ref="C80:G80"/>
    <mergeCell ref="C77:G77"/>
    <mergeCell ref="C78:G78"/>
    <mergeCell ref="C82:G82"/>
    <mergeCell ref="C83:G83"/>
    <mergeCell ref="C84:G84"/>
    <mergeCell ref="C32:G32"/>
    <mergeCell ref="C33:G33"/>
    <mergeCell ref="C34:G34"/>
    <mergeCell ref="C35:G35"/>
    <mergeCell ref="C36:G36"/>
    <mergeCell ref="C43:G43"/>
    <mergeCell ref="C44:G44"/>
    <mergeCell ref="C45:G45"/>
    <mergeCell ref="C37:G37"/>
    <mergeCell ref="C42:G42"/>
    <mergeCell ref="C125:H125"/>
    <mergeCell ref="B133:G133"/>
    <mergeCell ref="P3:X4"/>
    <mergeCell ref="P110:V110"/>
    <mergeCell ref="B110:N110"/>
    <mergeCell ref="B6:N6"/>
    <mergeCell ref="P2:X2"/>
    <mergeCell ref="B122:N122"/>
    <mergeCell ref="B111:G111"/>
    <mergeCell ref="C112:G112"/>
    <mergeCell ref="C113:G113"/>
    <mergeCell ref="C114:G114"/>
    <mergeCell ref="C60:G60"/>
    <mergeCell ref="C15:G15"/>
    <mergeCell ref="C16:G16"/>
    <mergeCell ref="C57:G57"/>
    <mergeCell ref="C27:G27"/>
    <mergeCell ref="C28:G28"/>
    <mergeCell ref="C29:G29"/>
    <mergeCell ref="C30:G30"/>
    <mergeCell ref="C12:G12"/>
    <mergeCell ref="C13:G13"/>
    <mergeCell ref="C14:G14"/>
    <mergeCell ref="C31:G31"/>
  </mergeCells>
  <conditionalFormatting sqref="R112:R113">
    <cfRule type="cellIs" dxfId="134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7">
    <tabColor theme="9"/>
  </sheetPr>
  <dimension ref="B2:BE66"/>
  <sheetViews>
    <sheetView showGridLines="0" zoomScale="70" zoomScaleNormal="70" workbookViewId="0">
      <pane xSplit="7" ySplit="3" topLeftCell="H37" activePane="bottomRight" state="frozen"/>
      <selection activeCell="H20" sqref="H20"/>
      <selection pane="topRight" activeCell="H20" sqref="H20"/>
      <selection pane="bottomLeft" activeCell="H20" sqref="H20"/>
      <selection pane="bottomRight" activeCell="J19" sqref="J19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42578125" style="424" customWidth="1"/>
    <col min="4" max="4" width="11.425781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8" width="14" style="424" bestFit="1" customWidth="1"/>
    <col min="9" max="9" width="14.42578125" style="424" customWidth="1"/>
    <col min="10" max="57" width="11.42578125" style="424" customWidth="1"/>
    <col min="58" max="16384" width="9.140625" style="424"/>
  </cols>
  <sheetData>
    <row r="2" spans="2:57" ht="22.5" customHeight="1" x14ac:dyDescent="0.2">
      <c r="B2" s="1190" t="s">
        <v>788</v>
      </c>
      <c r="C2" s="1190"/>
      <c r="D2" s="1190"/>
      <c r="E2" s="1190"/>
      <c r="F2" s="1190"/>
      <c r="G2" s="1190"/>
    </row>
    <row r="3" spans="2:57" x14ac:dyDescent="0.2">
      <c r="B3" s="1191" t="s">
        <v>863</v>
      </c>
      <c r="C3" s="1192"/>
      <c r="D3" s="1192"/>
      <c r="E3" s="1192"/>
      <c r="F3" s="1192"/>
      <c r="G3" s="358" t="s">
        <v>31</v>
      </c>
      <c r="H3" s="428" t="s">
        <v>309</v>
      </c>
      <c r="I3" s="428" t="s">
        <v>310</v>
      </c>
      <c r="J3" s="428" t="s">
        <v>311</v>
      </c>
      <c r="K3" s="428" t="s">
        <v>312</v>
      </c>
      <c r="L3" s="428" t="s">
        <v>313</v>
      </c>
      <c r="M3" s="428" t="s">
        <v>314</v>
      </c>
      <c r="N3" s="428" t="s">
        <v>315</v>
      </c>
      <c r="O3" s="428" t="s">
        <v>316</v>
      </c>
      <c r="P3" s="428" t="s">
        <v>317</v>
      </c>
      <c r="Q3" s="428" t="s">
        <v>318</v>
      </c>
      <c r="R3" s="428" t="s">
        <v>319</v>
      </c>
      <c r="S3" s="428" t="s">
        <v>320</v>
      </c>
      <c r="T3" s="428" t="s">
        <v>321</v>
      </c>
      <c r="U3" s="428" t="s">
        <v>322</v>
      </c>
      <c r="V3" s="428" t="s">
        <v>323</v>
      </c>
      <c r="W3" s="428" t="s">
        <v>324</v>
      </c>
      <c r="X3" s="428" t="s">
        <v>325</v>
      </c>
      <c r="Y3" s="428" t="s">
        <v>326</v>
      </c>
      <c r="Z3" s="428" t="s">
        <v>327</v>
      </c>
      <c r="AA3" s="428" t="s">
        <v>328</v>
      </c>
      <c r="AB3" s="428" t="s">
        <v>329</v>
      </c>
      <c r="AC3" s="428" t="s">
        <v>330</v>
      </c>
      <c r="AD3" s="428" t="s">
        <v>331</v>
      </c>
      <c r="AE3" s="428" t="s">
        <v>332</v>
      </c>
      <c r="AF3" s="428" t="s">
        <v>333</v>
      </c>
      <c r="AG3" s="428" t="s">
        <v>334</v>
      </c>
      <c r="AH3" s="428" t="s">
        <v>335</v>
      </c>
      <c r="AI3" s="428" t="s">
        <v>336</v>
      </c>
      <c r="AJ3" s="428" t="s">
        <v>337</v>
      </c>
      <c r="AK3" s="428" t="s">
        <v>338</v>
      </c>
      <c r="AL3" s="428" t="s">
        <v>339</v>
      </c>
      <c r="AM3" s="428" t="s">
        <v>340</v>
      </c>
      <c r="AN3" s="428" t="s">
        <v>341</v>
      </c>
      <c r="AO3" s="428" t="s">
        <v>342</v>
      </c>
      <c r="AP3" s="428" t="s">
        <v>343</v>
      </c>
      <c r="AQ3" s="428" t="s">
        <v>344</v>
      </c>
      <c r="AR3" s="428" t="s">
        <v>345</v>
      </c>
      <c r="AS3" s="428" t="s">
        <v>346</v>
      </c>
      <c r="AT3" s="428" t="s">
        <v>347</v>
      </c>
      <c r="AU3" s="428" t="s">
        <v>348</v>
      </c>
      <c r="AV3" s="428" t="s">
        <v>349</v>
      </c>
      <c r="AW3" s="428" t="s">
        <v>350</v>
      </c>
      <c r="AX3" s="428" t="s">
        <v>351</v>
      </c>
      <c r="AY3" s="428" t="s">
        <v>352</v>
      </c>
      <c r="AZ3" s="428" t="s">
        <v>353</v>
      </c>
      <c r="BA3" s="428" t="s">
        <v>354</v>
      </c>
      <c r="BB3" s="428" t="s">
        <v>355</v>
      </c>
      <c r="BC3" s="428" t="s">
        <v>356</v>
      </c>
      <c r="BD3" s="428" t="s">
        <v>357</v>
      </c>
      <c r="BE3" s="428" t="s">
        <v>358</v>
      </c>
    </row>
    <row r="4" spans="2:57" s="423" customFormat="1" x14ac:dyDescent="0.2">
      <c r="B4" s="1191" t="s">
        <v>862</v>
      </c>
      <c r="C4" s="1192"/>
      <c r="D4" s="1192"/>
      <c r="E4" s="1192"/>
      <c r="F4" s="1192"/>
      <c r="G4" s="192" t="s">
        <v>31</v>
      </c>
      <c r="H4" s="193" t="s">
        <v>309</v>
      </c>
      <c r="I4" s="193" t="s">
        <v>310</v>
      </c>
      <c r="J4" s="193" t="s">
        <v>311</v>
      </c>
      <c r="K4" s="193" t="s">
        <v>312</v>
      </c>
      <c r="L4" s="193" t="s">
        <v>313</v>
      </c>
      <c r="M4" s="193" t="s">
        <v>314</v>
      </c>
      <c r="N4" s="193" t="s">
        <v>315</v>
      </c>
      <c r="O4" s="193" t="s">
        <v>316</v>
      </c>
      <c r="P4" s="193" t="s">
        <v>317</v>
      </c>
      <c r="Q4" s="193" t="s">
        <v>318</v>
      </c>
      <c r="R4" s="193" t="s">
        <v>319</v>
      </c>
      <c r="S4" s="193" t="s">
        <v>320</v>
      </c>
      <c r="T4" s="193" t="s">
        <v>321</v>
      </c>
      <c r="U4" s="193" t="s">
        <v>322</v>
      </c>
      <c r="V4" s="193" t="s">
        <v>323</v>
      </c>
      <c r="W4" s="193" t="s">
        <v>324</v>
      </c>
      <c r="X4" s="193" t="s">
        <v>325</v>
      </c>
      <c r="Y4" s="193" t="s">
        <v>326</v>
      </c>
      <c r="Z4" s="193" t="s">
        <v>327</v>
      </c>
      <c r="AA4" s="193" t="s">
        <v>328</v>
      </c>
      <c r="AB4" s="193" t="s">
        <v>329</v>
      </c>
      <c r="AC4" s="193" t="s">
        <v>330</v>
      </c>
      <c r="AD4" s="193" t="s">
        <v>331</v>
      </c>
      <c r="AE4" s="193" t="s">
        <v>332</v>
      </c>
      <c r="AF4" s="193" t="s">
        <v>333</v>
      </c>
      <c r="AG4" s="193" t="s">
        <v>334</v>
      </c>
      <c r="AH4" s="193" t="s">
        <v>335</v>
      </c>
      <c r="AI4" s="193" t="s">
        <v>336</v>
      </c>
      <c r="AJ4" s="193" t="s">
        <v>337</v>
      </c>
      <c r="AK4" s="193" t="s">
        <v>338</v>
      </c>
      <c r="AL4" s="193" t="s">
        <v>339</v>
      </c>
      <c r="AM4" s="193" t="s">
        <v>340</v>
      </c>
      <c r="AN4" s="193" t="s">
        <v>341</v>
      </c>
      <c r="AO4" s="193" t="s">
        <v>342</v>
      </c>
      <c r="AP4" s="193" t="s">
        <v>343</v>
      </c>
      <c r="AQ4" s="193" t="s">
        <v>344</v>
      </c>
      <c r="AR4" s="193" t="s">
        <v>345</v>
      </c>
      <c r="AS4" s="193" t="s">
        <v>346</v>
      </c>
      <c r="AT4" s="193" t="s">
        <v>347</v>
      </c>
      <c r="AU4" s="193" t="s">
        <v>348</v>
      </c>
      <c r="AV4" s="193" t="s">
        <v>349</v>
      </c>
      <c r="AW4" s="193" t="s">
        <v>350</v>
      </c>
      <c r="AX4" s="193" t="s">
        <v>351</v>
      </c>
      <c r="AY4" s="193" t="s">
        <v>352</v>
      </c>
      <c r="AZ4" s="193" t="s">
        <v>353</v>
      </c>
      <c r="BA4" s="193" t="s">
        <v>354</v>
      </c>
      <c r="BB4" s="193" t="s">
        <v>355</v>
      </c>
      <c r="BC4" s="193" t="s">
        <v>356</v>
      </c>
      <c r="BD4" s="193" t="s">
        <v>357</v>
      </c>
      <c r="BE4" s="193" t="s">
        <v>358</v>
      </c>
    </row>
    <row r="5" spans="2:57" ht="45" x14ac:dyDescent="0.2">
      <c r="B5" s="189">
        <v>1</v>
      </c>
      <c r="C5" s="194" t="s">
        <v>359</v>
      </c>
      <c r="D5" s="194"/>
      <c r="E5" s="195"/>
      <c r="F5" s="196"/>
      <c r="G5" s="197"/>
      <c r="H5" s="803" t="s">
        <v>1366</v>
      </c>
      <c r="I5" s="803" t="s">
        <v>1366</v>
      </c>
      <c r="J5" s="803" t="s">
        <v>1366</v>
      </c>
      <c r="K5" s="803" t="s">
        <v>1366</v>
      </c>
      <c r="L5" s="803" t="s">
        <v>1367</v>
      </c>
      <c r="M5" s="803" t="s">
        <v>1368</v>
      </c>
      <c r="N5" s="803" t="s">
        <v>1368</v>
      </c>
      <c r="O5" s="803" t="s">
        <v>1369</v>
      </c>
      <c r="P5" s="803" t="s">
        <v>1370</v>
      </c>
      <c r="Q5" s="803" t="s">
        <v>1371</v>
      </c>
      <c r="R5" s="803" t="s">
        <v>1371</v>
      </c>
      <c r="S5" s="803" t="s">
        <v>1372</v>
      </c>
      <c r="T5" s="736"/>
      <c r="U5" s="736"/>
      <c r="V5" s="736"/>
      <c r="W5" s="736"/>
      <c r="X5" s="736"/>
      <c r="Y5" s="736"/>
      <c r="Z5" s="736"/>
      <c r="AA5" s="736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</row>
    <row r="6" spans="2:57" ht="18" x14ac:dyDescent="0.2">
      <c r="B6" s="1195">
        <f>B5+1</f>
        <v>2</v>
      </c>
      <c r="C6" s="1193" t="s">
        <v>360</v>
      </c>
      <c r="D6" s="198" t="s">
        <v>361</v>
      </c>
      <c r="E6" s="199" t="s">
        <v>362</v>
      </c>
      <c r="F6" s="200" t="s">
        <v>363</v>
      </c>
      <c r="G6" s="201">
        <f>SUM(H6:BE6)</f>
        <v>337</v>
      </c>
      <c r="H6" s="738">
        <v>40</v>
      </c>
      <c r="I6" s="738">
        <v>40</v>
      </c>
      <c r="J6" s="738">
        <v>40</v>
      </c>
      <c r="K6" s="738">
        <v>40</v>
      </c>
      <c r="L6" s="738">
        <v>40</v>
      </c>
      <c r="M6" s="738">
        <v>20</v>
      </c>
      <c r="N6" s="738">
        <v>20</v>
      </c>
      <c r="O6" s="738">
        <v>20</v>
      </c>
      <c r="P6" s="738">
        <v>12</v>
      </c>
      <c r="Q6" s="738">
        <v>20</v>
      </c>
      <c r="R6" s="738">
        <v>20</v>
      </c>
      <c r="S6" s="738">
        <v>25</v>
      </c>
      <c r="T6" s="738"/>
      <c r="U6" s="738"/>
      <c r="V6" s="738"/>
      <c r="W6" s="738"/>
      <c r="X6" s="738"/>
      <c r="Y6" s="738"/>
      <c r="Z6" s="738"/>
      <c r="AA6" s="738"/>
      <c r="AB6" s="738"/>
      <c r="AC6" s="738"/>
      <c r="AD6" s="738"/>
      <c r="AE6" s="738"/>
      <c r="AF6" s="738"/>
      <c r="AG6" s="738"/>
      <c r="AH6" s="738"/>
      <c r="AI6" s="738"/>
      <c r="AJ6" s="738"/>
      <c r="AK6" s="738"/>
      <c r="AL6" s="738"/>
      <c r="AM6" s="738"/>
      <c r="AN6" s="738"/>
      <c r="AO6" s="738"/>
      <c r="AP6" s="773"/>
      <c r="AQ6" s="738"/>
      <c r="AR6" s="738"/>
      <c r="AS6" s="738"/>
      <c r="AT6" s="738"/>
      <c r="AU6" s="738"/>
      <c r="AV6" s="738"/>
      <c r="AW6" s="738"/>
      <c r="AX6" s="738"/>
      <c r="AY6" s="738"/>
      <c r="AZ6" s="738"/>
      <c r="BA6" s="738"/>
      <c r="BB6" s="738"/>
      <c r="BC6" s="738"/>
      <c r="BD6" s="738"/>
      <c r="BE6" s="738"/>
    </row>
    <row r="7" spans="2:57" ht="18" x14ac:dyDescent="0.2">
      <c r="B7" s="1197"/>
      <c r="C7" s="1194"/>
      <c r="D7" s="198" t="s">
        <v>16</v>
      </c>
      <c r="E7" s="199"/>
      <c r="F7" s="200" t="s">
        <v>364</v>
      </c>
      <c r="G7" s="202">
        <f>SUM(H7:BE7)</f>
        <v>476</v>
      </c>
      <c r="H7" s="739">
        <v>160</v>
      </c>
      <c r="I7" s="739">
        <v>28</v>
      </c>
      <c r="J7" s="739">
        <v>8</v>
      </c>
      <c r="K7" s="739">
        <v>64</v>
      </c>
      <c r="L7" s="739">
        <v>30</v>
      </c>
      <c r="M7" s="739">
        <v>8</v>
      </c>
      <c r="N7" s="739">
        <v>8</v>
      </c>
      <c r="O7" s="739">
        <v>102</v>
      </c>
      <c r="P7" s="739">
        <v>12</v>
      </c>
      <c r="Q7" s="739">
        <v>46</v>
      </c>
      <c r="R7" s="739">
        <v>9</v>
      </c>
      <c r="S7" s="739">
        <v>1</v>
      </c>
      <c r="T7" s="739"/>
      <c r="U7" s="739"/>
      <c r="V7" s="739"/>
      <c r="W7" s="739"/>
      <c r="X7" s="739"/>
      <c r="Y7" s="739"/>
      <c r="Z7" s="739"/>
      <c r="AA7" s="739"/>
      <c r="AB7" s="739"/>
      <c r="AC7" s="739"/>
      <c r="AD7" s="739"/>
      <c r="AE7" s="739"/>
      <c r="AF7" s="739"/>
      <c r="AG7" s="739"/>
      <c r="AH7" s="739"/>
      <c r="AI7" s="739"/>
      <c r="AJ7" s="739"/>
      <c r="AK7" s="739"/>
      <c r="AL7" s="739"/>
      <c r="AM7" s="739"/>
      <c r="AN7" s="739"/>
      <c r="AO7" s="739"/>
      <c r="AP7" s="739"/>
      <c r="AQ7" s="739"/>
      <c r="AR7" s="739"/>
      <c r="AS7" s="739"/>
      <c r="AT7" s="739"/>
      <c r="AU7" s="739"/>
      <c r="AV7" s="739"/>
      <c r="AW7" s="739"/>
      <c r="AX7" s="739"/>
      <c r="AY7" s="739"/>
      <c r="AZ7" s="739"/>
      <c r="BA7" s="739"/>
      <c r="BB7" s="739"/>
      <c r="BC7" s="739"/>
      <c r="BD7" s="739"/>
      <c r="BE7" s="739"/>
    </row>
    <row r="8" spans="2:57" ht="18" x14ac:dyDescent="0.2">
      <c r="B8" s="1195">
        <f>B6+1</f>
        <v>3</v>
      </c>
      <c r="C8" s="1193" t="s">
        <v>365</v>
      </c>
      <c r="D8" s="198" t="s">
        <v>361</v>
      </c>
      <c r="E8" s="199" t="s">
        <v>362</v>
      </c>
      <c r="F8" s="200" t="s">
        <v>366</v>
      </c>
      <c r="G8" s="201">
        <f>SUM(H8:BE8)</f>
        <v>152</v>
      </c>
      <c r="H8" s="738">
        <v>22</v>
      </c>
      <c r="I8" s="738">
        <v>22</v>
      </c>
      <c r="J8" s="738">
        <v>22</v>
      </c>
      <c r="K8" s="738">
        <v>22</v>
      </c>
      <c r="L8" s="738">
        <v>22</v>
      </c>
      <c r="M8" s="738">
        <v>14</v>
      </c>
      <c r="N8" s="738">
        <v>14</v>
      </c>
      <c r="O8" s="738">
        <v>14</v>
      </c>
      <c r="P8" s="738"/>
      <c r="Q8" s="738"/>
      <c r="R8" s="738"/>
      <c r="S8" s="738"/>
      <c r="T8" s="738"/>
      <c r="U8" s="738"/>
      <c r="V8" s="738"/>
      <c r="W8" s="738"/>
      <c r="X8" s="738"/>
      <c r="Y8" s="738"/>
      <c r="Z8" s="738"/>
      <c r="AA8" s="738"/>
      <c r="AB8" s="738"/>
      <c r="AC8" s="738"/>
      <c r="AD8" s="738"/>
      <c r="AE8" s="738"/>
      <c r="AF8" s="738"/>
      <c r="AG8" s="738"/>
      <c r="AH8" s="738"/>
      <c r="AI8" s="738"/>
      <c r="AJ8" s="738"/>
      <c r="AK8" s="738"/>
      <c r="AL8" s="738"/>
      <c r="AM8" s="738"/>
      <c r="AN8" s="738"/>
      <c r="AO8" s="738"/>
      <c r="AP8" s="738"/>
      <c r="AQ8" s="738"/>
      <c r="AR8" s="738"/>
      <c r="AS8" s="738"/>
      <c r="AT8" s="738"/>
      <c r="AU8" s="738"/>
      <c r="AV8" s="738"/>
      <c r="AW8" s="738"/>
      <c r="AX8" s="738"/>
      <c r="AY8" s="738"/>
      <c r="AZ8" s="738"/>
      <c r="BA8" s="738"/>
      <c r="BB8" s="738"/>
      <c r="BC8" s="738"/>
      <c r="BD8" s="738"/>
      <c r="BE8" s="738"/>
    </row>
    <row r="9" spans="2:57" ht="18" x14ac:dyDescent="0.2">
      <c r="B9" s="1197"/>
      <c r="C9" s="1194"/>
      <c r="D9" s="198" t="s">
        <v>16</v>
      </c>
      <c r="E9" s="199"/>
      <c r="F9" s="200" t="s">
        <v>367</v>
      </c>
      <c r="G9" s="202">
        <f>SUM(H9:BE9)</f>
        <v>204</v>
      </c>
      <c r="H9" s="739">
        <v>80</v>
      </c>
      <c r="I9" s="739">
        <v>14</v>
      </c>
      <c r="J9" s="739">
        <v>4</v>
      </c>
      <c r="K9" s="739">
        <v>32</v>
      </c>
      <c r="L9" s="739">
        <v>15</v>
      </c>
      <c r="M9" s="739">
        <v>4</v>
      </c>
      <c r="N9" s="739">
        <v>4</v>
      </c>
      <c r="O9" s="739">
        <v>51</v>
      </c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739"/>
      <c r="AK9" s="739"/>
      <c r="AL9" s="739"/>
      <c r="AM9" s="739"/>
      <c r="AN9" s="739"/>
      <c r="AO9" s="739"/>
      <c r="AP9" s="739"/>
      <c r="AQ9" s="739"/>
      <c r="AR9" s="739"/>
      <c r="AS9" s="739"/>
      <c r="AT9" s="739"/>
      <c r="AU9" s="739"/>
      <c r="AV9" s="739"/>
      <c r="AW9" s="739"/>
      <c r="AX9" s="739"/>
      <c r="AY9" s="739"/>
      <c r="AZ9" s="739"/>
      <c r="BA9" s="739"/>
      <c r="BB9" s="739"/>
      <c r="BC9" s="739"/>
      <c r="BD9" s="739"/>
      <c r="BE9" s="739"/>
    </row>
    <row r="10" spans="2:57" ht="18" x14ac:dyDescent="0.2">
      <c r="B10" s="189">
        <f>B8+1</f>
        <v>4</v>
      </c>
      <c r="C10" s="194" t="s">
        <v>368</v>
      </c>
      <c r="D10" s="194"/>
      <c r="E10" s="199" t="s">
        <v>369</v>
      </c>
      <c r="F10" s="200" t="s">
        <v>370</v>
      </c>
      <c r="G10" s="201">
        <f>SUM(H10:BE10)</f>
        <v>19.244999999999997</v>
      </c>
      <c r="H10" s="203">
        <f>(H6*H7+H8*H9)/1000</f>
        <v>8.16</v>
      </c>
      <c r="I10" s="203">
        <f t="shared" ref="I10:BE10" si="0">(I6*I7+I8*I9)/1000</f>
        <v>1.4279999999999999</v>
      </c>
      <c r="J10" s="203">
        <f t="shared" si="0"/>
        <v>0.40799999999999997</v>
      </c>
      <c r="K10" s="203">
        <f t="shared" si="0"/>
        <v>3.2639999999999998</v>
      </c>
      <c r="L10" s="203">
        <f t="shared" si="0"/>
        <v>1.53</v>
      </c>
      <c r="M10" s="203">
        <f t="shared" si="0"/>
        <v>0.216</v>
      </c>
      <c r="N10" s="203">
        <f t="shared" si="0"/>
        <v>0.216</v>
      </c>
      <c r="O10" s="203">
        <f t="shared" si="0"/>
        <v>2.754</v>
      </c>
      <c r="P10" s="203">
        <f t="shared" si="0"/>
        <v>0.14399999999999999</v>
      </c>
      <c r="Q10" s="203">
        <f t="shared" si="0"/>
        <v>0.92</v>
      </c>
      <c r="R10" s="203">
        <f t="shared" si="0"/>
        <v>0.18</v>
      </c>
      <c r="S10" s="203">
        <f t="shared" si="0"/>
        <v>2.5000000000000001E-2</v>
      </c>
      <c r="T10" s="203">
        <f t="shared" si="0"/>
        <v>0</v>
      </c>
      <c r="U10" s="203">
        <f t="shared" si="0"/>
        <v>0</v>
      </c>
      <c r="V10" s="203">
        <f t="shared" si="0"/>
        <v>0</v>
      </c>
      <c r="W10" s="203">
        <f t="shared" si="0"/>
        <v>0</v>
      </c>
      <c r="X10" s="203">
        <f t="shared" si="0"/>
        <v>0</v>
      </c>
      <c r="Y10" s="203">
        <f t="shared" si="0"/>
        <v>0</v>
      </c>
      <c r="Z10" s="203">
        <f t="shared" si="0"/>
        <v>0</v>
      </c>
      <c r="AA10" s="203">
        <f t="shared" si="0"/>
        <v>0</v>
      </c>
      <c r="AB10" s="203">
        <f t="shared" si="0"/>
        <v>0</v>
      </c>
      <c r="AC10" s="203">
        <f t="shared" si="0"/>
        <v>0</v>
      </c>
      <c r="AD10" s="203">
        <f t="shared" si="0"/>
        <v>0</v>
      </c>
      <c r="AE10" s="203">
        <f t="shared" si="0"/>
        <v>0</v>
      </c>
      <c r="AF10" s="203">
        <f t="shared" si="0"/>
        <v>0</v>
      </c>
      <c r="AG10" s="203">
        <f t="shared" si="0"/>
        <v>0</v>
      </c>
      <c r="AH10" s="203">
        <f t="shared" si="0"/>
        <v>0</v>
      </c>
      <c r="AI10" s="203">
        <f t="shared" si="0"/>
        <v>0</v>
      </c>
      <c r="AJ10" s="203">
        <f t="shared" si="0"/>
        <v>0</v>
      </c>
      <c r="AK10" s="203">
        <f t="shared" si="0"/>
        <v>0</v>
      </c>
      <c r="AL10" s="203">
        <f t="shared" si="0"/>
        <v>0</v>
      </c>
      <c r="AM10" s="203">
        <f t="shared" si="0"/>
        <v>0</v>
      </c>
      <c r="AN10" s="203">
        <f t="shared" si="0"/>
        <v>0</v>
      </c>
      <c r="AO10" s="203">
        <f t="shared" si="0"/>
        <v>0</v>
      </c>
      <c r="AP10" s="203">
        <f t="shared" si="0"/>
        <v>0</v>
      </c>
      <c r="AQ10" s="203">
        <f t="shared" si="0"/>
        <v>0</v>
      </c>
      <c r="AR10" s="203">
        <f t="shared" si="0"/>
        <v>0</v>
      </c>
      <c r="AS10" s="203">
        <f t="shared" si="0"/>
        <v>0</v>
      </c>
      <c r="AT10" s="203">
        <f t="shared" si="0"/>
        <v>0</v>
      </c>
      <c r="AU10" s="203">
        <f t="shared" si="0"/>
        <v>0</v>
      </c>
      <c r="AV10" s="203">
        <f t="shared" si="0"/>
        <v>0</v>
      </c>
      <c r="AW10" s="203">
        <f t="shared" si="0"/>
        <v>0</v>
      </c>
      <c r="AX10" s="203">
        <f t="shared" si="0"/>
        <v>0</v>
      </c>
      <c r="AY10" s="203">
        <f t="shared" si="0"/>
        <v>0</v>
      </c>
      <c r="AZ10" s="203">
        <f t="shared" si="0"/>
        <v>0</v>
      </c>
      <c r="BA10" s="203">
        <f t="shared" si="0"/>
        <v>0</v>
      </c>
      <c r="BB10" s="203">
        <f t="shared" si="0"/>
        <v>0</v>
      </c>
      <c r="BC10" s="203">
        <f t="shared" si="0"/>
        <v>0</v>
      </c>
      <c r="BD10" s="203">
        <f t="shared" si="0"/>
        <v>0</v>
      </c>
      <c r="BE10" s="203">
        <f t="shared" si="0"/>
        <v>0</v>
      </c>
    </row>
    <row r="11" spans="2:57" x14ac:dyDescent="0.2">
      <c r="B11" s="1195">
        <f>B10+1</f>
        <v>5</v>
      </c>
      <c r="C11" s="194" t="s">
        <v>371</v>
      </c>
      <c r="D11" s="194"/>
      <c r="E11" s="199" t="s">
        <v>372</v>
      </c>
      <c r="F11" s="200"/>
      <c r="G11" s="204"/>
      <c r="H11" s="804">
        <v>9</v>
      </c>
      <c r="I11" s="804">
        <v>4</v>
      </c>
      <c r="J11" s="740">
        <v>4</v>
      </c>
      <c r="K11" s="740">
        <v>2</v>
      </c>
      <c r="L11" s="740">
        <v>2</v>
      </c>
      <c r="M11" s="740">
        <v>9</v>
      </c>
      <c r="N11" s="740">
        <v>12</v>
      </c>
      <c r="O11" s="740">
        <v>4</v>
      </c>
      <c r="P11" s="740">
        <v>9</v>
      </c>
      <c r="Q11" s="740">
        <v>2</v>
      </c>
      <c r="R11" s="740">
        <v>12</v>
      </c>
      <c r="S11" s="740">
        <v>9</v>
      </c>
      <c r="T11" s="740"/>
      <c r="U11" s="740"/>
      <c r="V11" s="740"/>
      <c r="W11" s="740"/>
      <c r="X11" s="740"/>
      <c r="Y11" s="740"/>
      <c r="Z11" s="740"/>
      <c r="AA11" s="740"/>
      <c r="AB11" s="740"/>
      <c r="AC11" s="740"/>
      <c r="AD11" s="740"/>
      <c r="AE11" s="740"/>
      <c r="AF11" s="740"/>
      <c r="AG11" s="740"/>
      <c r="AH11" s="740"/>
      <c r="AI11" s="740"/>
      <c r="AJ11" s="740"/>
      <c r="AK11" s="740"/>
      <c r="AL11" s="740"/>
      <c r="AM11" s="740"/>
      <c r="AN11" s="740"/>
      <c r="AO11" s="740"/>
      <c r="AP11" s="740"/>
      <c r="AQ11" s="740"/>
      <c r="AR11" s="740"/>
      <c r="AS11" s="740"/>
      <c r="AT11" s="740"/>
      <c r="AU11" s="740"/>
      <c r="AV11" s="740"/>
      <c r="AW11" s="740"/>
      <c r="AX11" s="740"/>
      <c r="AY11" s="740"/>
      <c r="AZ11" s="740"/>
      <c r="BA11" s="740"/>
      <c r="BB11" s="740"/>
      <c r="BC11" s="740"/>
      <c r="BD11" s="740"/>
      <c r="BE11" s="740"/>
    </row>
    <row r="12" spans="2:57" x14ac:dyDescent="0.2">
      <c r="B12" s="1196"/>
      <c r="C12" s="205" t="s">
        <v>373</v>
      </c>
      <c r="D12" s="205"/>
      <c r="E12" s="206" t="s">
        <v>374</v>
      </c>
      <c r="F12" s="200"/>
      <c r="G12" s="204"/>
      <c r="H12" s="805">
        <v>217</v>
      </c>
      <c r="I12" s="805">
        <v>217</v>
      </c>
      <c r="J12" s="805">
        <v>217</v>
      </c>
      <c r="K12" s="805">
        <v>217</v>
      </c>
      <c r="L12" s="741">
        <v>173</v>
      </c>
      <c r="M12" s="741">
        <v>217</v>
      </c>
      <c r="N12" s="741">
        <v>303</v>
      </c>
      <c r="O12" s="741">
        <v>217</v>
      </c>
      <c r="P12" s="741">
        <v>217</v>
      </c>
      <c r="Q12" s="741">
        <v>217</v>
      </c>
      <c r="R12" s="741">
        <v>303</v>
      </c>
      <c r="S12" s="741">
        <v>217</v>
      </c>
      <c r="T12" s="741"/>
      <c r="U12" s="741"/>
      <c r="V12" s="741"/>
      <c r="W12" s="741"/>
      <c r="X12" s="741"/>
      <c r="Y12" s="741"/>
      <c r="Z12" s="741"/>
      <c r="AA12" s="741"/>
      <c r="AB12" s="741"/>
      <c r="AC12" s="741"/>
      <c r="AD12" s="741"/>
      <c r="AE12" s="741"/>
      <c r="AF12" s="741"/>
      <c r="AG12" s="741"/>
      <c r="AH12" s="741"/>
      <c r="AI12" s="741"/>
      <c r="AJ12" s="741"/>
      <c r="AK12" s="741"/>
      <c r="AL12" s="741"/>
      <c r="AM12" s="741"/>
      <c r="AN12" s="741"/>
      <c r="AO12" s="741"/>
      <c r="AP12" s="741"/>
      <c r="AQ12" s="741"/>
      <c r="AR12" s="741"/>
      <c r="AS12" s="741"/>
      <c r="AT12" s="741"/>
      <c r="AU12" s="741"/>
      <c r="AV12" s="741"/>
      <c r="AW12" s="741"/>
      <c r="AX12" s="741"/>
      <c r="AY12" s="741"/>
      <c r="AZ12" s="741"/>
      <c r="BA12" s="741"/>
      <c r="BB12" s="741"/>
      <c r="BC12" s="741"/>
      <c r="BD12" s="741"/>
      <c r="BE12" s="741"/>
    </row>
    <row r="13" spans="2:57" ht="18" x14ac:dyDescent="0.2">
      <c r="B13" s="1197"/>
      <c r="C13" s="194" t="s">
        <v>375</v>
      </c>
      <c r="D13" s="194"/>
      <c r="E13" s="199" t="s">
        <v>376</v>
      </c>
      <c r="F13" s="200" t="s">
        <v>377</v>
      </c>
      <c r="G13" s="204"/>
      <c r="H13" s="207">
        <f>H11*H12</f>
        <v>1953</v>
      </c>
      <c r="I13" s="207">
        <f t="shared" ref="I13:BE13" si="1">I11*I12</f>
        <v>868</v>
      </c>
      <c r="J13" s="207">
        <f t="shared" si="1"/>
        <v>868</v>
      </c>
      <c r="K13" s="207">
        <f t="shared" si="1"/>
        <v>434</v>
      </c>
      <c r="L13" s="207">
        <f t="shared" si="1"/>
        <v>346</v>
      </c>
      <c r="M13" s="207">
        <f t="shared" si="1"/>
        <v>1953</v>
      </c>
      <c r="N13" s="207">
        <f t="shared" si="1"/>
        <v>3636</v>
      </c>
      <c r="O13" s="207">
        <f t="shared" si="1"/>
        <v>868</v>
      </c>
      <c r="P13" s="207">
        <f t="shared" si="1"/>
        <v>1953</v>
      </c>
      <c r="Q13" s="207">
        <f t="shared" si="1"/>
        <v>434</v>
      </c>
      <c r="R13" s="207">
        <f t="shared" si="1"/>
        <v>3636</v>
      </c>
      <c r="S13" s="207">
        <f t="shared" si="1"/>
        <v>1953</v>
      </c>
      <c r="T13" s="207">
        <f t="shared" si="1"/>
        <v>0</v>
      </c>
      <c r="U13" s="207">
        <f t="shared" si="1"/>
        <v>0</v>
      </c>
      <c r="V13" s="207">
        <f t="shared" si="1"/>
        <v>0</v>
      </c>
      <c r="W13" s="207">
        <f t="shared" si="1"/>
        <v>0</v>
      </c>
      <c r="X13" s="207">
        <f t="shared" si="1"/>
        <v>0</v>
      </c>
      <c r="Y13" s="207">
        <f t="shared" si="1"/>
        <v>0</v>
      </c>
      <c r="Z13" s="207">
        <f t="shared" si="1"/>
        <v>0</v>
      </c>
      <c r="AA13" s="207">
        <f t="shared" si="1"/>
        <v>0</v>
      </c>
      <c r="AB13" s="207">
        <f t="shared" si="1"/>
        <v>0</v>
      </c>
      <c r="AC13" s="207">
        <f t="shared" si="1"/>
        <v>0</v>
      </c>
      <c r="AD13" s="207">
        <f t="shared" si="1"/>
        <v>0</v>
      </c>
      <c r="AE13" s="207">
        <f t="shared" si="1"/>
        <v>0</v>
      </c>
      <c r="AF13" s="207">
        <f t="shared" si="1"/>
        <v>0</v>
      </c>
      <c r="AG13" s="207">
        <f t="shared" si="1"/>
        <v>0</v>
      </c>
      <c r="AH13" s="207">
        <f t="shared" si="1"/>
        <v>0</v>
      </c>
      <c r="AI13" s="207">
        <f t="shared" si="1"/>
        <v>0</v>
      </c>
      <c r="AJ13" s="207">
        <f t="shared" si="1"/>
        <v>0</v>
      </c>
      <c r="AK13" s="207">
        <f t="shared" si="1"/>
        <v>0</v>
      </c>
      <c r="AL13" s="207">
        <f t="shared" si="1"/>
        <v>0</v>
      </c>
      <c r="AM13" s="207">
        <f t="shared" si="1"/>
        <v>0</v>
      </c>
      <c r="AN13" s="207">
        <f t="shared" si="1"/>
        <v>0</v>
      </c>
      <c r="AO13" s="207">
        <f t="shared" si="1"/>
        <v>0</v>
      </c>
      <c r="AP13" s="207">
        <f t="shared" si="1"/>
        <v>0</v>
      </c>
      <c r="AQ13" s="207">
        <f t="shared" si="1"/>
        <v>0</v>
      </c>
      <c r="AR13" s="207">
        <f t="shared" si="1"/>
        <v>0</v>
      </c>
      <c r="AS13" s="207">
        <f t="shared" si="1"/>
        <v>0</v>
      </c>
      <c r="AT13" s="207">
        <f t="shared" si="1"/>
        <v>0</v>
      </c>
      <c r="AU13" s="207">
        <f t="shared" si="1"/>
        <v>0</v>
      </c>
      <c r="AV13" s="207">
        <f t="shared" si="1"/>
        <v>0</v>
      </c>
      <c r="AW13" s="207">
        <f t="shared" si="1"/>
        <v>0</v>
      </c>
      <c r="AX13" s="207">
        <f t="shared" si="1"/>
        <v>0</v>
      </c>
      <c r="AY13" s="207">
        <f t="shared" si="1"/>
        <v>0</v>
      </c>
      <c r="AZ13" s="207">
        <f t="shared" si="1"/>
        <v>0</v>
      </c>
      <c r="BA13" s="207">
        <f t="shared" si="1"/>
        <v>0</v>
      </c>
      <c r="BB13" s="207">
        <f t="shared" si="1"/>
        <v>0</v>
      </c>
      <c r="BC13" s="207">
        <f t="shared" si="1"/>
        <v>0</v>
      </c>
      <c r="BD13" s="207">
        <f t="shared" si="1"/>
        <v>0</v>
      </c>
      <c r="BE13" s="207">
        <f t="shared" si="1"/>
        <v>0</v>
      </c>
    </row>
    <row r="14" spans="2:57" x14ac:dyDescent="0.2">
      <c r="B14" s="1195">
        <f>B11+1</f>
        <v>6</v>
      </c>
      <c r="C14" s="194" t="s">
        <v>702</v>
      </c>
      <c r="D14" s="194"/>
      <c r="E14" s="199" t="s">
        <v>279</v>
      </c>
      <c r="F14" s="200" t="s">
        <v>697</v>
      </c>
      <c r="G14" s="299">
        <v>12</v>
      </c>
      <c r="H14" s="806">
        <v>12</v>
      </c>
      <c r="I14" s="806">
        <v>12</v>
      </c>
      <c r="J14" s="739">
        <v>12</v>
      </c>
      <c r="K14" s="739">
        <v>12</v>
      </c>
      <c r="L14" s="739">
        <v>12</v>
      </c>
      <c r="M14" s="739">
        <v>12</v>
      </c>
      <c r="N14" s="739">
        <v>12</v>
      </c>
      <c r="O14" s="739">
        <v>12</v>
      </c>
      <c r="P14" s="739">
        <v>12</v>
      </c>
      <c r="Q14" s="739">
        <v>12</v>
      </c>
      <c r="R14" s="739">
        <v>12</v>
      </c>
      <c r="S14" s="739">
        <v>12</v>
      </c>
      <c r="T14" s="739"/>
      <c r="U14" s="739"/>
      <c r="V14" s="739"/>
      <c r="W14" s="739"/>
      <c r="X14" s="739"/>
      <c r="Y14" s="739"/>
      <c r="Z14" s="739"/>
      <c r="AA14" s="739"/>
      <c r="AB14" s="739"/>
      <c r="AC14" s="739"/>
      <c r="AD14" s="739"/>
      <c r="AE14" s="739"/>
      <c r="AF14" s="739"/>
      <c r="AG14" s="739"/>
      <c r="AH14" s="739"/>
      <c r="AI14" s="739"/>
      <c r="AJ14" s="739"/>
      <c r="AK14" s="739"/>
      <c r="AL14" s="739"/>
      <c r="AM14" s="739"/>
      <c r="AN14" s="739"/>
      <c r="AO14" s="739"/>
      <c r="AP14" s="739"/>
      <c r="AQ14" s="739"/>
      <c r="AR14" s="739"/>
      <c r="AS14" s="739"/>
      <c r="AT14" s="739"/>
      <c r="AU14" s="739"/>
      <c r="AV14" s="739"/>
      <c r="AW14" s="739"/>
      <c r="AX14" s="739"/>
      <c r="AY14" s="739"/>
      <c r="AZ14" s="739"/>
      <c r="BA14" s="739"/>
      <c r="BB14" s="739"/>
      <c r="BC14" s="739"/>
      <c r="BD14" s="739"/>
      <c r="BE14" s="739"/>
    </row>
    <row r="15" spans="2:57" x14ac:dyDescent="0.2">
      <c r="B15" s="1196"/>
      <c r="C15" s="194" t="s">
        <v>703</v>
      </c>
      <c r="D15" s="194"/>
      <c r="E15" s="195" t="s">
        <v>700</v>
      </c>
      <c r="F15" s="200" t="s">
        <v>698</v>
      </c>
      <c r="G15" s="299">
        <v>22</v>
      </c>
      <c r="H15" s="806">
        <v>22</v>
      </c>
      <c r="I15" s="806">
        <v>22</v>
      </c>
      <c r="J15" s="739">
        <v>22</v>
      </c>
      <c r="K15" s="739">
        <v>22</v>
      </c>
      <c r="L15" s="739">
        <v>22</v>
      </c>
      <c r="M15" s="739">
        <v>22</v>
      </c>
      <c r="N15" s="739">
        <v>22</v>
      </c>
      <c r="O15" s="739">
        <v>22</v>
      </c>
      <c r="P15" s="739">
        <v>22</v>
      </c>
      <c r="Q15" s="739">
        <v>22</v>
      </c>
      <c r="R15" s="739">
        <v>22</v>
      </c>
      <c r="S15" s="739">
        <v>22</v>
      </c>
      <c r="T15" s="739"/>
      <c r="U15" s="739"/>
      <c r="V15" s="739"/>
      <c r="W15" s="739"/>
      <c r="X15" s="739"/>
      <c r="Y15" s="739"/>
      <c r="Z15" s="739"/>
      <c r="AA15" s="739"/>
      <c r="AB15" s="739"/>
      <c r="AC15" s="739"/>
      <c r="AD15" s="739"/>
      <c r="AE15" s="739"/>
      <c r="AF15" s="739"/>
      <c r="AG15" s="739"/>
      <c r="AH15" s="739"/>
      <c r="AI15" s="739"/>
      <c r="AJ15" s="739"/>
      <c r="AK15" s="739"/>
      <c r="AL15" s="739"/>
      <c r="AM15" s="739"/>
      <c r="AN15" s="739"/>
      <c r="AO15" s="739"/>
      <c r="AP15" s="739"/>
      <c r="AQ15" s="739"/>
      <c r="AR15" s="739"/>
      <c r="AS15" s="739"/>
      <c r="AT15" s="739"/>
      <c r="AU15" s="739"/>
      <c r="AV15" s="739"/>
      <c r="AW15" s="739"/>
      <c r="AX15" s="739"/>
      <c r="AY15" s="739"/>
      <c r="AZ15" s="739"/>
      <c r="BA15" s="739"/>
      <c r="BB15" s="739"/>
      <c r="BC15" s="739"/>
      <c r="BD15" s="739"/>
      <c r="BE15" s="739"/>
    </row>
    <row r="16" spans="2:57" x14ac:dyDescent="0.2">
      <c r="B16" s="1196"/>
      <c r="C16" s="194" t="s">
        <v>704</v>
      </c>
      <c r="D16" s="194"/>
      <c r="E16" s="195" t="s">
        <v>701</v>
      </c>
      <c r="F16" s="200" t="s">
        <v>699</v>
      </c>
      <c r="G16" s="299">
        <v>3</v>
      </c>
      <c r="H16" s="806">
        <v>0</v>
      </c>
      <c r="I16" s="806">
        <v>0</v>
      </c>
      <c r="J16" s="739">
        <v>3</v>
      </c>
      <c r="K16" s="739">
        <v>0</v>
      </c>
      <c r="L16" s="739">
        <v>0</v>
      </c>
      <c r="M16" s="739">
        <v>0</v>
      </c>
      <c r="N16" s="739">
        <v>3</v>
      </c>
      <c r="O16" s="739">
        <v>0</v>
      </c>
      <c r="P16" s="739">
        <v>0</v>
      </c>
      <c r="Q16" s="739">
        <v>0</v>
      </c>
      <c r="R16" s="739">
        <v>3</v>
      </c>
      <c r="S16" s="739">
        <v>0</v>
      </c>
      <c r="T16" s="739"/>
      <c r="U16" s="739"/>
      <c r="V16" s="739"/>
      <c r="W16" s="739"/>
      <c r="X16" s="739"/>
      <c r="Y16" s="739"/>
      <c r="Z16" s="739"/>
      <c r="AA16" s="739"/>
      <c r="AB16" s="739"/>
      <c r="AC16" s="739"/>
      <c r="AD16" s="739"/>
      <c r="AE16" s="739"/>
      <c r="AF16" s="739"/>
      <c r="AG16" s="739"/>
      <c r="AH16" s="739"/>
      <c r="AI16" s="739"/>
      <c r="AJ16" s="739"/>
      <c r="AK16" s="739"/>
      <c r="AL16" s="739"/>
      <c r="AM16" s="739"/>
      <c r="AN16" s="739"/>
      <c r="AO16" s="739"/>
      <c r="AP16" s="739"/>
      <c r="AQ16" s="739"/>
      <c r="AR16" s="739"/>
      <c r="AS16" s="739"/>
      <c r="AT16" s="739"/>
      <c r="AU16" s="739"/>
      <c r="AV16" s="739"/>
      <c r="AW16" s="739"/>
      <c r="AX16" s="739"/>
      <c r="AY16" s="739"/>
      <c r="AZ16" s="739"/>
      <c r="BA16" s="739"/>
      <c r="BB16" s="739"/>
      <c r="BC16" s="739"/>
      <c r="BD16" s="739"/>
      <c r="BE16" s="739"/>
    </row>
    <row r="17" spans="2:57" ht="18" x14ac:dyDescent="0.2">
      <c r="B17" s="1196"/>
      <c r="C17" s="194" t="s">
        <v>378</v>
      </c>
      <c r="D17" s="194"/>
      <c r="E17" s="195" t="s">
        <v>369</v>
      </c>
      <c r="F17" s="200" t="s">
        <v>379</v>
      </c>
      <c r="G17" s="201">
        <f>SUM(H17:BE17)</f>
        <v>0.80400000000000005</v>
      </c>
      <c r="H17" s="208">
        <f>H10*((H14*H15*H16)/($G$14*$G$15*$G$16))</f>
        <v>0</v>
      </c>
      <c r="I17" s="208">
        <f t="shared" ref="I17:BE17" si="2">I10*((I14*I15*I16)/($G$14*$G$15*$G$16))</f>
        <v>0</v>
      </c>
      <c r="J17" s="208">
        <f t="shared" si="2"/>
        <v>0.40799999999999997</v>
      </c>
      <c r="K17" s="208">
        <f t="shared" si="2"/>
        <v>0</v>
      </c>
      <c r="L17" s="208">
        <f t="shared" si="2"/>
        <v>0</v>
      </c>
      <c r="M17" s="208">
        <f t="shared" si="2"/>
        <v>0</v>
      </c>
      <c r="N17" s="208">
        <f t="shared" si="2"/>
        <v>0.216</v>
      </c>
      <c r="O17" s="208">
        <f t="shared" si="2"/>
        <v>0</v>
      </c>
      <c r="P17" s="208">
        <f t="shared" si="2"/>
        <v>0</v>
      </c>
      <c r="Q17" s="208">
        <f t="shared" si="2"/>
        <v>0</v>
      </c>
      <c r="R17" s="208">
        <f t="shared" si="2"/>
        <v>0.18</v>
      </c>
      <c r="S17" s="208">
        <f t="shared" si="2"/>
        <v>0</v>
      </c>
      <c r="T17" s="208">
        <f t="shared" si="2"/>
        <v>0</v>
      </c>
      <c r="U17" s="208">
        <f t="shared" si="2"/>
        <v>0</v>
      </c>
      <c r="V17" s="208">
        <f t="shared" si="2"/>
        <v>0</v>
      </c>
      <c r="W17" s="208">
        <f t="shared" si="2"/>
        <v>0</v>
      </c>
      <c r="X17" s="208">
        <f t="shared" si="2"/>
        <v>0</v>
      </c>
      <c r="Y17" s="208">
        <f t="shared" si="2"/>
        <v>0</v>
      </c>
      <c r="Z17" s="208">
        <f t="shared" si="2"/>
        <v>0</v>
      </c>
      <c r="AA17" s="208">
        <f t="shared" si="2"/>
        <v>0</v>
      </c>
      <c r="AB17" s="208">
        <f t="shared" si="2"/>
        <v>0</v>
      </c>
      <c r="AC17" s="208">
        <f t="shared" si="2"/>
        <v>0</v>
      </c>
      <c r="AD17" s="208">
        <f t="shared" si="2"/>
        <v>0</v>
      </c>
      <c r="AE17" s="208">
        <f t="shared" si="2"/>
        <v>0</v>
      </c>
      <c r="AF17" s="208">
        <f t="shared" si="2"/>
        <v>0</v>
      </c>
      <c r="AG17" s="208">
        <f t="shared" si="2"/>
        <v>0</v>
      </c>
      <c r="AH17" s="208">
        <f t="shared" si="2"/>
        <v>0</v>
      </c>
      <c r="AI17" s="208">
        <f t="shared" si="2"/>
        <v>0</v>
      </c>
      <c r="AJ17" s="208">
        <f t="shared" si="2"/>
        <v>0</v>
      </c>
      <c r="AK17" s="208">
        <f t="shared" si="2"/>
        <v>0</v>
      </c>
      <c r="AL17" s="208">
        <f t="shared" si="2"/>
        <v>0</v>
      </c>
      <c r="AM17" s="208">
        <f t="shared" si="2"/>
        <v>0</v>
      </c>
      <c r="AN17" s="208">
        <f t="shared" si="2"/>
        <v>0</v>
      </c>
      <c r="AO17" s="208">
        <f t="shared" si="2"/>
        <v>0</v>
      </c>
      <c r="AP17" s="208">
        <f t="shared" si="2"/>
        <v>0</v>
      </c>
      <c r="AQ17" s="208">
        <f t="shared" si="2"/>
        <v>0</v>
      </c>
      <c r="AR17" s="208">
        <f t="shared" si="2"/>
        <v>0</v>
      </c>
      <c r="AS17" s="208">
        <f t="shared" si="2"/>
        <v>0</v>
      </c>
      <c r="AT17" s="208">
        <f t="shared" si="2"/>
        <v>0</v>
      </c>
      <c r="AU17" s="208">
        <f t="shared" si="2"/>
        <v>0</v>
      </c>
      <c r="AV17" s="208">
        <f t="shared" si="2"/>
        <v>0</v>
      </c>
      <c r="AW17" s="208">
        <f t="shared" si="2"/>
        <v>0</v>
      </c>
      <c r="AX17" s="208">
        <f t="shared" si="2"/>
        <v>0</v>
      </c>
      <c r="AY17" s="208">
        <f t="shared" si="2"/>
        <v>0</v>
      </c>
      <c r="AZ17" s="208">
        <f t="shared" si="2"/>
        <v>0</v>
      </c>
      <c r="BA17" s="208">
        <f t="shared" si="2"/>
        <v>0</v>
      </c>
      <c r="BB17" s="208">
        <f t="shared" si="2"/>
        <v>0</v>
      </c>
      <c r="BC17" s="208">
        <f t="shared" si="2"/>
        <v>0</v>
      </c>
      <c r="BD17" s="208">
        <f t="shared" si="2"/>
        <v>0</v>
      </c>
      <c r="BE17" s="208">
        <f t="shared" si="2"/>
        <v>0</v>
      </c>
    </row>
    <row r="18" spans="2:57" ht="18" x14ac:dyDescent="0.2">
      <c r="B18" s="1197"/>
      <c r="C18" s="194" t="s">
        <v>380</v>
      </c>
      <c r="D18" s="194"/>
      <c r="E18" s="194"/>
      <c r="F18" s="200" t="s">
        <v>381</v>
      </c>
      <c r="G18" s="204" t="str">
        <f>IF(LARGE(H18:BE18,1)&gt;1,"ERRO","")</f>
        <v/>
      </c>
      <c r="H18" s="208">
        <f>IFERROR(H17/H10,0)</f>
        <v>0</v>
      </c>
      <c r="I18" s="208">
        <f t="shared" ref="I18:BE18" si="3">IFERROR(I17/I10,0)</f>
        <v>0</v>
      </c>
      <c r="J18" s="208">
        <f t="shared" si="3"/>
        <v>1</v>
      </c>
      <c r="K18" s="208">
        <f t="shared" si="3"/>
        <v>0</v>
      </c>
      <c r="L18" s="208">
        <f t="shared" si="3"/>
        <v>0</v>
      </c>
      <c r="M18" s="208">
        <f t="shared" si="3"/>
        <v>0</v>
      </c>
      <c r="N18" s="208">
        <f t="shared" si="3"/>
        <v>1</v>
      </c>
      <c r="O18" s="208">
        <f t="shared" si="3"/>
        <v>0</v>
      </c>
      <c r="P18" s="208">
        <f t="shared" si="3"/>
        <v>0</v>
      </c>
      <c r="Q18" s="208">
        <f t="shared" si="3"/>
        <v>0</v>
      </c>
      <c r="R18" s="208">
        <f t="shared" si="3"/>
        <v>1</v>
      </c>
      <c r="S18" s="208">
        <f t="shared" si="3"/>
        <v>0</v>
      </c>
      <c r="T18" s="208">
        <f t="shared" si="3"/>
        <v>0</v>
      </c>
      <c r="U18" s="208">
        <f t="shared" si="3"/>
        <v>0</v>
      </c>
      <c r="V18" s="208">
        <f t="shared" si="3"/>
        <v>0</v>
      </c>
      <c r="W18" s="208">
        <f t="shared" si="3"/>
        <v>0</v>
      </c>
      <c r="X18" s="208">
        <f t="shared" si="3"/>
        <v>0</v>
      </c>
      <c r="Y18" s="208">
        <f t="shared" si="3"/>
        <v>0</v>
      </c>
      <c r="Z18" s="208">
        <f t="shared" si="3"/>
        <v>0</v>
      </c>
      <c r="AA18" s="208">
        <f t="shared" si="3"/>
        <v>0</v>
      </c>
      <c r="AB18" s="208">
        <f t="shared" si="3"/>
        <v>0</v>
      </c>
      <c r="AC18" s="208">
        <f t="shared" si="3"/>
        <v>0</v>
      </c>
      <c r="AD18" s="208">
        <f t="shared" si="3"/>
        <v>0</v>
      </c>
      <c r="AE18" s="208">
        <f t="shared" si="3"/>
        <v>0</v>
      </c>
      <c r="AF18" s="208">
        <f t="shared" si="3"/>
        <v>0</v>
      </c>
      <c r="AG18" s="208">
        <f t="shared" si="3"/>
        <v>0</v>
      </c>
      <c r="AH18" s="208">
        <f t="shared" si="3"/>
        <v>0</v>
      </c>
      <c r="AI18" s="208">
        <f t="shared" si="3"/>
        <v>0</v>
      </c>
      <c r="AJ18" s="208">
        <f t="shared" si="3"/>
        <v>0</v>
      </c>
      <c r="AK18" s="208">
        <f t="shared" si="3"/>
        <v>0</v>
      </c>
      <c r="AL18" s="208">
        <f t="shared" si="3"/>
        <v>0</v>
      </c>
      <c r="AM18" s="208">
        <f t="shared" si="3"/>
        <v>0</v>
      </c>
      <c r="AN18" s="208">
        <f t="shared" si="3"/>
        <v>0</v>
      </c>
      <c r="AO18" s="208">
        <f t="shared" si="3"/>
        <v>0</v>
      </c>
      <c r="AP18" s="208">
        <f t="shared" si="3"/>
        <v>0</v>
      </c>
      <c r="AQ18" s="208">
        <f t="shared" si="3"/>
        <v>0</v>
      </c>
      <c r="AR18" s="208">
        <f t="shared" si="3"/>
        <v>0</v>
      </c>
      <c r="AS18" s="208">
        <f t="shared" si="3"/>
        <v>0</v>
      </c>
      <c r="AT18" s="208">
        <f t="shared" si="3"/>
        <v>0</v>
      </c>
      <c r="AU18" s="208">
        <f t="shared" si="3"/>
        <v>0</v>
      </c>
      <c r="AV18" s="208">
        <f t="shared" si="3"/>
        <v>0</v>
      </c>
      <c r="AW18" s="208">
        <f t="shared" si="3"/>
        <v>0</v>
      </c>
      <c r="AX18" s="208">
        <f t="shared" si="3"/>
        <v>0</v>
      </c>
      <c r="AY18" s="208">
        <f t="shared" si="3"/>
        <v>0</v>
      </c>
      <c r="AZ18" s="208">
        <f t="shared" si="3"/>
        <v>0</v>
      </c>
      <c r="BA18" s="208">
        <f t="shared" si="3"/>
        <v>0</v>
      </c>
      <c r="BB18" s="208">
        <f t="shared" si="3"/>
        <v>0</v>
      </c>
      <c r="BC18" s="208">
        <f t="shared" si="3"/>
        <v>0</v>
      </c>
      <c r="BD18" s="208">
        <f t="shared" si="3"/>
        <v>0</v>
      </c>
      <c r="BE18" s="208">
        <f t="shared" si="3"/>
        <v>0</v>
      </c>
    </row>
    <row r="19" spans="2:57" ht="18" x14ac:dyDescent="0.2">
      <c r="B19" s="189">
        <f>B14+1</f>
        <v>7</v>
      </c>
      <c r="C19" s="194" t="s">
        <v>382</v>
      </c>
      <c r="D19" s="194"/>
      <c r="E19" s="199" t="s">
        <v>383</v>
      </c>
      <c r="F19" s="200" t="s">
        <v>384</v>
      </c>
      <c r="G19" s="209">
        <f>SUM(H19:BE19)</f>
        <v>24.457597</v>
      </c>
      <c r="H19" s="207">
        <f>(H10*H13)/1000</f>
        <v>15.93648</v>
      </c>
      <c r="I19" s="207">
        <f t="shared" ref="I19:BE19" si="4">(I10*I13)/1000</f>
        <v>1.2395039999999999</v>
      </c>
      <c r="J19" s="207">
        <f t="shared" si="4"/>
        <v>0.35414400000000001</v>
      </c>
      <c r="K19" s="207">
        <f t="shared" si="4"/>
        <v>1.4165760000000001</v>
      </c>
      <c r="L19" s="207">
        <f t="shared" si="4"/>
        <v>0.52937999999999996</v>
      </c>
      <c r="M19" s="207">
        <f t="shared" si="4"/>
        <v>0.421848</v>
      </c>
      <c r="N19" s="207">
        <f t="shared" si="4"/>
        <v>0.78537599999999996</v>
      </c>
      <c r="O19" s="207">
        <f t="shared" si="4"/>
        <v>2.3904720000000004</v>
      </c>
      <c r="P19" s="207">
        <f t="shared" si="4"/>
        <v>0.28123199999999998</v>
      </c>
      <c r="Q19" s="207">
        <f t="shared" si="4"/>
        <v>0.39928000000000002</v>
      </c>
      <c r="R19" s="207">
        <f t="shared" si="4"/>
        <v>0.65448000000000006</v>
      </c>
      <c r="S19" s="207">
        <f t="shared" si="4"/>
        <v>4.8825E-2</v>
      </c>
      <c r="T19" s="207">
        <f t="shared" si="4"/>
        <v>0</v>
      </c>
      <c r="U19" s="207">
        <f t="shared" si="4"/>
        <v>0</v>
      </c>
      <c r="V19" s="207">
        <f t="shared" si="4"/>
        <v>0</v>
      </c>
      <c r="W19" s="207">
        <f t="shared" si="4"/>
        <v>0</v>
      </c>
      <c r="X19" s="207">
        <f t="shared" si="4"/>
        <v>0</v>
      </c>
      <c r="Y19" s="207">
        <f t="shared" si="4"/>
        <v>0</v>
      </c>
      <c r="Z19" s="207">
        <f t="shared" si="4"/>
        <v>0</v>
      </c>
      <c r="AA19" s="207">
        <f t="shared" si="4"/>
        <v>0</v>
      </c>
      <c r="AB19" s="207">
        <f t="shared" si="4"/>
        <v>0</v>
      </c>
      <c r="AC19" s="207">
        <f t="shared" si="4"/>
        <v>0</v>
      </c>
      <c r="AD19" s="207">
        <f t="shared" si="4"/>
        <v>0</v>
      </c>
      <c r="AE19" s="207">
        <f t="shared" si="4"/>
        <v>0</v>
      </c>
      <c r="AF19" s="207">
        <f t="shared" si="4"/>
        <v>0</v>
      </c>
      <c r="AG19" s="207">
        <f t="shared" si="4"/>
        <v>0</v>
      </c>
      <c r="AH19" s="207">
        <f t="shared" si="4"/>
        <v>0</v>
      </c>
      <c r="AI19" s="207">
        <f t="shared" si="4"/>
        <v>0</v>
      </c>
      <c r="AJ19" s="207">
        <f t="shared" si="4"/>
        <v>0</v>
      </c>
      <c r="AK19" s="207">
        <f t="shared" si="4"/>
        <v>0</v>
      </c>
      <c r="AL19" s="207">
        <f t="shared" si="4"/>
        <v>0</v>
      </c>
      <c r="AM19" s="207">
        <f t="shared" si="4"/>
        <v>0</v>
      </c>
      <c r="AN19" s="207">
        <f t="shared" si="4"/>
        <v>0</v>
      </c>
      <c r="AO19" s="207">
        <f t="shared" si="4"/>
        <v>0</v>
      </c>
      <c r="AP19" s="207">
        <f t="shared" si="4"/>
        <v>0</v>
      </c>
      <c r="AQ19" s="207">
        <f t="shared" si="4"/>
        <v>0</v>
      </c>
      <c r="AR19" s="207">
        <f t="shared" si="4"/>
        <v>0</v>
      </c>
      <c r="AS19" s="207">
        <f t="shared" si="4"/>
        <v>0</v>
      </c>
      <c r="AT19" s="207">
        <f t="shared" si="4"/>
        <v>0</v>
      </c>
      <c r="AU19" s="207">
        <f t="shared" si="4"/>
        <v>0</v>
      </c>
      <c r="AV19" s="207">
        <f t="shared" si="4"/>
        <v>0</v>
      </c>
      <c r="AW19" s="207">
        <f t="shared" si="4"/>
        <v>0</v>
      </c>
      <c r="AX19" s="207">
        <f t="shared" si="4"/>
        <v>0</v>
      </c>
      <c r="AY19" s="207">
        <f t="shared" si="4"/>
        <v>0</v>
      </c>
      <c r="AZ19" s="207">
        <f t="shared" si="4"/>
        <v>0</v>
      </c>
      <c r="BA19" s="207">
        <f t="shared" si="4"/>
        <v>0</v>
      </c>
      <c r="BB19" s="207">
        <f t="shared" si="4"/>
        <v>0</v>
      </c>
      <c r="BC19" s="207">
        <f t="shared" si="4"/>
        <v>0</v>
      </c>
      <c r="BD19" s="207">
        <f t="shared" si="4"/>
        <v>0</v>
      </c>
      <c r="BE19" s="207">
        <f t="shared" si="4"/>
        <v>0</v>
      </c>
    </row>
    <row r="20" spans="2:57" ht="18" x14ac:dyDescent="0.2">
      <c r="B20" s="189">
        <f>B19+1</f>
        <v>8</v>
      </c>
      <c r="C20" s="194" t="s">
        <v>385</v>
      </c>
      <c r="D20" s="194"/>
      <c r="E20" s="195" t="s">
        <v>369</v>
      </c>
      <c r="F20" s="200" t="s">
        <v>386</v>
      </c>
      <c r="G20" s="210">
        <f>SUM(H20:BE20)</f>
        <v>0.80400000000000005</v>
      </c>
      <c r="H20" s="211">
        <f>H10*H18</f>
        <v>0</v>
      </c>
      <c r="I20" s="211">
        <f t="shared" ref="I20:BE20" si="5">I10*I18</f>
        <v>0</v>
      </c>
      <c r="J20" s="211">
        <f t="shared" si="5"/>
        <v>0.40799999999999997</v>
      </c>
      <c r="K20" s="211">
        <f t="shared" si="5"/>
        <v>0</v>
      </c>
      <c r="L20" s="211">
        <f t="shared" si="5"/>
        <v>0</v>
      </c>
      <c r="M20" s="211">
        <f t="shared" si="5"/>
        <v>0</v>
      </c>
      <c r="N20" s="211">
        <f t="shared" si="5"/>
        <v>0.216</v>
      </c>
      <c r="O20" s="211">
        <f t="shared" si="5"/>
        <v>0</v>
      </c>
      <c r="P20" s="211">
        <f t="shared" si="5"/>
        <v>0</v>
      </c>
      <c r="Q20" s="211">
        <f t="shared" si="5"/>
        <v>0</v>
      </c>
      <c r="R20" s="211">
        <f t="shared" si="5"/>
        <v>0.18</v>
      </c>
      <c r="S20" s="211">
        <f t="shared" si="5"/>
        <v>0</v>
      </c>
      <c r="T20" s="211">
        <f t="shared" si="5"/>
        <v>0</v>
      </c>
      <c r="U20" s="211">
        <f t="shared" si="5"/>
        <v>0</v>
      </c>
      <c r="V20" s="211">
        <f t="shared" si="5"/>
        <v>0</v>
      </c>
      <c r="W20" s="211">
        <f t="shared" si="5"/>
        <v>0</v>
      </c>
      <c r="X20" s="211">
        <f t="shared" si="5"/>
        <v>0</v>
      </c>
      <c r="Y20" s="211">
        <f t="shared" si="5"/>
        <v>0</v>
      </c>
      <c r="Z20" s="211">
        <f t="shared" si="5"/>
        <v>0</v>
      </c>
      <c r="AA20" s="211">
        <f t="shared" si="5"/>
        <v>0</v>
      </c>
      <c r="AB20" s="211">
        <f t="shared" si="5"/>
        <v>0</v>
      </c>
      <c r="AC20" s="211">
        <f t="shared" si="5"/>
        <v>0</v>
      </c>
      <c r="AD20" s="211">
        <f t="shared" si="5"/>
        <v>0</v>
      </c>
      <c r="AE20" s="211">
        <f t="shared" si="5"/>
        <v>0</v>
      </c>
      <c r="AF20" s="211">
        <f t="shared" si="5"/>
        <v>0</v>
      </c>
      <c r="AG20" s="211">
        <f t="shared" si="5"/>
        <v>0</v>
      </c>
      <c r="AH20" s="211">
        <f t="shared" si="5"/>
        <v>0</v>
      </c>
      <c r="AI20" s="211">
        <f t="shared" si="5"/>
        <v>0</v>
      </c>
      <c r="AJ20" s="211">
        <f t="shared" si="5"/>
        <v>0</v>
      </c>
      <c r="AK20" s="211">
        <f t="shared" si="5"/>
        <v>0</v>
      </c>
      <c r="AL20" s="211">
        <f t="shared" si="5"/>
        <v>0</v>
      </c>
      <c r="AM20" s="211">
        <f t="shared" si="5"/>
        <v>0</v>
      </c>
      <c r="AN20" s="211">
        <f t="shared" si="5"/>
        <v>0</v>
      </c>
      <c r="AO20" s="211">
        <f t="shared" si="5"/>
        <v>0</v>
      </c>
      <c r="AP20" s="211">
        <f t="shared" si="5"/>
        <v>0</v>
      </c>
      <c r="AQ20" s="211">
        <f t="shared" si="5"/>
        <v>0</v>
      </c>
      <c r="AR20" s="211">
        <f t="shared" si="5"/>
        <v>0</v>
      </c>
      <c r="AS20" s="211">
        <f t="shared" si="5"/>
        <v>0</v>
      </c>
      <c r="AT20" s="211">
        <f t="shared" si="5"/>
        <v>0</v>
      </c>
      <c r="AU20" s="211">
        <f t="shared" si="5"/>
        <v>0</v>
      </c>
      <c r="AV20" s="211">
        <f t="shared" si="5"/>
        <v>0</v>
      </c>
      <c r="AW20" s="211">
        <f t="shared" si="5"/>
        <v>0</v>
      </c>
      <c r="AX20" s="211">
        <f t="shared" si="5"/>
        <v>0</v>
      </c>
      <c r="AY20" s="211">
        <f t="shared" si="5"/>
        <v>0</v>
      </c>
      <c r="AZ20" s="211">
        <f t="shared" si="5"/>
        <v>0</v>
      </c>
      <c r="BA20" s="211">
        <f t="shared" si="5"/>
        <v>0</v>
      </c>
      <c r="BB20" s="211">
        <f t="shared" si="5"/>
        <v>0</v>
      </c>
      <c r="BC20" s="211">
        <f t="shared" si="5"/>
        <v>0</v>
      </c>
      <c r="BD20" s="211">
        <f t="shared" si="5"/>
        <v>0</v>
      </c>
      <c r="BE20" s="211">
        <f t="shared" si="5"/>
        <v>0</v>
      </c>
    </row>
    <row r="22" spans="2:57" x14ac:dyDescent="0.2">
      <c r="B22" s="1191" t="s">
        <v>864</v>
      </c>
      <c r="C22" s="1192"/>
      <c r="D22" s="1192"/>
      <c r="E22" s="1192"/>
      <c r="F22" s="1200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8"/>
      <c r="AV22" s="188"/>
      <c r="AW22" s="188"/>
      <c r="AX22" s="188"/>
      <c r="AY22" s="188"/>
      <c r="AZ22" s="188"/>
      <c r="BA22" s="188"/>
      <c r="BB22" s="188"/>
      <c r="BC22" s="188"/>
      <c r="BD22" s="188"/>
      <c r="BE22" s="188"/>
    </row>
    <row r="23" spans="2:57" s="423" customFormat="1" x14ac:dyDescent="0.2">
      <c r="B23" s="189"/>
      <c r="C23" s="190"/>
      <c r="D23" s="190"/>
      <c r="E23" s="190"/>
      <c r="F23" s="212"/>
      <c r="G23" s="192" t="s">
        <v>267</v>
      </c>
      <c r="H23" s="193" t="s">
        <v>309</v>
      </c>
      <c r="I23" s="193" t="s">
        <v>310</v>
      </c>
      <c r="J23" s="193" t="s">
        <v>311</v>
      </c>
      <c r="K23" s="193" t="s">
        <v>312</v>
      </c>
      <c r="L23" s="193" t="s">
        <v>313</v>
      </c>
      <c r="M23" s="193" t="s">
        <v>314</v>
      </c>
      <c r="N23" s="193" t="s">
        <v>315</v>
      </c>
      <c r="O23" s="193" t="s">
        <v>316</v>
      </c>
      <c r="P23" s="193" t="s">
        <v>317</v>
      </c>
      <c r="Q23" s="193" t="s">
        <v>318</v>
      </c>
      <c r="R23" s="193" t="s">
        <v>319</v>
      </c>
      <c r="S23" s="193" t="s">
        <v>320</v>
      </c>
      <c r="T23" s="193" t="s">
        <v>321</v>
      </c>
      <c r="U23" s="193" t="s">
        <v>322</v>
      </c>
      <c r="V23" s="193" t="s">
        <v>323</v>
      </c>
      <c r="W23" s="193" t="s">
        <v>324</v>
      </c>
      <c r="X23" s="193" t="s">
        <v>325</v>
      </c>
      <c r="Y23" s="193" t="s">
        <v>326</v>
      </c>
      <c r="Z23" s="193" t="s">
        <v>327</v>
      </c>
      <c r="AA23" s="193" t="s">
        <v>328</v>
      </c>
      <c r="AB23" s="193" t="s">
        <v>329</v>
      </c>
      <c r="AC23" s="193" t="s">
        <v>330</v>
      </c>
      <c r="AD23" s="193" t="s">
        <v>331</v>
      </c>
      <c r="AE23" s="193" t="s">
        <v>332</v>
      </c>
      <c r="AF23" s="193" t="s">
        <v>333</v>
      </c>
      <c r="AG23" s="193" t="s">
        <v>334</v>
      </c>
      <c r="AH23" s="193" t="s">
        <v>335</v>
      </c>
      <c r="AI23" s="193" t="s">
        <v>336</v>
      </c>
      <c r="AJ23" s="193" t="s">
        <v>337</v>
      </c>
      <c r="AK23" s="193" t="s">
        <v>338</v>
      </c>
      <c r="AL23" s="193" t="s">
        <v>339</v>
      </c>
      <c r="AM23" s="193" t="s">
        <v>340</v>
      </c>
      <c r="AN23" s="193" t="s">
        <v>341</v>
      </c>
      <c r="AO23" s="193" t="s">
        <v>342</v>
      </c>
      <c r="AP23" s="193" t="s">
        <v>343</v>
      </c>
      <c r="AQ23" s="193" t="s">
        <v>344</v>
      </c>
      <c r="AR23" s="193" t="s">
        <v>345</v>
      </c>
      <c r="AS23" s="193" t="s">
        <v>346</v>
      </c>
      <c r="AT23" s="193" t="s">
        <v>347</v>
      </c>
      <c r="AU23" s="193" t="s">
        <v>348</v>
      </c>
      <c r="AV23" s="193" t="s">
        <v>349</v>
      </c>
      <c r="AW23" s="193" t="s">
        <v>350</v>
      </c>
      <c r="AX23" s="193" t="s">
        <v>351</v>
      </c>
      <c r="AY23" s="193" t="s">
        <v>352</v>
      </c>
      <c r="AZ23" s="193" t="s">
        <v>353</v>
      </c>
      <c r="BA23" s="193" t="s">
        <v>354</v>
      </c>
      <c r="BB23" s="193" t="s">
        <v>355</v>
      </c>
      <c r="BC23" s="193" t="s">
        <v>356</v>
      </c>
      <c r="BD23" s="193" t="s">
        <v>357</v>
      </c>
      <c r="BE23" s="193" t="s">
        <v>358</v>
      </c>
    </row>
    <row r="24" spans="2:57" ht="30" x14ac:dyDescent="0.2">
      <c r="B24" s="189">
        <f>B20+1</f>
        <v>9</v>
      </c>
      <c r="C24" s="194" t="s">
        <v>359</v>
      </c>
      <c r="D24" s="194"/>
      <c r="E24" s="195"/>
      <c r="F24" s="213"/>
      <c r="G24" s="197"/>
      <c r="H24" s="803" t="s">
        <v>1373</v>
      </c>
      <c r="I24" s="803" t="s">
        <v>1373</v>
      </c>
      <c r="J24" s="803" t="s">
        <v>1373</v>
      </c>
      <c r="K24" s="803" t="s">
        <v>1374</v>
      </c>
      <c r="L24" s="803" t="s">
        <v>1375</v>
      </c>
      <c r="M24" s="803" t="s">
        <v>1376</v>
      </c>
      <c r="N24" s="803" t="s">
        <v>1376</v>
      </c>
      <c r="O24" s="803" t="s">
        <v>1376</v>
      </c>
      <c r="P24" s="803" t="s">
        <v>1377</v>
      </c>
      <c r="Q24" s="803" t="s">
        <v>1378</v>
      </c>
      <c r="R24" s="803" t="s">
        <v>1377</v>
      </c>
      <c r="S24" s="803" t="s">
        <v>1377</v>
      </c>
      <c r="T24" s="736"/>
      <c r="U24" s="736"/>
      <c r="V24" s="736"/>
      <c r="W24" s="736"/>
      <c r="X24" s="736"/>
      <c r="Y24" s="736"/>
      <c r="Z24" s="736"/>
      <c r="AA24" s="736"/>
      <c r="AB24" s="736"/>
      <c r="AC24" s="736"/>
      <c r="AD24" s="736"/>
      <c r="AE24" s="736"/>
      <c r="AF24" s="736"/>
      <c r="AG24" s="736"/>
      <c r="AH24" s="736"/>
      <c r="AI24" s="736"/>
      <c r="AJ24" s="736"/>
      <c r="AK24" s="736"/>
      <c r="AL24" s="736"/>
      <c r="AM24" s="736"/>
      <c r="AN24" s="736"/>
      <c r="AO24" s="736"/>
      <c r="AP24" s="736"/>
      <c r="AQ24" s="736"/>
      <c r="AR24" s="736"/>
      <c r="AS24" s="736"/>
      <c r="AT24" s="736"/>
      <c r="AU24" s="736"/>
      <c r="AV24" s="736"/>
      <c r="AW24" s="736"/>
      <c r="AX24" s="736"/>
      <c r="AY24" s="736"/>
      <c r="AZ24" s="736"/>
      <c r="BA24" s="736"/>
      <c r="BB24" s="736"/>
      <c r="BC24" s="736"/>
      <c r="BD24" s="736"/>
      <c r="BE24" s="736"/>
    </row>
    <row r="25" spans="2:57" ht="18" x14ac:dyDescent="0.2">
      <c r="B25" s="1195">
        <f>B24+1</f>
        <v>10</v>
      </c>
      <c r="C25" s="1193" t="s">
        <v>360</v>
      </c>
      <c r="D25" s="198" t="s">
        <v>361</v>
      </c>
      <c r="E25" s="199" t="s">
        <v>362</v>
      </c>
      <c r="F25" s="200" t="s">
        <v>387</v>
      </c>
      <c r="G25" s="201">
        <f>SUM(H25:BE25)</f>
        <v>136</v>
      </c>
      <c r="H25" s="738">
        <v>16</v>
      </c>
      <c r="I25" s="738">
        <v>16</v>
      </c>
      <c r="J25" s="738">
        <v>16</v>
      </c>
      <c r="K25" s="738">
        <v>16</v>
      </c>
      <c r="L25" s="738">
        <v>16</v>
      </c>
      <c r="M25" s="738">
        <v>8</v>
      </c>
      <c r="N25" s="738">
        <v>8</v>
      </c>
      <c r="O25" s="738">
        <v>8</v>
      </c>
      <c r="P25" s="738">
        <v>8</v>
      </c>
      <c r="Q25" s="738">
        <v>8</v>
      </c>
      <c r="R25" s="738">
        <v>8</v>
      </c>
      <c r="S25" s="738">
        <v>8</v>
      </c>
      <c r="T25" s="738"/>
      <c r="U25" s="738"/>
      <c r="V25" s="738"/>
      <c r="W25" s="738"/>
      <c r="X25" s="738"/>
      <c r="Y25" s="738"/>
      <c r="Z25" s="738"/>
      <c r="AA25" s="738"/>
      <c r="AB25" s="738"/>
      <c r="AC25" s="738"/>
      <c r="AD25" s="738"/>
      <c r="AE25" s="738"/>
      <c r="AF25" s="738"/>
      <c r="AG25" s="738"/>
      <c r="AH25" s="738"/>
      <c r="AI25" s="738"/>
      <c r="AJ25" s="738"/>
      <c r="AK25" s="738"/>
      <c r="AL25" s="738"/>
      <c r="AM25" s="738"/>
      <c r="AN25" s="738"/>
      <c r="AO25" s="738"/>
      <c r="AP25" s="738"/>
      <c r="AQ25" s="738"/>
      <c r="AR25" s="738"/>
      <c r="AS25" s="738"/>
      <c r="AT25" s="738"/>
      <c r="AU25" s="738"/>
      <c r="AV25" s="738"/>
      <c r="AW25" s="738"/>
      <c r="AX25" s="738"/>
      <c r="AY25" s="738"/>
      <c r="AZ25" s="738"/>
      <c r="BA25" s="738"/>
      <c r="BB25" s="738"/>
      <c r="BC25" s="738"/>
      <c r="BD25" s="738"/>
      <c r="BE25" s="738"/>
    </row>
    <row r="26" spans="2:57" ht="18" x14ac:dyDescent="0.2">
      <c r="B26" s="1197"/>
      <c r="C26" s="1194"/>
      <c r="D26" s="198" t="s">
        <v>16</v>
      </c>
      <c r="E26" s="199"/>
      <c r="F26" s="200" t="s">
        <v>388</v>
      </c>
      <c r="G26" s="202">
        <f>SUM(H26:BE26)</f>
        <v>476</v>
      </c>
      <c r="H26" s="739">
        <f>H7</f>
        <v>160</v>
      </c>
      <c r="I26" s="739">
        <f t="shared" ref="I26:S26" si="6">I7</f>
        <v>28</v>
      </c>
      <c r="J26" s="739">
        <f t="shared" si="6"/>
        <v>8</v>
      </c>
      <c r="K26" s="739">
        <f t="shared" si="6"/>
        <v>64</v>
      </c>
      <c r="L26" s="739">
        <f t="shared" si="6"/>
        <v>30</v>
      </c>
      <c r="M26" s="739">
        <f t="shared" si="6"/>
        <v>8</v>
      </c>
      <c r="N26" s="739">
        <f t="shared" si="6"/>
        <v>8</v>
      </c>
      <c r="O26" s="739">
        <f t="shared" si="6"/>
        <v>102</v>
      </c>
      <c r="P26" s="739">
        <f t="shared" si="6"/>
        <v>12</v>
      </c>
      <c r="Q26" s="739">
        <f t="shared" si="6"/>
        <v>46</v>
      </c>
      <c r="R26" s="739">
        <f t="shared" si="6"/>
        <v>9</v>
      </c>
      <c r="S26" s="739">
        <f t="shared" si="6"/>
        <v>1</v>
      </c>
      <c r="T26" s="739"/>
      <c r="U26" s="739"/>
      <c r="V26" s="739"/>
      <c r="W26" s="739"/>
      <c r="X26" s="739"/>
      <c r="Y26" s="739"/>
      <c r="Z26" s="739"/>
      <c r="AA26" s="739"/>
      <c r="AB26" s="739"/>
      <c r="AC26" s="739"/>
      <c r="AD26" s="739"/>
      <c r="AE26" s="739"/>
      <c r="AF26" s="739"/>
      <c r="AG26" s="739"/>
      <c r="AH26" s="739"/>
      <c r="AI26" s="739"/>
      <c r="AJ26" s="739"/>
      <c r="AK26" s="739"/>
      <c r="AL26" s="739"/>
      <c r="AM26" s="739"/>
      <c r="AN26" s="739"/>
      <c r="AO26" s="739"/>
      <c r="AP26" s="739"/>
      <c r="AQ26" s="739"/>
      <c r="AR26" s="739"/>
      <c r="AS26" s="739"/>
      <c r="AT26" s="739"/>
      <c r="AU26" s="739"/>
      <c r="AV26" s="739"/>
      <c r="AW26" s="739"/>
      <c r="AX26" s="739"/>
      <c r="AY26" s="739"/>
      <c r="AZ26" s="739"/>
      <c r="BA26" s="739"/>
      <c r="BB26" s="739"/>
      <c r="BC26" s="739"/>
      <c r="BD26" s="739"/>
      <c r="BE26" s="739"/>
    </row>
    <row r="27" spans="2:57" ht="18" x14ac:dyDescent="0.2">
      <c r="B27" s="1195">
        <f>B25+1</f>
        <v>11</v>
      </c>
      <c r="C27" s="1193" t="s">
        <v>365</v>
      </c>
      <c r="D27" s="198" t="s">
        <v>361</v>
      </c>
      <c r="E27" s="199" t="s">
        <v>362</v>
      </c>
      <c r="F27" s="200" t="s">
        <v>389</v>
      </c>
      <c r="G27" s="201">
        <f>SUM(H27:BE27)</f>
        <v>0</v>
      </c>
      <c r="H27" s="737"/>
      <c r="I27" s="737"/>
      <c r="J27" s="738"/>
      <c r="K27" s="738"/>
      <c r="L27" s="738"/>
      <c r="M27" s="738"/>
      <c r="N27" s="738"/>
      <c r="O27" s="738"/>
      <c r="P27" s="738"/>
      <c r="Q27" s="738"/>
      <c r="R27" s="738"/>
      <c r="S27" s="738"/>
      <c r="T27" s="738"/>
      <c r="U27" s="738"/>
      <c r="V27" s="738"/>
      <c r="W27" s="738"/>
      <c r="X27" s="738"/>
      <c r="Y27" s="738"/>
      <c r="Z27" s="738"/>
      <c r="AA27" s="738"/>
      <c r="AB27" s="738"/>
      <c r="AC27" s="738"/>
      <c r="AD27" s="738"/>
      <c r="AE27" s="738"/>
      <c r="AF27" s="738"/>
      <c r="AG27" s="738"/>
      <c r="AH27" s="738"/>
      <c r="AI27" s="738"/>
      <c r="AJ27" s="738"/>
      <c r="AK27" s="738"/>
      <c r="AL27" s="738"/>
      <c r="AM27" s="738"/>
      <c r="AN27" s="738"/>
      <c r="AO27" s="738"/>
      <c r="AP27" s="738"/>
      <c r="AQ27" s="738"/>
      <c r="AR27" s="738"/>
      <c r="AS27" s="738"/>
      <c r="AT27" s="738"/>
      <c r="AU27" s="738"/>
      <c r="AV27" s="738"/>
      <c r="AW27" s="738"/>
      <c r="AX27" s="738"/>
      <c r="AY27" s="738"/>
      <c r="AZ27" s="738"/>
      <c r="BA27" s="738"/>
      <c r="BB27" s="738"/>
      <c r="BC27" s="738"/>
      <c r="BD27" s="738"/>
      <c r="BE27" s="738"/>
    </row>
    <row r="28" spans="2:57" ht="18" x14ac:dyDescent="0.2">
      <c r="B28" s="1197"/>
      <c r="C28" s="1194"/>
      <c r="D28" s="198" t="s">
        <v>16</v>
      </c>
      <c r="E28" s="199"/>
      <c r="F28" s="200" t="s">
        <v>390</v>
      </c>
      <c r="G28" s="202">
        <f>SUM(H28:BE28)</f>
        <v>0</v>
      </c>
      <c r="H28" s="739"/>
      <c r="I28" s="739"/>
      <c r="J28" s="739"/>
      <c r="K28" s="739"/>
      <c r="L28" s="739"/>
      <c r="M28" s="739"/>
      <c r="N28" s="739"/>
      <c r="O28" s="739"/>
      <c r="P28" s="739"/>
      <c r="Q28" s="739"/>
      <c r="R28" s="739"/>
      <c r="S28" s="739"/>
      <c r="T28" s="739"/>
      <c r="U28" s="739"/>
      <c r="V28" s="739"/>
      <c r="W28" s="739"/>
      <c r="X28" s="739"/>
      <c r="Y28" s="739"/>
      <c r="Z28" s="739"/>
      <c r="AA28" s="739"/>
      <c r="AB28" s="739"/>
      <c r="AC28" s="739"/>
      <c r="AD28" s="739"/>
      <c r="AE28" s="739"/>
      <c r="AF28" s="739"/>
      <c r="AG28" s="739"/>
      <c r="AH28" s="739"/>
      <c r="AI28" s="739"/>
      <c r="AJ28" s="739"/>
      <c r="AK28" s="739"/>
      <c r="AL28" s="739"/>
      <c r="AM28" s="739"/>
      <c r="AN28" s="739"/>
      <c r="AO28" s="739"/>
      <c r="AP28" s="739"/>
      <c r="AQ28" s="739"/>
      <c r="AR28" s="739"/>
      <c r="AS28" s="739"/>
      <c r="AT28" s="739"/>
      <c r="AU28" s="739"/>
      <c r="AV28" s="739"/>
      <c r="AW28" s="739"/>
      <c r="AX28" s="739"/>
      <c r="AY28" s="739"/>
      <c r="AZ28" s="739"/>
      <c r="BA28" s="739"/>
      <c r="BB28" s="739"/>
      <c r="BC28" s="739"/>
      <c r="BD28" s="739"/>
      <c r="BE28" s="739"/>
    </row>
    <row r="29" spans="2:57" ht="18" x14ac:dyDescent="0.2">
      <c r="B29" s="189">
        <f>B27+1</f>
        <v>12</v>
      </c>
      <c r="C29" s="194" t="s">
        <v>368</v>
      </c>
      <c r="D29" s="194"/>
      <c r="E29" s="199" t="s">
        <v>369</v>
      </c>
      <c r="F29" s="200" t="s">
        <v>391</v>
      </c>
      <c r="G29" s="201">
        <f>SUM(H29:BE29)</f>
        <v>6.13</v>
      </c>
      <c r="H29" s="203">
        <f>(H25*H26+H27*H28)/1000</f>
        <v>2.56</v>
      </c>
      <c r="I29" s="203">
        <f t="shared" ref="I29:BE29" si="7">ROUND((I25*I26+I27*I28)/1000,2)</f>
        <v>0.45</v>
      </c>
      <c r="J29" s="203">
        <f t="shared" si="7"/>
        <v>0.13</v>
      </c>
      <c r="K29" s="203">
        <f t="shared" si="7"/>
        <v>1.02</v>
      </c>
      <c r="L29" s="203">
        <f t="shared" si="7"/>
        <v>0.48</v>
      </c>
      <c r="M29" s="203">
        <f t="shared" si="7"/>
        <v>0.06</v>
      </c>
      <c r="N29" s="203">
        <f t="shared" si="7"/>
        <v>0.06</v>
      </c>
      <c r="O29" s="203">
        <f t="shared" si="7"/>
        <v>0.82</v>
      </c>
      <c r="P29" s="203">
        <f t="shared" si="7"/>
        <v>0.1</v>
      </c>
      <c r="Q29" s="203">
        <f t="shared" si="7"/>
        <v>0.37</v>
      </c>
      <c r="R29" s="203">
        <f t="shared" si="7"/>
        <v>7.0000000000000007E-2</v>
      </c>
      <c r="S29" s="203">
        <f t="shared" si="7"/>
        <v>0.01</v>
      </c>
      <c r="T29" s="203">
        <f t="shared" si="7"/>
        <v>0</v>
      </c>
      <c r="U29" s="203">
        <f t="shared" si="7"/>
        <v>0</v>
      </c>
      <c r="V29" s="203">
        <f t="shared" si="7"/>
        <v>0</v>
      </c>
      <c r="W29" s="203">
        <f t="shared" si="7"/>
        <v>0</v>
      </c>
      <c r="X29" s="203">
        <f t="shared" si="7"/>
        <v>0</v>
      </c>
      <c r="Y29" s="203">
        <f t="shared" si="7"/>
        <v>0</v>
      </c>
      <c r="Z29" s="203">
        <f t="shared" si="7"/>
        <v>0</v>
      </c>
      <c r="AA29" s="203">
        <f t="shared" si="7"/>
        <v>0</v>
      </c>
      <c r="AB29" s="203">
        <f t="shared" si="7"/>
        <v>0</v>
      </c>
      <c r="AC29" s="203">
        <f t="shared" si="7"/>
        <v>0</v>
      </c>
      <c r="AD29" s="203">
        <f t="shared" si="7"/>
        <v>0</v>
      </c>
      <c r="AE29" s="203">
        <f t="shared" si="7"/>
        <v>0</v>
      </c>
      <c r="AF29" s="203">
        <f t="shared" si="7"/>
        <v>0</v>
      </c>
      <c r="AG29" s="203">
        <f t="shared" si="7"/>
        <v>0</v>
      </c>
      <c r="AH29" s="203">
        <f t="shared" si="7"/>
        <v>0</v>
      </c>
      <c r="AI29" s="203">
        <f t="shared" si="7"/>
        <v>0</v>
      </c>
      <c r="AJ29" s="203">
        <f t="shared" si="7"/>
        <v>0</v>
      </c>
      <c r="AK29" s="203">
        <f t="shared" si="7"/>
        <v>0</v>
      </c>
      <c r="AL29" s="203">
        <f t="shared" si="7"/>
        <v>0</v>
      </c>
      <c r="AM29" s="203">
        <f t="shared" si="7"/>
        <v>0</v>
      </c>
      <c r="AN29" s="203">
        <f t="shared" si="7"/>
        <v>0</v>
      </c>
      <c r="AO29" s="203">
        <f t="shared" si="7"/>
        <v>0</v>
      </c>
      <c r="AP29" s="203">
        <f t="shared" si="7"/>
        <v>0</v>
      </c>
      <c r="AQ29" s="203">
        <f t="shared" si="7"/>
        <v>0</v>
      </c>
      <c r="AR29" s="203">
        <f t="shared" si="7"/>
        <v>0</v>
      </c>
      <c r="AS29" s="203">
        <f t="shared" si="7"/>
        <v>0</v>
      </c>
      <c r="AT29" s="203">
        <f t="shared" si="7"/>
        <v>0</v>
      </c>
      <c r="AU29" s="203">
        <f t="shared" si="7"/>
        <v>0</v>
      </c>
      <c r="AV29" s="203">
        <f t="shared" si="7"/>
        <v>0</v>
      </c>
      <c r="AW29" s="203">
        <f t="shared" si="7"/>
        <v>0</v>
      </c>
      <c r="AX29" s="203">
        <f t="shared" si="7"/>
        <v>0</v>
      </c>
      <c r="AY29" s="203">
        <f t="shared" si="7"/>
        <v>0</v>
      </c>
      <c r="AZ29" s="203">
        <f t="shared" si="7"/>
        <v>0</v>
      </c>
      <c r="BA29" s="203">
        <f t="shared" si="7"/>
        <v>0</v>
      </c>
      <c r="BB29" s="203">
        <f t="shared" si="7"/>
        <v>0</v>
      </c>
      <c r="BC29" s="203">
        <f t="shared" si="7"/>
        <v>0</v>
      </c>
      <c r="BD29" s="203">
        <f t="shared" si="7"/>
        <v>0</v>
      </c>
      <c r="BE29" s="203">
        <f t="shared" si="7"/>
        <v>0</v>
      </c>
    </row>
    <row r="30" spans="2:57" x14ac:dyDescent="0.2">
      <c r="B30" s="1195">
        <f>B29+1</f>
        <v>13</v>
      </c>
      <c r="C30" s="194" t="s">
        <v>371</v>
      </c>
      <c r="D30" s="194"/>
      <c r="E30" s="199" t="s">
        <v>372</v>
      </c>
      <c r="F30" s="200"/>
      <c r="G30" s="204"/>
      <c r="H30" s="804">
        <f>H11</f>
        <v>9</v>
      </c>
      <c r="I30" s="804">
        <f t="shared" ref="I30:S31" si="8">I11</f>
        <v>4</v>
      </c>
      <c r="J30" s="804">
        <f t="shared" si="8"/>
        <v>4</v>
      </c>
      <c r="K30" s="804">
        <f t="shared" si="8"/>
        <v>2</v>
      </c>
      <c r="L30" s="804">
        <f t="shared" si="8"/>
        <v>2</v>
      </c>
      <c r="M30" s="804">
        <f t="shared" si="8"/>
        <v>9</v>
      </c>
      <c r="N30" s="804">
        <f t="shared" si="8"/>
        <v>12</v>
      </c>
      <c r="O30" s="804">
        <f t="shared" si="8"/>
        <v>4</v>
      </c>
      <c r="P30" s="804">
        <f t="shared" si="8"/>
        <v>9</v>
      </c>
      <c r="Q30" s="804">
        <f t="shared" si="8"/>
        <v>2</v>
      </c>
      <c r="R30" s="804">
        <f t="shared" si="8"/>
        <v>12</v>
      </c>
      <c r="S30" s="804">
        <f t="shared" si="8"/>
        <v>9</v>
      </c>
      <c r="T30" s="740"/>
      <c r="U30" s="740"/>
      <c r="V30" s="740"/>
      <c r="W30" s="740"/>
      <c r="X30" s="740"/>
      <c r="Y30" s="740"/>
      <c r="Z30" s="740"/>
      <c r="AA30" s="740"/>
      <c r="AB30" s="740"/>
      <c r="AC30" s="740"/>
      <c r="AD30" s="740"/>
      <c r="AE30" s="740"/>
      <c r="AF30" s="740"/>
      <c r="AG30" s="740"/>
      <c r="AH30" s="740"/>
      <c r="AI30" s="740"/>
      <c r="AJ30" s="740"/>
      <c r="AK30" s="740"/>
      <c r="AL30" s="740"/>
      <c r="AM30" s="740"/>
      <c r="AN30" s="740"/>
      <c r="AO30" s="740"/>
      <c r="AP30" s="740"/>
      <c r="AQ30" s="740"/>
      <c r="AR30" s="740"/>
      <c r="AS30" s="740"/>
      <c r="AT30" s="740"/>
      <c r="AU30" s="740"/>
      <c r="AV30" s="740"/>
      <c r="AW30" s="740"/>
      <c r="AX30" s="740"/>
      <c r="AY30" s="740"/>
      <c r="AZ30" s="740"/>
      <c r="BA30" s="740"/>
      <c r="BB30" s="740"/>
      <c r="BC30" s="740"/>
      <c r="BD30" s="740"/>
      <c r="BE30" s="740"/>
    </row>
    <row r="31" spans="2:57" x14ac:dyDescent="0.2">
      <c r="B31" s="1196"/>
      <c r="C31" s="205" t="s">
        <v>373</v>
      </c>
      <c r="D31" s="205"/>
      <c r="E31" s="206" t="s">
        <v>374</v>
      </c>
      <c r="F31" s="200"/>
      <c r="G31" s="204"/>
      <c r="H31" s="805">
        <v>217</v>
      </c>
      <c r="I31" s="805">
        <v>217</v>
      </c>
      <c r="J31" s="805">
        <v>217</v>
      </c>
      <c r="K31" s="805">
        <v>217</v>
      </c>
      <c r="L31" s="741">
        <v>173</v>
      </c>
      <c r="M31" s="741">
        <v>217</v>
      </c>
      <c r="N31" s="741">
        <v>303</v>
      </c>
      <c r="O31" s="741">
        <v>217</v>
      </c>
      <c r="P31" s="741">
        <v>217</v>
      </c>
      <c r="Q31" s="741">
        <v>217</v>
      </c>
      <c r="R31" s="741">
        <v>303</v>
      </c>
      <c r="S31" s="741">
        <v>217</v>
      </c>
      <c r="T31" s="741"/>
      <c r="U31" s="741"/>
      <c r="V31" s="741"/>
      <c r="W31" s="741"/>
      <c r="X31" s="741"/>
      <c r="Y31" s="741"/>
      <c r="Z31" s="741"/>
      <c r="AA31" s="741"/>
      <c r="AB31" s="741"/>
      <c r="AC31" s="741"/>
      <c r="AD31" s="741"/>
      <c r="AE31" s="741"/>
      <c r="AF31" s="741"/>
      <c r="AG31" s="741"/>
      <c r="AH31" s="741"/>
      <c r="AI31" s="741"/>
      <c r="AJ31" s="741"/>
      <c r="AK31" s="741"/>
      <c r="AL31" s="741"/>
      <c r="AM31" s="741"/>
      <c r="AN31" s="741"/>
      <c r="AO31" s="741"/>
      <c r="AP31" s="741"/>
      <c r="AQ31" s="741"/>
      <c r="AR31" s="741"/>
      <c r="AS31" s="741"/>
      <c r="AT31" s="741"/>
      <c r="AU31" s="741"/>
      <c r="AV31" s="741"/>
      <c r="AW31" s="741"/>
      <c r="AX31" s="741"/>
      <c r="AY31" s="741"/>
      <c r="AZ31" s="741"/>
      <c r="BA31" s="741"/>
      <c r="BB31" s="741"/>
      <c r="BC31" s="741"/>
      <c r="BD31" s="741"/>
      <c r="BE31" s="741"/>
    </row>
    <row r="32" spans="2:57" ht="18" x14ac:dyDescent="0.2">
      <c r="B32" s="1197"/>
      <c r="C32" s="194" t="s">
        <v>375</v>
      </c>
      <c r="D32" s="194"/>
      <c r="E32" s="199" t="s">
        <v>376</v>
      </c>
      <c r="F32" s="200" t="s">
        <v>392</v>
      </c>
      <c r="G32" s="204"/>
      <c r="H32" s="207">
        <f>H30*H31</f>
        <v>1953</v>
      </c>
      <c r="I32" s="207">
        <f t="shared" ref="I32:BE32" si="9">ROUND(I30*I31,2)</f>
        <v>868</v>
      </c>
      <c r="J32" s="207">
        <f t="shared" si="9"/>
        <v>868</v>
      </c>
      <c r="K32" s="207">
        <f t="shared" si="9"/>
        <v>434</v>
      </c>
      <c r="L32" s="207">
        <f t="shared" si="9"/>
        <v>346</v>
      </c>
      <c r="M32" s="207">
        <f t="shared" si="9"/>
        <v>1953</v>
      </c>
      <c r="N32" s="207">
        <f t="shared" si="9"/>
        <v>3636</v>
      </c>
      <c r="O32" s="207">
        <f t="shared" si="9"/>
        <v>868</v>
      </c>
      <c r="P32" s="207">
        <f t="shared" si="9"/>
        <v>1953</v>
      </c>
      <c r="Q32" s="207">
        <f t="shared" si="9"/>
        <v>434</v>
      </c>
      <c r="R32" s="207">
        <f t="shared" si="9"/>
        <v>3636</v>
      </c>
      <c r="S32" s="207">
        <f t="shared" si="9"/>
        <v>1953</v>
      </c>
      <c r="T32" s="207">
        <f t="shared" si="9"/>
        <v>0</v>
      </c>
      <c r="U32" s="207">
        <f t="shared" si="9"/>
        <v>0</v>
      </c>
      <c r="V32" s="207">
        <f t="shared" si="9"/>
        <v>0</v>
      </c>
      <c r="W32" s="207">
        <f t="shared" si="9"/>
        <v>0</v>
      </c>
      <c r="X32" s="207">
        <f t="shared" si="9"/>
        <v>0</v>
      </c>
      <c r="Y32" s="207">
        <f t="shared" si="9"/>
        <v>0</v>
      </c>
      <c r="Z32" s="207">
        <f t="shared" si="9"/>
        <v>0</v>
      </c>
      <c r="AA32" s="207">
        <f t="shared" si="9"/>
        <v>0</v>
      </c>
      <c r="AB32" s="207">
        <f t="shared" si="9"/>
        <v>0</v>
      </c>
      <c r="AC32" s="207">
        <f t="shared" si="9"/>
        <v>0</v>
      </c>
      <c r="AD32" s="207">
        <f t="shared" si="9"/>
        <v>0</v>
      </c>
      <c r="AE32" s="207">
        <f t="shared" si="9"/>
        <v>0</v>
      </c>
      <c r="AF32" s="207">
        <f t="shared" si="9"/>
        <v>0</v>
      </c>
      <c r="AG32" s="207">
        <f t="shared" si="9"/>
        <v>0</v>
      </c>
      <c r="AH32" s="207">
        <f t="shared" si="9"/>
        <v>0</v>
      </c>
      <c r="AI32" s="207">
        <f t="shared" si="9"/>
        <v>0</v>
      </c>
      <c r="AJ32" s="207">
        <f t="shared" si="9"/>
        <v>0</v>
      </c>
      <c r="AK32" s="207">
        <f t="shared" si="9"/>
        <v>0</v>
      </c>
      <c r="AL32" s="207">
        <f t="shared" si="9"/>
        <v>0</v>
      </c>
      <c r="AM32" s="207">
        <f t="shared" si="9"/>
        <v>0</v>
      </c>
      <c r="AN32" s="207">
        <f t="shared" si="9"/>
        <v>0</v>
      </c>
      <c r="AO32" s="207">
        <f t="shared" si="9"/>
        <v>0</v>
      </c>
      <c r="AP32" s="207">
        <f t="shared" si="9"/>
        <v>0</v>
      </c>
      <c r="AQ32" s="207">
        <f t="shared" si="9"/>
        <v>0</v>
      </c>
      <c r="AR32" s="207">
        <f t="shared" si="9"/>
        <v>0</v>
      </c>
      <c r="AS32" s="207">
        <f t="shared" si="9"/>
        <v>0</v>
      </c>
      <c r="AT32" s="207">
        <f t="shared" si="9"/>
        <v>0</v>
      </c>
      <c r="AU32" s="207">
        <f t="shared" si="9"/>
        <v>0</v>
      </c>
      <c r="AV32" s="207">
        <f t="shared" si="9"/>
        <v>0</v>
      </c>
      <c r="AW32" s="207">
        <f t="shared" si="9"/>
        <v>0</v>
      </c>
      <c r="AX32" s="207">
        <f t="shared" si="9"/>
        <v>0</v>
      </c>
      <c r="AY32" s="207">
        <f t="shared" si="9"/>
        <v>0</v>
      </c>
      <c r="AZ32" s="207">
        <f t="shared" si="9"/>
        <v>0</v>
      </c>
      <c r="BA32" s="207">
        <f t="shared" si="9"/>
        <v>0</v>
      </c>
      <c r="BB32" s="207">
        <f t="shared" si="9"/>
        <v>0</v>
      </c>
      <c r="BC32" s="207">
        <f t="shared" si="9"/>
        <v>0</v>
      </c>
      <c r="BD32" s="207">
        <f t="shared" si="9"/>
        <v>0</v>
      </c>
      <c r="BE32" s="207">
        <f t="shared" si="9"/>
        <v>0</v>
      </c>
    </row>
    <row r="33" spans="2:57" x14ac:dyDescent="0.2">
      <c r="B33" s="1195">
        <f>B30+1</f>
        <v>14</v>
      </c>
      <c r="C33" s="194" t="s">
        <v>702</v>
      </c>
      <c r="D33" s="194"/>
      <c r="E33" s="199" t="s">
        <v>279</v>
      </c>
      <c r="F33" s="200" t="s">
        <v>697</v>
      </c>
      <c r="G33" s="299">
        <v>12</v>
      </c>
      <c r="H33" s="806">
        <f>H14</f>
        <v>12</v>
      </c>
      <c r="I33" s="806">
        <f t="shared" ref="I33:O33" si="10">I14</f>
        <v>12</v>
      </c>
      <c r="J33" s="806">
        <f t="shared" si="10"/>
        <v>12</v>
      </c>
      <c r="K33" s="806">
        <f t="shared" si="10"/>
        <v>12</v>
      </c>
      <c r="L33" s="806">
        <f t="shared" si="10"/>
        <v>12</v>
      </c>
      <c r="M33" s="806">
        <f t="shared" si="10"/>
        <v>12</v>
      </c>
      <c r="N33" s="806">
        <f t="shared" si="10"/>
        <v>12</v>
      </c>
      <c r="O33" s="806">
        <f t="shared" si="10"/>
        <v>12</v>
      </c>
      <c r="P33" s="739">
        <v>12</v>
      </c>
      <c r="Q33" s="739">
        <v>12</v>
      </c>
      <c r="R33" s="739">
        <v>12</v>
      </c>
      <c r="S33" s="739">
        <v>12</v>
      </c>
      <c r="T33" s="739"/>
      <c r="U33" s="739"/>
      <c r="V33" s="739"/>
      <c r="W33" s="739"/>
      <c r="X33" s="739"/>
      <c r="Y33" s="739"/>
      <c r="Z33" s="739"/>
      <c r="AA33" s="739"/>
      <c r="AB33" s="739"/>
      <c r="AC33" s="739"/>
      <c r="AD33" s="739"/>
      <c r="AE33" s="739"/>
      <c r="AF33" s="739"/>
      <c r="AG33" s="739"/>
      <c r="AH33" s="739"/>
      <c r="AI33" s="739"/>
      <c r="AJ33" s="739"/>
      <c r="AK33" s="739"/>
      <c r="AL33" s="739"/>
      <c r="AM33" s="739"/>
      <c r="AN33" s="739"/>
      <c r="AO33" s="739"/>
      <c r="AP33" s="739"/>
      <c r="AQ33" s="739"/>
      <c r="AR33" s="739"/>
      <c r="AS33" s="739"/>
      <c r="AT33" s="739"/>
      <c r="AU33" s="739"/>
      <c r="AV33" s="739"/>
      <c r="AW33" s="739"/>
      <c r="AX33" s="739"/>
      <c r="AY33" s="739"/>
      <c r="AZ33" s="739"/>
      <c r="BA33" s="739"/>
      <c r="BB33" s="739"/>
      <c r="BC33" s="739"/>
      <c r="BD33" s="739"/>
      <c r="BE33" s="739"/>
    </row>
    <row r="34" spans="2:57" x14ac:dyDescent="0.2">
      <c r="B34" s="1196"/>
      <c r="C34" s="194" t="s">
        <v>703</v>
      </c>
      <c r="D34" s="194"/>
      <c r="E34" s="195" t="s">
        <v>700</v>
      </c>
      <c r="F34" s="200" t="s">
        <v>698</v>
      </c>
      <c r="G34" s="299">
        <v>22</v>
      </c>
      <c r="H34" s="806">
        <f t="shared" ref="H34:O35" si="11">H15</f>
        <v>22</v>
      </c>
      <c r="I34" s="806">
        <f t="shared" si="11"/>
        <v>22</v>
      </c>
      <c r="J34" s="806">
        <f t="shared" si="11"/>
        <v>22</v>
      </c>
      <c r="K34" s="806">
        <f t="shared" si="11"/>
        <v>22</v>
      </c>
      <c r="L34" s="806">
        <f t="shared" si="11"/>
        <v>22</v>
      </c>
      <c r="M34" s="806">
        <f t="shared" si="11"/>
        <v>22</v>
      </c>
      <c r="N34" s="806">
        <f t="shared" si="11"/>
        <v>22</v>
      </c>
      <c r="O34" s="806">
        <f t="shared" si="11"/>
        <v>22</v>
      </c>
      <c r="P34" s="739">
        <v>22</v>
      </c>
      <c r="Q34" s="739">
        <v>22</v>
      </c>
      <c r="R34" s="739">
        <v>22</v>
      </c>
      <c r="S34" s="739">
        <v>22</v>
      </c>
      <c r="T34" s="739"/>
      <c r="U34" s="739"/>
      <c r="V34" s="739"/>
      <c r="W34" s="739"/>
      <c r="X34" s="739"/>
      <c r="Y34" s="739"/>
      <c r="Z34" s="739"/>
      <c r="AA34" s="739"/>
      <c r="AB34" s="739"/>
      <c r="AC34" s="739"/>
      <c r="AD34" s="739"/>
      <c r="AE34" s="739"/>
      <c r="AF34" s="739"/>
      <c r="AG34" s="739"/>
      <c r="AH34" s="739"/>
      <c r="AI34" s="739"/>
      <c r="AJ34" s="739"/>
      <c r="AK34" s="739"/>
      <c r="AL34" s="739"/>
      <c r="AM34" s="739"/>
      <c r="AN34" s="739"/>
      <c r="AO34" s="739"/>
      <c r="AP34" s="739"/>
      <c r="AQ34" s="739"/>
      <c r="AR34" s="739"/>
      <c r="AS34" s="739"/>
      <c r="AT34" s="739"/>
      <c r="AU34" s="739"/>
      <c r="AV34" s="739"/>
      <c r="AW34" s="739"/>
      <c r="AX34" s="739"/>
      <c r="AY34" s="739"/>
      <c r="AZ34" s="739"/>
      <c r="BA34" s="739"/>
      <c r="BB34" s="739"/>
      <c r="BC34" s="739"/>
      <c r="BD34" s="739"/>
      <c r="BE34" s="739"/>
    </row>
    <row r="35" spans="2:57" x14ac:dyDescent="0.2">
      <c r="B35" s="1196"/>
      <c r="C35" s="194" t="s">
        <v>704</v>
      </c>
      <c r="D35" s="194"/>
      <c r="E35" s="195" t="s">
        <v>701</v>
      </c>
      <c r="F35" s="200" t="s">
        <v>699</v>
      </c>
      <c r="G35" s="299">
        <v>3</v>
      </c>
      <c r="H35" s="806">
        <f t="shared" si="11"/>
        <v>0</v>
      </c>
      <c r="I35" s="806">
        <f t="shared" si="11"/>
        <v>0</v>
      </c>
      <c r="J35" s="806">
        <f t="shared" si="11"/>
        <v>3</v>
      </c>
      <c r="K35" s="806">
        <f t="shared" si="11"/>
        <v>0</v>
      </c>
      <c r="L35" s="806">
        <f t="shared" si="11"/>
        <v>0</v>
      </c>
      <c r="M35" s="806">
        <f t="shared" si="11"/>
        <v>0</v>
      </c>
      <c r="N35" s="806">
        <f t="shared" si="11"/>
        <v>3</v>
      </c>
      <c r="O35" s="806">
        <f t="shared" si="11"/>
        <v>0</v>
      </c>
      <c r="P35" s="739">
        <v>0</v>
      </c>
      <c r="Q35" s="739">
        <v>0</v>
      </c>
      <c r="R35" s="739">
        <v>3</v>
      </c>
      <c r="S35" s="739">
        <v>0</v>
      </c>
      <c r="T35" s="739"/>
      <c r="U35" s="739"/>
      <c r="V35" s="739"/>
      <c r="W35" s="739"/>
      <c r="X35" s="739"/>
      <c r="Y35" s="739"/>
      <c r="Z35" s="739"/>
      <c r="AA35" s="739"/>
      <c r="AB35" s="739"/>
      <c r="AC35" s="739"/>
      <c r="AD35" s="739"/>
      <c r="AE35" s="739"/>
      <c r="AF35" s="739"/>
      <c r="AG35" s="739"/>
      <c r="AH35" s="739"/>
      <c r="AI35" s="739"/>
      <c r="AJ35" s="739"/>
      <c r="AK35" s="739"/>
      <c r="AL35" s="739"/>
      <c r="AM35" s="739"/>
      <c r="AN35" s="739"/>
      <c r="AO35" s="739"/>
      <c r="AP35" s="739"/>
      <c r="AQ35" s="739"/>
      <c r="AR35" s="739"/>
      <c r="AS35" s="739"/>
      <c r="AT35" s="739"/>
      <c r="AU35" s="739"/>
      <c r="AV35" s="739"/>
      <c r="AW35" s="739"/>
      <c r="AX35" s="739"/>
      <c r="AY35" s="739"/>
      <c r="AZ35" s="739"/>
      <c r="BA35" s="739"/>
      <c r="BB35" s="739"/>
      <c r="BC35" s="739"/>
      <c r="BD35" s="739"/>
      <c r="BE35" s="739"/>
    </row>
    <row r="36" spans="2:57" ht="18" x14ac:dyDescent="0.2">
      <c r="B36" s="1196"/>
      <c r="C36" s="194" t="s">
        <v>378</v>
      </c>
      <c r="D36" s="194"/>
      <c r="E36" s="199" t="s">
        <v>369</v>
      </c>
      <c r="F36" s="200" t="s">
        <v>393</v>
      </c>
      <c r="G36" s="201">
        <f>SUM(H36:BE36)</f>
        <v>0.26</v>
      </c>
      <c r="H36" s="208">
        <f>H29*((H33*H34*H35)/($G$33*$G$34*$G$35))</f>
        <v>0</v>
      </c>
      <c r="I36" s="208">
        <f t="shared" ref="I36:BE36" si="12">I29*((I33*I34*I35)/($G$33*$G$34*$G$35))</f>
        <v>0</v>
      </c>
      <c r="J36" s="208">
        <f t="shared" si="12"/>
        <v>0.13</v>
      </c>
      <c r="K36" s="208">
        <f t="shared" si="12"/>
        <v>0</v>
      </c>
      <c r="L36" s="208">
        <f t="shared" si="12"/>
        <v>0</v>
      </c>
      <c r="M36" s="208">
        <f t="shared" si="12"/>
        <v>0</v>
      </c>
      <c r="N36" s="208">
        <f t="shared" si="12"/>
        <v>0.06</v>
      </c>
      <c r="O36" s="208">
        <f t="shared" si="12"/>
        <v>0</v>
      </c>
      <c r="P36" s="208">
        <f t="shared" si="12"/>
        <v>0</v>
      </c>
      <c r="Q36" s="208">
        <f t="shared" si="12"/>
        <v>0</v>
      </c>
      <c r="R36" s="208">
        <f t="shared" si="12"/>
        <v>7.0000000000000007E-2</v>
      </c>
      <c r="S36" s="208">
        <f t="shared" si="12"/>
        <v>0</v>
      </c>
      <c r="T36" s="208">
        <f t="shared" si="12"/>
        <v>0</v>
      </c>
      <c r="U36" s="208">
        <f t="shared" si="12"/>
        <v>0</v>
      </c>
      <c r="V36" s="208">
        <f t="shared" si="12"/>
        <v>0</v>
      </c>
      <c r="W36" s="208">
        <f t="shared" si="12"/>
        <v>0</v>
      </c>
      <c r="X36" s="208">
        <f t="shared" si="12"/>
        <v>0</v>
      </c>
      <c r="Y36" s="208">
        <f t="shared" si="12"/>
        <v>0</v>
      </c>
      <c r="Z36" s="208">
        <f t="shared" si="12"/>
        <v>0</v>
      </c>
      <c r="AA36" s="208">
        <f t="shared" si="12"/>
        <v>0</v>
      </c>
      <c r="AB36" s="208">
        <f t="shared" si="12"/>
        <v>0</v>
      </c>
      <c r="AC36" s="208">
        <f t="shared" si="12"/>
        <v>0</v>
      </c>
      <c r="AD36" s="208">
        <f t="shared" si="12"/>
        <v>0</v>
      </c>
      <c r="AE36" s="208">
        <f t="shared" si="12"/>
        <v>0</v>
      </c>
      <c r="AF36" s="208">
        <f t="shared" si="12"/>
        <v>0</v>
      </c>
      <c r="AG36" s="208">
        <f t="shared" si="12"/>
        <v>0</v>
      </c>
      <c r="AH36" s="208">
        <f t="shared" si="12"/>
        <v>0</v>
      </c>
      <c r="AI36" s="208">
        <f t="shared" si="12"/>
        <v>0</v>
      </c>
      <c r="AJ36" s="208">
        <f t="shared" si="12"/>
        <v>0</v>
      </c>
      <c r="AK36" s="208">
        <f t="shared" si="12"/>
        <v>0</v>
      </c>
      <c r="AL36" s="208">
        <f t="shared" si="12"/>
        <v>0</v>
      </c>
      <c r="AM36" s="208">
        <f t="shared" si="12"/>
        <v>0</v>
      </c>
      <c r="AN36" s="208">
        <f t="shared" si="12"/>
        <v>0</v>
      </c>
      <c r="AO36" s="208">
        <f t="shared" si="12"/>
        <v>0</v>
      </c>
      <c r="AP36" s="208">
        <f t="shared" si="12"/>
        <v>0</v>
      </c>
      <c r="AQ36" s="208">
        <f t="shared" si="12"/>
        <v>0</v>
      </c>
      <c r="AR36" s="208">
        <f t="shared" si="12"/>
        <v>0</v>
      </c>
      <c r="AS36" s="208">
        <f t="shared" si="12"/>
        <v>0</v>
      </c>
      <c r="AT36" s="208">
        <f t="shared" si="12"/>
        <v>0</v>
      </c>
      <c r="AU36" s="208">
        <f t="shared" si="12"/>
        <v>0</v>
      </c>
      <c r="AV36" s="208">
        <f t="shared" si="12"/>
        <v>0</v>
      </c>
      <c r="AW36" s="208">
        <f t="shared" si="12"/>
        <v>0</v>
      </c>
      <c r="AX36" s="208">
        <f t="shared" si="12"/>
        <v>0</v>
      </c>
      <c r="AY36" s="208">
        <f t="shared" si="12"/>
        <v>0</v>
      </c>
      <c r="AZ36" s="208">
        <f t="shared" si="12"/>
        <v>0</v>
      </c>
      <c r="BA36" s="208">
        <f t="shared" si="12"/>
        <v>0</v>
      </c>
      <c r="BB36" s="208">
        <f t="shared" si="12"/>
        <v>0</v>
      </c>
      <c r="BC36" s="208">
        <f t="shared" si="12"/>
        <v>0</v>
      </c>
      <c r="BD36" s="208">
        <f t="shared" si="12"/>
        <v>0</v>
      </c>
      <c r="BE36" s="208">
        <f t="shared" si="12"/>
        <v>0</v>
      </c>
    </row>
    <row r="37" spans="2:57" ht="18" x14ac:dyDescent="0.2">
      <c r="B37" s="1197"/>
      <c r="C37" s="194" t="s">
        <v>380</v>
      </c>
      <c r="D37" s="194"/>
      <c r="E37" s="199"/>
      <c r="F37" s="200" t="s">
        <v>394</v>
      </c>
      <c r="G37" s="204" t="str">
        <f>IF(LARGE(H37:BE37,1)&gt;1,"ERRO","")</f>
        <v/>
      </c>
      <c r="H37" s="208">
        <f>IFERROR(H36/H29,0)</f>
        <v>0</v>
      </c>
      <c r="I37" s="208">
        <f t="shared" ref="I37:BE37" si="13">IF(I29=0,0,ROUND(I36/I29,2))</f>
        <v>0</v>
      </c>
      <c r="J37" s="208">
        <f t="shared" si="13"/>
        <v>1</v>
      </c>
      <c r="K37" s="208">
        <f t="shared" si="13"/>
        <v>0</v>
      </c>
      <c r="L37" s="208">
        <f t="shared" si="13"/>
        <v>0</v>
      </c>
      <c r="M37" s="208">
        <f t="shared" si="13"/>
        <v>0</v>
      </c>
      <c r="N37" s="208">
        <f t="shared" si="13"/>
        <v>1</v>
      </c>
      <c r="O37" s="208">
        <f t="shared" si="13"/>
        <v>0</v>
      </c>
      <c r="P37" s="208">
        <f t="shared" si="13"/>
        <v>0</v>
      </c>
      <c r="Q37" s="208">
        <f t="shared" si="13"/>
        <v>0</v>
      </c>
      <c r="R37" s="208">
        <f t="shared" si="13"/>
        <v>1</v>
      </c>
      <c r="S37" s="208">
        <f t="shared" si="13"/>
        <v>0</v>
      </c>
      <c r="T37" s="208">
        <f t="shared" si="13"/>
        <v>0</v>
      </c>
      <c r="U37" s="208">
        <f t="shared" si="13"/>
        <v>0</v>
      </c>
      <c r="V37" s="208">
        <f t="shared" si="13"/>
        <v>0</v>
      </c>
      <c r="W37" s="208">
        <f t="shared" si="13"/>
        <v>0</v>
      </c>
      <c r="X37" s="208">
        <f t="shared" si="13"/>
        <v>0</v>
      </c>
      <c r="Y37" s="208">
        <f t="shared" si="13"/>
        <v>0</v>
      </c>
      <c r="Z37" s="208">
        <f t="shared" si="13"/>
        <v>0</v>
      </c>
      <c r="AA37" s="208">
        <f t="shared" si="13"/>
        <v>0</v>
      </c>
      <c r="AB37" s="208">
        <f t="shared" si="13"/>
        <v>0</v>
      </c>
      <c r="AC37" s="208">
        <f t="shared" si="13"/>
        <v>0</v>
      </c>
      <c r="AD37" s="208">
        <f t="shared" si="13"/>
        <v>0</v>
      </c>
      <c r="AE37" s="208">
        <f t="shared" si="13"/>
        <v>0</v>
      </c>
      <c r="AF37" s="208">
        <f t="shared" si="13"/>
        <v>0</v>
      </c>
      <c r="AG37" s="208">
        <f t="shared" si="13"/>
        <v>0</v>
      </c>
      <c r="AH37" s="208">
        <f t="shared" si="13"/>
        <v>0</v>
      </c>
      <c r="AI37" s="208">
        <f t="shared" si="13"/>
        <v>0</v>
      </c>
      <c r="AJ37" s="208">
        <f t="shared" si="13"/>
        <v>0</v>
      </c>
      <c r="AK37" s="208">
        <f t="shared" si="13"/>
        <v>0</v>
      </c>
      <c r="AL37" s="208">
        <f t="shared" si="13"/>
        <v>0</v>
      </c>
      <c r="AM37" s="208">
        <f t="shared" si="13"/>
        <v>0</v>
      </c>
      <c r="AN37" s="208">
        <f t="shared" si="13"/>
        <v>0</v>
      </c>
      <c r="AO37" s="208">
        <f t="shared" si="13"/>
        <v>0</v>
      </c>
      <c r="AP37" s="208">
        <f t="shared" si="13"/>
        <v>0</v>
      </c>
      <c r="AQ37" s="208">
        <f t="shared" si="13"/>
        <v>0</v>
      </c>
      <c r="AR37" s="208">
        <f t="shared" si="13"/>
        <v>0</v>
      </c>
      <c r="AS37" s="208">
        <f t="shared" si="13"/>
        <v>0</v>
      </c>
      <c r="AT37" s="208">
        <f t="shared" si="13"/>
        <v>0</v>
      </c>
      <c r="AU37" s="208">
        <f t="shared" si="13"/>
        <v>0</v>
      </c>
      <c r="AV37" s="208">
        <f t="shared" si="13"/>
        <v>0</v>
      </c>
      <c r="AW37" s="208">
        <f t="shared" si="13"/>
        <v>0</v>
      </c>
      <c r="AX37" s="208">
        <f t="shared" si="13"/>
        <v>0</v>
      </c>
      <c r="AY37" s="208">
        <f t="shared" si="13"/>
        <v>0</v>
      </c>
      <c r="AZ37" s="208">
        <f t="shared" si="13"/>
        <v>0</v>
      </c>
      <c r="BA37" s="208">
        <f t="shared" si="13"/>
        <v>0</v>
      </c>
      <c r="BB37" s="208">
        <f t="shared" si="13"/>
        <v>0</v>
      </c>
      <c r="BC37" s="208">
        <f t="shared" si="13"/>
        <v>0</v>
      </c>
      <c r="BD37" s="208">
        <f t="shared" si="13"/>
        <v>0</v>
      </c>
      <c r="BE37" s="208">
        <f t="shared" si="13"/>
        <v>0</v>
      </c>
    </row>
    <row r="38" spans="2:57" ht="18" x14ac:dyDescent="0.2">
      <c r="B38" s="189">
        <f>B33+1</f>
        <v>15</v>
      </c>
      <c r="C38" s="194" t="s">
        <v>382</v>
      </c>
      <c r="D38" s="194"/>
      <c r="E38" s="199" t="s">
        <v>383</v>
      </c>
      <c r="F38" s="200" t="s">
        <v>395</v>
      </c>
      <c r="G38" s="210">
        <f>SUM(H38:BE38)</f>
        <v>7.7896800000000006</v>
      </c>
      <c r="H38" s="207">
        <f>(H29*H32)/1000</f>
        <v>4.9996800000000006</v>
      </c>
      <c r="I38" s="207">
        <f t="shared" ref="I38:BE38" si="14">ROUND((I29*I32)/1000,2)</f>
        <v>0.39</v>
      </c>
      <c r="J38" s="207">
        <f t="shared" si="14"/>
        <v>0.11</v>
      </c>
      <c r="K38" s="207">
        <f t="shared" si="14"/>
        <v>0.44</v>
      </c>
      <c r="L38" s="207">
        <f t="shared" si="14"/>
        <v>0.17</v>
      </c>
      <c r="M38" s="207">
        <f t="shared" si="14"/>
        <v>0.12</v>
      </c>
      <c r="N38" s="207">
        <f t="shared" si="14"/>
        <v>0.22</v>
      </c>
      <c r="O38" s="207">
        <f t="shared" si="14"/>
        <v>0.71</v>
      </c>
      <c r="P38" s="207">
        <f t="shared" si="14"/>
        <v>0.2</v>
      </c>
      <c r="Q38" s="207">
        <f t="shared" si="14"/>
        <v>0.16</v>
      </c>
      <c r="R38" s="207">
        <f t="shared" si="14"/>
        <v>0.25</v>
      </c>
      <c r="S38" s="207">
        <f t="shared" si="14"/>
        <v>0.02</v>
      </c>
      <c r="T38" s="207">
        <f t="shared" si="14"/>
        <v>0</v>
      </c>
      <c r="U38" s="207">
        <f t="shared" si="14"/>
        <v>0</v>
      </c>
      <c r="V38" s="207">
        <f t="shared" si="14"/>
        <v>0</v>
      </c>
      <c r="W38" s="207">
        <f t="shared" si="14"/>
        <v>0</v>
      </c>
      <c r="X38" s="207">
        <f t="shared" si="14"/>
        <v>0</v>
      </c>
      <c r="Y38" s="207">
        <f t="shared" si="14"/>
        <v>0</v>
      </c>
      <c r="Z38" s="207">
        <f t="shared" si="14"/>
        <v>0</v>
      </c>
      <c r="AA38" s="207">
        <f t="shared" si="14"/>
        <v>0</v>
      </c>
      <c r="AB38" s="207">
        <f t="shared" si="14"/>
        <v>0</v>
      </c>
      <c r="AC38" s="207">
        <f t="shared" si="14"/>
        <v>0</v>
      </c>
      <c r="AD38" s="207">
        <f t="shared" si="14"/>
        <v>0</v>
      </c>
      <c r="AE38" s="207">
        <f t="shared" si="14"/>
        <v>0</v>
      </c>
      <c r="AF38" s="207">
        <f t="shared" si="14"/>
        <v>0</v>
      </c>
      <c r="AG38" s="207">
        <f t="shared" si="14"/>
        <v>0</v>
      </c>
      <c r="AH38" s="207">
        <f t="shared" si="14"/>
        <v>0</v>
      </c>
      <c r="AI38" s="207">
        <f t="shared" si="14"/>
        <v>0</v>
      </c>
      <c r="AJ38" s="207">
        <f t="shared" si="14"/>
        <v>0</v>
      </c>
      <c r="AK38" s="207">
        <f t="shared" si="14"/>
        <v>0</v>
      </c>
      <c r="AL38" s="207">
        <f t="shared" si="14"/>
        <v>0</v>
      </c>
      <c r="AM38" s="207">
        <f t="shared" si="14"/>
        <v>0</v>
      </c>
      <c r="AN38" s="207">
        <f t="shared" si="14"/>
        <v>0</v>
      </c>
      <c r="AO38" s="207">
        <f t="shared" si="14"/>
        <v>0</v>
      </c>
      <c r="AP38" s="207">
        <f t="shared" si="14"/>
        <v>0</v>
      </c>
      <c r="AQ38" s="207">
        <f t="shared" si="14"/>
        <v>0</v>
      </c>
      <c r="AR38" s="207">
        <f t="shared" si="14"/>
        <v>0</v>
      </c>
      <c r="AS38" s="207">
        <f t="shared" si="14"/>
        <v>0</v>
      </c>
      <c r="AT38" s="207">
        <f t="shared" si="14"/>
        <v>0</v>
      </c>
      <c r="AU38" s="207">
        <f t="shared" si="14"/>
        <v>0</v>
      </c>
      <c r="AV38" s="207">
        <f t="shared" si="14"/>
        <v>0</v>
      </c>
      <c r="AW38" s="207">
        <f t="shared" si="14"/>
        <v>0</v>
      </c>
      <c r="AX38" s="207">
        <f t="shared" si="14"/>
        <v>0</v>
      </c>
      <c r="AY38" s="207">
        <f t="shared" si="14"/>
        <v>0</v>
      </c>
      <c r="AZ38" s="207">
        <f t="shared" si="14"/>
        <v>0</v>
      </c>
      <c r="BA38" s="207">
        <f t="shared" si="14"/>
        <v>0</v>
      </c>
      <c r="BB38" s="207">
        <f t="shared" si="14"/>
        <v>0</v>
      </c>
      <c r="BC38" s="207">
        <f t="shared" si="14"/>
        <v>0</v>
      </c>
      <c r="BD38" s="207">
        <f t="shared" si="14"/>
        <v>0</v>
      </c>
      <c r="BE38" s="207">
        <f t="shared" si="14"/>
        <v>0</v>
      </c>
    </row>
    <row r="39" spans="2:57" ht="18" x14ac:dyDescent="0.2">
      <c r="B39" s="189">
        <f>B38+1</f>
        <v>16</v>
      </c>
      <c r="C39" s="194" t="s">
        <v>385</v>
      </c>
      <c r="D39" s="194"/>
      <c r="E39" s="199" t="s">
        <v>369</v>
      </c>
      <c r="F39" s="200" t="s">
        <v>396</v>
      </c>
      <c r="G39" s="210">
        <f>SUM(H39:BE39)</f>
        <v>0.26</v>
      </c>
      <c r="H39" s="207">
        <f>H29*H37</f>
        <v>0</v>
      </c>
      <c r="I39" s="207">
        <f t="shared" ref="I39:BE39" si="15">ROUND(I29*I37,2)</f>
        <v>0</v>
      </c>
      <c r="J39" s="207">
        <f t="shared" si="15"/>
        <v>0.13</v>
      </c>
      <c r="K39" s="207">
        <f t="shared" si="15"/>
        <v>0</v>
      </c>
      <c r="L39" s="207">
        <f t="shared" si="15"/>
        <v>0</v>
      </c>
      <c r="M39" s="207">
        <f t="shared" si="15"/>
        <v>0</v>
      </c>
      <c r="N39" s="207">
        <f t="shared" si="15"/>
        <v>0.06</v>
      </c>
      <c r="O39" s="207">
        <f t="shared" si="15"/>
        <v>0</v>
      </c>
      <c r="P39" s="207">
        <f t="shared" si="15"/>
        <v>0</v>
      </c>
      <c r="Q39" s="207">
        <f t="shared" si="15"/>
        <v>0</v>
      </c>
      <c r="R39" s="207">
        <f t="shared" si="15"/>
        <v>7.0000000000000007E-2</v>
      </c>
      <c r="S39" s="207">
        <f t="shared" si="15"/>
        <v>0</v>
      </c>
      <c r="T39" s="207">
        <f t="shared" si="15"/>
        <v>0</v>
      </c>
      <c r="U39" s="207">
        <f t="shared" si="15"/>
        <v>0</v>
      </c>
      <c r="V39" s="207">
        <f t="shared" si="15"/>
        <v>0</v>
      </c>
      <c r="W39" s="207">
        <f t="shared" si="15"/>
        <v>0</v>
      </c>
      <c r="X39" s="207">
        <f t="shared" si="15"/>
        <v>0</v>
      </c>
      <c r="Y39" s="207">
        <f t="shared" si="15"/>
        <v>0</v>
      </c>
      <c r="Z39" s="207">
        <f t="shared" si="15"/>
        <v>0</v>
      </c>
      <c r="AA39" s="207">
        <f t="shared" si="15"/>
        <v>0</v>
      </c>
      <c r="AB39" s="207">
        <f t="shared" si="15"/>
        <v>0</v>
      </c>
      <c r="AC39" s="207">
        <f t="shared" si="15"/>
        <v>0</v>
      </c>
      <c r="AD39" s="207">
        <f t="shared" si="15"/>
        <v>0</v>
      </c>
      <c r="AE39" s="207">
        <f t="shared" si="15"/>
        <v>0</v>
      </c>
      <c r="AF39" s="207">
        <f t="shared" si="15"/>
        <v>0</v>
      </c>
      <c r="AG39" s="207">
        <f t="shared" si="15"/>
        <v>0</v>
      </c>
      <c r="AH39" s="207">
        <f t="shared" si="15"/>
        <v>0</v>
      </c>
      <c r="AI39" s="207">
        <f t="shared" si="15"/>
        <v>0</v>
      </c>
      <c r="AJ39" s="207">
        <f t="shared" si="15"/>
        <v>0</v>
      </c>
      <c r="AK39" s="207">
        <f t="shared" si="15"/>
        <v>0</v>
      </c>
      <c r="AL39" s="207">
        <f t="shared" si="15"/>
        <v>0</v>
      </c>
      <c r="AM39" s="207">
        <f t="shared" si="15"/>
        <v>0</v>
      </c>
      <c r="AN39" s="207">
        <f t="shared" si="15"/>
        <v>0</v>
      </c>
      <c r="AO39" s="207">
        <f t="shared" si="15"/>
        <v>0</v>
      </c>
      <c r="AP39" s="207">
        <f t="shared" si="15"/>
        <v>0</v>
      </c>
      <c r="AQ39" s="207">
        <f t="shared" si="15"/>
        <v>0</v>
      </c>
      <c r="AR39" s="207">
        <f t="shared" si="15"/>
        <v>0</v>
      </c>
      <c r="AS39" s="207">
        <f t="shared" si="15"/>
        <v>0</v>
      </c>
      <c r="AT39" s="207">
        <f t="shared" si="15"/>
        <v>0</v>
      </c>
      <c r="AU39" s="207">
        <f t="shared" si="15"/>
        <v>0</v>
      </c>
      <c r="AV39" s="207">
        <f t="shared" si="15"/>
        <v>0</v>
      </c>
      <c r="AW39" s="207">
        <f t="shared" si="15"/>
        <v>0</v>
      </c>
      <c r="AX39" s="207">
        <f t="shared" si="15"/>
        <v>0</v>
      </c>
      <c r="AY39" s="207">
        <f t="shared" si="15"/>
        <v>0</v>
      </c>
      <c r="AZ39" s="207">
        <f t="shared" si="15"/>
        <v>0</v>
      </c>
      <c r="BA39" s="207">
        <f t="shared" si="15"/>
        <v>0</v>
      </c>
      <c r="BB39" s="207">
        <f t="shared" si="15"/>
        <v>0</v>
      </c>
      <c r="BC39" s="207">
        <f t="shared" si="15"/>
        <v>0</v>
      </c>
      <c r="BD39" s="207">
        <f t="shared" si="15"/>
        <v>0</v>
      </c>
      <c r="BE39" s="207">
        <f t="shared" si="15"/>
        <v>0</v>
      </c>
    </row>
    <row r="41" spans="2:57" x14ac:dyDescent="0.2">
      <c r="B41" s="1199" t="s">
        <v>865</v>
      </c>
      <c r="C41" s="1199"/>
      <c r="D41" s="1199"/>
      <c r="E41" s="1199"/>
      <c r="F41" s="1199"/>
      <c r="G41" s="188"/>
      <c r="H41" s="188"/>
      <c r="I41" s="188"/>
      <c r="J41" s="188"/>
      <c r="K41" s="188"/>
      <c r="L41" s="188"/>
      <c r="M41" s="188"/>
      <c r="N41" s="188"/>
      <c r="O41" s="188"/>
      <c r="P41" s="188"/>
      <c r="Q41" s="188"/>
      <c r="R41" s="188"/>
      <c r="S41" s="188"/>
      <c r="T41" s="188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  <c r="AO41" s="188"/>
      <c r="AP41" s="188"/>
      <c r="AQ41" s="188"/>
      <c r="AR41" s="188"/>
      <c r="AS41" s="188"/>
      <c r="AT41" s="188"/>
      <c r="AU41" s="188"/>
      <c r="AV41" s="188"/>
      <c r="AW41" s="188"/>
      <c r="AX41" s="188"/>
      <c r="AY41" s="188"/>
      <c r="AZ41" s="188"/>
      <c r="BA41" s="188"/>
      <c r="BB41" s="188"/>
      <c r="BC41" s="188"/>
      <c r="BD41" s="188"/>
      <c r="BE41" s="188"/>
    </row>
    <row r="42" spans="2:57" s="423" customFormat="1" x14ac:dyDescent="0.2">
      <c r="B42" s="189"/>
      <c r="C42" s="214"/>
      <c r="D42" s="214"/>
      <c r="E42" s="214"/>
      <c r="F42" s="212"/>
      <c r="G42" s="192" t="s">
        <v>31</v>
      </c>
      <c r="H42" s="193" t="s">
        <v>309</v>
      </c>
      <c r="I42" s="193" t="s">
        <v>310</v>
      </c>
      <c r="J42" s="193" t="s">
        <v>311</v>
      </c>
      <c r="K42" s="193" t="s">
        <v>312</v>
      </c>
      <c r="L42" s="193" t="s">
        <v>313</v>
      </c>
      <c r="M42" s="193" t="s">
        <v>314</v>
      </c>
      <c r="N42" s="193" t="s">
        <v>315</v>
      </c>
      <c r="O42" s="193" t="s">
        <v>316</v>
      </c>
      <c r="P42" s="193" t="s">
        <v>317</v>
      </c>
      <c r="Q42" s="193" t="s">
        <v>318</v>
      </c>
      <c r="R42" s="193" t="s">
        <v>319</v>
      </c>
      <c r="S42" s="193" t="s">
        <v>320</v>
      </c>
      <c r="T42" s="193" t="s">
        <v>321</v>
      </c>
      <c r="U42" s="193" t="s">
        <v>322</v>
      </c>
      <c r="V42" s="193" t="s">
        <v>323</v>
      </c>
      <c r="W42" s="193" t="s">
        <v>324</v>
      </c>
      <c r="X42" s="193" t="s">
        <v>325</v>
      </c>
      <c r="Y42" s="193" t="s">
        <v>326</v>
      </c>
      <c r="Z42" s="193" t="s">
        <v>327</v>
      </c>
      <c r="AA42" s="193" t="s">
        <v>328</v>
      </c>
      <c r="AB42" s="193" t="s">
        <v>329</v>
      </c>
      <c r="AC42" s="193" t="s">
        <v>330</v>
      </c>
      <c r="AD42" s="193" t="s">
        <v>331</v>
      </c>
      <c r="AE42" s="193" t="s">
        <v>332</v>
      </c>
      <c r="AF42" s="193" t="s">
        <v>333</v>
      </c>
      <c r="AG42" s="193" t="s">
        <v>334</v>
      </c>
      <c r="AH42" s="193" t="s">
        <v>335</v>
      </c>
      <c r="AI42" s="193" t="s">
        <v>336</v>
      </c>
      <c r="AJ42" s="193" t="s">
        <v>337</v>
      </c>
      <c r="AK42" s="193" t="s">
        <v>338</v>
      </c>
      <c r="AL42" s="193" t="s">
        <v>339</v>
      </c>
      <c r="AM42" s="193" t="s">
        <v>340</v>
      </c>
      <c r="AN42" s="193" t="s">
        <v>341</v>
      </c>
      <c r="AO42" s="193" t="s">
        <v>342</v>
      </c>
      <c r="AP42" s="193" t="s">
        <v>343</v>
      </c>
      <c r="AQ42" s="193" t="s">
        <v>344</v>
      </c>
      <c r="AR42" s="193" t="s">
        <v>345</v>
      </c>
      <c r="AS42" s="193" t="s">
        <v>346</v>
      </c>
      <c r="AT42" s="193" t="s">
        <v>347</v>
      </c>
      <c r="AU42" s="193" t="s">
        <v>348</v>
      </c>
      <c r="AV42" s="193" t="s">
        <v>349</v>
      </c>
      <c r="AW42" s="193" t="s">
        <v>350</v>
      </c>
      <c r="AX42" s="193" t="s">
        <v>351</v>
      </c>
      <c r="AY42" s="193" t="s">
        <v>352</v>
      </c>
      <c r="AZ42" s="193" t="s">
        <v>353</v>
      </c>
      <c r="BA42" s="193" t="s">
        <v>354</v>
      </c>
      <c r="BB42" s="193" t="s">
        <v>355</v>
      </c>
      <c r="BC42" s="193" t="s">
        <v>356</v>
      </c>
      <c r="BD42" s="193" t="s">
        <v>357</v>
      </c>
      <c r="BE42" s="193" t="s">
        <v>358</v>
      </c>
    </row>
    <row r="43" spans="2:57" ht="18" x14ac:dyDescent="0.2">
      <c r="B43" s="189">
        <f>B39+1</f>
        <v>17</v>
      </c>
      <c r="C43" s="215" t="s">
        <v>218</v>
      </c>
      <c r="D43" s="215"/>
      <c r="E43" s="216" t="s">
        <v>369</v>
      </c>
      <c r="F43" s="200" t="s">
        <v>397</v>
      </c>
      <c r="G43" s="210">
        <f>SUM(H43:BE43)</f>
        <v>0.54399999999999993</v>
      </c>
      <c r="H43" s="207">
        <f>H20-H39</f>
        <v>0</v>
      </c>
      <c r="I43" s="207">
        <f t="shared" ref="I43:BE43" si="16">I20-I39</f>
        <v>0</v>
      </c>
      <c r="J43" s="207">
        <f t="shared" si="16"/>
        <v>0.27799999999999997</v>
      </c>
      <c r="K43" s="207">
        <f t="shared" si="16"/>
        <v>0</v>
      </c>
      <c r="L43" s="207">
        <f t="shared" si="16"/>
        <v>0</v>
      </c>
      <c r="M43" s="207">
        <f t="shared" si="16"/>
        <v>0</v>
      </c>
      <c r="N43" s="207">
        <f t="shared" si="16"/>
        <v>0.156</v>
      </c>
      <c r="O43" s="207">
        <f t="shared" si="16"/>
        <v>0</v>
      </c>
      <c r="P43" s="207">
        <f t="shared" si="16"/>
        <v>0</v>
      </c>
      <c r="Q43" s="207">
        <f t="shared" si="16"/>
        <v>0</v>
      </c>
      <c r="R43" s="207">
        <f t="shared" si="16"/>
        <v>0.10999999999999999</v>
      </c>
      <c r="S43" s="207">
        <f t="shared" si="16"/>
        <v>0</v>
      </c>
      <c r="T43" s="207">
        <f t="shared" si="16"/>
        <v>0</v>
      </c>
      <c r="U43" s="207">
        <f t="shared" si="16"/>
        <v>0</v>
      </c>
      <c r="V43" s="207">
        <f t="shared" si="16"/>
        <v>0</v>
      </c>
      <c r="W43" s="207">
        <f t="shared" si="16"/>
        <v>0</v>
      </c>
      <c r="X43" s="207">
        <f t="shared" si="16"/>
        <v>0</v>
      </c>
      <c r="Y43" s="207">
        <f t="shared" si="16"/>
        <v>0</v>
      </c>
      <c r="Z43" s="207">
        <f t="shared" si="16"/>
        <v>0</v>
      </c>
      <c r="AA43" s="207">
        <f t="shared" si="16"/>
        <v>0</v>
      </c>
      <c r="AB43" s="207">
        <f t="shared" si="16"/>
        <v>0</v>
      </c>
      <c r="AC43" s="207">
        <f t="shared" si="16"/>
        <v>0</v>
      </c>
      <c r="AD43" s="207">
        <f t="shared" si="16"/>
        <v>0</v>
      </c>
      <c r="AE43" s="207">
        <f t="shared" si="16"/>
        <v>0</v>
      </c>
      <c r="AF43" s="207">
        <f t="shared" si="16"/>
        <v>0</v>
      </c>
      <c r="AG43" s="207">
        <f t="shared" si="16"/>
        <v>0</v>
      </c>
      <c r="AH43" s="207">
        <f t="shared" si="16"/>
        <v>0</v>
      </c>
      <c r="AI43" s="207">
        <f t="shared" si="16"/>
        <v>0</v>
      </c>
      <c r="AJ43" s="207">
        <f t="shared" si="16"/>
        <v>0</v>
      </c>
      <c r="AK43" s="207">
        <f t="shared" si="16"/>
        <v>0</v>
      </c>
      <c r="AL43" s="207">
        <f t="shared" si="16"/>
        <v>0</v>
      </c>
      <c r="AM43" s="207">
        <f t="shared" si="16"/>
        <v>0</v>
      </c>
      <c r="AN43" s="207">
        <f t="shared" si="16"/>
        <v>0</v>
      </c>
      <c r="AO43" s="207">
        <f t="shared" si="16"/>
        <v>0</v>
      </c>
      <c r="AP43" s="207">
        <f t="shared" si="16"/>
        <v>0</v>
      </c>
      <c r="AQ43" s="207">
        <f t="shared" si="16"/>
        <v>0</v>
      </c>
      <c r="AR43" s="207">
        <f t="shared" si="16"/>
        <v>0</v>
      </c>
      <c r="AS43" s="207">
        <f t="shared" si="16"/>
        <v>0</v>
      </c>
      <c r="AT43" s="207">
        <f t="shared" si="16"/>
        <v>0</v>
      </c>
      <c r="AU43" s="207">
        <f t="shared" si="16"/>
        <v>0</v>
      </c>
      <c r="AV43" s="207">
        <f t="shared" si="16"/>
        <v>0</v>
      </c>
      <c r="AW43" s="207">
        <f t="shared" si="16"/>
        <v>0</v>
      </c>
      <c r="AX43" s="207">
        <f t="shared" si="16"/>
        <v>0</v>
      </c>
      <c r="AY43" s="207">
        <f t="shared" si="16"/>
        <v>0</v>
      </c>
      <c r="AZ43" s="207">
        <f t="shared" si="16"/>
        <v>0</v>
      </c>
      <c r="BA43" s="207">
        <f t="shared" si="16"/>
        <v>0</v>
      </c>
      <c r="BB43" s="207">
        <f t="shared" si="16"/>
        <v>0</v>
      </c>
      <c r="BC43" s="207">
        <f t="shared" si="16"/>
        <v>0</v>
      </c>
      <c r="BD43" s="207">
        <f t="shared" si="16"/>
        <v>0</v>
      </c>
      <c r="BE43" s="207">
        <f t="shared" si="16"/>
        <v>0</v>
      </c>
    </row>
    <row r="44" spans="2:57" ht="18" x14ac:dyDescent="0.2">
      <c r="B44" s="189">
        <f>B43+1</f>
        <v>18</v>
      </c>
      <c r="C44" s="217" t="s">
        <v>398</v>
      </c>
      <c r="D44" s="218">
        <f>CED</f>
        <v>972.17356799999993</v>
      </c>
      <c r="E44" s="206" t="s">
        <v>3</v>
      </c>
      <c r="F44" s="200" t="s">
        <v>399</v>
      </c>
      <c r="G44" s="219">
        <f>IF(G20=0,0,G43/G20)</f>
        <v>0.67661691542288549</v>
      </c>
      <c r="H44" s="220">
        <f>IFERROR(H43/H20,0)</f>
        <v>0</v>
      </c>
      <c r="I44" s="220">
        <f t="shared" ref="I44:BE44" si="17">IFERROR(I43/I20,0)</f>
        <v>0</v>
      </c>
      <c r="J44" s="220">
        <f t="shared" si="17"/>
        <v>0.68137254901960786</v>
      </c>
      <c r="K44" s="220">
        <f t="shared" si="17"/>
        <v>0</v>
      </c>
      <c r="L44" s="220">
        <f t="shared" si="17"/>
        <v>0</v>
      </c>
      <c r="M44" s="220">
        <f t="shared" si="17"/>
        <v>0</v>
      </c>
      <c r="N44" s="220">
        <f t="shared" si="17"/>
        <v>0.72222222222222221</v>
      </c>
      <c r="O44" s="220">
        <f t="shared" si="17"/>
        <v>0</v>
      </c>
      <c r="P44" s="220">
        <f t="shared" si="17"/>
        <v>0</v>
      </c>
      <c r="Q44" s="220">
        <f t="shared" si="17"/>
        <v>0</v>
      </c>
      <c r="R44" s="220">
        <f t="shared" si="17"/>
        <v>0.61111111111111105</v>
      </c>
      <c r="S44" s="220">
        <f t="shared" si="17"/>
        <v>0</v>
      </c>
      <c r="T44" s="220">
        <f t="shared" si="17"/>
        <v>0</v>
      </c>
      <c r="U44" s="220">
        <f t="shared" si="17"/>
        <v>0</v>
      </c>
      <c r="V44" s="220">
        <f t="shared" si="17"/>
        <v>0</v>
      </c>
      <c r="W44" s="220">
        <f t="shared" si="17"/>
        <v>0</v>
      </c>
      <c r="X44" s="220">
        <f t="shared" si="17"/>
        <v>0</v>
      </c>
      <c r="Y44" s="220">
        <f t="shared" si="17"/>
        <v>0</v>
      </c>
      <c r="Z44" s="220">
        <f t="shared" si="17"/>
        <v>0</v>
      </c>
      <c r="AA44" s="220">
        <f t="shared" si="17"/>
        <v>0</v>
      </c>
      <c r="AB44" s="220">
        <f t="shared" si="17"/>
        <v>0</v>
      </c>
      <c r="AC44" s="220">
        <f t="shared" si="17"/>
        <v>0</v>
      </c>
      <c r="AD44" s="220">
        <f t="shared" si="17"/>
        <v>0</v>
      </c>
      <c r="AE44" s="220">
        <f t="shared" si="17"/>
        <v>0</v>
      </c>
      <c r="AF44" s="220">
        <f t="shared" si="17"/>
        <v>0</v>
      </c>
      <c r="AG44" s="220">
        <f t="shared" si="17"/>
        <v>0</v>
      </c>
      <c r="AH44" s="220">
        <f t="shared" si="17"/>
        <v>0</v>
      </c>
      <c r="AI44" s="220">
        <f t="shared" si="17"/>
        <v>0</v>
      </c>
      <c r="AJ44" s="220">
        <f t="shared" si="17"/>
        <v>0</v>
      </c>
      <c r="AK44" s="220">
        <f t="shared" si="17"/>
        <v>0</v>
      </c>
      <c r="AL44" s="220">
        <f t="shared" si="17"/>
        <v>0</v>
      </c>
      <c r="AM44" s="220">
        <f t="shared" si="17"/>
        <v>0</v>
      </c>
      <c r="AN44" s="220">
        <f t="shared" si="17"/>
        <v>0</v>
      </c>
      <c r="AO44" s="220">
        <f t="shared" si="17"/>
        <v>0</v>
      </c>
      <c r="AP44" s="220">
        <f t="shared" si="17"/>
        <v>0</v>
      </c>
      <c r="AQ44" s="220">
        <f t="shared" si="17"/>
        <v>0</v>
      </c>
      <c r="AR44" s="220">
        <f t="shared" si="17"/>
        <v>0</v>
      </c>
      <c r="AS44" s="220">
        <f t="shared" si="17"/>
        <v>0</v>
      </c>
      <c r="AT44" s="220">
        <f t="shared" si="17"/>
        <v>0</v>
      </c>
      <c r="AU44" s="220">
        <f t="shared" si="17"/>
        <v>0</v>
      </c>
      <c r="AV44" s="220">
        <f t="shared" si="17"/>
        <v>0</v>
      </c>
      <c r="AW44" s="220">
        <f t="shared" si="17"/>
        <v>0</v>
      </c>
      <c r="AX44" s="220">
        <f t="shared" si="17"/>
        <v>0</v>
      </c>
      <c r="AY44" s="220">
        <f t="shared" si="17"/>
        <v>0</v>
      </c>
      <c r="AZ44" s="220">
        <f t="shared" si="17"/>
        <v>0</v>
      </c>
      <c r="BA44" s="220">
        <f t="shared" si="17"/>
        <v>0</v>
      </c>
      <c r="BB44" s="220">
        <f t="shared" si="17"/>
        <v>0</v>
      </c>
      <c r="BC44" s="220">
        <f t="shared" si="17"/>
        <v>0</v>
      </c>
      <c r="BD44" s="220">
        <f t="shared" si="17"/>
        <v>0</v>
      </c>
      <c r="BE44" s="220">
        <f t="shared" si="17"/>
        <v>0</v>
      </c>
    </row>
    <row r="45" spans="2:57" ht="18" x14ac:dyDescent="0.2">
      <c r="B45" s="189">
        <f>B44+1</f>
        <v>19</v>
      </c>
      <c r="C45" s="215" t="s">
        <v>217</v>
      </c>
      <c r="D45" s="215"/>
      <c r="E45" s="216" t="s">
        <v>383</v>
      </c>
      <c r="F45" s="200" t="s">
        <v>400</v>
      </c>
      <c r="G45" s="210">
        <f>SUM(H45:BE45)</f>
        <v>16.667916999999999</v>
      </c>
      <c r="H45" s="207">
        <f>H19-H38</f>
        <v>10.936799999999998</v>
      </c>
      <c r="I45" s="207">
        <f t="shared" ref="I45:BE45" si="18">I19-I38</f>
        <v>0.84950399999999993</v>
      </c>
      <c r="J45" s="207">
        <f t="shared" si="18"/>
        <v>0.24414400000000003</v>
      </c>
      <c r="K45" s="207">
        <f t="shared" si="18"/>
        <v>0.97657600000000011</v>
      </c>
      <c r="L45" s="207">
        <f t="shared" si="18"/>
        <v>0.35937999999999992</v>
      </c>
      <c r="M45" s="207">
        <f t="shared" si="18"/>
        <v>0.30184800000000001</v>
      </c>
      <c r="N45" s="207">
        <f t="shared" si="18"/>
        <v>0.56537599999999999</v>
      </c>
      <c r="O45" s="207">
        <f t="shared" si="18"/>
        <v>1.6804720000000004</v>
      </c>
      <c r="P45" s="207">
        <f t="shared" si="18"/>
        <v>8.1231999999999971E-2</v>
      </c>
      <c r="Q45" s="207">
        <f t="shared" si="18"/>
        <v>0.23928000000000002</v>
      </c>
      <c r="R45" s="207">
        <f t="shared" si="18"/>
        <v>0.40448000000000006</v>
      </c>
      <c r="S45" s="207">
        <f t="shared" si="18"/>
        <v>2.8825E-2</v>
      </c>
      <c r="T45" s="207">
        <f t="shared" si="18"/>
        <v>0</v>
      </c>
      <c r="U45" s="207">
        <f t="shared" si="18"/>
        <v>0</v>
      </c>
      <c r="V45" s="207">
        <f t="shared" si="18"/>
        <v>0</v>
      </c>
      <c r="W45" s="207">
        <f t="shared" si="18"/>
        <v>0</v>
      </c>
      <c r="X45" s="207">
        <f t="shared" si="18"/>
        <v>0</v>
      </c>
      <c r="Y45" s="207">
        <f t="shared" si="18"/>
        <v>0</v>
      </c>
      <c r="Z45" s="207">
        <f t="shared" si="18"/>
        <v>0</v>
      </c>
      <c r="AA45" s="207">
        <f t="shared" si="18"/>
        <v>0</v>
      </c>
      <c r="AB45" s="207">
        <f t="shared" si="18"/>
        <v>0</v>
      </c>
      <c r="AC45" s="207">
        <f t="shared" si="18"/>
        <v>0</v>
      </c>
      <c r="AD45" s="207">
        <f t="shared" si="18"/>
        <v>0</v>
      </c>
      <c r="AE45" s="207">
        <f t="shared" si="18"/>
        <v>0</v>
      </c>
      <c r="AF45" s="207">
        <f t="shared" si="18"/>
        <v>0</v>
      </c>
      <c r="AG45" s="207">
        <f t="shared" si="18"/>
        <v>0</v>
      </c>
      <c r="AH45" s="207">
        <f t="shared" si="18"/>
        <v>0</v>
      </c>
      <c r="AI45" s="207">
        <f t="shared" si="18"/>
        <v>0</v>
      </c>
      <c r="AJ45" s="207">
        <f t="shared" si="18"/>
        <v>0</v>
      </c>
      <c r="AK45" s="207">
        <f t="shared" si="18"/>
        <v>0</v>
      </c>
      <c r="AL45" s="207">
        <f t="shared" si="18"/>
        <v>0</v>
      </c>
      <c r="AM45" s="207">
        <f t="shared" si="18"/>
        <v>0</v>
      </c>
      <c r="AN45" s="207">
        <f t="shared" si="18"/>
        <v>0</v>
      </c>
      <c r="AO45" s="207">
        <f t="shared" si="18"/>
        <v>0</v>
      </c>
      <c r="AP45" s="207">
        <f t="shared" si="18"/>
        <v>0</v>
      </c>
      <c r="AQ45" s="207">
        <f t="shared" si="18"/>
        <v>0</v>
      </c>
      <c r="AR45" s="207">
        <f t="shared" si="18"/>
        <v>0</v>
      </c>
      <c r="AS45" s="207">
        <f t="shared" si="18"/>
        <v>0</v>
      </c>
      <c r="AT45" s="207">
        <f t="shared" si="18"/>
        <v>0</v>
      </c>
      <c r="AU45" s="207">
        <f t="shared" si="18"/>
        <v>0</v>
      </c>
      <c r="AV45" s="207">
        <f t="shared" si="18"/>
        <v>0</v>
      </c>
      <c r="AW45" s="207">
        <f t="shared" si="18"/>
        <v>0</v>
      </c>
      <c r="AX45" s="207">
        <f t="shared" si="18"/>
        <v>0</v>
      </c>
      <c r="AY45" s="207">
        <f t="shared" si="18"/>
        <v>0</v>
      </c>
      <c r="AZ45" s="207">
        <f t="shared" si="18"/>
        <v>0</v>
      </c>
      <c r="BA45" s="207">
        <f t="shared" si="18"/>
        <v>0</v>
      </c>
      <c r="BB45" s="207">
        <f t="shared" si="18"/>
        <v>0</v>
      </c>
      <c r="BC45" s="207">
        <f t="shared" si="18"/>
        <v>0</v>
      </c>
      <c r="BD45" s="207">
        <f t="shared" si="18"/>
        <v>0</v>
      </c>
      <c r="BE45" s="207">
        <f t="shared" si="18"/>
        <v>0</v>
      </c>
    </row>
    <row r="46" spans="2:57" ht="18" x14ac:dyDescent="0.2">
      <c r="B46" s="189">
        <f>B45+1</f>
        <v>20</v>
      </c>
      <c r="C46" s="217" t="s">
        <v>401</v>
      </c>
      <c r="D46" s="218">
        <f>CEE</f>
        <v>308.04024884085311</v>
      </c>
      <c r="E46" s="206" t="s">
        <v>3</v>
      </c>
      <c r="F46" s="200" t="s">
        <v>402</v>
      </c>
      <c r="G46" s="219">
        <f>IF(G19=0,0,G45/G19)</f>
        <v>0.68150264312556952</v>
      </c>
      <c r="H46" s="220">
        <f>IFERROR(H45/H19,0)</f>
        <v>0.68627450980392146</v>
      </c>
      <c r="I46" s="220">
        <f t="shared" ref="I46:BE46" si="19">IFERROR(I45/I19,0)</f>
        <v>0.68535801417341125</v>
      </c>
      <c r="J46" s="220">
        <f t="shared" si="19"/>
        <v>0.68939188578657273</v>
      </c>
      <c r="K46" s="220">
        <f t="shared" si="19"/>
        <v>0.68939188578657273</v>
      </c>
      <c r="L46" s="220">
        <f t="shared" si="19"/>
        <v>0.67886962106615278</v>
      </c>
      <c r="M46" s="220">
        <f t="shared" si="19"/>
        <v>0.71553734994595208</v>
      </c>
      <c r="N46" s="220">
        <f t="shared" si="19"/>
        <v>0.71987939534694212</v>
      </c>
      <c r="O46" s="220">
        <f t="shared" si="19"/>
        <v>0.70298752714945001</v>
      </c>
      <c r="P46" s="220">
        <f t="shared" si="19"/>
        <v>0.28884337486488015</v>
      </c>
      <c r="Q46" s="220">
        <f t="shared" si="19"/>
        <v>0.59927870166299335</v>
      </c>
      <c r="R46" s="220">
        <f t="shared" si="19"/>
        <v>0.61801735729128471</v>
      </c>
      <c r="S46" s="220">
        <f t="shared" si="19"/>
        <v>0.59037378392217099</v>
      </c>
      <c r="T46" s="220">
        <f t="shared" si="19"/>
        <v>0</v>
      </c>
      <c r="U46" s="220">
        <f t="shared" si="19"/>
        <v>0</v>
      </c>
      <c r="V46" s="220">
        <f t="shared" si="19"/>
        <v>0</v>
      </c>
      <c r="W46" s="220">
        <f t="shared" si="19"/>
        <v>0</v>
      </c>
      <c r="X46" s="220">
        <f t="shared" si="19"/>
        <v>0</v>
      </c>
      <c r="Y46" s="220">
        <f t="shared" si="19"/>
        <v>0</v>
      </c>
      <c r="Z46" s="220">
        <f t="shared" si="19"/>
        <v>0</v>
      </c>
      <c r="AA46" s="220">
        <f t="shared" si="19"/>
        <v>0</v>
      </c>
      <c r="AB46" s="220">
        <f t="shared" si="19"/>
        <v>0</v>
      </c>
      <c r="AC46" s="220">
        <f t="shared" si="19"/>
        <v>0</v>
      </c>
      <c r="AD46" s="220">
        <f t="shared" si="19"/>
        <v>0</v>
      </c>
      <c r="AE46" s="220">
        <f t="shared" si="19"/>
        <v>0</v>
      </c>
      <c r="AF46" s="220">
        <f t="shared" si="19"/>
        <v>0</v>
      </c>
      <c r="AG46" s="220">
        <f t="shared" si="19"/>
        <v>0</v>
      </c>
      <c r="AH46" s="220">
        <f t="shared" si="19"/>
        <v>0</v>
      </c>
      <c r="AI46" s="220">
        <f t="shared" si="19"/>
        <v>0</v>
      </c>
      <c r="AJ46" s="220">
        <f t="shared" si="19"/>
        <v>0</v>
      </c>
      <c r="AK46" s="220">
        <f t="shared" si="19"/>
        <v>0</v>
      </c>
      <c r="AL46" s="220">
        <f t="shared" si="19"/>
        <v>0</v>
      </c>
      <c r="AM46" s="220">
        <f t="shared" si="19"/>
        <v>0</v>
      </c>
      <c r="AN46" s="220">
        <f t="shared" si="19"/>
        <v>0</v>
      </c>
      <c r="AO46" s="220">
        <f t="shared" si="19"/>
        <v>0</v>
      </c>
      <c r="AP46" s="220">
        <f t="shared" si="19"/>
        <v>0</v>
      </c>
      <c r="AQ46" s="220">
        <f t="shared" si="19"/>
        <v>0</v>
      </c>
      <c r="AR46" s="220">
        <f t="shared" si="19"/>
        <v>0</v>
      </c>
      <c r="AS46" s="220">
        <f t="shared" si="19"/>
        <v>0</v>
      </c>
      <c r="AT46" s="220">
        <f t="shared" si="19"/>
        <v>0</v>
      </c>
      <c r="AU46" s="220">
        <f t="shared" si="19"/>
        <v>0</v>
      </c>
      <c r="AV46" s="220">
        <f t="shared" si="19"/>
        <v>0</v>
      </c>
      <c r="AW46" s="220">
        <f t="shared" si="19"/>
        <v>0</v>
      </c>
      <c r="AX46" s="220">
        <f t="shared" si="19"/>
        <v>0</v>
      </c>
      <c r="AY46" s="220">
        <f t="shared" si="19"/>
        <v>0</v>
      </c>
      <c r="AZ46" s="220">
        <f t="shared" si="19"/>
        <v>0</v>
      </c>
      <c r="BA46" s="220">
        <f t="shared" si="19"/>
        <v>0</v>
      </c>
      <c r="BB46" s="220">
        <f t="shared" si="19"/>
        <v>0</v>
      </c>
      <c r="BC46" s="220">
        <f t="shared" si="19"/>
        <v>0</v>
      </c>
      <c r="BD46" s="220">
        <f t="shared" si="19"/>
        <v>0</v>
      </c>
      <c r="BE46" s="220">
        <f t="shared" si="19"/>
        <v>0</v>
      </c>
    </row>
    <row r="47" spans="2:57" ht="18" x14ac:dyDescent="0.2">
      <c r="B47" s="221"/>
      <c r="C47" s="222" t="s">
        <v>705</v>
      </c>
      <c r="D47" s="222"/>
      <c r="E47" s="223" t="s">
        <v>2</v>
      </c>
      <c r="F47" s="224" t="s">
        <v>403</v>
      </c>
      <c r="G47" s="225">
        <f>SUM(H47:BE47)</f>
        <v>5663.2517213306846</v>
      </c>
      <c r="H47" s="226">
        <f>H43*$D$44+H45*$D$46</f>
        <v>3368.9745935226415</v>
      </c>
      <c r="I47" s="226">
        <f t="shared" ref="I47:BE47" si="20">I43*$D$44+I45*$D$46</f>
        <v>261.68142355130004</v>
      </c>
      <c r="J47" s="226">
        <f t="shared" si="20"/>
        <v>345.47043041700118</v>
      </c>
      <c r="K47" s="226">
        <f t="shared" si="20"/>
        <v>300.82471405200499</v>
      </c>
      <c r="L47" s="226">
        <f t="shared" si="20"/>
        <v>110.70350462842576</v>
      </c>
      <c r="M47" s="226">
        <f t="shared" si="20"/>
        <v>92.981333032113838</v>
      </c>
      <c r="N47" s="226">
        <f t="shared" si="20"/>
        <v>325.81764033664615</v>
      </c>
      <c r="O47" s="226">
        <f t="shared" si="20"/>
        <v>517.6530130500862</v>
      </c>
      <c r="P47" s="226">
        <f t="shared" si="20"/>
        <v>25.02272549384017</v>
      </c>
      <c r="Q47" s="226">
        <f t="shared" si="20"/>
        <v>73.707870742639344</v>
      </c>
      <c r="R47" s="226">
        <f t="shared" si="20"/>
        <v>231.53521233114827</v>
      </c>
      <c r="S47" s="226">
        <f t="shared" si="20"/>
        <v>8.8792601728375917</v>
      </c>
      <c r="T47" s="226">
        <f t="shared" si="20"/>
        <v>0</v>
      </c>
      <c r="U47" s="226">
        <f t="shared" si="20"/>
        <v>0</v>
      </c>
      <c r="V47" s="226">
        <f t="shared" si="20"/>
        <v>0</v>
      </c>
      <c r="W47" s="226">
        <f t="shared" si="20"/>
        <v>0</v>
      </c>
      <c r="X47" s="226">
        <f t="shared" si="20"/>
        <v>0</v>
      </c>
      <c r="Y47" s="226">
        <f t="shared" si="20"/>
        <v>0</v>
      </c>
      <c r="Z47" s="226">
        <f t="shared" si="20"/>
        <v>0</v>
      </c>
      <c r="AA47" s="226">
        <f t="shared" si="20"/>
        <v>0</v>
      </c>
      <c r="AB47" s="226">
        <f t="shared" si="20"/>
        <v>0</v>
      </c>
      <c r="AC47" s="226">
        <f t="shared" si="20"/>
        <v>0</v>
      </c>
      <c r="AD47" s="226">
        <f t="shared" si="20"/>
        <v>0</v>
      </c>
      <c r="AE47" s="226">
        <f t="shared" si="20"/>
        <v>0</v>
      </c>
      <c r="AF47" s="226">
        <f t="shared" si="20"/>
        <v>0</v>
      </c>
      <c r="AG47" s="226">
        <f t="shared" si="20"/>
        <v>0</v>
      </c>
      <c r="AH47" s="226">
        <f t="shared" si="20"/>
        <v>0</v>
      </c>
      <c r="AI47" s="226">
        <f t="shared" si="20"/>
        <v>0</v>
      </c>
      <c r="AJ47" s="226">
        <f t="shared" si="20"/>
        <v>0</v>
      </c>
      <c r="AK47" s="226">
        <f t="shared" si="20"/>
        <v>0</v>
      </c>
      <c r="AL47" s="226">
        <f t="shared" si="20"/>
        <v>0</v>
      </c>
      <c r="AM47" s="226">
        <f t="shared" si="20"/>
        <v>0</v>
      </c>
      <c r="AN47" s="226">
        <f t="shared" si="20"/>
        <v>0</v>
      </c>
      <c r="AO47" s="226">
        <f t="shared" si="20"/>
        <v>0</v>
      </c>
      <c r="AP47" s="226">
        <f t="shared" si="20"/>
        <v>0</v>
      </c>
      <c r="AQ47" s="226">
        <f t="shared" si="20"/>
        <v>0</v>
      </c>
      <c r="AR47" s="226">
        <f t="shared" si="20"/>
        <v>0</v>
      </c>
      <c r="AS47" s="226">
        <f t="shared" si="20"/>
        <v>0</v>
      </c>
      <c r="AT47" s="226">
        <f t="shared" si="20"/>
        <v>0</v>
      </c>
      <c r="AU47" s="226">
        <f t="shared" si="20"/>
        <v>0</v>
      </c>
      <c r="AV47" s="226">
        <f t="shared" si="20"/>
        <v>0</v>
      </c>
      <c r="AW47" s="226">
        <f t="shared" si="20"/>
        <v>0</v>
      </c>
      <c r="AX47" s="226">
        <f t="shared" si="20"/>
        <v>0</v>
      </c>
      <c r="AY47" s="226">
        <f t="shared" si="20"/>
        <v>0</v>
      </c>
      <c r="AZ47" s="226">
        <f t="shared" si="20"/>
        <v>0</v>
      </c>
      <c r="BA47" s="226">
        <f t="shared" si="20"/>
        <v>0</v>
      </c>
      <c r="BB47" s="226">
        <f t="shared" si="20"/>
        <v>0</v>
      </c>
      <c r="BC47" s="226">
        <f t="shared" si="20"/>
        <v>0</v>
      </c>
      <c r="BD47" s="226">
        <f t="shared" si="20"/>
        <v>0</v>
      </c>
      <c r="BE47" s="226">
        <f t="shared" si="20"/>
        <v>0</v>
      </c>
    </row>
    <row r="49" spans="2:57" ht="18" x14ac:dyDescent="0.35">
      <c r="E49" s="338" t="s">
        <v>807</v>
      </c>
      <c r="F49" s="183"/>
      <c r="G49" s="184">
        <f>RCB!G5</f>
        <v>0.41579115954371054</v>
      </c>
    </row>
    <row r="50" spans="2:57" ht="18" x14ac:dyDescent="0.35">
      <c r="E50" s="338" t="s">
        <v>808</v>
      </c>
      <c r="F50" s="183"/>
      <c r="G50" s="184">
        <f>RCB!J5</f>
        <v>0.41579115954371054</v>
      </c>
    </row>
    <row r="52" spans="2:57" x14ac:dyDescent="0.2">
      <c r="H52" s="427"/>
      <c r="I52" s="427"/>
    </row>
    <row r="53" spans="2:57" x14ac:dyDescent="0.2">
      <c r="B53" s="1198" t="s">
        <v>783</v>
      </c>
      <c r="C53" s="1198"/>
      <c r="D53" s="1198"/>
      <c r="E53" s="1198"/>
      <c r="F53" s="1198"/>
      <c r="G53" s="227"/>
      <c r="H53" s="228"/>
      <c r="I53" s="228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227"/>
      <c r="BC53" s="227"/>
      <c r="BD53" s="227"/>
      <c r="BE53" s="227"/>
    </row>
    <row r="54" spans="2:57" x14ac:dyDescent="0.2">
      <c r="B54" s="229"/>
      <c r="C54" s="230"/>
      <c r="D54" s="231"/>
      <c r="E54" s="232"/>
      <c r="F54" s="233"/>
      <c r="G54" s="234" t="s">
        <v>31</v>
      </c>
      <c r="H54" s="235" t="s">
        <v>309</v>
      </c>
      <c r="I54" s="235" t="s">
        <v>310</v>
      </c>
      <c r="J54" s="235" t="s">
        <v>311</v>
      </c>
      <c r="K54" s="235" t="s">
        <v>312</v>
      </c>
      <c r="L54" s="235" t="s">
        <v>313</v>
      </c>
      <c r="M54" s="235" t="s">
        <v>314</v>
      </c>
      <c r="N54" s="235" t="s">
        <v>315</v>
      </c>
      <c r="O54" s="235" t="s">
        <v>316</v>
      </c>
      <c r="P54" s="235" t="s">
        <v>317</v>
      </c>
      <c r="Q54" s="235" t="s">
        <v>318</v>
      </c>
      <c r="R54" s="235" t="s">
        <v>319</v>
      </c>
      <c r="S54" s="235" t="s">
        <v>320</v>
      </c>
      <c r="T54" s="235" t="s">
        <v>321</v>
      </c>
      <c r="U54" s="235" t="s">
        <v>322</v>
      </c>
      <c r="V54" s="235" t="s">
        <v>323</v>
      </c>
      <c r="W54" s="235" t="s">
        <v>324</v>
      </c>
      <c r="X54" s="235" t="s">
        <v>325</v>
      </c>
      <c r="Y54" s="235" t="s">
        <v>326</v>
      </c>
      <c r="Z54" s="235" t="s">
        <v>327</v>
      </c>
      <c r="AA54" s="235" t="s">
        <v>328</v>
      </c>
      <c r="AB54" s="235" t="s">
        <v>329</v>
      </c>
      <c r="AC54" s="235" t="s">
        <v>330</v>
      </c>
      <c r="AD54" s="235" t="s">
        <v>331</v>
      </c>
      <c r="AE54" s="235" t="s">
        <v>332</v>
      </c>
      <c r="AF54" s="235" t="s">
        <v>333</v>
      </c>
      <c r="AG54" s="235" t="s">
        <v>334</v>
      </c>
      <c r="AH54" s="235" t="s">
        <v>335</v>
      </c>
      <c r="AI54" s="235" t="s">
        <v>336</v>
      </c>
      <c r="AJ54" s="235" t="s">
        <v>337</v>
      </c>
      <c r="AK54" s="235" t="s">
        <v>338</v>
      </c>
      <c r="AL54" s="235" t="s">
        <v>339</v>
      </c>
      <c r="AM54" s="235" t="s">
        <v>340</v>
      </c>
      <c r="AN54" s="235" t="s">
        <v>341</v>
      </c>
      <c r="AO54" s="235" t="s">
        <v>342</v>
      </c>
      <c r="AP54" s="235" t="s">
        <v>343</v>
      </c>
      <c r="AQ54" s="235" t="s">
        <v>344</v>
      </c>
      <c r="AR54" s="235" t="s">
        <v>345</v>
      </c>
      <c r="AS54" s="235" t="s">
        <v>346</v>
      </c>
      <c r="AT54" s="235" t="s">
        <v>347</v>
      </c>
      <c r="AU54" s="235" t="s">
        <v>348</v>
      </c>
      <c r="AV54" s="235" t="s">
        <v>349</v>
      </c>
      <c r="AW54" s="235" t="s">
        <v>350</v>
      </c>
      <c r="AX54" s="235" t="s">
        <v>351</v>
      </c>
      <c r="AY54" s="235" t="s">
        <v>352</v>
      </c>
      <c r="AZ54" s="235" t="s">
        <v>353</v>
      </c>
      <c r="BA54" s="235" t="s">
        <v>354</v>
      </c>
      <c r="BB54" s="235" t="s">
        <v>355</v>
      </c>
      <c r="BC54" s="235" t="s">
        <v>356</v>
      </c>
      <c r="BD54" s="235" t="s">
        <v>357</v>
      </c>
      <c r="BE54" s="235" t="s">
        <v>358</v>
      </c>
    </row>
    <row r="55" spans="2:57" x14ac:dyDescent="0.2">
      <c r="B55" s="229">
        <f>B46+1</f>
        <v>21</v>
      </c>
      <c r="C55" s="236" t="s">
        <v>371</v>
      </c>
      <c r="D55" s="236"/>
      <c r="E55" s="237" t="s">
        <v>372</v>
      </c>
      <c r="F55" s="238"/>
      <c r="G55" s="239"/>
      <c r="H55" s="240">
        <f>H30</f>
        <v>9</v>
      </c>
      <c r="I55" s="240">
        <f t="shared" ref="I55:BE55" si="21">I30</f>
        <v>4</v>
      </c>
      <c r="J55" s="240">
        <f t="shared" si="21"/>
        <v>4</v>
      </c>
      <c r="K55" s="240">
        <f t="shared" si="21"/>
        <v>2</v>
      </c>
      <c r="L55" s="240">
        <f t="shared" si="21"/>
        <v>2</v>
      </c>
      <c r="M55" s="240">
        <f t="shared" si="21"/>
        <v>9</v>
      </c>
      <c r="N55" s="240">
        <f t="shared" si="21"/>
        <v>12</v>
      </c>
      <c r="O55" s="240">
        <f t="shared" si="21"/>
        <v>4</v>
      </c>
      <c r="P55" s="240">
        <f t="shared" si="21"/>
        <v>9</v>
      </c>
      <c r="Q55" s="240">
        <f t="shared" si="21"/>
        <v>2</v>
      </c>
      <c r="R55" s="240">
        <f t="shared" si="21"/>
        <v>12</v>
      </c>
      <c r="S55" s="240">
        <f t="shared" si="21"/>
        <v>9</v>
      </c>
      <c r="T55" s="240">
        <f t="shared" si="21"/>
        <v>0</v>
      </c>
      <c r="U55" s="240">
        <f t="shared" si="21"/>
        <v>0</v>
      </c>
      <c r="V55" s="240">
        <f t="shared" si="21"/>
        <v>0</v>
      </c>
      <c r="W55" s="240">
        <f t="shared" si="21"/>
        <v>0</v>
      </c>
      <c r="X55" s="240">
        <f t="shared" si="21"/>
        <v>0</v>
      </c>
      <c r="Y55" s="240">
        <f t="shared" si="21"/>
        <v>0</v>
      </c>
      <c r="Z55" s="240">
        <f t="shared" si="21"/>
        <v>0</v>
      </c>
      <c r="AA55" s="240">
        <f t="shared" si="21"/>
        <v>0</v>
      </c>
      <c r="AB55" s="240">
        <f t="shared" si="21"/>
        <v>0</v>
      </c>
      <c r="AC55" s="240">
        <f t="shared" si="21"/>
        <v>0</v>
      </c>
      <c r="AD55" s="240">
        <f t="shared" si="21"/>
        <v>0</v>
      </c>
      <c r="AE55" s="240">
        <f t="shared" si="21"/>
        <v>0</v>
      </c>
      <c r="AF55" s="240">
        <f t="shared" si="21"/>
        <v>0</v>
      </c>
      <c r="AG55" s="240">
        <f t="shared" si="21"/>
        <v>0</v>
      </c>
      <c r="AH55" s="240">
        <f t="shared" si="21"/>
        <v>0</v>
      </c>
      <c r="AI55" s="240">
        <f t="shared" si="21"/>
        <v>0</v>
      </c>
      <c r="AJ55" s="240">
        <f t="shared" si="21"/>
        <v>0</v>
      </c>
      <c r="AK55" s="240">
        <f t="shared" si="21"/>
        <v>0</v>
      </c>
      <c r="AL55" s="240">
        <f t="shared" si="21"/>
        <v>0</v>
      </c>
      <c r="AM55" s="240">
        <f t="shared" si="21"/>
        <v>0</v>
      </c>
      <c r="AN55" s="240">
        <f t="shared" si="21"/>
        <v>0</v>
      </c>
      <c r="AO55" s="240">
        <f t="shared" si="21"/>
        <v>0</v>
      </c>
      <c r="AP55" s="240">
        <f t="shared" si="21"/>
        <v>0</v>
      </c>
      <c r="AQ55" s="240">
        <f t="shared" si="21"/>
        <v>0</v>
      </c>
      <c r="AR55" s="240">
        <f t="shared" si="21"/>
        <v>0</v>
      </c>
      <c r="AS55" s="240">
        <f t="shared" si="21"/>
        <v>0</v>
      </c>
      <c r="AT55" s="240">
        <f t="shared" si="21"/>
        <v>0</v>
      </c>
      <c r="AU55" s="240">
        <f t="shared" si="21"/>
        <v>0</v>
      </c>
      <c r="AV55" s="240">
        <f t="shared" si="21"/>
        <v>0</v>
      </c>
      <c r="AW55" s="240">
        <f t="shared" si="21"/>
        <v>0</v>
      </c>
      <c r="AX55" s="240">
        <f t="shared" si="21"/>
        <v>0</v>
      </c>
      <c r="AY55" s="240">
        <f t="shared" si="21"/>
        <v>0</v>
      </c>
      <c r="AZ55" s="240">
        <f t="shared" si="21"/>
        <v>0</v>
      </c>
      <c r="BA55" s="240">
        <f t="shared" si="21"/>
        <v>0</v>
      </c>
      <c r="BB55" s="240">
        <f t="shared" si="21"/>
        <v>0</v>
      </c>
      <c r="BC55" s="240">
        <f t="shared" si="21"/>
        <v>0</v>
      </c>
      <c r="BD55" s="240">
        <f t="shared" si="21"/>
        <v>0</v>
      </c>
      <c r="BE55" s="240">
        <f t="shared" si="21"/>
        <v>0</v>
      </c>
    </row>
    <row r="56" spans="2:57" x14ac:dyDescent="0.2">
      <c r="B56" s="229">
        <f>B55+1</f>
        <v>22</v>
      </c>
      <c r="C56" s="236" t="s">
        <v>408</v>
      </c>
      <c r="D56" s="236"/>
      <c r="E56" s="241">
        <v>22</v>
      </c>
      <c r="F56" s="242"/>
      <c r="G56" s="239"/>
      <c r="H56" s="292">
        <f>H34</f>
        <v>22</v>
      </c>
      <c r="I56" s="292">
        <f t="shared" ref="I56:BE56" si="22">I34</f>
        <v>22</v>
      </c>
      <c r="J56" s="292">
        <f t="shared" si="22"/>
        <v>22</v>
      </c>
      <c r="K56" s="292">
        <f t="shared" si="22"/>
        <v>22</v>
      </c>
      <c r="L56" s="292">
        <f t="shared" si="22"/>
        <v>22</v>
      </c>
      <c r="M56" s="292">
        <f t="shared" si="22"/>
        <v>22</v>
      </c>
      <c r="N56" s="292">
        <f t="shared" si="22"/>
        <v>22</v>
      </c>
      <c r="O56" s="292">
        <f t="shared" si="22"/>
        <v>22</v>
      </c>
      <c r="P56" s="292">
        <f t="shared" si="22"/>
        <v>22</v>
      </c>
      <c r="Q56" s="292">
        <f t="shared" si="22"/>
        <v>22</v>
      </c>
      <c r="R56" s="292">
        <f t="shared" si="22"/>
        <v>22</v>
      </c>
      <c r="S56" s="292">
        <f t="shared" si="22"/>
        <v>22</v>
      </c>
      <c r="T56" s="292">
        <f t="shared" si="22"/>
        <v>0</v>
      </c>
      <c r="U56" s="292">
        <f t="shared" si="22"/>
        <v>0</v>
      </c>
      <c r="V56" s="292">
        <f t="shared" si="22"/>
        <v>0</v>
      </c>
      <c r="W56" s="292">
        <f t="shared" si="22"/>
        <v>0</v>
      </c>
      <c r="X56" s="292">
        <f t="shared" si="22"/>
        <v>0</v>
      </c>
      <c r="Y56" s="292">
        <f t="shared" si="22"/>
        <v>0</v>
      </c>
      <c r="Z56" s="292">
        <f t="shared" si="22"/>
        <v>0</v>
      </c>
      <c r="AA56" s="292">
        <f t="shared" si="22"/>
        <v>0</v>
      </c>
      <c r="AB56" s="292">
        <f t="shared" si="22"/>
        <v>0</v>
      </c>
      <c r="AC56" s="292">
        <f t="shared" si="22"/>
        <v>0</v>
      </c>
      <c r="AD56" s="292">
        <f t="shared" si="22"/>
        <v>0</v>
      </c>
      <c r="AE56" s="292">
        <f t="shared" si="22"/>
        <v>0</v>
      </c>
      <c r="AF56" s="292">
        <f t="shared" si="22"/>
        <v>0</v>
      </c>
      <c r="AG56" s="292">
        <f t="shared" si="22"/>
        <v>0</v>
      </c>
      <c r="AH56" s="292">
        <f t="shared" si="22"/>
        <v>0</v>
      </c>
      <c r="AI56" s="292">
        <f t="shared" si="22"/>
        <v>0</v>
      </c>
      <c r="AJ56" s="292">
        <f t="shared" si="22"/>
        <v>0</v>
      </c>
      <c r="AK56" s="292">
        <f t="shared" si="22"/>
        <v>0</v>
      </c>
      <c r="AL56" s="292">
        <f t="shared" si="22"/>
        <v>0</v>
      </c>
      <c r="AM56" s="292">
        <f t="shared" si="22"/>
        <v>0</v>
      </c>
      <c r="AN56" s="292">
        <f t="shared" si="22"/>
        <v>0</v>
      </c>
      <c r="AO56" s="292">
        <f t="shared" si="22"/>
        <v>0</v>
      </c>
      <c r="AP56" s="292">
        <f t="shared" si="22"/>
        <v>0</v>
      </c>
      <c r="AQ56" s="292">
        <f t="shared" si="22"/>
        <v>0</v>
      </c>
      <c r="AR56" s="292">
        <f t="shared" si="22"/>
        <v>0</v>
      </c>
      <c r="AS56" s="292">
        <f t="shared" si="22"/>
        <v>0</v>
      </c>
      <c r="AT56" s="292">
        <f t="shared" si="22"/>
        <v>0</v>
      </c>
      <c r="AU56" s="292">
        <f t="shared" si="22"/>
        <v>0</v>
      </c>
      <c r="AV56" s="292">
        <f t="shared" si="22"/>
        <v>0</v>
      </c>
      <c r="AW56" s="292">
        <f t="shared" si="22"/>
        <v>0</v>
      </c>
      <c r="AX56" s="292">
        <f t="shared" si="22"/>
        <v>0</v>
      </c>
      <c r="AY56" s="292">
        <f t="shared" si="22"/>
        <v>0</v>
      </c>
      <c r="AZ56" s="292">
        <f t="shared" si="22"/>
        <v>0</v>
      </c>
      <c r="BA56" s="292">
        <f t="shared" si="22"/>
        <v>0</v>
      </c>
      <c r="BB56" s="292">
        <f t="shared" si="22"/>
        <v>0</v>
      </c>
      <c r="BC56" s="292">
        <f t="shared" si="22"/>
        <v>0</v>
      </c>
      <c r="BD56" s="292">
        <f t="shared" si="22"/>
        <v>0</v>
      </c>
      <c r="BE56" s="292">
        <f t="shared" si="22"/>
        <v>0</v>
      </c>
    </row>
    <row r="57" spans="2:57" x14ac:dyDescent="0.2">
      <c r="B57" s="229">
        <f t="shared" ref="B57:B64" si="23">B56+1</f>
        <v>23</v>
      </c>
      <c r="C57" s="236" t="s">
        <v>409</v>
      </c>
      <c r="D57" s="236"/>
      <c r="E57" s="241">
        <v>3</v>
      </c>
      <c r="F57" s="242"/>
      <c r="G57" s="239"/>
      <c r="H57" s="292">
        <f>H35</f>
        <v>0</v>
      </c>
      <c r="I57" s="292">
        <f t="shared" ref="I57:BE57" si="24">I35</f>
        <v>0</v>
      </c>
      <c r="J57" s="292">
        <f t="shared" si="24"/>
        <v>3</v>
      </c>
      <c r="K57" s="292">
        <f t="shared" si="24"/>
        <v>0</v>
      </c>
      <c r="L57" s="292">
        <f t="shared" si="24"/>
        <v>0</v>
      </c>
      <c r="M57" s="292">
        <f t="shared" si="24"/>
        <v>0</v>
      </c>
      <c r="N57" s="292">
        <f t="shared" si="24"/>
        <v>3</v>
      </c>
      <c r="O57" s="292">
        <f t="shared" si="24"/>
        <v>0</v>
      </c>
      <c r="P57" s="292">
        <f t="shared" si="24"/>
        <v>0</v>
      </c>
      <c r="Q57" s="292">
        <f t="shared" si="24"/>
        <v>0</v>
      </c>
      <c r="R57" s="292">
        <f t="shared" si="24"/>
        <v>3</v>
      </c>
      <c r="S57" s="292">
        <f t="shared" si="24"/>
        <v>0</v>
      </c>
      <c r="T57" s="292">
        <f t="shared" si="24"/>
        <v>0</v>
      </c>
      <c r="U57" s="292">
        <f t="shared" si="24"/>
        <v>0</v>
      </c>
      <c r="V57" s="292">
        <f t="shared" si="24"/>
        <v>0</v>
      </c>
      <c r="W57" s="292">
        <f t="shared" si="24"/>
        <v>0</v>
      </c>
      <c r="X57" s="292">
        <f t="shared" si="24"/>
        <v>0</v>
      </c>
      <c r="Y57" s="292">
        <f t="shared" si="24"/>
        <v>0</v>
      </c>
      <c r="Z57" s="292">
        <f t="shared" si="24"/>
        <v>0</v>
      </c>
      <c r="AA57" s="292">
        <f t="shared" si="24"/>
        <v>0</v>
      </c>
      <c r="AB57" s="292">
        <f t="shared" si="24"/>
        <v>0</v>
      </c>
      <c r="AC57" s="292">
        <f t="shared" si="24"/>
        <v>0</v>
      </c>
      <c r="AD57" s="292">
        <f t="shared" si="24"/>
        <v>0</v>
      </c>
      <c r="AE57" s="292">
        <f t="shared" si="24"/>
        <v>0</v>
      </c>
      <c r="AF57" s="292">
        <f t="shared" si="24"/>
        <v>0</v>
      </c>
      <c r="AG57" s="292">
        <f t="shared" si="24"/>
        <v>0</v>
      </c>
      <c r="AH57" s="292">
        <f t="shared" si="24"/>
        <v>0</v>
      </c>
      <c r="AI57" s="292">
        <f t="shared" si="24"/>
        <v>0</v>
      </c>
      <c r="AJ57" s="292">
        <f t="shared" si="24"/>
        <v>0</v>
      </c>
      <c r="AK57" s="292">
        <f t="shared" si="24"/>
        <v>0</v>
      </c>
      <c r="AL57" s="292">
        <f t="shared" si="24"/>
        <v>0</v>
      </c>
      <c r="AM57" s="292">
        <f t="shared" si="24"/>
        <v>0</v>
      </c>
      <c r="AN57" s="292">
        <f t="shared" si="24"/>
        <v>0</v>
      </c>
      <c r="AO57" s="292">
        <f t="shared" si="24"/>
        <v>0</v>
      </c>
      <c r="AP57" s="292">
        <f t="shared" si="24"/>
        <v>0</v>
      </c>
      <c r="AQ57" s="292">
        <f t="shared" si="24"/>
        <v>0</v>
      </c>
      <c r="AR57" s="292">
        <f t="shared" si="24"/>
        <v>0</v>
      </c>
      <c r="AS57" s="292">
        <f t="shared" si="24"/>
        <v>0</v>
      </c>
      <c r="AT57" s="292">
        <f t="shared" si="24"/>
        <v>0</v>
      </c>
      <c r="AU57" s="292">
        <f t="shared" si="24"/>
        <v>0</v>
      </c>
      <c r="AV57" s="292">
        <f t="shared" si="24"/>
        <v>0</v>
      </c>
      <c r="AW57" s="292">
        <f t="shared" si="24"/>
        <v>0</v>
      </c>
      <c r="AX57" s="292">
        <f t="shared" si="24"/>
        <v>0</v>
      </c>
      <c r="AY57" s="292">
        <f t="shared" si="24"/>
        <v>0</v>
      </c>
      <c r="AZ57" s="292">
        <f t="shared" si="24"/>
        <v>0</v>
      </c>
      <c r="BA57" s="292">
        <f t="shared" si="24"/>
        <v>0</v>
      </c>
      <c r="BB57" s="292">
        <f t="shared" si="24"/>
        <v>0</v>
      </c>
      <c r="BC57" s="292">
        <f t="shared" si="24"/>
        <v>0</v>
      </c>
      <c r="BD57" s="292">
        <f t="shared" si="24"/>
        <v>0</v>
      </c>
      <c r="BE57" s="292">
        <f t="shared" si="24"/>
        <v>0</v>
      </c>
    </row>
    <row r="58" spans="2:57" x14ac:dyDescent="0.2">
      <c r="B58" s="229">
        <f t="shared" si="23"/>
        <v>24</v>
      </c>
      <c r="C58" s="236" t="s">
        <v>410</v>
      </c>
      <c r="D58" s="236"/>
      <c r="E58" s="237" t="s">
        <v>3</v>
      </c>
      <c r="F58" s="238"/>
      <c r="G58" s="243"/>
      <c r="H58" s="244">
        <f>H56/30</f>
        <v>0.73333333333333328</v>
      </c>
      <c r="I58" s="244">
        <f t="shared" ref="I58:BE58" si="25">I56/30</f>
        <v>0.73333333333333328</v>
      </c>
      <c r="J58" s="244">
        <f t="shared" si="25"/>
        <v>0.73333333333333328</v>
      </c>
      <c r="K58" s="244">
        <f t="shared" si="25"/>
        <v>0.73333333333333328</v>
      </c>
      <c r="L58" s="244">
        <f t="shared" si="25"/>
        <v>0.73333333333333328</v>
      </c>
      <c r="M58" s="244">
        <f t="shared" si="25"/>
        <v>0.73333333333333328</v>
      </c>
      <c r="N58" s="244">
        <f t="shared" si="25"/>
        <v>0.73333333333333328</v>
      </c>
      <c r="O58" s="244">
        <f t="shared" si="25"/>
        <v>0.73333333333333328</v>
      </c>
      <c r="P58" s="244">
        <f t="shared" si="25"/>
        <v>0.73333333333333328</v>
      </c>
      <c r="Q58" s="244">
        <f t="shared" si="25"/>
        <v>0.73333333333333328</v>
      </c>
      <c r="R58" s="244">
        <f t="shared" si="25"/>
        <v>0.73333333333333328</v>
      </c>
      <c r="S58" s="244">
        <f t="shared" si="25"/>
        <v>0.73333333333333328</v>
      </c>
      <c r="T58" s="244">
        <f t="shared" si="25"/>
        <v>0</v>
      </c>
      <c r="U58" s="244">
        <f t="shared" si="25"/>
        <v>0</v>
      </c>
      <c r="V58" s="244">
        <f t="shared" si="25"/>
        <v>0</v>
      </c>
      <c r="W58" s="244">
        <f t="shared" si="25"/>
        <v>0</v>
      </c>
      <c r="X58" s="244">
        <f t="shared" si="25"/>
        <v>0</v>
      </c>
      <c r="Y58" s="244">
        <f t="shared" si="25"/>
        <v>0</v>
      </c>
      <c r="Z58" s="244">
        <f t="shared" si="25"/>
        <v>0</v>
      </c>
      <c r="AA58" s="244">
        <f t="shared" si="25"/>
        <v>0</v>
      </c>
      <c r="AB58" s="244">
        <f t="shared" si="25"/>
        <v>0</v>
      </c>
      <c r="AC58" s="244">
        <f t="shared" si="25"/>
        <v>0</v>
      </c>
      <c r="AD58" s="244">
        <f t="shared" si="25"/>
        <v>0</v>
      </c>
      <c r="AE58" s="244">
        <f t="shared" si="25"/>
        <v>0</v>
      </c>
      <c r="AF58" s="244">
        <f t="shared" si="25"/>
        <v>0</v>
      </c>
      <c r="AG58" s="244">
        <f t="shared" si="25"/>
        <v>0</v>
      </c>
      <c r="AH58" s="244">
        <f t="shared" si="25"/>
        <v>0</v>
      </c>
      <c r="AI58" s="244">
        <f t="shared" si="25"/>
        <v>0</v>
      </c>
      <c r="AJ58" s="244">
        <f t="shared" si="25"/>
        <v>0</v>
      </c>
      <c r="AK58" s="244">
        <f t="shared" si="25"/>
        <v>0</v>
      </c>
      <c r="AL58" s="244">
        <f t="shared" si="25"/>
        <v>0</v>
      </c>
      <c r="AM58" s="244">
        <f t="shared" si="25"/>
        <v>0</v>
      </c>
      <c r="AN58" s="244">
        <f t="shared" si="25"/>
        <v>0</v>
      </c>
      <c r="AO58" s="244">
        <f t="shared" si="25"/>
        <v>0</v>
      </c>
      <c r="AP58" s="244">
        <f t="shared" si="25"/>
        <v>0</v>
      </c>
      <c r="AQ58" s="244">
        <f t="shared" si="25"/>
        <v>0</v>
      </c>
      <c r="AR58" s="244">
        <f t="shared" si="25"/>
        <v>0</v>
      </c>
      <c r="AS58" s="244">
        <f t="shared" si="25"/>
        <v>0</v>
      </c>
      <c r="AT58" s="244">
        <f t="shared" si="25"/>
        <v>0</v>
      </c>
      <c r="AU58" s="244">
        <f t="shared" si="25"/>
        <v>0</v>
      </c>
      <c r="AV58" s="244">
        <f t="shared" si="25"/>
        <v>0</v>
      </c>
      <c r="AW58" s="244">
        <f t="shared" si="25"/>
        <v>0</v>
      </c>
      <c r="AX58" s="244">
        <f t="shared" si="25"/>
        <v>0</v>
      </c>
      <c r="AY58" s="244">
        <f t="shared" si="25"/>
        <v>0</v>
      </c>
      <c r="AZ58" s="244">
        <f t="shared" si="25"/>
        <v>0</v>
      </c>
      <c r="BA58" s="244">
        <f t="shared" si="25"/>
        <v>0</v>
      </c>
      <c r="BB58" s="244">
        <f t="shared" si="25"/>
        <v>0</v>
      </c>
      <c r="BC58" s="244">
        <f t="shared" si="25"/>
        <v>0</v>
      </c>
      <c r="BD58" s="244">
        <f t="shared" si="25"/>
        <v>0</v>
      </c>
      <c r="BE58" s="244">
        <f t="shared" si="25"/>
        <v>0</v>
      </c>
    </row>
    <row r="59" spans="2:57" x14ac:dyDescent="0.2">
      <c r="B59" s="229">
        <f t="shared" si="23"/>
        <v>25</v>
      </c>
      <c r="C59" s="236" t="s">
        <v>411</v>
      </c>
      <c r="D59" s="236"/>
      <c r="E59" s="237" t="s">
        <v>3</v>
      </c>
      <c r="F59" s="238"/>
      <c r="G59" s="243"/>
      <c r="H59" s="244">
        <f>IFERROR((H57/H55),0)</f>
        <v>0</v>
      </c>
      <c r="I59" s="244">
        <f t="shared" ref="I59:BE59" si="26">IFERROR((I57/I55),0)</f>
        <v>0</v>
      </c>
      <c r="J59" s="244">
        <f t="shared" si="26"/>
        <v>0.75</v>
      </c>
      <c r="K59" s="244">
        <f t="shared" si="26"/>
        <v>0</v>
      </c>
      <c r="L59" s="244">
        <f t="shared" si="26"/>
        <v>0</v>
      </c>
      <c r="M59" s="244">
        <f t="shared" si="26"/>
        <v>0</v>
      </c>
      <c r="N59" s="244">
        <f t="shared" si="26"/>
        <v>0.25</v>
      </c>
      <c r="O59" s="244">
        <f t="shared" si="26"/>
        <v>0</v>
      </c>
      <c r="P59" s="244">
        <f t="shared" si="26"/>
        <v>0</v>
      </c>
      <c r="Q59" s="244">
        <f t="shared" si="26"/>
        <v>0</v>
      </c>
      <c r="R59" s="244">
        <f t="shared" si="26"/>
        <v>0.25</v>
      </c>
      <c r="S59" s="244">
        <f t="shared" si="26"/>
        <v>0</v>
      </c>
      <c r="T59" s="244">
        <f t="shared" si="26"/>
        <v>0</v>
      </c>
      <c r="U59" s="244">
        <f t="shared" si="26"/>
        <v>0</v>
      </c>
      <c r="V59" s="244">
        <f t="shared" si="26"/>
        <v>0</v>
      </c>
      <c r="W59" s="244">
        <f t="shared" si="26"/>
        <v>0</v>
      </c>
      <c r="X59" s="244">
        <f t="shared" si="26"/>
        <v>0</v>
      </c>
      <c r="Y59" s="244">
        <f t="shared" si="26"/>
        <v>0</v>
      </c>
      <c r="Z59" s="244">
        <f t="shared" si="26"/>
        <v>0</v>
      </c>
      <c r="AA59" s="244">
        <f t="shared" si="26"/>
        <v>0</v>
      </c>
      <c r="AB59" s="244">
        <f t="shared" si="26"/>
        <v>0</v>
      </c>
      <c r="AC59" s="244">
        <f t="shared" si="26"/>
        <v>0</v>
      </c>
      <c r="AD59" s="244">
        <f t="shared" si="26"/>
        <v>0</v>
      </c>
      <c r="AE59" s="244">
        <f t="shared" si="26"/>
        <v>0</v>
      </c>
      <c r="AF59" s="244">
        <f t="shared" si="26"/>
        <v>0</v>
      </c>
      <c r="AG59" s="244">
        <f t="shared" si="26"/>
        <v>0</v>
      </c>
      <c r="AH59" s="244">
        <f t="shared" si="26"/>
        <v>0</v>
      </c>
      <c r="AI59" s="244">
        <f t="shared" si="26"/>
        <v>0</v>
      </c>
      <c r="AJ59" s="244">
        <f t="shared" si="26"/>
        <v>0</v>
      </c>
      <c r="AK59" s="244">
        <f t="shared" si="26"/>
        <v>0</v>
      </c>
      <c r="AL59" s="244">
        <f t="shared" si="26"/>
        <v>0</v>
      </c>
      <c r="AM59" s="244">
        <f t="shared" si="26"/>
        <v>0</v>
      </c>
      <c r="AN59" s="244">
        <f t="shared" si="26"/>
        <v>0</v>
      </c>
      <c r="AO59" s="244">
        <f t="shared" si="26"/>
        <v>0</v>
      </c>
      <c r="AP59" s="244">
        <f t="shared" si="26"/>
        <v>0</v>
      </c>
      <c r="AQ59" s="244">
        <f t="shared" si="26"/>
        <v>0</v>
      </c>
      <c r="AR59" s="244">
        <f t="shared" si="26"/>
        <v>0</v>
      </c>
      <c r="AS59" s="244">
        <f t="shared" si="26"/>
        <v>0</v>
      </c>
      <c r="AT59" s="244">
        <f t="shared" si="26"/>
        <v>0</v>
      </c>
      <c r="AU59" s="244">
        <f t="shared" si="26"/>
        <v>0</v>
      </c>
      <c r="AV59" s="244">
        <f t="shared" si="26"/>
        <v>0</v>
      </c>
      <c r="AW59" s="244">
        <f t="shared" si="26"/>
        <v>0</v>
      </c>
      <c r="AX59" s="244">
        <f t="shared" si="26"/>
        <v>0</v>
      </c>
      <c r="AY59" s="244">
        <f t="shared" si="26"/>
        <v>0</v>
      </c>
      <c r="AZ59" s="244">
        <f t="shared" si="26"/>
        <v>0</v>
      </c>
      <c r="BA59" s="244">
        <f t="shared" si="26"/>
        <v>0</v>
      </c>
      <c r="BB59" s="244">
        <f t="shared" si="26"/>
        <v>0</v>
      </c>
      <c r="BC59" s="244">
        <f t="shared" si="26"/>
        <v>0</v>
      </c>
      <c r="BD59" s="244">
        <f t="shared" si="26"/>
        <v>0</v>
      </c>
      <c r="BE59" s="244">
        <f t="shared" si="26"/>
        <v>0</v>
      </c>
    </row>
    <row r="60" spans="2:57" x14ac:dyDescent="0.2">
      <c r="B60" s="229">
        <f t="shared" si="23"/>
        <v>26</v>
      </c>
      <c r="C60" s="236" t="s">
        <v>412</v>
      </c>
      <c r="D60" s="236"/>
      <c r="E60" s="237" t="s">
        <v>3</v>
      </c>
      <c r="F60" s="238"/>
      <c r="G60" s="243"/>
      <c r="H60" s="244">
        <f>H58*H59</f>
        <v>0</v>
      </c>
      <c r="I60" s="244">
        <f t="shared" ref="I60:BE60" si="27">I58*I59</f>
        <v>0</v>
      </c>
      <c r="J60" s="244">
        <f t="shared" si="27"/>
        <v>0.54999999999999993</v>
      </c>
      <c r="K60" s="244">
        <f t="shared" si="27"/>
        <v>0</v>
      </c>
      <c r="L60" s="244">
        <f t="shared" si="27"/>
        <v>0</v>
      </c>
      <c r="M60" s="244">
        <f t="shared" si="27"/>
        <v>0</v>
      </c>
      <c r="N60" s="244">
        <f t="shared" si="27"/>
        <v>0.18333333333333332</v>
      </c>
      <c r="O60" s="244">
        <f t="shared" si="27"/>
        <v>0</v>
      </c>
      <c r="P60" s="244">
        <f t="shared" si="27"/>
        <v>0</v>
      </c>
      <c r="Q60" s="244">
        <f t="shared" si="27"/>
        <v>0</v>
      </c>
      <c r="R60" s="244">
        <f t="shared" si="27"/>
        <v>0.18333333333333332</v>
      </c>
      <c r="S60" s="244">
        <f t="shared" si="27"/>
        <v>0</v>
      </c>
      <c r="T60" s="244">
        <f t="shared" si="27"/>
        <v>0</v>
      </c>
      <c r="U60" s="244">
        <f t="shared" si="27"/>
        <v>0</v>
      </c>
      <c r="V60" s="244">
        <f t="shared" si="27"/>
        <v>0</v>
      </c>
      <c r="W60" s="244">
        <f t="shared" si="27"/>
        <v>0</v>
      </c>
      <c r="X60" s="244">
        <f t="shared" si="27"/>
        <v>0</v>
      </c>
      <c r="Y60" s="244">
        <f t="shared" si="27"/>
        <v>0</v>
      </c>
      <c r="Z60" s="244">
        <f t="shared" si="27"/>
        <v>0</v>
      </c>
      <c r="AA60" s="244">
        <f t="shared" si="27"/>
        <v>0</v>
      </c>
      <c r="AB60" s="244">
        <f t="shared" si="27"/>
        <v>0</v>
      </c>
      <c r="AC60" s="244">
        <f t="shared" si="27"/>
        <v>0</v>
      </c>
      <c r="AD60" s="244">
        <f t="shared" si="27"/>
        <v>0</v>
      </c>
      <c r="AE60" s="244">
        <f t="shared" si="27"/>
        <v>0</v>
      </c>
      <c r="AF60" s="244">
        <f t="shared" si="27"/>
        <v>0</v>
      </c>
      <c r="AG60" s="244">
        <f t="shared" si="27"/>
        <v>0</v>
      </c>
      <c r="AH60" s="244">
        <f t="shared" si="27"/>
        <v>0</v>
      </c>
      <c r="AI60" s="244">
        <f t="shared" si="27"/>
        <v>0</v>
      </c>
      <c r="AJ60" s="244">
        <f t="shared" si="27"/>
        <v>0</v>
      </c>
      <c r="AK60" s="244">
        <f t="shared" si="27"/>
        <v>0</v>
      </c>
      <c r="AL60" s="244">
        <f t="shared" si="27"/>
        <v>0</v>
      </c>
      <c r="AM60" s="244">
        <f t="shared" si="27"/>
        <v>0</v>
      </c>
      <c r="AN60" s="244">
        <f t="shared" si="27"/>
        <v>0</v>
      </c>
      <c r="AO60" s="244">
        <f t="shared" si="27"/>
        <v>0</v>
      </c>
      <c r="AP60" s="244">
        <f t="shared" si="27"/>
        <v>0</v>
      </c>
      <c r="AQ60" s="244">
        <f t="shared" si="27"/>
        <v>0</v>
      </c>
      <c r="AR60" s="244">
        <f t="shared" si="27"/>
        <v>0</v>
      </c>
      <c r="AS60" s="244">
        <f t="shared" si="27"/>
        <v>0</v>
      </c>
      <c r="AT60" s="244">
        <f t="shared" si="27"/>
        <v>0</v>
      </c>
      <c r="AU60" s="244">
        <f t="shared" si="27"/>
        <v>0</v>
      </c>
      <c r="AV60" s="244">
        <f t="shared" si="27"/>
        <v>0</v>
      </c>
      <c r="AW60" s="244">
        <f t="shared" si="27"/>
        <v>0</v>
      </c>
      <c r="AX60" s="244">
        <f t="shared" si="27"/>
        <v>0</v>
      </c>
      <c r="AY60" s="244">
        <f t="shared" si="27"/>
        <v>0</v>
      </c>
      <c r="AZ60" s="244">
        <f t="shared" si="27"/>
        <v>0</v>
      </c>
      <c r="BA60" s="244">
        <f t="shared" si="27"/>
        <v>0</v>
      </c>
      <c r="BB60" s="244">
        <f t="shared" si="27"/>
        <v>0</v>
      </c>
      <c r="BC60" s="244">
        <f t="shared" si="27"/>
        <v>0</v>
      </c>
      <c r="BD60" s="244">
        <f t="shared" si="27"/>
        <v>0</v>
      </c>
      <c r="BE60" s="244">
        <f t="shared" si="27"/>
        <v>0</v>
      </c>
    </row>
    <row r="61" spans="2:57" x14ac:dyDescent="0.2">
      <c r="B61" s="229">
        <f t="shared" si="23"/>
        <v>27</v>
      </c>
      <c r="C61" s="236" t="s">
        <v>413</v>
      </c>
      <c r="D61" s="236"/>
      <c r="E61" s="237" t="s">
        <v>718</v>
      </c>
      <c r="F61" s="238"/>
      <c r="G61" s="245">
        <f t="shared" ref="G61:G66" si="28">ROUND(SUM(H61:BE61),2)</f>
        <v>1.39</v>
      </c>
      <c r="H61" s="246">
        <f>H45/12</f>
        <v>0.91139999999999988</v>
      </c>
      <c r="I61" s="246">
        <f t="shared" ref="I61:BE61" si="29">I45/12</f>
        <v>7.0791999999999994E-2</v>
      </c>
      <c r="J61" s="246">
        <f t="shared" si="29"/>
        <v>2.0345333333333337E-2</v>
      </c>
      <c r="K61" s="246">
        <f t="shared" si="29"/>
        <v>8.1381333333333347E-2</v>
      </c>
      <c r="L61" s="246">
        <f t="shared" si="29"/>
        <v>2.9948333333333327E-2</v>
      </c>
      <c r="M61" s="246">
        <f t="shared" si="29"/>
        <v>2.5153999999999999E-2</v>
      </c>
      <c r="N61" s="246">
        <f t="shared" si="29"/>
        <v>4.7114666666666666E-2</v>
      </c>
      <c r="O61" s="246">
        <f t="shared" si="29"/>
        <v>0.14003933333333338</v>
      </c>
      <c r="P61" s="246">
        <f t="shared" si="29"/>
        <v>6.7693333333333312E-3</v>
      </c>
      <c r="Q61" s="246">
        <f t="shared" si="29"/>
        <v>1.9940000000000003E-2</v>
      </c>
      <c r="R61" s="246">
        <f t="shared" si="29"/>
        <v>3.3706666666666669E-2</v>
      </c>
      <c r="S61" s="246">
        <f t="shared" si="29"/>
        <v>2.4020833333333333E-3</v>
      </c>
      <c r="T61" s="246">
        <f t="shared" si="29"/>
        <v>0</v>
      </c>
      <c r="U61" s="246">
        <f t="shared" si="29"/>
        <v>0</v>
      </c>
      <c r="V61" s="246">
        <f t="shared" si="29"/>
        <v>0</v>
      </c>
      <c r="W61" s="246">
        <f t="shared" si="29"/>
        <v>0</v>
      </c>
      <c r="X61" s="246">
        <f t="shared" si="29"/>
        <v>0</v>
      </c>
      <c r="Y61" s="246">
        <f t="shared" si="29"/>
        <v>0</v>
      </c>
      <c r="Z61" s="246">
        <f t="shared" si="29"/>
        <v>0</v>
      </c>
      <c r="AA61" s="246">
        <f t="shared" si="29"/>
        <v>0</v>
      </c>
      <c r="AB61" s="246">
        <f t="shared" si="29"/>
        <v>0</v>
      </c>
      <c r="AC61" s="246">
        <f t="shared" si="29"/>
        <v>0</v>
      </c>
      <c r="AD61" s="246">
        <f t="shared" si="29"/>
        <v>0</v>
      </c>
      <c r="AE61" s="246">
        <f t="shared" si="29"/>
        <v>0</v>
      </c>
      <c r="AF61" s="246">
        <f t="shared" si="29"/>
        <v>0</v>
      </c>
      <c r="AG61" s="246">
        <f t="shared" si="29"/>
        <v>0</v>
      </c>
      <c r="AH61" s="246">
        <f t="shared" si="29"/>
        <v>0</v>
      </c>
      <c r="AI61" s="246">
        <f t="shared" si="29"/>
        <v>0</v>
      </c>
      <c r="AJ61" s="246">
        <f t="shared" si="29"/>
        <v>0</v>
      </c>
      <c r="AK61" s="246">
        <f t="shared" si="29"/>
        <v>0</v>
      </c>
      <c r="AL61" s="246">
        <f t="shared" si="29"/>
        <v>0</v>
      </c>
      <c r="AM61" s="246">
        <f t="shared" si="29"/>
        <v>0</v>
      </c>
      <c r="AN61" s="246">
        <f t="shared" si="29"/>
        <v>0</v>
      </c>
      <c r="AO61" s="246">
        <f t="shared" si="29"/>
        <v>0</v>
      </c>
      <c r="AP61" s="246">
        <f t="shared" si="29"/>
        <v>0</v>
      </c>
      <c r="AQ61" s="246">
        <f t="shared" si="29"/>
        <v>0</v>
      </c>
      <c r="AR61" s="246">
        <f t="shared" si="29"/>
        <v>0</v>
      </c>
      <c r="AS61" s="246">
        <f t="shared" si="29"/>
        <v>0</v>
      </c>
      <c r="AT61" s="246">
        <f t="shared" si="29"/>
        <v>0</v>
      </c>
      <c r="AU61" s="246">
        <f t="shared" si="29"/>
        <v>0</v>
      </c>
      <c r="AV61" s="246">
        <f t="shared" si="29"/>
        <v>0</v>
      </c>
      <c r="AW61" s="246">
        <f t="shared" si="29"/>
        <v>0</v>
      </c>
      <c r="AX61" s="246">
        <f t="shared" si="29"/>
        <v>0</v>
      </c>
      <c r="AY61" s="246">
        <f t="shared" si="29"/>
        <v>0</v>
      </c>
      <c r="AZ61" s="246">
        <f t="shared" si="29"/>
        <v>0</v>
      </c>
      <c r="BA61" s="246">
        <f t="shared" si="29"/>
        <v>0</v>
      </c>
      <c r="BB61" s="246">
        <f t="shared" si="29"/>
        <v>0</v>
      </c>
      <c r="BC61" s="246">
        <f t="shared" si="29"/>
        <v>0</v>
      </c>
      <c r="BD61" s="246">
        <f t="shared" si="29"/>
        <v>0</v>
      </c>
      <c r="BE61" s="246">
        <f t="shared" si="29"/>
        <v>0</v>
      </c>
    </row>
    <row r="62" spans="2:57" x14ac:dyDescent="0.2">
      <c r="B62" s="229">
        <f t="shared" si="23"/>
        <v>28</v>
      </c>
      <c r="C62" s="236" t="s">
        <v>713</v>
      </c>
      <c r="D62" s="236"/>
      <c r="E62" s="237" t="s">
        <v>718</v>
      </c>
      <c r="F62" s="238"/>
      <c r="G62" s="245">
        <f t="shared" si="28"/>
        <v>0.03</v>
      </c>
      <c r="H62" s="246">
        <f>H61*H60</f>
        <v>0</v>
      </c>
      <c r="I62" s="246">
        <f t="shared" ref="I62:BE62" si="30">I61*I60</f>
        <v>0</v>
      </c>
      <c r="J62" s="246">
        <f t="shared" si="30"/>
        <v>1.1189933333333334E-2</v>
      </c>
      <c r="K62" s="246">
        <f t="shared" si="30"/>
        <v>0</v>
      </c>
      <c r="L62" s="246">
        <f t="shared" si="30"/>
        <v>0</v>
      </c>
      <c r="M62" s="246">
        <f t="shared" si="30"/>
        <v>0</v>
      </c>
      <c r="N62" s="246">
        <f t="shared" si="30"/>
        <v>8.6376888888888888E-3</v>
      </c>
      <c r="O62" s="246">
        <f t="shared" si="30"/>
        <v>0</v>
      </c>
      <c r="P62" s="246">
        <f t="shared" si="30"/>
        <v>0</v>
      </c>
      <c r="Q62" s="246">
        <f t="shared" si="30"/>
        <v>0</v>
      </c>
      <c r="R62" s="246">
        <f t="shared" si="30"/>
        <v>6.1795555555555553E-3</v>
      </c>
      <c r="S62" s="246">
        <f t="shared" si="30"/>
        <v>0</v>
      </c>
      <c r="T62" s="246">
        <f t="shared" si="30"/>
        <v>0</v>
      </c>
      <c r="U62" s="246">
        <f t="shared" si="30"/>
        <v>0</v>
      </c>
      <c r="V62" s="246">
        <f t="shared" si="30"/>
        <v>0</v>
      </c>
      <c r="W62" s="246">
        <f t="shared" si="30"/>
        <v>0</v>
      </c>
      <c r="X62" s="246">
        <f t="shared" si="30"/>
        <v>0</v>
      </c>
      <c r="Y62" s="246">
        <f t="shared" si="30"/>
        <v>0</v>
      </c>
      <c r="Z62" s="246">
        <f t="shared" si="30"/>
        <v>0</v>
      </c>
      <c r="AA62" s="246">
        <f t="shared" si="30"/>
        <v>0</v>
      </c>
      <c r="AB62" s="246">
        <f t="shared" si="30"/>
        <v>0</v>
      </c>
      <c r="AC62" s="246">
        <f t="shared" si="30"/>
        <v>0</v>
      </c>
      <c r="AD62" s="246">
        <f t="shared" si="30"/>
        <v>0</v>
      </c>
      <c r="AE62" s="246">
        <f t="shared" si="30"/>
        <v>0</v>
      </c>
      <c r="AF62" s="246">
        <f t="shared" si="30"/>
        <v>0</v>
      </c>
      <c r="AG62" s="246">
        <f t="shared" si="30"/>
        <v>0</v>
      </c>
      <c r="AH62" s="246">
        <f t="shared" si="30"/>
        <v>0</v>
      </c>
      <c r="AI62" s="246">
        <f t="shared" si="30"/>
        <v>0</v>
      </c>
      <c r="AJ62" s="246">
        <f t="shared" si="30"/>
        <v>0</v>
      </c>
      <c r="AK62" s="246">
        <f t="shared" si="30"/>
        <v>0</v>
      </c>
      <c r="AL62" s="246">
        <f t="shared" si="30"/>
        <v>0</v>
      </c>
      <c r="AM62" s="246">
        <f t="shared" si="30"/>
        <v>0</v>
      </c>
      <c r="AN62" s="246">
        <f t="shared" si="30"/>
        <v>0</v>
      </c>
      <c r="AO62" s="246">
        <f t="shared" si="30"/>
        <v>0</v>
      </c>
      <c r="AP62" s="246">
        <f t="shared" si="30"/>
        <v>0</v>
      </c>
      <c r="AQ62" s="246">
        <f t="shared" si="30"/>
        <v>0</v>
      </c>
      <c r="AR62" s="246">
        <f t="shared" si="30"/>
        <v>0</v>
      </c>
      <c r="AS62" s="246">
        <f t="shared" si="30"/>
        <v>0</v>
      </c>
      <c r="AT62" s="246">
        <f t="shared" si="30"/>
        <v>0</v>
      </c>
      <c r="AU62" s="246">
        <f t="shared" si="30"/>
        <v>0</v>
      </c>
      <c r="AV62" s="246">
        <f t="shared" si="30"/>
        <v>0</v>
      </c>
      <c r="AW62" s="246">
        <f t="shared" si="30"/>
        <v>0</v>
      </c>
      <c r="AX62" s="246">
        <f t="shared" si="30"/>
        <v>0</v>
      </c>
      <c r="AY62" s="246">
        <f t="shared" si="30"/>
        <v>0</v>
      </c>
      <c r="AZ62" s="246">
        <f t="shared" si="30"/>
        <v>0</v>
      </c>
      <c r="BA62" s="246">
        <f t="shared" si="30"/>
        <v>0</v>
      </c>
      <c r="BB62" s="246">
        <f t="shared" si="30"/>
        <v>0</v>
      </c>
      <c r="BC62" s="246">
        <f t="shared" si="30"/>
        <v>0</v>
      </c>
      <c r="BD62" s="246">
        <f t="shared" si="30"/>
        <v>0</v>
      </c>
      <c r="BE62" s="246">
        <f t="shared" si="30"/>
        <v>0</v>
      </c>
    </row>
    <row r="63" spans="2:57" x14ac:dyDescent="0.2">
      <c r="B63" s="229">
        <f t="shared" si="23"/>
        <v>29</v>
      </c>
      <c r="C63" s="236" t="s">
        <v>714</v>
      </c>
      <c r="D63" s="236"/>
      <c r="E63" s="237" t="s">
        <v>718</v>
      </c>
      <c r="F63" s="238"/>
      <c r="G63" s="245">
        <f t="shared" si="28"/>
        <v>1.36</v>
      </c>
      <c r="H63" s="246">
        <f>H61-H62</f>
        <v>0.91139999999999988</v>
      </c>
      <c r="I63" s="246">
        <f t="shared" ref="I63:BE63" si="31">I61-I62</f>
        <v>7.0791999999999994E-2</v>
      </c>
      <c r="J63" s="246">
        <f t="shared" si="31"/>
        <v>9.1554000000000028E-3</v>
      </c>
      <c r="K63" s="246">
        <f t="shared" si="31"/>
        <v>8.1381333333333347E-2</v>
      </c>
      <c r="L63" s="246">
        <f t="shared" si="31"/>
        <v>2.9948333333333327E-2</v>
      </c>
      <c r="M63" s="246">
        <f t="shared" si="31"/>
        <v>2.5153999999999999E-2</v>
      </c>
      <c r="N63" s="246">
        <f t="shared" si="31"/>
        <v>3.8476977777777775E-2</v>
      </c>
      <c r="O63" s="246">
        <f t="shared" si="31"/>
        <v>0.14003933333333338</v>
      </c>
      <c r="P63" s="246">
        <f t="shared" si="31"/>
        <v>6.7693333333333312E-3</v>
      </c>
      <c r="Q63" s="246">
        <f t="shared" si="31"/>
        <v>1.9940000000000003E-2</v>
      </c>
      <c r="R63" s="246">
        <f t="shared" si="31"/>
        <v>2.7527111111111113E-2</v>
      </c>
      <c r="S63" s="246">
        <f t="shared" si="31"/>
        <v>2.4020833333333333E-3</v>
      </c>
      <c r="T63" s="246">
        <f t="shared" si="31"/>
        <v>0</v>
      </c>
      <c r="U63" s="246">
        <f t="shared" si="31"/>
        <v>0</v>
      </c>
      <c r="V63" s="246">
        <f t="shared" si="31"/>
        <v>0</v>
      </c>
      <c r="W63" s="246">
        <f t="shared" si="31"/>
        <v>0</v>
      </c>
      <c r="X63" s="246">
        <f t="shared" si="31"/>
        <v>0</v>
      </c>
      <c r="Y63" s="246">
        <f t="shared" si="31"/>
        <v>0</v>
      </c>
      <c r="Z63" s="246">
        <f t="shared" si="31"/>
        <v>0</v>
      </c>
      <c r="AA63" s="246">
        <f t="shared" si="31"/>
        <v>0</v>
      </c>
      <c r="AB63" s="246">
        <f t="shared" si="31"/>
        <v>0</v>
      </c>
      <c r="AC63" s="246">
        <f t="shared" si="31"/>
        <v>0</v>
      </c>
      <c r="AD63" s="246">
        <f t="shared" si="31"/>
        <v>0</v>
      </c>
      <c r="AE63" s="246">
        <f t="shared" si="31"/>
        <v>0</v>
      </c>
      <c r="AF63" s="246">
        <f t="shared" si="31"/>
        <v>0</v>
      </c>
      <c r="AG63" s="246">
        <f t="shared" si="31"/>
        <v>0</v>
      </c>
      <c r="AH63" s="246">
        <f t="shared" si="31"/>
        <v>0</v>
      </c>
      <c r="AI63" s="246">
        <f t="shared" si="31"/>
        <v>0</v>
      </c>
      <c r="AJ63" s="246">
        <f t="shared" si="31"/>
        <v>0</v>
      </c>
      <c r="AK63" s="246">
        <f t="shared" si="31"/>
        <v>0</v>
      </c>
      <c r="AL63" s="246">
        <f t="shared" si="31"/>
        <v>0</v>
      </c>
      <c r="AM63" s="246">
        <f t="shared" si="31"/>
        <v>0</v>
      </c>
      <c r="AN63" s="246">
        <f t="shared" si="31"/>
        <v>0</v>
      </c>
      <c r="AO63" s="246">
        <f t="shared" si="31"/>
        <v>0</v>
      </c>
      <c r="AP63" s="246">
        <f t="shared" si="31"/>
        <v>0</v>
      </c>
      <c r="AQ63" s="246">
        <f t="shared" si="31"/>
        <v>0</v>
      </c>
      <c r="AR63" s="246">
        <f t="shared" si="31"/>
        <v>0</v>
      </c>
      <c r="AS63" s="246">
        <f t="shared" si="31"/>
        <v>0</v>
      </c>
      <c r="AT63" s="246">
        <f t="shared" si="31"/>
        <v>0</v>
      </c>
      <c r="AU63" s="246">
        <f t="shared" si="31"/>
        <v>0</v>
      </c>
      <c r="AV63" s="246">
        <f t="shared" si="31"/>
        <v>0</v>
      </c>
      <c r="AW63" s="246">
        <f t="shared" si="31"/>
        <v>0</v>
      </c>
      <c r="AX63" s="246">
        <f t="shared" si="31"/>
        <v>0</v>
      </c>
      <c r="AY63" s="246">
        <f t="shared" si="31"/>
        <v>0</v>
      </c>
      <c r="AZ63" s="246">
        <f t="shared" si="31"/>
        <v>0</v>
      </c>
      <c r="BA63" s="246">
        <f t="shared" si="31"/>
        <v>0</v>
      </c>
      <c r="BB63" s="246">
        <f t="shared" si="31"/>
        <v>0</v>
      </c>
      <c r="BC63" s="246">
        <f t="shared" si="31"/>
        <v>0</v>
      </c>
      <c r="BD63" s="246">
        <f t="shared" si="31"/>
        <v>0</v>
      </c>
      <c r="BE63" s="246">
        <f t="shared" si="31"/>
        <v>0</v>
      </c>
    </row>
    <row r="64" spans="2:57" x14ac:dyDescent="0.2">
      <c r="B64" s="229">
        <f t="shared" si="23"/>
        <v>30</v>
      </c>
      <c r="C64" s="236" t="s">
        <v>711</v>
      </c>
      <c r="D64" s="236"/>
      <c r="E64" s="237" t="s">
        <v>712</v>
      </c>
      <c r="F64" s="238"/>
      <c r="G64" s="245">
        <f t="shared" si="28"/>
        <v>13.12</v>
      </c>
      <c r="H64" s="246">
        <f>H10-H29</f>
        <v>5.6</v>
      </c>
      <c r="I64" s="246">
        <f t="shared" ref="I64:BE64" si="32">I10-I29</f>
        <v>0.97799999999999998</v>
      </c>
      <c r="J64" s="246">
        <f t="shared" si="32"/>
        <v>0.27799999999999997</v>
      </c>
      <c r="K64" s="246">
        <f t="shared" si="32"/>
        <v>2.2439999999999998</v>
      </c>
      <c r="L64" s="246">
        <f t="shared" si="32"/>
        <v>1.05</v>
      </c>
      <c r="M64" s="246">
        <f t="shared" si="32"/>
        <v>0.156</v>
      </c>
      <c r="N64" s="246">
        <f t="shared" si="32"/>
        <v>0.156</v>
      </c>
      <c r="O64" s="246">
        <f t="shared" si="32"/>
        <v>1.9340000000000002</v>
      </c>
      <c r="P64" s="246">
        <f t="shared" si="32"/>
        <v>4.3999999999999984E-2</v>
      </c>
      <c r="Q64" s="246">
        <f t="shared" si="32"/>
        <v>0.55000000000000004</v>
      </c>
      <c r="R64" s="246">
        <f t="shared" si="32"/>
        <v>0.10999999999999999</v>
      </c>
      <c r="S64" s="246">
        <f t="shared" si="32"/>
        <v>1.5000000000000001E-2</v>
      </c>
      <c r="T64" s="246">
        <f t="shared" si="32"/>
        <v>0</v>
      </c>
      <c r="U64" s="246">
        <f t="shared" si="32"/>
        <v>0</v>
      </c>
      <c r="V64" s="246">
        <f t="shared" si="32"/>
        <v>0</v>
      </c>
      <c r="W64" s="246">
        <f t="shared" si="32"/>
        <v>0</v>
      </c>
      <c r="X64" s="246">
        <f t="shared" si="32"/>
        <v>0</v>
      </c>
      <c r="Y64" s="246">
        <f t="shared" si="32"/>
        <v>0</v>
      </c>
      <c r="Z64" s="246">
        <f t="shared" si="32"/>
        <v>0</v>
      </c>
      <c r="AA64" s="246">
        <f t="shared" si="32"/>
        <v>0</v>
      </c>
      <c r="AB64" s="246">
        <f t="shared" si="32"/>
        <v>0</v>
      </c>
      <c r="AC64" s="246">
        <f t="shared" si="32"/>
        <v>0</v>
      </c>
      <c r="AD64" s="246">
        <f t="shared" si="32"/>
        <v>0</v>
      </c>
      <c r="AE64" s="246">
        <f t="shared" si="32"/>
        <v>0</v>
      </c>
      <c r="AF64" s="246">
        <f t="shared" si="32"/>
        <v>0</v>
      </c>
      <c r="AG64" s="246">
        <f t="shared" si="32"/>
        <v>0</v>
      </c>
      <c r="AH64" s="246">
        <f t="shared" si="32"/>
        <v>0</v>
      </c>
      <c r="AI64" s="246">
        <f t="shared" si="32"/>
        <v>0</v>
      </c>
      <c r="AJ64" s="246">
        <f t="shared" si="32"/>
        <v>0</v>
      </c>
      <c r="AK64" s="246">
        <f t="shared" si="32"/>
        <v>0</v>
      </c>
      <c r="AL64" s="246">
        <f t="shared" si="32"/>
        <v>0</v>
      </c>
      <c r="AM64" s="246">
        <f t="shared" si="32"/>
        <v>0</v>
      </c>
      <c r="AN64" s="246">
        <f t="shared" si="32"/>
        <v>0</v>
      </c>
      <c r="AO64" s="246">
        <f t="shared" si="32"/>
        <v>0</v>
      </c>
      <c r="AP64" s="246">
        <f t="shared" si="32"/>
        <v>0</v>
      </c>
      <c r="AQ64" s="246">
        <f t="shared" si="32"/>
        <v>0</v>
      </c>
      <c r="AR64" s="246">
        <f t="shared" si="32"/>
        <v>0</v>
      </c>
      <c r="AS64" s="246">
        <f t="shared" si="32"/>
        <v>0</v>
      </c>
      <c r="AT64" s="246">
        <f t="shared" si="32"/>
        <v>0</v>
      </c>
      <c r="AU64" s="246">
        <f t="shared" si="32"/>
        <v>0</v>
      </c>
      <c r="AV64" s="246">
        <f t="shared" si="32"/>
        <v>0</v>
      </c>
      <c r="AW64" s="246">
        <f t="shared" si="32"/>
        <v>0</v>
      </c>
      <c r="AX64" s="246">
        <f t="shared" si="32"/>
        <v>0</v>
      </c>
      <c r="AY64" s="246">
        <f t="shared" si="32"/>
        <v>0</v>
      </c>
      <c r="AZ64" s="246">
        <f t="shared" si="32"/>
        <v>0</v>
      </c>
      <c r="BA64" s="246">
        <f t="shared" si="32"/>
        <v>0</v>
      </c>
      <c r="BB64" s="246">
        <f t="shared" si="32"/>
        <v>0</v>
      </c>
      <c r="BC64" s="246">
        <f t="shared" si="32"/>
        <v>0</v>
      </c>
      <c r="BD64" s="246">
        <f t="shared" si="32"/>
        <v>0</v>
      </c>
      <c r="BE64" s="246">
        <f t="shared" si="32"/>
        <v>0</v>
      </c>
    </row>
    <row r="65" spans="2:57" x14ac:dyDescent="0.2">
      <c r="B65" s="229">
        <f>B64+1</f>
        <v>31</v>
      </c>
      <c r="C65" s="236" t="s">
        <v>715</v>
      </c>
      <c r="D65" s="236"/>
      <c r="E65" s="237" t="s">
        <v>712</v>
      </c>
      <c r="F65" s="238"/>
      <c r="G65" s="245">
        <f t="shared" si="28"/>
        <v>0.54</v>
      </c>
      <c r="H65" s="246">
        <f>H43</f>
        <v>0</v>
      </c>
      <c r="I65" s="246">
        <f t="shared" ref="I65:BE65" si="33">I43</f>
        <v>0</v>
      </c>
      <c r="J65" s="246">
        <f t="shared" si="33"/>
        <v>0.27799999999999997</v>
      </c>
      <c r="K65" s="246">
        <f t="shared" si="33"/>
        <v>0</v>
      </c>
      <c r="L65" s="246">
        <f t="shared" si="33"/>
        <v>0</v>
      </c>
      <c r="M65" s="246">
        <f t="shared" si="33"/>
        <v>0</v>
      </c>
      <c r="N65" s="246">
        <f t="shared" si="33"/>
        <v>0.156</v>
      </c>
      <c r="O65" s="246">
        <f t="shared" si="33"/>
        <v>0</v>
      </c>
      <c r="P65" s="246">
        <f t="shared" si="33"/>
        <v>0</v>
      </c>
      <c r="Q65" s="246">
        <f t="shared" si="33"/>
        <v>0</v>
      </c>
      <c r="R65" s="246">
        <f t="shared" si="33"/>
        <v>0.10999999999999999</v>
      </c>
      <c r="S65" s="246">
        <f t="shared" si="33"/>
        <v>0</v>
      </c>
      <c r="T65" s="246">
        <f t="shared" si="33"/>
        <v>0</v>
      </c>
      <c r="U65" s="246">
        <f t="shared" si="33"/>
        <v>0</v>
      </c>
      <c r="V65" s="246">
        <f t="shared" si="33"/>
        <v>0</v>
      </c>
      <c r="W65" s="246">
        <f t="shared" si="33"/>
        <v>0</v>
      </c>
      <c r="X65" s="246">
        <f t="shared" si="33"/>
        <v>0</v>
      </c>
      <c r="Y65" s="246">
        <f t="shared" si="33"/>
        <v>0</v>
      </c>
      <c r="Z65" s="246">
        <f t="shared" si="33"/>
        <v>0</v>
      </c>
      <c r="AA65" s="246">
        <f t="shared" si="33"/>
        <v>0</v>
      </c>
      <c r="AB65" s="246">
        <f t="shared" si="33"/>
        <v>0</v>
      </c>
      <c r="AC65" s="246">
        <f t="shared" si="33"/>
        <v>0</v>
      </c>
      <c r="AD65" s="246">
        <f t="shared" si="33"/>
        <v>0</v>
      </c>
      <c r="AE65" s="246">
        <f t="shared" si="33"/>
        <v>0</v>
      </c>
      <c r="AF65" s="246">
        <f t="shared" si="33"/>
        <v>0</v>
      </c>
      <c r="AG65" s="246">
        <f t="shared" si="33"/>
        <v>0</v>
      </c>
      <c r="AH65" s="246">
        <f t="shared" si="33"/>
        <v>0</v>
      </c>
      <c r="AI65" s="246">
        <f t="shared" si="33"/>
        <v>0</v>
      </c>
      <c r="AJ65" s="246">
        <f t="shared" si="33"/>
        <v>0</v>
      </c>
      <c r="AK65" s="246">
        <f t="shared" si="33"/>
        <v>0</v>
      </c>
      <c r="AL65" s="246">
        <f t="shared" si="33"/>
        <v>0</v>
      </c>
      <c r="AM65" s="246">
        <f t="shared" si="33"/>
        <v>0</v>
      </c>
      <c r="AN65" s="246">
        <f t="shared" si="33"/>
        <v>0</v>
      </c>
      <c r="AO65" s="246">
        <f t="shared" si="33"/>
        <v>0</v>
      </c>
      <c r="AP65" s="246">
        <f t="shared" si="33"/>
        <v>0</v>
      </c>
      <c r="AQ65" s="246">
        <f t="shared" si="33"/>
        <v>0</v>
      </c>
      <c r="AR65" s="246">
        <f t="shared" si="33"/>
        <v>0</v>
      </c>
      <c r="AS65" s="246">
        <f t="shared" si="33"/>
        <v>0</v>
      </c>
      <c r="AT65" s="246">
        <f t="shared" si="33"/>
        <v>0</v>
      </c>
      <c r="AU65" s="246">
        <f t="shared" si="33"/>
        <v>0</v>
      </c>
      <c r="AV65" s="246">
        <f t="shared" si="33"/>
        <v>0</v>
      </c>
      <c r="AW65" s="246">
        <f t="shared" si="33"/>
        <v>0</v>
      </c>
      <c r="AX65" s="246">
        <f t="shared" si="33"/>
        <v>0</v>
      </c>
      <c r="AY65" s="246">
        <f t="shared" si="33"/>
        <v>0</v>
      </c>
      <c r="AZ65" s="246">
        <f t="shared" si="33"/>
        <v>0</v>
      </c>
      <c r="BA65" s="246">
        <f t="shared" si="33"/>
        <v>0</v>
      </c>
      <c r="BB65" s="246">
        <f t="shared" si="33"/>
        <v>0</v>
      </c>
      <c r="BC65" s="246">
        <f t="shared" si="33"/>
        <v>0</v>
      </c>
      <c r="BD65" s="246">
        <f t="shared" si="33"/>
        <v>0</v>
      </c>
      <c r="BE65" s="246">
        <f t="shared" si="33"/>
        <v>0</v>
      </c>
    </row>
    <row r="66" spans="2:57" x14ac:dyDescent="0.2">
      <c r="B66" s="229">
        <f>B65+1</f>
        <v>32</v>
      </c>
      <c r="C66" s="236" t="s">
        <v>716</v>
      </c>
      <c r="D66" s="236"/>
      <c r="E66" s="237" t="s">
        <v>712</v>
      </c>
      <c r="F66" s="238"/>
      <c r="G66" s="245">
        <f t="shared" si="28"/>
        <v>13.12</v>
      </c>
      <c r="H66" s="246">
        <f>H64</f>
        <v>5.6</v>
      </c>
      <c r="I66" s="246">
        <f t="shared" ref="I66:BE66" si="34">I64</f>
        <v>0.97799999999999998</v>
      </c>
      <c r="J66" s="246">
        <f t="shared" si="34"/>
        <v>0.27799999999999997</v>
      </c>
      <c r="K66" s="246">
        <f t="shared" si="34"/>
        <v>2.2439999999999998</v>
      </c>
      <c r="L66" s="246">
        <f t="shared" si="34"/>
        <v>1.05</v>
      </c>
      <c r="M66" s="246">
        <f t="shared" si="34"/>
        <v>0.156</v>
      </c>
      <c r="N66" s="246">
        <f t="shared" si="34"/>
        <v>0.156</v>
      </c>
      <c r="O66" s="246">
        <f t="shared" si="34"/>
        <v>1.9340000000000002</v>
      </c>
      <c r="P66" s="246">
        <f t="shared" si="34"/>
        <v>4.3999999999999984E-2</v>
      </c>
      <c r="Q66" s="246">
        <f t="shared" si="34"/>
        <v>0.55000000000000004</v>
      </c>
      <c r="R66" s="246">
        <f t="shared" si="34"/>
        <v>0.10999999999999999</v>
      </c>
      <c r="S66" s="246">
        <f t="shared" si="34"/>
        <v>1.5000000000000001E-2</v>
      </c>
      <c r="T66" s="246">
        <f t="shared" si="34"/>
        <v>0</v>
      </c>
      <c r="U66" s="246">
        <f t="shared" si="34"/>
        <v>0</v>
      </c>
      <c r="V66" s="246">
        <f t="shared" si="34"/>
        <v>0</v>
      </c>
      <c r="W66" s="246">
        <f t="shared" si="34"/>
        <v>0</v>
      </c>
      <c r="X66" s="246">
        <f t="shared" si="34"/>
        <v>0</v>
      </c>
      <c r="Y66" s="246">
        <f t="shared" si="34"/>
        <v>0</v>
      </c>
      <c r="Z66" s="246">
        <f t="shared" si="34"/>
        <v>0</v>
      </c>
      <c r="AA66" s="246">
        <f t="shared" si="34"/>
        <v>0</v>
      </c>
      <c r="AB66" s="246">
        <f t="shared" si="34"/>
        <v>0</v>
      </c>
      <c r="AC66" s="246">
        <f t="shared" si="34"/>
        <v>0</v>
      </c>
      <c r="AD66" s="246">
        <f t="shared" si="34"/>
        <v>0</v>
      </c>
      <c r="AE66" s="246">
        <f t="shared" si="34"/>
        <v>0</v>
      </c>
      <c r="AF66" s="246">
        <f t="shared" si="34"/>
        <v>0</v>
      </c>
      <c r="AG66" s="246">
        <f t="shared" si="34"/>
        <v>0</v>
      </c>
      <c r="AH66" s="246">
        <f t="shared" si="34"/>
        <v>0</v>
      </c>
      <c r="AI66" s="246">
        <f t="shared" si="34"/>
        <v>0</v>
      </c>
      <c r="AJ66" s="246">
        <f t="shared" si="34"/>
        <v>0</v>
      </c>
      <c r="AK66" s="246">
        <f t="shared" si="34"/>
        <v>0</v>
      </c>
      <c r="AL66" s="246">
        <f t="shared" si="34"/>
        <v>0</v>
      </c>
      <c r="AM66" s="246">
        <f t="shared" si="34"/>
        <v>0</v>
      </c>
      <c r="AN66" s="246">
        <f t="shared" si="34"/>
        <v>0</v>
      </c>
      <c r="AO66" s="246">
        <f t="shared" si="34"/>
        <v>0</v>
      </c>
      <c r="AP66" s="246">
        <f t="shared" si="34"/>
        <v>0</v>
      </c>
      <c r="AQ66" s="246">
        <f t="shared" si="34"/>
        <v>0</v>
      </c>
      <c r="AR66" s="246">
        <f t="shared" si="34"/>
        <v>0</v>
      </c>
      <c r="AS66" s="246">
        <f t="shared" si="34"/>
        <v>0</v>
      </c>
      <c r="AT66" s="246">
        <f t="shared" si="34"/>
        <v>0</v>
      </c>
      <c r="AU66" s="246">
        <f t="shared" si="34"/>
        <v>0</v>
      </c>
      <c r="AV66" s="246">
        <f t="shared" si="34"/>
        <v>0</v>
      </c>
      <c r="AW66" s="246">
        <f t="shared" si="34"/>
        <v>0</v>
      </c>
      <c r="AX66" s="246">
        <f t="shared" si="34"/>
        <v>0</v>
      </c>
      <c r="AY66" s="246">
        <f t="shared" si="34"/>
        <v>0</v>
      </c>
      <c r="AZ66" s="246">
        <f t="shared" si="34"/>
        <v>0</v>
      </c>
      <c r="BA66" s="246">
        <f t="shared" si="34"/>
        <v>0</v>
      </c>
      <c r="BB66" s="246">
        <f t="shared" si="34"/>
        <v>0</v>
      </c>
      <c r="BC66" s="246">
        <f t="shared" si="34"/>
        <v>0</v>
      </c>
      <c r="BD66" s="246">
        <f t="shared" si="34"/>
        <v>0</v>
      </c>
      <c r="BE66" s="246">
        <f t="shared" si="34"/>
        <v>0</v>
      </c>
    </row>
  </sheetData>
  <sheetProtection password="C9A4" sheet="1" objects="1" scenarios="1"/>
  <mergeCells count="18">
    <mergeCell ref="B14:B18"/>
    <mergeCell ref="B53:F53"/>
    <mergeCell ref="B6:B7"/>
    <mergeCell ref="B8:B9"/>
    <mergeCell ref="B25:B26"/>
    <mergeCell ref="B27:B28"/>
    <mergeCell ref="B33:B37"/>
    <mergeCell ref="C25:C26"/>
    <mergeCell ref="C27:C28"/>
    <mergeCell ref="B30:B32"/>
    <mergeCell ref="B41:F41"/>
    <mergeCell ref="B22:F22"/>
    <mergeCell ref="B2:G2"/>
    <mergeCell ref="B3:F3"/>
    <mergeCell ref="C6:C7"/>
    <mergeCell ref="C8:C9"/>
    <mergeCell ref="B11:B13"/>
    <mergeCell ref="B4:F4"/>
  </mergeCells>
  <conditionalFormatting sqref="T11:BE11 H55:BE55 T30:BE30">
    <cfRule type="cellIs" dxfId="133" priority="47" operator="greaterThan">
      <formula>24</formula>
    </cfRule>
    <cfRule type="cellIs" dxfId="132" priority="48" operator="lessThan">
      <formula>0</formula>
    </cfRule>
  </conditionalFormatting>
  <conditionalFormatting sqref="H37:BE37 H18:BE18">
    <cfRule type="cellIs" dxfId="131" priority="45" operator="greaterThan">
      <formula>1</formula>
    </cfRule>
    <cfRule type="cellIs" dxfId="130" priority="46" operator="lessThan">
      <formula>0</formula>
    </cfRule>
  </conditionalFormatting>
  <conditionalFormatting sqref="G49:G50 H56:BE57">
    <cfRule type="cellIs" dxfId="129" priority="40" operator="lessThan">
      <formula>0</formula>
    </cfRule>
  </conditionalFormatting>
  <conditionalFormatting sqref="G18 G37">
    <cfRule type="cellIs" dxfId="128" priority="39" operator="equal">
      <formula>"ERRO"</formula>
    </cfRule>
  </conditionalFormatting>
  <conditionalFormatting sqref="H56:BE56">
    <cfRule type="cellIs" dxfId="127" priority="35" operator="greaterThan">
      <formula>22</formula>
    </cfRule>
  </conditionalFormatting>
  <conditionalFormatting sqref="H57:BE57">
    <cfRule type="cellIs" dxfId="126" priority="34" operator="greaterThan">
      <formula>3</formula>
    </cfRule>
  </conditionalFormatting>
  <conditionalFormatting sqref="H56:BE57">
    <cfRule type="cellIs" dxfId="125" priority="21" operator="greaterThan">
      <formula>24</formula>
    </cfRule>
    <cfRule type="cellIs" dxfId="124" priority="22" operator="lessThan">
      <formula>0</formula>
    </cfRule>
  </conditionalFormatting>
  <conditionalFormatting sqref="H11:S11">
    <cfRule type="cellIs" dxfId="123" priority="11" operator="greaterThan">
      <formula>24</formula>
    </cfRule>
    <cfRule type="cellIs" dxfId="122" priority="12" operator="lessThan">
      <formula>0</formula>
    </cfRule>
  </conditionalFormatting>
  <conditionalFormatting sqref="H11">
    <cfRule type="cellIs" dxfId="121" priority="9" operator="greaterThan">
      <formula>24</formula>
    </cfRule>
    <cfRule type="cellIs" dxfId="120" priority="10" operator="lessThan">
      <formula>0</formula>
    </cfRule>
  </conditionalFormatting>
  <conditionalFormatting sqref="I11">
    <cfRule type="cellIs" dxfId="119" priority="7" operator="greaterThan">
      <formula>24</formula>
    </cfRule>
    <cfRule type="cellIs" dxfId="118" priority="8" operator="lessThan">
      <formula>0</formula>
    </cfRule>
  </conditionalFormatting>
  <conditionalFormatting sqref="H30:S30">
    <cfRule type="cellIs" dxfId="117" priority="5" operator="greaterThan">
      <formula>24</formula>
    </cfRule>
    <cfRule type="cellIs" dxfId="116" priority="6" operator="lessThan">
      <formula>0</formula>
    </cfRule>
  </conditionalFormatting>
  <conditionalFormatting sqref="H30:S30">
    <cfRule type="cellIs" dxfId="115" priority="3" operator="greaterThan">
      <formula>24</formula>
    </cfRule>
    <cfRule type="cellIs" dxfId="114" priority="4" operator="lessThan">
      <formula>0</formula>
    </cfRule>
  </conditionalFormatting>
  <conditionalFormatting sqref="I30">
    <cfRule type="cellIs" dxfId="113" priority="1" operator="greaterThan">
      <formula>24</formula>
    </cfRule>
    <cfRule type="cellIs" dxfId="112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/>
  </sheetPr>
  <dimension ref="B2:P101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C8" sqref="C8:G8"/>
    </sheetView>
  </sheetViews>
  <sheetFormatPr defaultColWidth="9.140625" defaultRowHeight="15" customHeight="1" outlineLevelRow="1" x14ac:dyDescent="0.25"/>
  <cols>
    <col min="1" max="2" width="3.42578125" style="735" customWidth="1"/>
    <col min="3" max="7" width="10.42578125" style="735" customWidth="1"/>
    <col min="8" max="9" width="11.42578125" style="735" customWidth="1"/>
    <col min="10" max="10" width="20.140625" style="735" bestFit="1" customWidth="1"/>
    <col min="11" max="16" width="28.42578125" style="735" customWidth="1"/>
    <col min="17" max="16384" width="9.140625" style="735"/>
  </cols>
  <sheetData>
    <row r="2" spans="2:16" s="410" customFormat="1" ht="22.5" customHeight="1" x14ac:dyDescent="0.25">
      <c r="B2" s="571"/>
      <c r="C2" s="572"/>
      <c r="D2" s="1158" t="s">
        <v>957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s="410" customFormat="1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s="410" customFormat="1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s="410" customFormat="1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s="410" customFormat="1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s="410" customFormat="1" ht="15" customHeight="1" x14ac:dyDescent="0.25">
      <c r="B7" s="1145" t="s">
        <v>284</v>
      </c>
      <c r="C7" s="1145"/>
      <c r="D7" s="1145"/>
      <c r="E7" s="1146"/>
      <c r="F7" s="1146"/>
      <c r="G7" s="1146"/>
      <c r="H7" s="716" t="s">
        <v>285</v>
      </c>
      <c r="I7" s="716" t="s">
        <v>16</v>
      </c>
      <c r="J7" s="716" t="s">
        <v>947</v>
      </c>
      <c r="K7" s="716" t="s">
        <v>929</v>
      </c>
      <c r="L7" s="716" t="s">
        <v>929</v>
      </c>
      <c r="M7" s="716" t="s">
        <v>929</v>
      </c>
      <c r="N7" s="716" t="s">
        <v>929</v>
      </c>
      <c r="O7" s="716" t="s">
        <v>929</v>
      </c>
      <c r="P7" s="716" t="s">
        <v>929</v>
      </c>
    </row>
    <row r="8" spans="2:16" ht="15" customHeight="1" outlineLevel="1" x14ac:dyDescent="0.25">
      <c r="B8" s="746">
        <v>1</v>
      </c>
      <c r="C8" s="1147"/>
      <c r="D8" s="1148"/>
      <c r="E8" s="1148"/>
      <c r="F8" s="1148"/>
      <c r="G8" s="1148"/>
      <c r="H8" s="726"/>
      <c r="I8" s="335"/>
      <c r="J8" s="546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748">
        <v>2</v>
      </c>
      <c r="C9" s="1147"/>
      <c r="D9" s="1148"/>
      <c r="E9" s="1148"/>
      <c r="F9" s="1148"/>
      <c r="G9" s="1148"/>
      <c r="H9" s="176"/>
      <c r="I9" s="336"/>
      <c r="J9" s="546">
        <f t="shared" ref="J9:J47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746">
        <v>3</v>
      </c>
      <c r="C10" s="1147"/>
      <c r="D10" s="1148"/>
      <c r="E10" s="1148"/>
      <c r="F10" s="1148"/>
      <c r="G10" s="1148"/>
      <c r="H10" s="176"/>
      <c r="I10" s="336"/>
      <c r="J10" s="546">
        <f t="shared" si="0"/>
        <v>0</v>
      </c>
      <c r="K10" s="343"/>
      <c r="L10" s="343"/>
      <c r="M10" s="343"/>
      <c r="N10" s="343"/>
      <c r="O10" s="343"/>
      <c r="P10" s="343"/>
    </row>
    <row r="11" spans="2:16" ht="15" customHeight="1" outlineLevel="1" x14ac:dyDescent="0.25">
      <c r="B11" s="748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746">
        <v>5</v>
      </c>
      <c r="C12" s="1147"/>
      <c r="D12" s="1148"/>
      <c r="E12" s="1148"/>
      <c r="F12" s="1148"/>
      <c r="G12" s="1148"/>
      <c r="H12" s="176"/>
      <c r="I12" s="336"/>
      <c r="J12" s="546">
        <f t="shared" si="0"/>
        <v>0</v>
      </c>
      <c r="K12" s="343"/>
      <c r="L12" s="343"/>
      <c r="M12" s="343"/>
      <c r="N12" s="343"/>
      <c r="O12" s="343"/>
      <c r="P12" s="343"/>
    </row>
    <row r="13" spans="2:16" ht="15" customHeight="1" outlineLevel="1" x14ac:dyDescent="0.25">
      <c r="B13" s="748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/>
      <c r="M13" s="343"/>
      <c r="N13" s="343"/>
      <c r="O13" s="343"/>
      <c r="P13" s="343"/>
    </row>
    <row r="14" spans="2:16" ht="15" customHeight="1" outlineLevel="1" x14ac:dyDescent="0.25">
      <c r="B14" s="746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/>
      <c r="L14" s="343"/>
      <c r="M14" s="343"/>
      <c r="N14" s="343"/>
      <c r="O14" s="343"/>
      <c r="P14" s="343"/>
    </row>
    <row r="15" spans="2:16" ht="15" customHeight="1" outlineLevel="1" x14ac:dyDescent="0.25">
      <c r="B15" s="748">
        <v>8</v>
      </c>
      <c r="C15" s="1147"/>
      <c r="D15" s="1148"/>
      <c r="E15" s="1148"/>
      <c r="F15" s="1148"/>
      <c r="G15" s="1148"/>
      <c r="H15" s="176"/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746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748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746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748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746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748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746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748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746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748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746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748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746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748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746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748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746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748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746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748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746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748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746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748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746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748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746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748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746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748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746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748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746"/>
      <c r="C48" s="1152" t="s">
        <v>289</v>
      </c>
      <c r="D48" s="1153"/>
      <c r="E48" s="1153"/>
      <c r="F48" s="1153"/>
      <c r="G48" s="1153"/>
      <c r="H48" s="177">
        <v>20</v>
      </c>
      <c r="I48" s="336"/>
      <c r="J48" s="546">
        <f t="shared" ref="J48" si="1">IFERROR(SMALL(K48:P48,1),0)</f>
        <v>0</v>
      </c>
      <c r="K48" s="343"/>
      <c r="L48" s="343"/>
      <c r="M48" s="343"/>
      <c r="N48" s="343"/>
      <c r="O48" s="343"/>
      <c r="P48" s="343"/>
    </row>
    <row r="49" spans="2:16" s="510" customFormat="1" ht="15" customHeight="1" x14ac:dyDescent="0.2">
      <c r="B49" s="516"/>
      <c r="C49" s="1007" t="s">
        <v>928</v>
      </c>
      <c r="D49" s="1007"/>
      <c r="E49" s="1007"/>
      <c r="F49" s="1007"/>
      <c r="G49" s="1007"/>
      <c r="H49" s="1007"/>
      <c r="I49" s="1007"/>
      <c r="J49" s="1007"/>
      <c r="K49" s="521" t="s">
        <v>917</v>
      </c>
      <c r="L49" s="521" t="s">
        <v>926</v>
      </c>
      <c r="M49" s="521" t="s">
        <v>927</v>
      </c>
      <c r="N49" s="521" t="s">
        <v>943</v>
      </c>
      <c r="O49" s="521" t="s">
        <v>944</v>
      </c>
      <c r="P49" s="521" t="s">
        <v>945</v>
      </c>
    </row>
    <row r="50" spans="2:16" s="752" customFormat="1" ht="15" customHeight="1" x14ac:dyDescent="0.2">
      <c r="B50" s="1202" t="s">
        <v>918</v>
      </c>
      <c r="C50" s="1203"/>
      <c r="D50" s="1203"/>
      <c r="E50" s="1203"/>
      <c r="F50" s="1203"/>
      <c r="G50" s="1203"/>
      <c r="H50" s="1203"/>
      <c r="I50" s="1203"/>
      <c r="J50" s="1204"/>
      <c r="K50" s="535"/>
      <c r="L50" s="535"/>
      <c r="M50" s="535"/>
      <c r="N50" s="535"/>
      <c r="O50" s="535"/>
      <c r="P50" s="535"/>
    </row>
    <row r="51" spans="2:16" s="752" customFormat="1" ht="15" customHeight="1" x14ac:dyDescent="0.2">
      <c r="B51" s="1202" t="s">
        <v>919</v>
      </c>
      <c r="C51" s="1203"/>
      <c r="D51" s="1203"/>
      <c r="E51" s="1203"/>
      <c r="F51" s="1203"/>
      <c r="G51" s="1203"/>
      <c r="H51" s="1203"/>
      <c r="I51" s="1203"/>
      <c r="J51" s="1204"/>
      <c r="K51" s="536"/>
      <c r="L51" s="536"/>
      <c r="M51" s="536"/>
      <c r="N51" s="536"/>
      <c r="O51" s="536"/>
      <c r="P51" s="536"/>
    </row>
    <row r="52" spans="2:16" s="752" customFormat="1" ht="15" customHeight="1" x14ac:dyDescent="0.2">
      <c r="B52" s="1202" t="s">
        <v>920</v>
      </c>
      <c r="C52" s="1203"/>
      <c r="D52" s="1203"/>
      <c r="E52" s="1203"/>
      <c r="F52" s="1203"/>
      <c r="G52" s="1203"/>
      <c r="H52" s="1203"/>
      <c r="I52" s="1203"/>
      <c r="J52" s="1204"/>
      <c r="K52" s="537"/>
      <c r="L52" s="537"/>
      <c r="M52" s="537"/>
      <c r="N52" s="537"/>
      <c r="O52" s="537"/>
      <c r="P52" s="537"/>
    </row>
    <row r="53" spans="2:16" s="752" customFormat="1" ht="15" customHeight="1" x14ac:dyDescent="0.2">
      <c r="B53" s="1202" t="s">
        <v>921</v>
      </c>
      <c r="C53" s="1203"/>
      <c r="D53" s="1203"/>
      <c r="E53" s="1203"/>
      <c r="F53" s="1203"/>
      <c r="G53" s="1203"/>
      <c r="H53" s="1203"/>
      <c r="I53" s="1203"/>
      <c r="J53" s="1204"/>
      <c r="K53" s="537"/>
      <c r="L53" s="537"/>
      <c r="M53" s="537"/>
      <c r="N53" s="537"/>
      <c r="O53" s="537"/>
      <c r="P53" s="537"/>
    </row>
    <row r="54" spans="2:16" s="752" customFormat="1" ht="15" customHeight="1" x14ac:dyDescent="0.2">
      <c r="B54" s="1202" t="s">
        <v>922</v>
      </c>
      <c r="C54" s="1203"/>
      <c r="D54" s="1203"/>
      <c r="E54" s="1203"/>
      <c r="F54" s="1203"/>
      <c r="G54" s="1203"/>
      <c r="H54" s="1203"/>
      <c r="I54" s="1203"/>
      <c r="J54" s="1204"/>
      <c r="K54" s="769"/>
      <c r="L54" s="535"/>
      <c r="M54" s="535"/>
      <c r="N54" s="535"/>
      <c r="O54" s="535"/>
      <c r="P54" s="535"/>
    </row>
    <row r="55" spans="2:16" s="752" customFormat="1" x14ac:dyDescent="0.2">
      <c r="B55" s="1202" t="s">
        <v>923</v>
      </c>
      <c r="C55" s="1203"/>
      <c r="D55" s="1203"/>
      <c r="E55" s="1203"/>
      <c r="F55" s="1203"/>
      <c r="G55" s="1203"/>
      <c r="H55" s="1203"/>
      <c r="I55" s="1203"/>
      <c r="J55" s="1204"/>
      <c r="K55" s="538"/>
      <c r="L55" s="538"/>
      <c r="M55" s="538"/>
      <c r="N55" s="538"/>
      <c r="O55" s="538"/>
      <c r="P55" s="538"/>
    </row>
    <row r="56" spans="2:16" s="752" customFormat="1" x14ac:dyDescent="0.2">
      <c r="B56" s="1202" t="s">
        <v>924</v>
      </c>
      <c r="C56" s="1203"/>
      <c r="D56" s="1203"/>
      <c r="E56" s="1203"/>
      <c r="F56" s="1203"/>
      <c r="G56" s="1203"/>
      <c r="H56" s="1203"/>
      <c r="I56" s="1203"/>
      <c r="J56" s="1204"/>
      <c r="K56" s="539"/>
      <c r="L56" s="539"/>
      <c r="M56" s="539"/>
      <c r="N56" s="539"/>
      <c r="O56" s="539"/>
      <c r="P56" s="539"/>
    </row>
    <row r="57" spans="2:16" s="753" customFormat="1" ht="15" customHeight="1" x14ac:dyDescent="0.2">
      <c r="B57" s="1206" t="s">
        <v>925</v>
      </c>
      <c r="C57" s="1207"/>
      <c r="D57" s="1207"/>
      <c r="E57" s="1207"/>
      <c r="F57" s="1207"/>
      <c r="G57" s="1207"/>
      <c r="H57" s="1207"/>
      <c r="I57" s="1207"/>
      <c r="J57" s="1208"/>
      <c r="K57" s="1201" t="s">
        <v>915</v>
      </c>
      <c r="L57" s="1201"/>
      <c r="M57" s="1201"/>
      <c r="N57" s="1201" t="s">
        <v>915</v>
      </c>
      <c r="O57" s="1201"/>
      <c r="P57" s="1201"/>
    </row>
    <row r="58" spans="2:16" s="410" customFormat="1" x14ac:dyDescent="0.25">
      <c r="B58" s="1161" t="s">
        <v>292</v>
      </c>
      <c r="C58" s="1162"/>
      <c r="D58" s="1162"/>
      <c r="E58" s="1162"/>
      <c r="F58" s="1162"/>
      <c r="G58" s="1162"/>
      <c r="H58" s="1162"/>
      <c r="I58" s="1162"/>
      <c r="J58" s="1163"/>
      <c r="K58" s="550" t="s">
        <v>917</v>
      </c>
      <c r="L58" s="550" t="s">
        <v>926</v>
      </c>
      <c r="M58" s="550" t="s">
        <v>927</v>
      </c>
      <c r="N58" s="550" t="s">
        <v>943</v>
      </c>
      <c r="O58" s="550" t="s">
        <v>944</v>
      </c>
      <c r="P58" s="550" t="s">
        <v>945</v>
      </c>
    </row>
    <row r="59" spans="2:16" s="410" customFormat="1" ht="45" x14ac:dyDescent="0.25">
      <c r="B59" s="332"/>
      <c r="C59" s="1150" t="s">
        <v>294</v>
      </c>
      <c r="D59" s="1150"/>
      <c r="E59" s="1150"/>
      <c r="F59" s="1150"/>
      <c r="G59" s="1151"/>
      <c r="H59" s="127" t="s">
        <v>16</v>
      </c>
      <c r="I59" s="716" t="s">
        <v>295</v>
      </c>
      <c r="J59" s="716" t="s">
        <v>948</v>
      </c>
      <c r="K59" s="716" t="s">
        <v>949</v>
      </c>
      <c r="L59" s="716" t="s">
        <v>949</v>
      </c>
      <c r="M59" s="716" t="s">
        <v>949</v>
      </c>
      <c r="N59" s="716" t="s">
        <v>949</v>
      </c>
      <c r="O59" s="716" t="s">
        <v>949</v>
      </c>
      <c r="P59" s="716" t="s">
        <v>949</v>
      </c>
    </row>
    <row r="60" spans="2:16" ht="15" customHeight="1" x14ac:dyDescent="0.25">
      <c r="B60" s="746">
        <v>1</v>
      </c>
      <c r="C60" s="1149"/>
      <c r="D60" s="1149"/>
      <c r="E60" s="1149"/>
      <c r="F60" s="1149"/>
      <c r="G60" s="1147"/>
      <c r="H60" s="727"/>
      <c r="I60" s="335"/>
      <c r="J60" s="747">
        <f>IFERROR(SMALL(K60:P60,1),0)</f>
        <v>0</v>
      </c>
      <c r="K60" s="343"/>
      <c r="L60" s="343"/>
      <c r="M60" s="343"/>
      <c r="N60" s="343"/>
      <c r="O60" s="343"/>
      <c r="P60" s="343"/>
    </row>
    <row r="61" spans="2:16" ht="15" customHeight="1" x14ac:dyDescent="0.25">
      <c r="B61" s="748">
        <v>2</v>
      </c>
      <c r="C61" s="1149"/>
      <c r="D61" s="1149"/>
      <c r="E61" s="1149"/>
      <c r="F61" s="1149"/>
      <c r="G61" s="1147"/>
      <c r="H61" s="185"/>
      <c r="I61" s="336"/>
      <c r="J61" s="747">
        <f t="shared" ref="J61:J64" si="2">IFERROR(SMALL(K61:P61,1),0)</f>
        <v>0</v>
      </c>
      <c r="K61" s="343"/>
      <c r="L61" s="343"/>
      <c r="M61" s="343"/>
      <c r="N61" s="343"/>
      <c r="O61" s="343"/>
      <c r="P61" s="343"/>
    </row>
    <row r="62" spans="2:16" ht="15" customHeight="1" x14ac:dyDescent="0.25">
      <c r="B62" s="746">
        <v>3</v>
      </c>
      <c r="C62" s="1149"/>
      <c r="D62" s="1149"/>
      <c r="E62" s="1149"/>
      <c r="F62" s="1149"/>
      <c r="G62" s="1147"/>
      <c r="H62" s="185"/>
      <c r="I62" s="336"/>
      <c r="J62" s="747">
        <f t="shared" si="2"/>
        <v>0</v>
      </c>
      <c r="K62" s="343"/>
      <c r="L62" s="343"/>
      <c r="M62" s="343"/>
      <c r="N62" s="343"/>
      <c r="O62" s="343"/>
      <c r="P62" s="343"/>
    </row>
    <row r="63" spans="2:16" ht="15" customHeight="1" x14ac:dyDescent="0.25">
      <c r="B63" s="748">
        <v>4</v>
      </c>
      <c r="C63" s="1149"/>
      <c r="D63" s="1149"/>
      <c r="E63" s="1149"/>
      <c r="F63" s="1149"/>
      <c r="G63" s="1147"/>
      <c r="H63" s="185"/>
      <c r="I63" s="336"/>
      <c r="J63" s="747">
        <f t="shared" si="2"/>
        <v>0</v>
      </c>
      <c r="K63" s="343"/>
      <c r="L63" s="343"/>
      <c r="M63" s="343"/>
      <c r="N63" s="343"/>
      <c r="O63" s="343"/>
      <c r="P63" s="343"/>
    </row>
    <row r="64" spans="2:16" ht="15" customHeight="1" x14ac:dyDescent="0.25">
      <c r="B64" s="746">
        <v>5</v>
      </c>
      <c r="C64" s="1149"/>
      <c r="D64" s="1149"/>
      <c r="E64" s="1149"/>
      <c r="F64" s="1149"/>
      <c r="G64" s="1147"/>
      <c r="H64" s="185"/>
      <c r="I64" s="336"/>
      <c r="J64" s="747">
        <f t="shared" si="2"/>
        <v>0</v>
      </c>
      <c r="K64" s="343"/>
      <c r="L64" s="343"/>
      <c r="M64" s="343"/>
      <c r="N64" s="343"/>
      <c r="O64" s="343"/>
      <c r="P64" s="343"/>
    </row>
    <row r="65" spans="2:16" s="751" customFormat="1" ht="15" customHeight="1" x14ac:dyDescent="0.2">
      <c r="B65" s="749"/>
      <c r="C65" s="1205" t="s">
        <v>928</v>
      </c>
      <c r="D65" s="1205"/>
      <c r="E65" s="1205"/>
      <c r="F65" s="1205"/>
      <c r="G65" s="1205"/>
      <c r="H65" s="1205"/>
      <c r="I65" s="1205"/>
      <c r="J65" s="1205"/>
      <c r="K65" s="750" t="s">
        <v>917</v>
      </c>
      <c r="L65" s="750" t="s">
        <v>926</v>
      </c>
      <c r="M65" s="750" t="s">
        <v>927</v>
      </c>
      <c r="N65" s="750" t="s">
        <v>943</v>
      </c>
      <c r="O65" s="750" t="s">
        <v>944</v>
      </c>
      <c r="P65" s="750" t="s">
        <v>945</v>
      </c>
    </row>
    <row r="66" spans="2:16" s="752" customFormat="1" ht="15" customHeight="1" x14ac:dyDescent="0.2">
      <c r="B66" s="1202" t="s">
        <v>918</v>
      </c>
      <c r="C66" s="1203"/>
      <c r="D66" s="1203"/>
      <c r="E66" s="1203"/>
      <c r="F66" s="1203"/>
      <c r="G66" s="1203"/>
      <c r="H66" s="1203"/>
      <c r="I66" s="1203"/>
      <c r="J66" s="1204"/>
      <c r="K66" s="535"/>
      <c r="L66" s="535"/>
      <c r="M66" s="535"/>
      <c r="N66" s="535"/>
      <c r="O66" s="535"/>
      <c r="P66" s="535"/>
    </row>
    <row r="67" spans="2:16" s="752" customFormat="1" ht="15" customHeight="1" x14ac:dyDescent="0.2">
      <c r="B67" s="1202" t="s">
        <v>919</v>
      </c>
      <c r="C67" s="1203"/>
      <c r="D67" s="1203"/>
      <c r="E67" s="1203"/>
      <c r="F67" s="1203"/>
      <c r="G67" s="1203"/>
      <c r="H67" s="1203"/>
      <c r="I67" s="1203"/>
      <c r="J67" s="1204"/>
      <c r="K67" s="536"/>
      <c r="L67" s="536"/>
      <c r="M67" s="536"/>
      <c r="N67" s="536"/>
      <c r="O67" s="536"/>
      <c r="P67" s="536"/>
    </row>
    <row r="68" spans="2:16" s="752" customFormat="1" ht="15" customHeight="1" x14ac:dyDescent="0.2">
      <c r="B68" s="1202" t="s">
        <v>920</v>
      </c>
      <c r="C68" s="1203"/>
      <c r="D68" s="1203"/>
      <c r="E68" s="1203"/>
      <c r="F68" s="1203"/>
      <c r="G68" s="1203"/>
      <c r="H68" s="1203"/>
      <c r="I68" s="1203"/>
      <c r="J68" s="1204"/>
      <c r="K68" s="537"/>
      <c r="L68" s="537"/>
      <c r="M68" s="537"/>
      <c r="N68" s="537"/>
      <c r="O68" s="537"/>
      <c r="P68" s="537"/>
    </row>
    <row r="69" spans="2:16" s="752" customFormat="1" ht="15" customHeight="1" x14ac:dyDescent="0.2">
      <c r="B69" s="1202" t="s">
        <v>921</v>
      </c>
      <c r="C69" s="1203"/>
      <c r="D69" s="1203"/>
      <c r="E69" s="1203"/>
      <c r="F69" s="1203"/>
      <c r="G69" s="1203"/>
      <c r="H69" s="1203"/>
      <c r="I69" s="1203"/>
      <c r="J69" s="1204"/>
      <c r="K69" s="537"/>
      <c r="L69" s="537"/>
      <c r="M69" s="537"/>
      <c r="N69" s="537"/>
      <c r="O69" s="537"/>
      <c r="P69" s="537"/>
    </row>
    <row r="70" spans="2:16" s="752" customFormat="1" ht="15" customHeight="1" x14ac:dyDescent="0.2">
      <c r="B70" s="1202" t="s">
        <v>922</v>
      </c>
      <c r="C70" s="1203"/>
      <c r="D70" s="1203"/>
      <c r="E70" s="1203"/>
      <c r="F70" s="1203"/>
      <c r="G70" s="1203"/>
      <c r="H70" s="1203"/>
      <c r="I70" s="1203"/>
      <c r="J70" s="1204"/>
      <c r="K70" s="535"/>
      <c r="L70" s="535"/>
      <c r="M70" s="535"/>
      <c r="N70" s="535"/>
      <c r="O70" s="535"/>
      <c r="P70" s="535"/>
    </row>
    <row r="71" spans="2:16" s="752" customFormat="1" x14ac:dyDescent="0.2">
      <c r="B71" s="1202" t="s">
        <v>923</v>
      </c>
      <c r="C71" s="1203"/>
      <c r="D71" s="1203"/>
      <c r="E71" s="1203"/>
      <c r="F71" s="1203"/>
      <c r="G71" s="1203"/>
      <c r="H71" s="1203"/>
      <c r="I71" s="1203"/>
      <c r="J71" s="1204"/>
      <c r="K71" s="538"/>
      <c r="L71" s="538"/>
      <c r="M71" s="538"/>
      <c r="N71" s="538"/>
      <c r="O71" s="538"/>
      <c r="P71" s="538"/>
    </row>
    <row r="72" spans="2:16" s="752" customFormat="1" x14ac:dyDescent="0.2">
      <c r="B72" s="1202" t="s">
        <v>924</v>
      </c>
      <c r="C72" s="1203"/>
      <c r="D72" s="1203"/>
      <c r="E72" s="1203"/>
      <c r="F72" s="1203"/>
      <c r="G72" s="1203"/>
      <c r="H72" s="1203"/>
      <c r="I72" s="1203"/>
      <c r="J72" s="1204"/>
      <c r="K72" s="539"/>
      <c r="L72" s="539"/>
      <c r="M72" s="539"/>
      <c r="N72" s="539"/>
      <c r="O72" s="539"/>
      <c r="P72" s="539"/>
    </row>
    <row r="73" spans="2:16" s="575" customFormat="1" ht="15" customHeight="1" x14ac:dyDescent="0.2">
      <c r="B73" s="1209" t="s">
        <v>925</v>
      </c>
      <c r="C73" s="1210"/>
      <c r="D73" s="1210"/>
      <c r="E73" s="1210"/>
      <c r="F73" s="1210"/>
      <c r="G73" s="1210"/>
      <c r="H73" s="1210"/>
      <c r="I73" s="1210"/>
      <c r="J73" s="1211"/>
      <c r="K73" s="1097" t="s">
        <v>915</v>
      </c>
      <c r="L73" s="1097"/>
      <c r="M73" s="1097"/>
      <c r="N73" s="1097" t="s">
        <v>915</v>
      </c>
      <c r="O73" s="1097"/>
      <c r="P73" s="1097"/>
    </row>
    <row r="74" spans="2:16" s="410" customFormat="1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550" t="s">
        <v>917</v>
      </c>
      <c r="L74" s="550" t="s">
        <v>926</v>
      </c>
      <c r="M74" s="550" t="s">
        <v>927</v>
      </c>
      <c r="N74" s="550" t="s">
        <v>943</v>
      </c>
      <c r="O74" s="550" t="s">
        <v>944</v>
      </c>
      <c r="P74" s="550" t="s">
        <v>945</v>
      </c>
    </row>
    <row r="75" spans="2:16" s="410" customFormat="1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716" t="s">
        <v>16</v>
      </c>
      <c r="J75" s="716" t="s">
        <v>947</v>
      </c>
      <c r="K75" s="716" t="s">
        <v>929</v>
      </c>
      <c r="L75" s="716" t="s">
        <v>929</v>
      </c>
      <c r="M75" s="716" t="s">
        <v>929</v>
      </c>
      <c r="N75" s="716" t="s">
        <v>929</v>
      </c>
      <c r="O75" s="716" t="s">
        <v>929</v>
      </c>
      <c r="P75" s="716" t="s">
        <v>929</v>
      </c>
    </row>
    <row r="76" spans="2:16" ht="15" customHeight="1" x14ac:dyDescent="0.25">
      <c r="B76" s="75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3">IFERROR(SMALL(K76:P76,1),0)</f>
        <v>0</v>
      </c>
      <c r="K76" s="343"/>
      <c r="L76" s="343"/>
      <c r="M76" s="343"/>
      <c r="N76" s="343"/>
      <c r="O76" s="343"/>
      <c r="P76" s="343"/>
    </row>
    <row r="77" spans="2:16" ht="15" customHeight="1" x14ac:dyDescent="0.25">
      <c r="B77" s="756">
        <v>2</v>
      </c>
      <c r="C77" s="1164"/>
      <c r="D77" s="1164"/>
      <c r="E77" s="1164"/>
      <c r="F77" s="1164"/>
      <c r="G77" s="1164"/>
      <c r="H77" s="1165"/>
      <c r="I77" s="336"/>
      <c r="J77" s="546">
        <f t="shared" si="3"/>
        <v>0</v>
      </c>
      <c r="K77" s="343"/>
      <c r="L77" s="343" t="s">
        <v>267</v>
      </c>
      <c r="M77" s="343"/>
      <c r="N77" s="343"/>
      <c r="O77" s="343"/>
      <c r="P77" s="343"/>
    </row>
    <row r="78" spans="2:16" ht="15" customHeight="1" x14ac:dyDescent="0.25">
      <c r="B78" s="756">
        <v>3</v>
      </c>
      <c r="C78" s="1164"/>
      <c r="D78" s="1164"/>
      <c r="E78" s="1164"/>
      <c r="F78" s="1164"/>
      <c r="G78" s="1164"/>
      <c r="H78" s="1165"/>
      <c r="I78" s="336"/>
      <c r="J78" s="546">
        <f t="shared" si="3"/>
        <v>0</v>
      </c>
      <c r="K78" s="343" t="s">
        <v>267</v>
      </c>
      <c r="L78" s="343"/>
      <c r="M78" s="343"/>
      <c r="N78" s="343"/>
      <c r="O78" s="343"/>
      <c r="P78" s="343"/>
    </row>
    <row r="79" spans="2:16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521" t="s">
        <v>917</v>
      </c>
      <c r="L79" s="521" t="s">
        <v>926</v>
      </c>
      <c r="M79" s="521" t="s">
        <v>927</v>
      </c>
      <c r="N79" s="521" t="s">
        <v>943</v>
      </c>
      <c r="O79" s="521" t="s">
        <v>944</v>
      </c>
      <c r="P79" s="521" t="s">
        <v>945</v>
      </c>
    </row>
    <row r="80" spans="2:16" s="752" customFormat="1" ht="15" customHeight="1" x14ac:dyDescent="0.2">
      <c r="B80" s="1202" t="s">
        <v>918</v>
      </c>
      <c r="C80" s="1203"/>
      <c r="D80" s="1203"/>
      <c r="E80" s="1203"/>
      <c r="F80" s="1203"/>
      <c r="G80" s="1203"/>
      <c r="H80" s="1203"/>
      <c r="I80" s="1203"/>
      <c r="J80" s="1204"/>
      <c r="K80" s="769"/>
      <c r="L80" s="535"/>
      <c r="M80" s="535"/>
      <c r="N80" s="535"/>
      <c r="O80" s="535"/>
      <c r="P80" s="535"/>
    </row>
    <row r="81" spans="2:16" s="752" customFormat="1" ht="15" customHeight="1" x14ac:dyDescent="0.2">
      <c r="B81" s="1202" t="s">
        <v>919</v>
      </c>
      <c r="C81" s="1203"/>
      <c r="D81" s="1203"/>
      <c r="E81" s="1203"/>
      <c r="F81" s="1203"/>
      <c r="G81" s="1203"/>
      <c r="H81" s="1203"/>
      <c r="I81" s="1203"/>
      <c r="J81" s="1204"/>
      <c r="K81" s="536"/>
      <c r="L81" s="536" t="s">
        <v>267</v>
      </c>
      <c r="M81" s="536"/>
      <c r="N81" s="536"/>
      <c r="O81" s="536"/>
      <c r="P81" s="536"/>
    </row>
    <row r="82" spans="2:16" s="752" customFormat="1" ht="15" customHeight="1" x14ac:dyDescent="0.2">
      <c r="B82" s="1202" t="s">
        <v>920</v>
      </c>
      <c r="C82" s="1203"/>
      <c r="D82" s="1203"/>
      <c r="E82" s="1203"/>
      <c r="F82" s="1203"/>
      <c r="G82" s="1203"/>
      <c r="H82" s="1203"/>
      <c r="I82" s="1203"/>
      <c r="J82" s="1204"/>
      <c r="K82" s="537"/>
      <c r="L82" s="537"/>
      <c r="M82" s="537"/>
      <c r="N82" s="537"/>
      <c r="O82" s="537"/>
      <c r="P82" s="537"/>
    </row>
    <row r="83" spans="2:16" s="752" customFormat="1" ht="15" customHeight="1" x14ac:dyDescent="0.2">
      <c r="B83" s="1202" t="s">
        <v>921</v>
      </c>
      <c r="C83" s="1203"/>
      <c r="D83" s="1203"/>
      <c r="E83" s="1203"/>
      <c r="F83" s="1203"/>
      <c r="G83" s="1203"/>
      <c r="H83" s="1203"/>
      <c r="I83" s="1203"/>
      <c r="J83" s="1204"/>
      <c r="K83" s="537"/>
      <c r="L83" s="537"/>
      <c r="M83" s="537"/>
      <c r="N83" s="537"/>
      <c r="O83" s="537"/>
      <c r="P83" s="537"/>
    </row>
    <row r="84" spans="2:16" s="752" customFormat="1" ht="15" customHeight="1" x14ac:dyDescent="0.2">
      <c r="B84" s="1202" t="s">
        <v>922</v>
      </c>
      <c r="C84" s="1203"/>
      <c r="D84" s="1203"/>
      <c r="E84" s="1203"/>
      <c r="F84" s="1203"/>
      <c r="G84" s="1203"/>
      <c r="H84" s="1203"/>
      <c r="I84" s="1203"/>
      <c r="J84" s="1204"/>
      <c r="K84" s="535"/>
      <c r="L84" s="535"/>
      <c r="M84" s="535"/>
      <c r="N84" s="535"/>
      <c r="O84" s="535"/>
      <c r="P84" s="535"/>
    </row>
    <row r="85" spans="2:16" s="752" customFormat="1" x14ac:dyDescent="0.2">
      <c r="B85" s="1202" t="s">
        <v>923</v>
      </c>
      <c r="C85" s="1203"/>
      <c r="D85" s="1203"/>
      <c r="E85" s="1203"/>
      <c r="F85" s="1203"/>
      <c r="G85" s="1203"/>
      <c r="H85" s="1203"/>
      <c r="I85" s="1203"/>
      <c r="J85" s="1204"/>
      <c r="K85" s="538"/>
      <c r="L85" s="538"/>
      <c r="M85" s="538"/>
      <c r="N85" s="538"/>
      <c r="O85" s="538"/>
      <c r="P85" s="538"/>
    </row>
    <row r="86" spans="2:16" s="752" customFormat="1" x14ac:dyDescent="0.2">
      <c r="B86" s="1202" t="s">
        <v>924</v>
      </c>
      <c r="C86" s="1203"/>
      <c r="D86" s="1203"/>
      <c r="E86" s="1203"/>
      <c r="F86" s="1203"/>
      <c r="G86" s="1203"/>
      <c r="H86" s="1203"/>
      <c r="I86" s="1203"/>
      <c r="J86" s="1204"/>
      <c r="K86" s="539"/>
      <c r="L86" s="539"/>
      <c r="M86" s="760" t="s">
        <v>267</v>
      </c>
      <c r="N86" s="539"/>
      <c r="O86" s="539"/>
      <c r="P86" s="539"/>
    </row>
    <row r="87" spans="2:16" s="575" customFormat="1" ht="15" customHeight="1" x14ac:dyDescent="0.2">
      <c r="B87" s="1209" t="s">
        <v>925</v>
      </c>
      <c r="C87" s="1210"/>
      <c r="D87" s="1210"/>
      <c r="E87" s="1210"/>
      <c r="F87" s="1210"/>
      <c r="G87" s="1210"/>
      <c r="H87" s="1210"/>
      <c r="I87" s="1210"/>
      <c r="J87" s="1211"/>
      <c r="K87" s="1097" t="s">
        <v>915</v>
      </c>
      <c r="L87" s="1097"/>
      <c r="M87" s="1097"/>
      <c r="N87" s="1097" t="s">
        <v>915</v>
      </c>
      <c r="O87" s="1097"/>
      <c r="P87" s="1097"/>
    </row>
    <row r="88" spans="2:16" s="410" customFormat="1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6" s="410" customFormat="1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716" t="s">
        <v>16</v>
      </c>
      <c r="J89" s="716" t="s">
        <v>947</v>
      </c>
      <c r="K89" s="716" t="s">
        <v>929</v>
      </c>
      <c r="L89" s="716" t="s">
        <v>929</v>
      </c>
      <c r="M89" s="716" t="s">
        <v>929</v>
      </c>
      <c r="N89" s="716" t="s">
        <v>929</v>
      </c>
      <c r="O89" s="716" t="s">
        <v>929</v>
      </c>
      <c r="P89" s="716" t="s">
        <v>929</v>
      </c>
    </row>
    <row r="90" spans="2:16" ht="15" customHeight="1" x14ac:dyDescent="0.25">
      <c r="B90" s="756">
        <v>1</v>
      </c>
      <c r="C90" s="1164"/>
      <c r="D90" s="1164"/>
      <c r="E90" s="1164"/>
      <c r="F90" s="1164"/>
      <c r="G90" s="1164"/>
      <c r="H90" s="1165"/>
      <c r="I90" s="336"/>
      <c r="J90" s="546">
        <f t="shared" ref="J90:J92" si="4">IFERROR(SMALL(K90:P90,1),0)</f>
        <v>0</v>
      </c>
      <c r="K90" s="343"/>
      <c r="L90" s="343"/>
      <c r="M90" s="343"/>
      <c r="N90" s="343"/>
      <c r="O90" s="343"/>
      <c r="P90" s="343"/>
    </row>
    <row r="91" spans="2:16" ht="15" customHeight="1" x14ac:dyDescent="0.25">
      <c r="B91" s="756">
        <v>2</v>
      </c>
      <c r="C91" s="1164"/>
      <c r="D91" s="1164"/>
      <c r="E91" s="1164"/>
      <c r="F91" s="1164"/>
      <c r="G91" s="1164"/>
      <c r="H91" s="1165"/>
      <c r="I91" s="336"/>
      <c r="J91" s="546">
        <f t="shared" si="4"/>
        <v>0</v>
      </c>
      <c r="K91" s="343"/>
      <c r="L91" s="343" t="s">
        <v>267</v>
      </c>
      <c r="M91" s="343" t="s">
        <v>267</v>
      </c>
      <c r="N91" s="343"/>
      <c r="O91" s="343"/>
      <c r="P91" s="343"/>
    </row>
    <row r="92" spans="2:16" ht="15" customHeight="1" x14ac:dyDescent="0.25">
      <c r="B92" s="756">
        <v>3</v>
      </c>
      <c r="C92" s="1164"/>
      <c r="D92" s="1164"/>
      <c r="E92" s="1164"/>
      <c r="F92" s="1164"/>
      <c r="G92" s="1164"/>
      <c r="H92" s="1165"/>
      <c r="I92" s="336"/>
      <c r="J92" s="546">
        <f t="shared" si="4"/>
        <v>0</v>
      </c>
      <c r="K92" s="343"/>
      <c r="L92" s="343"/>
      <c r="M92" s="343"/>
      <c r="N92" s="343"/>
      <c r="O92" s="343"/>
      <c r="P92" s="343"/>
    </row>
    <row r="93" spans="2:16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521" t="s">
        <v>917</v>
      </c>
      <c r="L93" s="521" t="s">
        <v>926</v>
      </c>
      <c r="M93" s="521" t="s">
        <v>927</v>
      </c>
      <c r="N93" s="521" t="s">
        <v>943</v>
      </c>
      <c r="O93" s="521" t="s">
        <v>944</v>
      </c>
      <c r="P93" s="521" t="s">
        <v>945</v>
      </c>
    </row>
    <row r="94" spans="2:16" s="752" customFormat="1" ht="15" customHeight="1" x14ac:dyDescent="0.2">
      <c r="B94" s="1202" t="s">
        <v>918</v>
      </c>
      <c r="C94" s="1203"/>
      <c r="D94" s="1203"/>
      <c r="E94" s="1203"/>
      <c r="F94" s="1203"/>
      <c r="G94" s="1203"/>
      <c r="H94" s="1203"/>
      <c r="I94" s="1203"/>
      <c r="J94" s="1204"/>
      <c r="K94" s="535"/>
      <c r="L94" s="535"/>
      <c r="M94" s="535"/>
      <c r="N94" s="535"/>
      <c r="O94" s="535"/>
      <c r="P94" s="535"/>
    </row>
    <row r="95" spans="2:16" s="752" customFormat="1" ht="15" customHeight="1" x14ac:dyDescent="0.2">
      <c r="B95" s="1202" t="s">
        <v>919</v>
      </c>
      <c r="C95" s="1203"/>
      <c r="D95" s="1203"/>
      <c r="E95" s="1203"/>
      <c r="F95" s="1203"/>
      <c r="G95" s="1203"/>
      <c r="H95" s="1203"/>
      <c r="I95" s="1203"/>
      <c r="J95" s="1204"/>
      <c r="K95" s="536" t="s">
        <v>267</v>
      </c>
      <c r="L95" s="536" t="s">
        <v>267</v>
      </c>
      <c r="M95" s="536" t="s">
        <v>267</v>
      </c>
      <c r="N95" s="536"/>
      <c r="O95" s="536"/>
      <c r="P95" s="536"/>
    </row>
    <row r="96" spans="2:16" s="752" customFormat="1" ht="15" customHeight="1" x14ac:dyDescent="0.2">
      <c r="B96" s="1202" t="s">
        <v>920</v>
      </c>
      <c r="C96" s="1203"/>
      <c r="D96" s="1203"/>
      <c r="E96" s="1203"/>
      <c r="F96" s="1203"/>
      <c r="G96" s="1203"/>
      <c r="H96" s="1203"/>
      <c r="I96" s="1203"/>
      <c r="J96" s="1204"/>
      <c r="K96" s="537"/>
      <c r="L96" s="537"/>
      <c r="M96" s="537"/>
      <c r="N96" s="537"/>
      <c r="O96" s="537" t="s">
        <v>267</v>
      </c>
      <c r="P96" s="537" t="s">
        <v>267</v>
      </c>
    </row>
    <row r="97" spans="2:16" s="752" customFormat="1" ht="15" customHeight="1" x14ac:dyDescent="0.2">
      <c r="B97" s="1202" t="s">
        <v>921</v>
      </c>
      <c r="C97" s="1203"/>
      <c r="D97" s="1203"/>
      <c r="E97" s="1203"/>
      <c r="F97" s="1203"/>
      <c r="G97" s="1203"/>
      <c r="H97" s="1203"/>
      <c r="I97" s="1203"/>
      <c r="J97" s="1204"/>
      <c r="K97" s="537"/>
      <c r="L97" s="537"/>
      <c r="M97" s="537"/>
      <c r="N97" s="537"/>
      <c r="O97" s="537"/>
      <c r="P97" s="537"/>
    </row>
    <row r="98" spans="2:16" s="752" customFormat="1" ht="15" customHeight="1" x14ac:dyDescent="0.2">
      <c r="B98" s="1202" t="s">
        <v>922</v>
      </c>
      <c r="C98" s="1203"/>
      <c r="D98" s="1203"/>
      <c r="E98" s="1203"/>
      <c r="F98" s="1203"/>
      <c r="G98" s="1203"/>
      <c r="H98" s="1203"/>
      <c r="I98" s="1203"/>
      <c r="J98" s="1204"/>
      <c r="K98" s="535"/>
      <c r="L98" s="535"/>
      <c r="M98" s="535"/>
      <c r="N98" s="535"/>
      <c r="O98" s="535"/>
      <c r="P98" s="535"/>
    </row>
    <row r="99" spans="2:16" s="752" customFormat="1" x14ac:dyDescent="0.2">
      <c r="B99" s="1202" t="s">
        <v>923</v>
      </c>
      <c r="C99" s="1203"/>
      <c r="D99" s="1203"/>
      <c r="E99" s="1203"/>
      <c r="F99" s="1203"/>
      <c r="G99" s="1203"/>
      <c r="H99" s="1203"/>
      <c r="I99" s="1203"/>
      <c r="J99" s="1204"/>
      <c r="K99" s="538"/>
      <c r="L99" s="538"/>
      <c r="M99" s="538"/>
      <c r="N99" s="538" t="s">
        <v>267</v>
      </c>
      <c r="O99" s="538"/>
      <c r="P99" s="538"/>
    </row>
    <row r="100" spans="2:16" s="752" customFormat="1" x14ac:dyDescent="0.2">
      <c r="B100" s="1202" t="s">
        <v>924</v>
      </c>
      <c r="C100" s="1203"/>
      <c r="D100" s="1203"/>
      <c r="E100" s="1203"/>
      <c r="F100" s="1203"/>
      <c r="G100" s="1203"/>
      <c r="H100" s="1203"/>
      <c r="I100" s="1203"/>
      <c r="J100" s="1204"/>
      <c r="K100" s="539"/>
      <c r="L100" s="539"/>
      <c r="M100" s="539"/>
      <c r="N100" s="539"/>
      <c r="O100" s="539"/>
      <c r="P100" s="539"/>
    </row>
    <row r="101" spans="2:16" s="575" customFormat="1" ht="15" customHeight="1" x14ac:dyDescent="0.2">
      <c r="B101" s="1209" t="s">
        <v>925</v>
      </c>
      <c r="C101" s="1210"/>
      <c r="D101" s="1210"/>
      <c r="E101" s="1210"/>
      <c r="F101" s="1210"/>
      <c r="G101" s="1210"/>
      <c r="H101" s="1210"/>
      <c r="I101" s="1210"/>
      <c r="J101" s="1211"/>
      <c r="K101" s="1097" t="s">
        <v>915</v>
      </c>
      <c r="L101" s="1097"/>
      <c r="M101" s="1097"/>
      <c r="N101" s="1097" t="s">
        <v>915</v>
      </c>
      <c r="O101" s="1097"/>
      <c r="P101" s="1097"/>
    </row>
  </sheetData>
  <sheetProtection password="C9A4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8:G48"/>
    <mergeCell ref="C49:J49"/>
    <mergeCell ref="C44:G44"/>
    <mergeCell ref="C45:G45"/>
    <mergeCell ref="C46:G46"/>
    <mergeCell ref="C47:G47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D2:I2"/>
    <mergeCell ref="C8:G8"/>
    <mergeCell ref="C9:G9"/>
    <mergeCell ref="C10:G10"/>
    <mergeCell ref="C11:G11"/>
    <mergeCell ref="C12:G12"/>
    <mergeCell ref="C13:G13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8">
    <tabColor theme="8"/>
  </sheetPr>
  <dimension ref="B2:Z8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5.85546875" style="409" bestFit="1" customWidth="1"/>
    <col min="15" max="16" width="3.42578125" style="409" customWidth="1"/>
    <col min="17" max="17" width="11.8554687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5.85546875" style="418" bestFit="1" customWidth="1"/>
    <col min="26" max="16384" width="9.140625" style="409"/>
  </cols>
  <sheetData>
    <row r="2" spans="2:26" ht="22.5" customHeight="1" x14ac:dyDescent="0.25">
      <c r="B2" s="1157" t="s">
        <v>959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CONDICIONAMENTO AMBIENTAL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09"/>
      <c r="Q5" s="310"/>
      <c r="R5" s="310"/>
      <c r="S5" s="310"/>
      <c r="T5" s="310"/>
      <c r="U5" s="310"/>
      <c r="V5" s="310"/>
      <c r="W5" s="310"/>
      <c r="X5" s="311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18" customHeight="1" x14ac:dyDescent="0.25">
      <c r="B7" s="1145" t="s">
        <v>284</v>
      </c>
      <c r="C7" s="1145"/>
      <c r="D7" s="1145"/>
      <c r="E7" s="1146"/>
      <c r="F7" s="1146"/>
      <c r="G7" s="1146"/>
      <c r="H7" s="312" t="s">
        <v>285</v>
      </c>
      <c r="I7" s="312" t="s">
        <v>16</v>
      </c>
      <c r="J7" s="312" t="s">
        <v>239</v>
      </c>
      <c r="K7" s="172" t="s">
        <v>286</v>
      </c>
      <c r="L7" s="312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12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IF(ISBLANK('CondAmbCusto (ORÇ)'!C8)," ",'CondAmbCusto (ORÇ)'!C8)</f>
        <v xml:space="preserve"> </v>
      </c>
      <c r="D8" s="1214"/>
      <c r="E8" s="1214"/>
      <c r="F8" s="1214"/>
      <c r="G8" s="1175"/>
      <c r="H8" s="581">
        <f>'CondAmbCusto (ORÇ)'!H8</f>
        <v>0</v>
      </c>
      <c r="I8" s="583">
        <f>'CondAmbCusto (ORÇ)'!I8</f>
        <v>0</v>
      </c>
      <c r="J8" s="584">
        <f>'CondAmbCusto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20">
        <f>V8*X8</f>
        <v>0</v>
      </c>
    </row>
    <row r="9" spans="2:26" ht="15" customHeight="1" outlineLevel="1" x14ac:dyDescent="0.25">
      <c r="B9" s="175">
        <v>2</v>
      </c>
      <c r="C9" s="1214" t="str">
        <f>IF(ISBLANK('CondAmbCusto (ORÇ)'!C9)," ",'CondAmbCusto (ORÇ)'!C9)</f>
        <v xml:space="preserve"> </v>
      </c>
      <c r="D9" s="1214"/>
      <c r="E9" s="1214"/>
      <c r="F9" s="1214"/>
      <c r="G9" s="1175"/>
      <c r="H9" s="581">
        <f>'CondAmbCusto (ORÇ)'!H9</f>
        <v>0</v>
      </c>
      <c r="I9" s="583">
        <f>'CondAmbCusto (ORÇ)'!I9</f>
        <v>0</v>
      </c>
      <c r="J9" s="584">
        <f>'CondAmbCusto (ORÇ)'!J9</f>
        <v>0</v>
      </c>
      <c r="K9" s="344">
        <f t="shared" ref="K9:K48" si="0">I9*J9</f>
        <v>0</v>
      </c>
      <c r="L9" s="344">
        <f t="shared" ref="L9:L48" si="1">K9-M9-N9</f>
        <v>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 xml:space="preserve"> </v>
      </c>
      <c r="R9" s="1177"/>
      <c r="S9" s="1177"/>
      <c r="T9" s="1177"/>
      <c r="U9" s="1178"/>
      <c r="V9" s="174">
        <f t="shared" ref="V9:V47" si="4">IF(H9="",0,H9)</f>
        <v>0</v>
      </c>
      <c r="W9" s="345">
        <f t="shared" ref="W9:W48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20">
        <f t="shared" ref="Y9:Y48" si="6">V9*X9</f>
        <v>0</v>
      </c>
    </row>
    <row r="10" spans="2:26" ht="15" customHeight="1" outlineLevel="1" x14ac:dyDescent="0.25">
      <c r="B10" s="173">
        <v>3</v>
      </c>
      <c r="C10" s="1214" t="str">
        <f>IF(ISBLANK('CondAmbCusto (ORÇ)'!C10)," ",'CondAmbCusto (ORÇ)'!C10)</f>
        <v xml:space="preserve"> </v>
      </c>
      <c r="D10" s="1214"/>
      <c r="E10" s="1214"/>
      <c r="F10" s="1214"/>
      <c r="G10" s="1175"/>
      <c r="H10" s="581">
        <f>'CondAmbCusto (ORÇ)'!H10</f>
        <v>0</v>
      </c>
      <c r="I10" s="583">
        <f>'CondAmbCusto (ORÇ)'!I10</f>
        <v>0</v>
      </c>
      <c r="J10" s="584">
        <f>'CondAmbCusto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20">
        <f t="shared" si="6"/>
        <v>0</v>
      </c>
    </row>
    <row r="11" spans="2:26" outlineLevel="1" x14ac:dyDescent="0.25">
      <c r="B11" s="175">
        <v>4</v>
      </c>
      <c r="C11" s="1214" t="str">
        <f>IF(ISBLANK('CondAmbCusto (ORÇ)'!C11)," ",'CondAmbCusto (ORÇ)'!C11)</f>
        <v xml:space="preserve"> </v>
      </c>
      <c r="D11" s="1214"/>
      <c r="E11" s="1214"/>
      <c r="F11" s="1214"/>
      <c r="G11" s="1175"/>
      <c r="H11" s="581">
        <f>'CondAmbCusto (ORÇ)'!H11</f>
        <v>0</v>
      </c>
      <c r="I11" s="583">
        <f>'CondAmbCusto (ORÇ)'!I11</f>
        <v>0</v>
      </c>
      <c r="J11" s="584">
        <f>'CondAmbCusto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outlineLevel="1" x14ac:dyDescent="0.25">
      <c r="B12" s="173">
        <v>5</v>
      </c>
      <c r="C12" s="1214" t="str">
        <f>IF(ISBLANK('CondAmbCusto (ORÇ)'!C12)," ",'CondAmbCusto (ORÇ)'!C12)</f>
        <v xml:space="preserve"> </v>
      </c>
      <c r="D12" s="1214"/>
      <c r="E12" s="1214"/>
      <c r="F12" s="1214"/>
      <c r="G12" s="1175"/>
      <c r="H12" s="581">
        <f>'CondAmbCusto (ORÇ)'!H12</f>
        <v>0</v>
      </c>
      <c r="I12" s="583">
        <f>'CondAmbCusto (ORÇ)'!I12</f>
        <v>0</v>
      </c>
      <c r="J12" s="584">
        <f>'CondAmbCusto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outlineLevel="1" x14ac:dyDescent="0.25">
      <c r="B13" s="175">
        <v>6</v>
      </c>
      <c r="C13" s="1214" t="str">
        <f>IF(ISBLANK('CondAmbCusto (ORÇ)'!C13)," ",'CondAmbCusto (ORÇ)'!C13)</f>
        <v xml:space="preserve"> </v>
      </c>
      <c r="D13" s="1214"/>
      <c r="E13" s="1214"/>
      <c r="F13" s="1214"/>
      <c r="G13" s="1175"/>
      <c r="H13" s="581">
        <f>'CondAmbCusto (ORÇ)'!H13</f>
        <v>0</v>
      </c>
      <c r="I13" s="583">
        <f>'CondAmbCusto (ORÇ)'!I13</f>
        <v>0</v>
      </c>
      <c r="J13" s="584">
        <f>'CondAmbCusto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outlineLevel="1" x14ac:dyDescent="0.25">
      <c r="B14" s="173">
        <v>7</v>
      </c>
      <c r="C14" s="1214" t="str">
        <f>IF(ISBLANK('CondAmbCusto (ORÇ)'!C14)," ",'CondAmbCusto (ORÇ)'!C14)</f>
        <v xml:space="preserve"> </v>
      </c>
      <c r="D14" s="1214"/>
      <c r="E14" s="1214"/>
      <c r="F14" s="1214"/>
      <c r="G14" s="1175"/>
      <c r="H14" s="581">
        <f>'CondAmbCusto (ORÇ)'!H14</f>
        <v>0</v>
      </c>
      <c r="I14" s="583">
        <f>'CondAmbCusto (ORÇ)'!I14</f>
        <v>0</v>
      </c>
      <c r="J14" s="584">
        <f>'CondAmbCusto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outlineLevel="1" x14ac:dyDescent="0.25">
      <c r="B15" s="175">
        <v>8</v>
      </c>
      <c r="C15" s="1214" t="str">
        <f>IF(ISBLANK('CondAmbCusto (ORÇ)'!C15)," ",'CondAmbCusto (ORÇ)'!C15)</f>
        <v xml:space="preserve"> </v>
      </c>
      <c r="D15" s="1214"/>
      <c r="E15" s="1214"/>
      <c r="F15" s="1214"/>
      <c r="G15" s="1175"/>
      <c r="H15" s="581">
        <f>'CondAmbCusto (ORÇ)'!H15</f>
        <v>0</v>
      </c>
      <c r="I15" s="583">
        <f>'CondAmbCusto (ORÇ)'!I15</f>
        <v>0</v>
      </c>
      <c r="J15" s="584">
        <f>'CondAmbCusto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20">
        <f t="shared" si="6"/>
        <v>0</v>
      </c>
    </row>
    <row r="16" spans="2:26" outlineLevel="1" x14ac:dyDescent="0.25">
      <c r="B16" s="173">
        <v>9</v>
      </c>
      <c r="C16" s="1214" t="str">
        <f>IF(ISBLANK('CondAmbCusto (ORÇ)'!C16)," ",'CondAmbCusto (ORÇ)'!C16)</f>
        <v xml:space="preserve"> </v>
      </c>
      <c r="D16" s="1214"/>
      <c r="E16" s="1214"/>
      <c r="F16" s="1214"/>
      <c r="G16" s="1175"/>
      <c r="H16" s="581">
        <f>'CondAmbCusto (ORÇ)'!H16</f>
        <v>0</v>
      </c>
      <c r="I16" s="583">
        <f>'CondAmbCusto (ORÇ)'!I16</f>
        <v>0</v>
      </c>
      <c r="J16" s="584">
        <f>'CondAmbCusto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IF(ISBLANK('CondAmbCusto (ORÇ)'!C17)," ",'CondAmbCusto (ORÇ)'!C17)</f>
        <v xml:space="preserve"> </v>
      </c>
      <c r="D17" s="1214"/>
      <c r="E17" s="1214"/>
      <c r="F17" s="1214"/>
      <c r="G17" s="1175"/>
      <c r="H17" s="581">
        <f>'CondAmbCusto (ORÇ)'!H17</f>
        <v>0</v>
      </c>
      <c r="I17" s="583">
        <f>'CondAmbCusto (ORÇ)'!I17</f>
        <v>0</v>
      </c>
      <c r="J17" s="584">
        <f>'CondAmbCusto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IF(ISBLANK('CondAmbCusto (ORÇ)'!C18)," ",'CondAmbCusto (ORÇ)'!C18)</f>
        <v xml:space="preserve"> </v>
      </c>
      <c r="D18" s="1214"/>
      <c r="E18" s="1214"/>
      <c r="F18" s="1214"/>
      <c r="G18" s="1175"/>
      <c r="H18" s="581">
        <f>'CondAmbCusto (ORÇ)'!H18</f>
        <v>0</v>
      </c>
      <c r="I18" s="583">
        <f>'CondAmbCusto (ORÇ)'!I18</f>
        <v>0</v>
      </c>
      <c r="J18" s="584">
        <f>'CondAmbCusto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IF(ISBLANK('CondAmbCusto (ORÇ)'!C19)," ",'CondAmbCusto (ORÇ)'!C19)</f>
        <v xml:space="preserve"> </v>
      </c>
      <c r="D19" s="1214"/>
      <c r="E19" s="1214"/>
      <c r="F19" s="1214"/>
      <c r="G19" s="1175"/>
      <c r="H19" s="581">
        <f>'CondAmbCusto (ORÇ)'!H19</f>
        <v>0</v>
      </c>
      <c r="I19" s="583">
        <f>'CondAmbCusto (ORÇ)'!I19</f>
        <v>0</v>
      </c>
      <c r="J19" s="584">
        <f>'CondAmbCusto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IF(ISBLANK('CondAmbCusto (ORÇ)'!C20)," ",'CondAmbCusto (ORÇ)'!C20)</f>
        <v xml:space="preserve"> </v>
      </c>
      <c r="D20" s="1214"/>
      <c r="E20" s="1214"/>
      <c r="F20" s="1214"/>
      <c r="G20" s="1175"/>
      <c r="H20" s="581">
        <f>'CondAmbCusto (ORÇ)'!H20</f>
        <v>0</v>
      </c>
      <c r="I20" s="583">
        <f>'CondAmbCusto (ORÇ)'!I20</f>
        <v>0</v>
      </c>
      <c r="J20" s="584">
        <f>'CondAmbCusto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20">
        <f t="shared" si="6"/>
        <v>0</v>
      </c>
    </row>
    <row r="21" spans="2:25" outlineLevel="1" x14ac:dyDescent="0.25">
      <c r="B21" s="175">
        <v>14</v>
      </c>
      <c r="C21" s="1214" t="str">
        <f>IF(ISBLANK('CondAmbCusto (ORÇ)'!C21)," ",'CondAmbCusto (ORÇ)'!C21)</f>
        <v xml:space="preserve"> </v>
      </c>
      <c r="D21" s="1214"/>
      <c r="E21" s="1214"/>
      <c r="F21" s="1214"/>
      <c r="G21" s="1175"/>
      <c r="H21" s="581">
        <f>'CondAmbCusto (ORÇ)'!H21</f>
        <v>0</v>
      </c>
      <c r="I21" s="583">
        <f>'CondAmbCusto (ORÇ)'!I21</f>
        <v>0</v>
      </c>
      <c r="J21" s="584">
        <f>'CondAmbCusto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IF(ISBLANK('CondAmbCusto (ORÇ)'!C22)," ",'CondAmbCusto (ORÇ)'!C22)</f>
        <v xml:space="preserve"> </v>
      </c>
      <c r="D22" s="1214"/>
      <c r="E22" s="1214"/>
      <c r="F22" s="1214"/>
      <c r="G22" s="1175"/>
      <c r="H22" s="581">
        <f>'CondAmbCusto (ORÇ)'!H22</f>
        <v>0</v>
      </c>
      <c r="I22" s="583">
        <f>'CondAmbCusto (ORÇ)'!I22</f>
        <v>0</v>
      </c>
      <c r="J22" s="584">
        <f>'CondAmbCusto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IF(ISBLANK('CondAmbCusto (ORÇ)'!C23)," ",'CondAmbCusto (ORÇ)'!C23)</f>
        <v xml:space="preserve"> </v>
      </c>
      <c r="D23" s="1214"/>
      <c r="E23" s="1214"/>
      <c r="F23" s="1214"/>
      <c r="G23" s="1175"/>
      <c r="H23" s="581">
        <f>'CondAmbCusto (ORÇ)'!H23</f>
        <v>0</v>
      </c>
      <c r="I23" s="583">
        <f>'CondAmbCusto (ORÇ)'!I23</f>
        <v>0</v>
      </c>
      <c r="J23" s="584">
        <f>'CondAmbCusto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IF(ISBLANK('CondAmbCusto (ORÇ)'!C24)," ",'CondAmbCusto (ORÇ)'!C24)</f>
        <v xml:space="preserve"> </v>
      </c>
      <c r="D24" s="1214"/>
      <c r="E24" s="1214"/>
      <c r="F24" s="1214"/>
      <c r="G24" s="1175"/>
      <c r="H24" s="581">
        <f>'CondAmbCusto (ORÇ)'!H24</f>
        <v>0</v>
      </c>
      <c r="I24" s="583">
        <f>'CondAmbCusto (ORÇ)'!I24</f>
        <v>0</v>
      </c>
      <c r="J24" s="584">
        <f>'CondAmbCusto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IF(ISBLANK('CondAmbCusto (ORÇ)'!C25)," ",'CondAmbCusto (ORÇ)'!C25)</f>
        <v xml:space="preserve"> </v>
      </c>
      <c r="D25" s="1214"/>
      <c r="E25" s="1214"/>
      <c r="F25" s="1214"/>
      <c r="G25" s="1175"/>
      <c r="H25" s="581">
        <f>'CondAmbCusto (ORÇ)'!H25</f>
        <v>0</v>
      </c>
      <c r="I25" s="583">
        <f>'CondAmbCusto (ORÇ)'!I25</f>
        <v>0</v>
      </c>
      <c r="J25" s="584">
        <f>'CondAmbCusto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IF(ISBLANK('CondAmbCusto (ORÇ)'!C26)," ",'CondAmbCusto (ORÇ)'!C26)</f>
        <v xml:space="preserve"> </v>
      </c>
      <c r="D26" s="1214"/>
      <c r="E26" s="1214"/>
      <c r="F26" s="1214"/>
      <c r="G26" s="1175"/>
      <c r="H26" s="581">
        <f>'CondAmbCusto (ORÇ)'!H26</f>
        <v>0</v>
      </c>
      <c r="I26" s="583">
        <f>'CondAmbCusto (ORÇ)'!I26</f>
        <v>0</v>
      </c>
      <c r="J26" s="584">
        <f>'CondAmbCusto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IF(ISBLANK('CondAmbCusto (ORÇ)'!C27)," ",'CondAmbCusto (ORÇ)'!C27)</f>
        <v xml:space="preserve"> </v>
      </c>
      <c r="D27" s="1214"/>
      <c r="E27" s="1214"/>
      <c r="F27" s="1214"/>
      <c r="G27" s="1175"/>
      <c r="H27" s="581">
        <f>'CondAmbCusto (ORÇ)'!H27</f>
        <v>0</v>
      </c>
      <c r="I27" s="583">
        <f>'CondAmbCusto (ORÇ)'!I27</f>
        <v>0</v>
      </c>
      <c r="J27" s="584">
        <f>'CondAmbCusto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IF(ISBLANK('CondAmbCusto (ORÇ)'!C28)," ",'CondAmbCusto (ORÇ)'!C28)</f>
        <v xml:space="preserve"> </v>
      </c>
      <c r="D28" s="1214"/>
      <c r="E28" s="1214"/>
      <c r="F28" s="1214"/>
      <c r="G28" s="1175"/>
      <c r="H28" s="581">
        <f>'CondAmbCusto (ORÇ)'!H28</f>
        <v>0</v>
      </c>
      <c r="I28" s="583">
        <f>'CondAmbCusto (ORÇ)'!I28</f>
        <v>0</v>
      </c>
      <c r="J28" s="584">
        <f>'CondAmbCusto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IF(ISBLANK('CondAmbCusto (ORÇ)'!C29)," ",'CondAmbCusto (ORÇ)'!C29)</f>
        <v xml:space="preserve"> </v>
      </c>
      <c r="D29" s="1214"/>
      <c r="E29" s="1214"/>
      <c r="F29" s="1214"/>
      <c r="G29" s="1175"/>
      <c r="H29" s="581">
        <f>'CondAmbCusto (ORÇ)'!H29</f>
        <v>0</v>
      </c>
      <c r="I29" s="583">
        <f>'CondAmbCusto (ORÇ)'!I29</f>
        <v>0</v>
      </c>
      <c r="J29" s="584">
        <f>'CondAmbCusto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IF(ISBLANK('CondAmbCusto (ORÇ)'!C30)," ",'CondAmbCusto (ORÇ)'!C30)</f>
        <v xml:space="preserve"> </v>
      </c>
      <c r="D30" s="1214"/>
      <c r="E30" s="1214"/>
      <c r="F30" s="1214"/>
      <c r="G30" s="1175"/>
      <c r="H30" s="581">
        <f>'CondAmbCusto (ORÇ)'!H30</f>
        <v>0</v>
      </c>
      <c r="I30" s="583">
        <f>'CondAmbCusto (ORÇ)'!I30</f>
        <v>0</v>
      </c>
      <c r="J30" s="584">
        <f>'CondAmbCusto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outlineLevel="1" x14ac:dyDescent="0.25">
      <c r="B31" s="175">
        <v>24</v>
      </c>
      <c r="C31" s="1214" t="str">
        <f>IF(ISBLANK('CondAmbCusto (ORÇ)'!C31)," ",'CondAmbCusto (ORÇ)'!C31)</f>
        <v xml:space="preserve"> </v>
      </c>
      <c r="D31" s="1214"/>
      <c r="E31" s="1214"/>
      <c r="F31" s="1214"/>
      <c r="G31" s="1175"/>
      <c r="H31" s="581">
        <f>'CondAmbCusto (ORÇ)'!H31</f>
        <v>0</v>
      </c>
      <c r="I31" s="583">
        <f>'CondAmbCusto (ORÇ)'!I31</f>
        <v>0</v>
      </c>
      <c r="J31" s="584">
        <f>'CondAmbCusto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outlineLevel="1" x14ac:dyDescent="0.25">
      <c r="B32" s="173">
        <v>25</v>
      </c>
      <c r="C32" s="1214" t="str">
        <f>IF(ISBLANK('CondAmbCusto (ORÇ)'!C32)," ",'CondAmbCusto (ORÇ)'!C32)</f>
        <v xml:space="preserve"> </v>
      </c>
      <c r="D32" s="1214"/>
      <c r="E32" s="1214"/>
      <c r="F32" s="1214"/>
      <c r="G32" s="1175"/>
      <c r="H32" s="581">
        <f>'CondAmbCusto (ORÇ)'!H32</f>
        <v>0</v>
      </c>
      <c r="I32" s="583">
        <f>'CondAmbCusto (ORÇ)'!I32</f>
        <v>0</v>
      </c>
      <c r="J32" s="584">
        <f>'CondAmbCusto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outlineLevel="1" x14ac:dyDescent="0.25">
      <c r="B33" s="175">
        <v>26</v>
      </c>
      <c r="C33" s="1214" t="str">
        <f>IF(ISBLANK('CondAmbCusto (ORÇ)'!C33)," ",'CondAmbCusto (ORÇ)'!C33)</f>
        <v xml:space="preserve"> </v>
      </c>
      <c r="D33" s="1214"/>
      <c r="E33" s="1214"/>
      <c r="F33" s="1214"/>
      <c r="G33" s="1175"/>
      <c r="H33" s="581">
        <f>'CondAmbCusto (ORÇ)'!H33</f>
        <v>0</v>
      </c>
      <c r="I33" s="583">
        <f>'CondAmbCusto (ORÇ)'!I33</f>
        <v>0</v>
      </c>
      <c r="J33" s="584">
        <f>'CondAmbCusto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outlineLevel="1" x14ac:dyDescent="0.25">
      <c r="B34" s="173">
        <v>27</v>
      </c>
      <c r="C34" s="1214" t="str">
        <f>IF(ISBLANK('CondAmbCusto (ORÇ)'!C34)," ",'CondAmbCusto (ORÇ)'!C34)</f>
        <v xml:space="preserve"> </v>
      </c>
      <c r="D34" s="1214"/>
      <c r="E34" s="1214"/>
      <c r="F34" s="1214"/>
      <c r="G34" s="1175"/>
      <c r="H34" s="581">
        <f>'CondAmbCusto (ORÇ)'!H34</f>
        <v>0</v>
      </c>
      <c r="I34" s="583">
        <f>'CondAmbCusto (ORÇ)'!I34</f>
        <v>0</v>
      </c>
      <c r="J34" s="584">
        <f>'CondAmbCusto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IF(ISBLANK('CondAmbCusto (ORÇ)'!C35)," ",'CondAmbCusto (ORÇ)'!C35)</f>
        <v xml:space="preserve"> </v>
      </c>
      <c r="D35" s="1214"/>
      <c r="E35" s="1214"/>
      <c r="F35" s="1214"/>
      <c r="G35" s="1175"/>
      <c r="H35" s="581">
        <f>'CondAmbCusto (ORÇ)'!H35</f>
        <v>0</v>
      </c>
      <c r="I35" s="583">
        <f>'CondAmbCusto (ORÇ)'!I35</f>
        <v>0</v>
      </c>
      <c r="J35" s="584">
        <f>'CondAmbCusto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IF(ISBLANK('CondAmbCusto (ORÇ)'!C36)," ",'CondAmbCusto (ORÇ)'!C36)</f>
        <v xml:space="preserve"> </v>
      </c>
      <c r="D36" s="1214"/>
      <c r="E36" s="1214"/>
      <c r="F36" s="1214"/>
      <c r="G36" s="1175"/>
      <c r="H36" s="581">
        <f>'CondAmbCusto (ORÇ)'!H36</f>
        <v>0</v>
      </c>
      <c r="I36" s="583">
        <f>'CondAmbCusto (ORÇ)'!I36</f>
        <v>0</v>
      </c>
      <c r="J36" s="584">
        <f>'CondAmbCusto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IF(ISBLANK('CondAmbCusto (ORÇ)'!C37)," ",'CondAmbCusto (ORÇ)'!C37)</f>
        <v xml:space="preserve"> </v>
      </c>
      <c r="D37" s="1214"/>
      <c r="E37" s="1214"/>
      <c r="F37" s="1214"/>
      <c r="G37" s="1175"/>
      <c r="H37" s="581">
        <f>'CondAmbCusto (ORÇ)'!H37</f>
        <v>0</v>
      </c>
      <c r="I37" s="583">
        <f>'CondAmbCusto (ORÇ)'!I37</f>
        <v>0</v>
      </c>
      <c r="J37" s="584">
        <f>'CondAmbCusto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IF(ISBLANK('CondAmbCusto (ORÇ)'!C38)," ",'CondAmbCusto (ORÇ)'!C38)</f>
        <v xml:space="preserve"> </v>
      </c>
      <c r="D38" s="1214"/>
      <c r="E38" s="1214"/>
      <c r="F38" s="1214"/>
      <c r="G38" s="1175"/>
      <c r="H38" s="581">
        <f>'CondAmbCusto (ORÇ)'!H38</f>
        <v>0</v>
      </c>
      <c r="I38" s="583">
        <f>'CondAmbCusto (ORÇ)'!I38</f>
        <v>0</v>
      </c>
      <c r="J38" s="584">
        <f>'CondAmbCusto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outlineLevel="1" x14ac:dyDescent="0.25">
      <c r="B39" s="175">
        <v>32</v>
      </c>
      <c r="C39" s="1214" t="str">
        <f>IF(ISBLANK('CondAmbCusto (ORÇ)'!C39)," ",'CondAmbCusto (ORÇ)'!C39)</f>
        <v xml:space="preserve"> </v>
      </c>
      <c r="D39" s="1214"/>
      <c r="E39" s="1214"/>
      <c r="F39" s="1214"/>
      <c r="G39" s="1175"/>
      <c r="H39" s="581">
        <f>'CondAmbCusto (ORÇ)'!H39</f>
        <v>0</v>
      </c>
      <c r="I39" s="583">
        <f>'CondAmbCusto (ORÇ)'!I39</f>
        <v>0</v>
      </c>
      <c r="J39" s="584">
        <f>'CondAmbCusto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IF(ISBLANK('CondAmbCusto (ORÇ)'!C40)," ",'CondAmbCusto (ORÇ)'!C40)</f>
        <v xml:space="preserve"> </v>
      </c>
      <c r="D40" s="1214"/>
      <c r="E40" s="1214"/>
      <c r="F40" s="1214"/>
      <c r="G40" s="1175"/>
      <c r="H40" s="581">
        <f>'CondAmbCusto (ORÇ)'!H40</f>
        <v>0</v>
      </c>
      <c r="I40" s="583">
        <f>'CondAmbCusto (ORÇ)'!I40</f>
        <v>0</v>
      </c>
      <c r="J40" s="584">
        <f>'CondAmbCusto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IF(ISBLANK('CondAmbCusto (ORÇ)'!C41)," ",'CondAmbCusto (ORÇ)'!C41)</f>
        <v xml:space="preserve"> </v>
      </c>
      <c r="D41" s="1214"/>
      <c r="E41" s="1214"/>
      <c r="F41" s="1214"/>
      <c r="G41" s="1175"/>
      <c r="H41" s="581">
        <f>'CondAmbCusto (ORÇ)'!H41</f>
        <v>0</v>
      </c>
      <c r="I41" s="583">
        <f>'CondAmbCusto (ORÇ)'!I41</f>
        <v>0</v>
      </c>
      <c r="J41" s="584">
        <f>'CondAmbCusto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IF(ISBLANK('CondAmbCusto (ORÇ)'!C42)," ",'CondAmbCusto (ORÇ)'!C42)</f>
        <v xml:space="preserve"> </v>
      </c>
      <c r="D42" s="1214"/>
      <c r="E42" s="1214"/>
      <c r="F42" s="1214"/>
      <c r="G42" s="1175"/>
      <c r="H42" s="581">
        <f>'CondAmbCusto (ORÇ)'!H42</f>
        <v>0</v>
      </c>
      <c r="I42" s="583">
        <f>'CondAmbCusto (ORÇ)'!I42</f>
        <v>0</v>
      </c>
      <c r="J42" s="584">
        <f>'CondAmbCusto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outlineLevel="1" x14ac:dyDescent="0.25">
      <c r="B43" s="175">
        <v>36</v>
      </c>
      <c r="C43" s="1214" t="str">
        <f>IF(ISBLANK('CondAmbCusto (ORÇ)'!C43)," ",'CondAmbCusto (ORÇ)'!C43)</f>
        <v xml:space="preserve"> </v>
      </c>
      <c r="D43" s="1214"/>
      <c r="E43" s="1214"/>
      <c r="F43" s="1214"/>
      <c r="G43" s="1175"/>
      <c r="H43" s="581">
        <f>'CondAmbCusto (ORÇ)'!H43</f>
        <v>0</v>
      </c>
      <c r="I43" s="583">
        <f>'CondAmbCusto (ORÇ)'!I43</f>
        <v>0</v>
      </c>
      <c r="J43" s="584">
        <f>'CondAmbCusto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IF(ISBLANK('CondAmbCusto (ORÇ)'!C44)," ",'CondAmbCusto (ORÇ)'!C44)</f>
        <v xml:space="preserve"> </v>
      </c>
      <c r="D44" s="1214"/>
      <c r="E44" s="1214"/>
      <c r="F44" s="1214"/>
      <c r="G44" s="1175"/>
      <c r="H44" s="581">
        <f>'CondAmbCusto (ORÇ)'!H44</f>
        <v>0</v>
      </c>
      <c r="I44" s="583">
        <f>'CondAmbCusto (ORÇ)'!I44</f>
        <v>0</v>
      </c>
      <c r="J44" s="584">
        <f>'CondAmbCusto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IF(ISBLANK('CondAmbCusto (ORÇ)'!C45)," ",'CondAmbCusto (ORÇ)'!C45)</f>
        <v xml:space="preserve"> </v>
      </c>
      <c r="D45" s="1214"/>
      <c r="E45" s="1214"/>
      <c r="F45" s="1214"/>
      <c r="G45" s="1175"/>
      <c r="H45" s="581">
        <f>'CondAmbCusto (ORÇ)'!H45</f>
        <v>0</v>
      </c>
      <c r="I45" s="583">
        <f>'CondAmbCusto (ORÇ)'!I45</f>
        <v>0</v>
      </c>
      <c r="J45" s="584">
        <f>'CondAmbCusto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IF(ISBLANK('CondAmbCusto (ORÇ)'!C46)," ",'CondAmbCusto (ORÇ)'!C46)</f>
        <v xml:space="preserve"> </v>
      </c>
      <c r="D46" s="1214"/>
      <c r="E46" s="1214"/>
      <c r="F46" s="1214"/>
      <c r="G46" s="1175"/>
      <c r="H46" s="581">
        <f>'CondAmbCusto (ORÇ)'!H46</f>
        <v>0</v>
      </c>
      <c r="I46" s="583">
        <f>'CondAmbCusto (ORÇ)'!I46</f>
        <v>0</v>
      </c>
      <c r="J46" s="584">
        <f>'CondAmbCusto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outlineLevel="1" x14ac:dyDescent="0.25">
      <c r="B47" s="175">
        <v>40</v>
      </c>
      <c r="C47" s="1214" t="str">
        <f>IF(ISBLANK('CondAmbCusto (ORÇ)'!C47)," ",'CondAmbCusto (ORÇ)'!C47)</f>
        <v xml:space="preserve"> </v>
      </c>
      <c r="D47" s="1214"/>
      <c r="E47" s="1214"/>
      <c r="F47" s="1214"/>
      <c r="G47" s="1175"/>
      <c r="H47" s="581">
        <f>'CondAmbCusto (ORÇ)'!H47</f>
        <v>0</v>
      </c>
      <c r="I47" s="583">
        <f>'CondAmbCusto (ORÇ)'!I47</f>
        <v>0</v>
      </c>
      <c r="J47" s="584">
        <f>'CondAmbCusto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IF(ISBLANK('CondAmbCusto (ORÇ)'!C48)," ",'CondAmbCusto (ORÇ)'!C48)</f>
        <v>Acessórios</v>
      </c>
      <c r="D48" s="1214"/>
      <c r="E48" s="1214"/>
      <c r="F48" s="1214"/>
      <c r="G48" s="1175"/>
      <c r="H48" s="581">
        <f>'CondAmbCusto (ORÇ)'!H48</f>
        <v>20</v>
      </c>
      <c r="I48" s="583">
        <f>'CondAmbCusto (ORÇ)'!I48</f>
        <v>0</v>
      </c>
      <c r="J48" s="584">
        <f>'CondAmbCusto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20</v>
      </c>
      <c r="W48" s="345">
        <f t="shared" si="5"/>
        <v>0.10185220882315059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416</v>
      </c>
      <c r="D49" s="1186"/>
      <c r="E49" s="1186"/>
      <c r="F49" s="1186"/>
      <c r="G49" s="1186"/>
      <c r="H49" s="1186"/>
      <c r="I49" s="1186"/>
      <c r="J49" s="1187"/>
      <c r="K49" s="178">
        <f>SUM(K8:K48)</f>
        <v>0</v>
      </c>
      <c r="L49" s="178">
        <f>SUM(L8:L48)</f>
        <v>0</v>
      </c>
      <c r="M49" s="178">
        <f>SUM(M8:M48)</f>
        <v>0</v>
      </c>
      <c r="N49" s="178">
        <f>SUM(N8:N48)</f>
        <v>0</v>
      </c>
      <c r="O49" s="410"/>
      <c r="P49" s="1170" t="s">
        <v>710</v>
      </c>
      <c r="Q49" s="1171"/>
      <c r="R49" s="1171"/>
      <c r="S49" s="1171"/>
      <c r="T49" s="1171"/>
      <c r="U49" s="1171"/>
      <c r="V49" s="1172"/>
      <c r="W49" s="179" t="s">
        <v>417</v>
      </c>
      <c r="X49" s="180">
        <f>SUM(X8:X48)</f>
        <v>0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806</v>
      </c>
      <c r="Q50" s="1171"/>
      <c r="R50" s="1171"/>
      <c r="S50" s="1171"/>
      <c r="T50" s="1171"/>
      <c r="U50" s="1171"/>
      <c r="V50" s="1172"/>
      <c r="W50" s="179" t="s">
        <v>805</v>
      </c>
      <c r="X50" s="180">
        <f>IFERROR(X49*($L$86/$K$86),0)</f>
        <v>0</v>
      </c>
    </row>
    <row r="51" spans="2:24" ht="18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8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0</v>
      </c>
      <c r="L52" s="344">
        <f>'Custo Contábil'!E39</f>
        <v>0</v>
      </c>
      <c r="M52" s="344">
        <v>0</v>
      </c>
      <c r="N52" s="344">
        <v>0</v>
      </c>
      <c r="O52" s="410"/>
      <c r="P52" s="338" t="s">
        <v>809</v>
      </c>
      <c r="Q52" s="339"/>
      <c r="R52" s="184">
        <f>RCB!G6</f>
        <v>0</v>
      </c>
      <c r="T52" s="1212" t="s">
        <v>709</v>
      </c>
      <c r="U52" s="1213"/>
      <c r="V52" s="352">
        <f>IFERROR(SUM(Y8:Y48)/X49,0)</f>
        <v>0</v>
      </c>
    </row>
    <row r="53" spans="2:24" ht="15" customHeight="1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0</v>
      </c>
      <c r="L53" s="344">
        <f>Diagnóstico!M14</f>
        <v>0</v>
      </c>
      <c r="M53" s="344">
        <f>Diagnóstico!N14</f>
        <v>0</v>
      </c>
      <c r="N53" s="344">
        <f>Diagnóstico!O14</f>
        <v>0</v>
      </c>
      <c r="O53" s="410"/>
      <c r="P53" s="338" t="s">
        <v>810</v>
      </c>
      <c r="Q53" s="339"/>
      <c r="R53" s="184">
        <f>RCB!J6</f>
        <v>0</v>
      </c>
    </row>
    <row r="54" spans="2:24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312" t="s">
        <v>295</v>
      </c>
      <c r="J54" s="312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x14ac:dyDescent="0.25">
      <c r="B55" s="173">
        <v>1</v>
      </c>
      <c r="C55" s="1214" t="str">
        <f>IF(ISBLANK('CondAmbCusto (ORÇ)'!C60)," ",'CondAmbCusto (ORÇ)'!C60)</f>
        <v xml:space="preserve"> </v>
      </c>
      <c r="D55" s="1214"/>
      <c r="E55" s="1214"/>
      <c r="F55" s="1214"/>
      <c r="G55" s="1175"/>
      <c r="H55" s="581">
        <f>'CondAmbCusto (ORÇ)'!H60</f>
        <v>0</v>
      </c>
      <c r="I55" s="583">
        <f>'CondAmbCusto (ORÇ)'!I60</f>
        <v>0</v>
      </c>
      <c r="J55" s="584">
        <f>'CondAmbCusto (ORÇ)'!J60</f>
        <v>0</v>
      </c>
      <c r="K55" s="344">
        <f>H55*I55*J55</f>
        <v>0</v>
      </c>
      <c r="L55" s="344">
        <f>K55-M55-N55</f>
        <v>0</v>
      </c>
      <c r="M55" s="343"/>
      <c r="N55" s="343"/>
      <c r="O55" s="410"/>
    </row>
    <row r="56" spans="2:24" x14ac:dyDescent="0.25">
      <c r="B56" s="175">
        <v>2</v>
      </c>
      <c r="C56" s="1214" t="str">
        <f>IF(ISBLANK('CondAmbCusto (ORÇ)'!C61)," ",'CondAmbCusto (ORÇ)'!C61)</f>
        <v xml:space="preserve"> </v>
      </c>
      <c r="D56" s="1214"/>
      <c r="E56" s="1214"/>
      <c r="F56" s="1214"/>
      <c r="G56" s="1175"/>
      <c r="H56" s="581">
        <f>'CondAmbCusto (ORÇ)'!H61</f>
        <v>0</v>
      </c>
      <c r="I56" s="583">
        <f>'CondAmbCusto (ORÇ)'!I61</f>
        <v>0</v>
      </c>
      <c r="J56" s="584">
        <f>'CondAmbCusto (ORÇ)'!J61</f>
        <v>0</v>
      </c>
      <c r="K56" s="344">
        <f>H56*I56*J56</f>
        <v>0</v>
      </c>
      <c r="L56" s="344">
        <f>K56-M56-N56</f>
        <v>0</v>
      </c>
      <c r="M56" s="343"/>
      <c r="N56" s="343"/>
      <c r="O56" s="410"/>
    </row>
    <row r="57" spans="2:24" x14ac:dyDescent="0.25">
      <c r="B57" s="173">
        <v>3</v>
      </c>
      <c r="C57" s="1214" t="str">
        <f>IF(ISBLANK('CondAmbCusto (ORÇ)'!C62)," ",'CondAmbCusto (ORÇ)'!C62)</f>
        <v xml:space="preserve"> </v>
      </c>
      <c r="D57" s="1214"/>
      <c r="E57" s="1214"/>
      <c r="F57" s="1214"/>
      <c r="G57" s="1175"/>
      <c r="H57" s="581">
        <f>'CondAmbCusto (ORÇ)'!H62</f>
        <v>0</v>
      </c>
      <c r="I57" s="583">
        <f>'CondAmbCusto (ORÇ)'!I62</f>
        <v>0</v>
      </c>
      <c r="J57" s="584">
        <f>'CondAmbCusto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x14ac:dyDescent="0.25">
      <c r="B58" s="175">
        <v>4</v>
      </c>
      <c r="C58" s="1214" t="str">
        <f>IF(ISBLANK('CondAmbCusto (ORÇ)'!C63)," ",'CondAmbCusto (ORÇ)'!C63)</f>
        <v xml:space="preserve"> </v>
      </c>
      <c r="D58" s="1214"/>
      <c r="E58" s="1214"/>
      <c r="F58" s="1214"/>
      <c r="G58" s="1175"/>
      <c r="H58" s="581">
        <f>'CondAmbCusto (ORÇ)'!H63</f>
        <v>0</v>
      </c>
      <c r="I58" s="583">
        <f>'CondAmbCusto (ORÇ)'!I63</f>
        <v>0</v>
      </c>
      <c r="J58" s="584">
        <f>'CondAmbCusto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ht="15" customHeight="1" x14ac:dyDescent="0.25">
      <c r="B59" s="173">
        <v>5</v>
      </c>
      <c r="C59" s="1214" t="str">
        <f>IF(ISBLANK('CondAmbCusto (ORÇ)'!C64)," ",'CondAmbCusto (ORÇ)'!C64)</f>
        <v xml:space="preserve"> </v>
      </c>
      <c r="D59" s="1214"/>
      <c r="E59" s="1214"/>
      <c r="F59" s="1214"/>
      <c r="G59" s="1175"/>
      <c r="H59" s="581">
        <f>'CondAmbCusto (ORÇ)'!H64</f>
        <v>0</v>
      </c>
      <c r="I59" s="583">
        <f>'CondAmbCusto (ORÇ)'!I64</f>
        <v>0</v>
      </c>
      <c r="J59" s="584">
        <f>'CondAmbCusto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x14ac:dyDescent="0.25">
      <c r="B60" s="181"/>
      <c r="C60" s="1184" t="s">
        <v>418</v>
      </c>
      <c r="D60" s="1184"/>
      <c r="E60" s="1184"/>
      <c r="F60" s="1184"/>
      <c r="G60" s="1184"/>
      <c r="H60" s="1184"/>
      <c r="I60" s="1184"/>
      <c r="J60" s="1185"/>
      <c r="K60" s="344">
        <f>SUM(K55:K59)</f>
        <v>0</v>
      </c>
      <c r="L60" s="344">
        <f>SUM(L55:L59)</f>
        <v>0</v>
      </c>
      <c r="M60" s="344">
        <f>SUM(M55:M59)</f>
        <v>0</v>
      </c>
      <c r="N60" s="344">
        <f>SUM(N55:N59)</f>
        <v>0</v>
      </c>
      <c r="O60" s="410"/>
    </row>
    <row r="61" spans="2:24" x14ac:dyDescent="0.25">
      <c r="B61" s="337"/>
      <c r="C61" s="1186" t="s">
        <v>419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0</v>
      </c>
      <c r="L61" s="293">
        <f>SUM(L60,L52:L53)</f>
        <v>0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ht="15" customHeight="1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0</v>
      </c>
      <c r="L64" s="347">
        <f>'Custo Contábil'!E41</f>
        <v>0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312" t="s">
        <v>16</v>
      </c>
      <c r="J65" s="312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IF(ISBLANK('CondAmbCusto (ORÇ)'!C76)," ",'CondAmbCusto (ORÇ)'!C76)</f>
        <v xml:space="preserve"> </v>
      </c>
      <c r="D66" s="1174"/>
      <c r="E66" s="1174"/>
      <c r="F66" s="1174"/>
      <c r="G66" s="1174"/>
      <c r="H66" s="1183"/>
      <c r="I66" s="583">
        <f>'CondAmbCusto (ORÇ)'!I76</f>
        <v>0</v>
      </c>
      <c r="J66" s="584">
        <f>'CondAmbCusto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ht="15" customHeight="1" x14ac:dyDescent="0.25">
      <c r="B67" s="186">
        <v>2</v>
      </c>
      <c r="C67" s="1174" t="str">
        <f>IF(ISBLANK('CondAmbCusto (ORÇ)'!C77)," ",'CondAmbCusto (ORÇ)'!C77)</f>
        <v xml:space="preserve"> </v>
      </c>
      <c r="D67" s="1174"/>
      <c r="E67" s="1174"/>
      <c r="F67" s="1174"/>
      <c r="G67" s="1174"/>
      <c r="H67" s="1183"/>
      <c r="I67" s="583">
        <f>'CondAmbCusto (ORÇ)'!I77</f>
        <v>0</v>
      </c>
      <c r="J67" s="584">
        <f>'CondAmbCusto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IF(ISBLANK('CondAmbCusto (ORÇ)'!C78)," ",'CondAmbCusto (ORÇ)'!C78)</f>
        <v xml:space="preserve"> </v>
      </c>
      <c r="D68" s="1174"/>
      <c r="E68" s="1174"/>
      <c r="F68" s="1174"/>
      <c r="G68" s="1174"/>
      <c r="H68" s="1183"/>
      <c r="I68" s="583">
        <f>'CondAmbCusto (ORÇ)'!I78</f>
        <v>0</v>
      </c>
      <c r="J68" s="584">
        <f>'CondAmbCusto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803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420</v>
      </c>
      <c r="D70" s="1186"/>
      <c r="E70" s="1186"/>
      <c r="F70" s="1186"/>
      <c r="G70" s="1186"/>
      <c r="H70" s="1186"/>
      <c r="I70" s="1186"/>
      <c r="J70" s="1187"/>
      <c r="K70" s="178">
        <f>SUM(K64,K69)</f>
        <v>0</v>
      </c>
      <c r="L70" s="178">
        <f>SUM(L64,L69)</f>
        <v>0</v>
      </c>
      <c r="M70" s="293">
        <f>M69</f>
        <v>0</v>
      </c>
      <c r="N70" s="293">
        <f>N69</f>
        <v>0</v>
      </c>
      <c r="O70" s="410"/>
    </row>
    <row r="71" spans="2:16" ht="15" customHeight="1" x14ac:dyDescent="0.25">
      <c r="B71" s="341"/>
      <c r="C71" s="1179" t="s">
        <v>421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0</v>
      </c>
      <c r="L71" s="139">
        <f>SUM(L49,L61,L70)</f>
        <v>0</v>
      </c>
      <c r="M71" s="139">
        <f>SUM(M49,M61,M70)</f>
        <v>0</v>
      </c>
      <c r="N71" s="139">
        <f>SUM(N49,N61,N70)</f>
        <v>0</v>
      </c>
      <c r="O71" s="410"/>
    </row>
    <row r="72" spans="2:16" ht="15" customHeight="1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ht="15" customHeight="1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7">SUM(L74:N74)</f>
        <v>0</v>
      </c>
      <c r="L74" s="344">
        <f>'Custo Contábil'!$E$37*'Custo Contábil'!F13</f>
        <v>0</v>
      </c>
      <c r="M74" s="344">
        <f>'Custo Contábil'!$E$37*'Custo Contábil'!G13</f>
        <v>0</v>
      </c>
      <c r="N74" s="344">
        <f>'Custo Contábil'!$E$37*'Custo Contábil'!H13</f>
        <v>0</v>
      </c>
      <c r="O74" s="410"/>
    </row>
    <row r="75" spans="2:16" ht="15" customHeight="1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7"/>
        <v>0</v>
      </c>
      <c r="L75" s="344">
        <f>'Custo Contábil'!E45</f>
        <v>0</v>
      </c>
      <c r="M75" s="344">
        <v>0</v>
      </c>
      <c r="N75" s="344">
        <v>0</v>
      </c>
      <c r="O75" s="410"/>
    </row>
    <row r="76" spans="2:16" ht="15" customHeight="1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7"/>
        <v>0</v>
      </c>
      <c r="L76" s="344">
        <f>'Custo Contábil'!$E$37*'Custo Contábil'!F14</f>
        <v>0</v>
      </c>
      <c r="M76" s="344">
        <f>'Custo Contábil'!$E$37*'Custo Contábil'!G14</f>
        <v>0</v>
      </c>
      <c r="N76" s="344">
        <f>'Custo Contábil'!$E$37*'Custo Contábil'!H14</f>
        <v>0</v>
      </c>
      <c r="O76" s="410"/>
    </row>
    <row r="77" spans="2:16" ht="15" customHeight="1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7"/>
        <v>0</v>
      </c>
      <c r="L77" s="344">
        <f>'Custo Contábil'!$E$37*'Custo Contábil'!F18</f>
        <v>0</v>
      </c>
      <c r="M77" s="344">
        <f>'Custo Contábil'!$E$37*'Custo Contábil'!G18</f>
        <v>0</v>
      </c>
      <c r="N77" s="344">
        <f>'Custo Contábil'!$E$37*'Custo Contábil'!H18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7"/>
        <v>0</v>
      </c>
      <c r="L78" s="344">
        <f>Descarte!L30</f>
        <v>0</v>
      </c>
      <c r="M78" s="344">
        <f>Descarte!M30</f>
        <v>0</v>
      </c>
      <c r="N78" s="344">
        <f>Descarte!N30</f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7"/>
        <v>0</v>
      </c>
      <c r="L79" s="344">
        <f>'M&amp;V'!N161</f>
        <v>0</v>
      </c>
      <c r="M79" s="344">
        <f>'M&amp;V'!O161</f>
        <v>0</v>
      </c>
      <c r="N79" s="344">
        <f>'M&amp;V'!P161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312" t="s">
        <v>16</v>
      </c>
      <c r="J80" s="312" t="s">
        <v>301</v>
      </c>
      <c r="K80" s="172" t="s">
        <v>286</v>
      </c>
      <c r="L80" s="312" t="s">
        <v>796</v>
      </c>
      <c r="M80" s="127" t="s">
        <v>240</v>
      </c>
      <c r="N80" s="127" t="s">
        <v>241</v>
      </c>
      <c r="O80" s="410"/>
    </row>
    <row r="81" spans="2:15" ht="15" customHeight="1" x14ac:dyDescent="0.25">
      <c r="B81" s="186">
        <v>1</v>
      </c>
      <c r="C81" s="1174" t="str">
        <f>IF(ISBLANK('CondAmbCusto (ORÇ)'!C90)," ",'CondAmbCusto (ORÇ)'!C90)</f>
        <v xml:space="preserve"> </v>
      </c>
      <c r="D81" s="1174"/>
      <c r="E81" s="1174"/>
      <c r="F81" s="1174"/>
      <c r="G81" s="1174"/>
      <c r="H81" s="1183"/>
      <c r="I81" s="583">
        <f>'CondAmbCusto (ORÇ)'!I90</f>
        <v>0</v>
      </c>
      <c r="J81" s="584">
        <f>'CondAmbCusto (ORÇ)'!J90</f>
        <v>0</v>
      </c>
      <c r="K81" s="344">
        <f>I81*J81</f>
        <v>0</v>
      </c>
      <c r="L81" s="344">
        <f>K81-M81-N81</f>
        <v>0</v>
      </c>
      <c r="M81" s="343"/>
      <c r="N81" s="343"/>
      <c r="O81" s="410"/>
    </row>
    <row r="82" spans="2:15" x14ac:dyDescent="0.25">
      <c r="B82" s="186">
        <v>2</v>
      </c>
      <c r="C82" s="1174" t="str">
        <f>IF(ISBLANK('CondAmbCusto (ORÇ)'!C91)," ",'CondAmbCusto (ORÇ)'!C91)</f>
        <v xml:space="preserve"> </v>
      </c>
      <c r="D82" s="1174"/>
      <c r="E82" s="1174"/>
      <c r="F82" s="1174"/>
      <c r="G82" s="1174"/>
      <c r="H82" s="1183"/>
      <c r="I82" s="583">
        <f>'CondAmbCusto (ORÇ)'!I91</f>
        <v>0</v>
      </c>
      <c r="J82" s="584">
        <f>'CondAmbCusto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IF(ISBLANK('CondAmbCusto (ORÇ)'!C92)," ",'CondAmbCusto (ORÇ)'!C92)</f>
        <v xml:space="preserve"> </v>
      </c>
      <c r="D83" s="1174"/>
      <c r="E83" s="1174"/>
      <c r="F83" s="1174"/>
      <c r="G83" s="1174"/>
      <c r="H83" s="1183"/>
      <c r="I83" s="583">
        <f>'CondAmbCusto (ORÇ)'!I92</f>
        <v>0</v>
      </c>
      <c r="J83" s="584">
        <f>'CondAmbCusto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ht="15" customHeight="1" x14ac:dyDescent="0.25">
      <c r="B84" s="181"/>
      <c r="C84" s="1184" t="s">
        <v>820</v>
      </c>
      <c r="D84" s="1184"/>
      <c r="E84" s="1184"/>
      <c r="F84" s="1184"/>
      <c r="G84" s="1184"/>
      <c r="H84" s="1184"/>
      <c r="I84" s="1184"/>
      <c r="J84" s="1185"/>
      <c r="K84" s="344">
        <f>SUM(K81:K83)</f>
        <v>0</v>
      </c>
      <c r="L84" s="344">
        <f>SUM(L81:L83)</f>
        <v>0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422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0</v>
      </c>
      <c r="L85" s="139">
        <f>SUM(L74:L79,L84)</f>
        <v>0</v>
      </c>
      <c r="M85" s="139">
        <f>SUM(M74:M79,M84)</f>
        <v>0</v>
      </c>
      <c r="N85" s="139">
        <f>SUM(N74:N79,N84)</f>
        <v>0</v>
      </c>
    </row>
    <row r="86" spans="2:15" x14ac:dyDescent="0.25">
      <c r="B86" s="187"/>
      <c r="C86" s="1181" t="s">
        <v>720</v>
      </c>
      <c r="D86" s="1181"/>
      <c r="E86" s="1181"/>
      <c r="F86" s="1181"/>
      <c r="G86" s="1181"/>
      <c r="H86" s="1181"/>
      <c r="I86" s="1181"/>
      <c r="J86" s="1182"/>
      <c r="K86" s="180">
        <f>SUM(K71,K85)</f>
        <v>0</v>
      </c>
      <c r="L86" s="180">
        <f>SUM(L71,L85)</f>
        <v>0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sheetProtection algorithmName="SHA-512" hashValue="n8AeQF4xBfdp1b4M4ls6bop1W8NwZYjiwe9qDIS1FoVD2X3xKkwo0E/48vG4eN/Gh5Dzbaj0DZYZRHq1kNck4w==" saltValue="8aNJ33L5SrcTqeqJqkASoA==" spinCount="100000" sheet="1" objects="1" scenarios="1"/>
  <mergeCells count="133">
    <mergeCell ref="Q48:U48"/>
    <mergeCell ref="C49:J49"/>
    <mergeCell ref="P49:V49"/>
    <mergeCell ref="C44:G44"/>
    <mergeCell ref="Q44:U44"/>
    <mergeCell ref="C45:G45"/>
    <mergeCell ref="Q45:U45"/>
    <mergeCell ref="C46:G46"/>
    <mergeCell ref="Q46:U46"/>
    <mergeCell ref="Q17:U17"/>
    <mergeCell ref="Q18:U18"/>
    <mergeCell ref="Q19:U19"/>
    <mergeCell ref="Q20:U20"/>
    <mergeCell ref="Q21:U21"/>
    <mergeCell ref="Q22:U22"/>
    <mergeCell ref="Q35:U35"/>
    <mergeCell ref="Q36:U36"/>
    <mergeCell ref="C47:G47"/>
    <mergeCell ref="Q47:U47"/>
    <mergeCell ref="C41:G41"/>
    <mergeCell ref="Q41:U41"/>
    <mergeCell ref="C42:G42"/>
    <mergeCell ref="Q29:U29"/>
    <mergeCell ref="Q30:U30"/>
    <mergeCell ref="Q31:U31"/>
    <mergeCell ref="Q32:U32"/>
    <mergeCell ref="Q33:U33"/>
    <mergeCell ref="Q34:U34"/>
    <mergeCell ref="C36:G36"/>
    <mergeCell ref="C30:G30"/>
    <mergeCell ref="C31:G31"/>
    <mergeCell ref="C32:G32"/>
    <mergeCell ref="C33:G33"/>
    <mergeCell ref="C58:G58"/>
    <mergeCell ref="C60:J60"/>
    <mergeCell ref="C54:G54"/>
    <mergeCell ref="C55:G55"/>
    <mergeCell ref="C53:G53"/>
    <mergeCell ref="C59:G59"/>
    <mergeCell ref="B2:N2"/>
    <mergeCell ref="B3:K4"/>
    <mergeCell ref="C76:J76"/>
    <mergeCell ref="C71:J71"/>
    <mergeCell ref="C74:J74"/>
    <mergeCell ref="C75:J75"/>
    <mergeCell ref="C65:H65"/>
    <mergeCell ref="C66:H66"/>
    <mergeCell ref="C69:J69"/>
    <mergeCell ref="C17:G17"/>
    <mergeCell ref="C48:G48"/>
    <mergeCell ref="C34:G34"/>
    <mergeCell ref="C35:G35"/>
    <mergeCell ref="C56:G56"/>
    <mergeCell ref="C57:G57"/>
    <mergeCell ref="C61:J61"/>
    <mergeCell ref="B62:N62"/>
    <mergeCell ref="B63:G63"/>
    <mergeCell ref="Q26:U26"/>
    <mergeCell ref="Q27:U27"/>
    <mergeCell ref="Q28:U28"/>
    <mergeCell ref="Q42:U42"/>
    <mergeCell ref="C43:G43"/>
    <mergeCell ref="Q43:U43"/>
    <mergeCell ref="C38:G38"/>
    <mergeCell ref="Q38:U38"/>
    <mergeCell ref="C39:G39"/>
    <mergeCell ref="Q39:U39"/>
    <mergeCell ref="C40:G40"/>
    <mergeCell ref="Q40:U40"/>
    <mergeCell ref="Q10:U10"/>
    <mergeCell ref="C11:G11"/>
    <mergeCell ref="Q11:U11"/>
    <mergeCell ref="C15:G15"/>
    <mergeCell ref="Q15:U15"/>
    <mergeCell ref="C16:G16"/>
    <mergeCell ref="Q16:U16"/>
    <mergeCell ref="C37:G37"/>
    <mergeCell ref="Q37:U37"/>
    <mergeCell ref="C26:G26"/>
    <mergeCell ref="C27:G27"/>
    <mergeCell ref="C28:G28"/>
    <mergeCell ref="C29:G29"/>
    <mergeCell ref="C18:G18"/>
    <mergeCell ref="C19:G19"/>
    <mergeCell ref="C20:G20"/>
    <mergeCell ref="C21:G21"/>
    <mergeCell ref="C22:G22"/>
    <mergeCell ref="C23:G23"/>
    <mergeCell ref="C24:G24"/>
    <mergeCell ref="C25:G25"/>
    <mergeCell ref="Q23:U23"/>
    <mergeCell ref="Q24:U24"/>
    <mergeCell ref="Q25:U25"/>
    <mergeCell ref="P2:X2"/>
    <mergeCell ref="L3:N3"/>
    <mergeCell ref="P3:X4"/>
    <mergeCell ref="B6:N6"/>
    <mergeCell ref="B50:N50"/>
    <mergeCell ref="P50:V50"/>
    <mergeCell ref="B51:G51"/>
    <mergeCell ref="C52:G52"/>
    <mergeCell ref="T52:U52"/>
    <mergeCell ref="P6:X6"/>
    <mergeCell ref="B7:G7"/>
    <mergeCell ref="P7:U7"/>
    <mergeCell ref="C8:G8"/>
    <mergeCell ref="Q8:U8"/>
    <mergeCell ref="B5:N5"/>
    <mergeCell ref="C12:G12"/>
    <mergeCell ref="Q12:U12"/>
    <mergeCell ref="C13:G13"/>
    <mergeCell ref="Q13:U13"/>
    <mergeCell ref="C14:G14"/>
    <mergeCell ref="Q14:U14"/>
    <mergeCell ref="C9:G9"/>
    <mergeCell ref="Q9:U9"/>
    <mergeCell ref="C10:G10"/>
    <mergeCell ref="C64:J64"/>
    <mergeCell ref="C67:H67"/>
    <mergeCell ref="C68:H68"/>
    <mergeCell ref="C70:J70"/>
    <mergeCell ref="B72:N72"/>
    <mergeCell ref="B73:G73"/>
    <mergeCell ref="C86:J86"/>
    <mergeCell ref="C77:J77"/>
    <mergeCell ref="C78:J78"/>
    <mergeCell ref="C79:J79"/>
    <mergeCell ref="B80:H80"/>
    <mergeCell ref="C81:H81"/>
    <mergeCell ref="C82:H82"/>
    <mergeCell ref="C83:H83"/>
    <mergeCell ref="C84:J84"/>
    <mergeCell ref="C85:J85"/>
  </mergeCells>
  <conditionalFormatting sqref="R51:R52">
    <cfRule type="cellIs" dxfId="111" priority="2" operator="lessThan">
      <formula>0</formula>
    </cfRule>
  </conditionalFormatting>
  <conditionalFormatting sqref="R52:R53">
    <cfRule type="cellIs" dxfId="11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9">
    <tabColor theme="8"/>
  </sheetPr>
  <dimension ref="B2:BE68"/>
  <sheetViews>
    <sheetView showGridLines="0" zoomScale="90" zoomScaleNormal="90" workbookViewId="0">
      <pane xSplit="7" ySplit="3" topLeftCell="H4" activePane="bottomRight" state="frozen"/>
      <selection activeCell="H20" sqref="H20"/>
      <selection pane="topRight" activeCell="H20" sqref="H20"/>
      <selection pane="bottomLeft" activeCell="H20" sqref="H20"/>
      <selection pane="bottomRight" activeCell="H35" sqref="H35:AA37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140625" style="424" customWidth="1"/>
    <col min="4" max="4" width="11.425781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27" width="11.42578125" style="424" customWidth="1"/>
    <col min="28" max="16384" width="9.140625" style="424"/>
  </cols>
  <sheetData>
    <row r="2" spans="2:57" ht="22.5" customHeight="1" x14ac:dyDescent="0.2">
      <c r="B2" s="1190" t="s">
        <v>789</v>
      </c>
      <c r="C2" s="1190"/>
      <c r="D2" s="1190"/>
      <c r="E2" s="1190"/>
      <c r="F2" s="1190"/>
      <c r="G2" s="1190"/>
    </row>
    <row r="3" spans="2:57" x14ac:dyDescent="0.2">
      <c r="B3" s="1191" t="s">
        <v>681</v>
      </c>
      <c r="C3" s="1192"/>
      <c r="D3" s="1192"/>
      <c r="E3" s="1192"/>
      <c r="F3" s="1192"/>
      <c r="G3" s="358" t="s">
        <v>31</v>
      </c>
      <c r="H3" s="428" t="s">
        <v>423</v>
      </c>
      <c r="I3" s="428" t="s">
        <v>424</v>
      </c>
      <c r="J3" s="428" t="s">
        <v>425</v>
      </c>
      <c r="K3" s="428" t="s">
        <v>426</v>
      </c>
      <c r="L3" s="428" t="s">
        <v>427</v>
      </c>
      <c r="M3" s="428" t="s">
        <v>428</v>
      </c>
      <c r="N3" s="428" t="s">
        <v>429</v>
      </c>
      <c r="O3" s="428" t="s">
        <v>430</v>
      </c>
      <c r="P3" s="428" t="s">
        <v>431</v>
      </c>
      <c r="Q3" s="428" t="s">
        <v>432</v>
      </c>
      <c r="R3" s="428" t="s">
        <v>433</v>
      </c>
      <c r="S3" s="428" t="s">
        <v>434</v>
      </c>
      <c r="T3" s="428" t="s">
        <v>435</v>
      </c>
      <c r="U3" s="428" t="s">
        <v>436</v>
      </c>
      <c r="V3" s="428" t="s">
        <v>437</v>
      </c>
      <c r="W3" s="428" t="s">
        <v>438</v>
      </c>
      <c r="X3" s="428" t="s">
        <v>439</v>
      </c>
      <c r="Y3" s="428" t="s">
        <v>440</v>
      </c>
      <c r="Z3" s="428" t="s">
        <v>441</v>
      </c>
      <c r="AA3" s="428" t="s">
        <v>442</v>
      </c>
    </row>
    <row r="4" spans="2:57" s="423" customFormat="1" x14ac:dyDescent="0.2">
      <c r="B4" s="1191" t="s">
        <v>866</v>
      </c>
      <c r="C4" s="1192"/>
      <c r="D4" s="1192"/>
      <c r="E4" s="1192"/>
      <c r="F4" s="1192"/>
      <c r="G4" s="192" t="s">
        <v>31</v>
      </c>
      <c r="H4" s="193" t="s">
        <v>423</v>
      </c>
      <c r="I4" s="193" t="s">
        <v>424</v>
      </c>
      <c r="J4" s="193" t="s">
        <v>425</v>
      </c>
      <c r="K4" s="193" t="s">
        <v>426</v>
      </c>
      <c r="L4" s="193" t="s">
        <v>427</v>
      </c>
      <c r="M4" s="193" t="s">
        <v>428</v>
      </c>
      <c r="N4" s="193" t="s">
        <v>429</v>
      </c>
      <c r="O4" s="193" t="s">
        <v>430</v>
      </c>
      <c r="P4" s="193" t="s">
        <v>431</v>
      </c>
      <c r="Q4" s="193" t="s">
        <v>432</v>
      </c>
      <c r="R4" s="193" t="s">
        <v>433</v>
      </c>
      <c r="S4" s="193" t="s">
        <v>434</v>
      </c>
      <c r="T4" s="193" t="s">
        <v>435</v>
      </c>
      <c r="U4" s="193" t="s">
        <v>436</v>
      </c>
      <c r="V4" s="193" t="s">
        <v>437</v>
      </c>
      <c r="W4" s="193" t="s">
        <v>438</v>
      </c>
      <c r="X4" s="193" t="s">
        <v>439</v>
      </c>
      <c r="Y4" s="193" t="s">
        <v>440</v>
      </c>
      <c r="Z4" s="193" t="s">
        <v>441</v>
      </c>
      <c r="AA4" s="193" t="s">
        <v>442</v>
      </c>
    </row>
    <row r="5" spans="2:57" x14ac:dyDescent="0.2">
      <c r="B5" s="189">
        <v>1</v>
      </c>
      <c r="C5" s="194" t="s">
        <v>359</v>
      </c>
      <c r="D5" s="194"/>
      <c r="E5" s="195"/>
      <c r="F5" s="196"/>
      <c r="G5" s="197"/>
      <c r="H5" s="779"/>
      <c r="I5" s="779"/>
      <c r="J5" s="779"/>
      <c r="K5" s="779"/>
      <c r="L5" s="779"/>
      <c r="M5" s="779"/>
      <c r="N5" s="779"/>
      <c r="O5" s="779"/>
      <c r="P5" s="779"/>
      <c r="Q5" s="736"/>
      <c r="R5" s="736"/>
      <c r="S5" s="736"/>
      <c r="T5" s="736"/>
      <c r="U5" s="736"/>
      <c r="V5" s="736"/>
      <c r="W5" s="736"/>
      <c r="X5" s="736"/>
      <c r="Y5" s="736"/>
      <c r="Z5" s="736"/>
      <c r="AA5" s="736"/>
    </row>
    <row r="6" spans="2:57" ht="18" x14ac:dyDescent="0.2">
      <c r="B6" s="189">
        <f>B5+1</f>
        <v>2</v>
      </c>
      <c r="C6" s="194" t="s">
        <v>443</v>
      </c>
      <c r="D6" s="194"/>
      <c r="E6" s="199" t="s">
        <v>444</v>
      </c>
      <c r="F6" s="200" t="s">
        <v>405</v>
      </c>
      <c r="G6" s="202">
        <f>SUM(H6:AA6)</f>
        <v>0</v>
      </c>
      <c r="H6" s="739"/>
      <c r="I6" s="739"/>
      <c r="J6" s="739"/>
      <c r="K6" s="739"/>
      <c r="L6" s="739"/>
      <c r="M6" s="739"/>
      <c r="N6" s="739"/>
      <c r="O6" s="739"/>
      <c r="P6" s="739"/>
      <c r="Q6" s="739"/>
      <c r="R6" s="739"/>
      <c r="S6" s="739"/>
      <c r="T6" s="739"/>
      <c r="U6" s="739"/>
      <c r="V6" s="739"/>
      <c r="W6" s="739"/>
      <c r="X6" s="739"/>
      <c r="Y6" s="739"/>
      <c r="Z6" s="739"/>
      <c r="AA6" s="739"/>
    </row>
    <row r="7" spans="2:57" ht="18" x14ac:dyDescent="0.2">
      <c r="B7" s="189">
        <f>B6+1</f>
        <v>3</v>
      </c>
      <c r="C7" s="194" t="s">
        <v>445</v>
      </c>
      <c r="D7" s="194"/>
      <c r="E7" s="199" t="s">
        <v>446</v>
      </c>
      <c r="F7" s="200" t="s">
        <v>447</v>
      </c>
      <c r="G7" s="202"/>
      <c r="H7" s="764"/>
      <c r="I7" s="764"/>
      <c r="J7" s="764"/>
      <c r="K7" s="764"/>
      <c r="L7" s="764"/>
      <c r="M7" s="764"/>
      <c r="N7" s="764"/>
      <c r="O7" s="764"/>
      <c r="P7" s="764"/>
      <c r="Q7" s="764"/>
      <c r="R7" s="764"/>
      <c r="S7" s="764"/>
      <c r="T7" s="764"/>
      <c r="U7" s="764"/>
      <c r="V7" s="764"/>
      <c r="W7" s="764"/>
      <c r="X7" s="764"/>
      <c r="Y7" s="764"/>
      <c r="Z7" s="764"/>
      <c r="AA7" s="764"/>
    </row>
    <row r="8" spans="2:57" ht="18" x14ac:dyDescent="0.2">
      <c r="B8" s="189">
        <f>B7+1</f>
        <v>4</v>
      </c>
      <c r="C8" s="194" t="s">
        <v>16</v>
      </c>
      <c r="D8" s="194"/>
      <c r="E8" s="199"/>
      <c r="F8" s="200" t="s">
        <v>404</v>
      </c>
      <c r="G8" s="202">
        <f>SUM(H8:AA8)</f>
        <v>0</v>
      </c>
      <c r="H8" s="739"/>
      <c r="I8" s="739"/>
      <c r="J8" s="739"/>
      <c r="K8" s="739"/>
      <c r="L8" s="739"/>
      <c r="M8" s="739"/>
      <c r="N8" s="739"/>
      <c r="O8" s="739"/>
      <c r="P8" s="739"/>
      <c r="Q8" s="739"/>
      <c r="R8" s="739"/>
      <c r="S8" s="739"/>
      <c r="T8" s="739"/>
      <c r="U8" s="739"/>
      <c r="V8" s="739"/>
      <c r="W8" s="739"/>
      <c r="X8" s="739"/>
      <c r="Y8" s="739"/>
      <c r="Z8" s="739"/>
      <c r="AA8" s="739"/>
    </row>
    <row r="9" spans="2:57" ht="18" x14ac:dyDescent="0.2">
      <c r="B9" s="189">
        <f>B8+1</f>
        <v>5</v>
      </c>
      <c r="C9" s="194" t="s">
        <v>368</v>
      </c>
      <c r="D9" s="194"/>
      <c r="E9" s="199" t="s">
        <v>369</v>
      </c>
      <c r="F9" s="200" t="s">
        <v>370</v>
      </c>
      <c r="G9" s="209">
        <f>SUM(H9:AA9)</f>
        <v>0</v>
      </c>
      <c r="H9" s="203">
        <f>IF(H7=0,0,((H6*0.293*H8)/(1000*H7)))</f>
        <v>0</v>
      </c>
      <c r="I9" s="203">
        <f t="shared" ref="I9:AA9" si="0">IF(I7=0,0,((I6*0.293*I8)/(1000*I7)))</f>
        <v>0</v>
      </c>
      <c r="J9" s="203">
        <f t="shared" si="0"/>
        <v>0</v>
      </c>
      <c r="K9" s="203">
        <f t="shared" si="0"/>
        <v>0</v>
      </c>
      <c r="L9" s="203">
        <f t="shared" si="0"/>
        <v>0</v>
      </c>
      <c r="M9" s="203">
        <f t="shared" si="0"/>
        <v>0</v>
      </c>
      <c r="N9" s="203">
        <f t="shared" si="0"/>
        <v>0</v>
      </c>
      <c r="O9" s="203">
        <f t="shared" si="0"/>
        <v>0</v>
      </c>
      <c r="P9" s="203">
        <f t="shared" si="0"/>
        <v>0</v>
      </c>
      <c r="Q9" s="203">
        <f t="shared" si="0"/>
        <v>0</v>
      </c>
      <c r="R9" s="203">
        <f t="shared" si="0"/>
        <v>0</v>
      </c>
      <c r="S9" s="203">
        <f t="shared" si="0"/>
        <v>0</v>
      </c>
      <c r="T9" s="203">
        <f t="shared" si="0"/>
        <v>0</v>
      </c>
      <c r="U9" s="203">
        <f t="shared" si="0"/>
        <v>0</v>
      </c>
      <c r="V9" s="203">
        <f t="shared" si="0"/>
        <v>0</v>
      </c>
      <c r="W9" s="203">
        <f t="shared" si="0"/>
        <v>0</v>
      </c>
      <c r="X9" s="203">
        <f t="shared" si="0"/>
        <v>0</v>
      </c>
      <c r="Y9" s="203">
        <f t="shared" si="0"/>
        <v>0</v>
      </c>
      <c r="Z9" s="203">
        <f t="shared" si="0"/>
        <v>0</v>
      </c>
      <c r="AA9" s="203">
        <f t="shared" si="0"/>
        <v>0</v>
      </c>
    </row>
    <row r="10" spans="2:57" ht="18" x14ac:dyDescent="0.2">
      <c r="B10" s="1195">
        <f>B9+1</f>
        <v>6</v>
      </c>
      <c r="C10" s="194" t="s">
        <v>448</v>
      </c>
      <c r="D10" s="194"/>
      <c r="E10" s="199"/>
      <c r="F10" s="200" t="s">
        <v>449</v>
      </c>
      <c r="G10" s="209"/>
      <c r="H10" s="780"/>
      <c r="I10" s="764"/>
      <c r="J10" s="764"/>
      <c r="K10" s="764"/>
      <c r="L10" s="764"/>
      <c r="M10" s="764"/>
      <c r="N10" s="764"/>
      <c r="O10" s="764"/>
      <c r="P10" s="764"/>
      <c r="Q10" s="764"/>
      <c r="R10" s="764"/>
      <c r="S10" s="764"/>
      <c r="T10" s="764"/>
      <c r="U10" s="764"/>
      <c r="V10" s="764"/>
      <c r="W10" s="764"/>
      <c r="X10" s="764"/>
      <c r="Y10" s="764"/>
      <c r="Z10" s="764"/>
      <c r="AA10" s="764"/>
    </row>
    <row r="11" spans="2:57" ht="18" x14ac:dyDescent="0.2">
      <c r="B11" s="1197"/>
      <c r="C11" s="194" t="s">
        <v>450</v>
      </c>
      <c r="D11" s="194"/>
      <c r="E11" s="199" t="s">
        <v>369</v>
      </c>
      <c r="F11" s="200" t="s">
        <v>451</v>
      </c>
      <c r="G11" s="209">
        <f>SUM(H11:AA11)</f>
        <v>0</v>
      </c>
      <c r="H11" s="203">
        <f>H9*H10</f>
        <v>0</v>
      </c>
      <c r="I11" s="203">
        <f t="shared" ref="I11:AA11" si="1">I9*I10</f>
        <v>0</v>
      </c>
      <c r="J11" s="203">
        <f t="shared" si="1"/>
        <v>0</v>
      </c>
      <c r="K11" s="203">
        <f t="shared" si="1"/>
        <v>0</v>
      </c>
      <c r="L11" s="203">
        <f t="shared" si="1"/>
        <v>0</v>
      </c>
      <c r="M11" s="203">
        <f t="shared" si="1"/>
        <v>0</v>
      </c>
      <c r="N11" s="203">
        <f t="shared" si="1"/>
        <v>0</v>
      </c>
      <c r="O11" s="203">
        <f t="shared" si="1"/>
        <v>0</v>
      </c>
      <c r="P11" s="203">
        <f t="shared" si="1"/>
        <v>0</v>
      </c>
      <c r="Q11" s="203">
        <f t="shared" si="1"/>
        <v>0</v>
      </c>
      <c r="R11" s="203">
        <f t="shared" si="1"/>
        <v>0</v>
      </c>
      <c r="S11" s="203">
        <f t="shared" si="1"/>
        <v>0</v>
      </c>
      <c r="T11" s="203">
        <f t="shared" si="1"/>
        <v>0</v>
      </c>
      <c r="U11" s="203">
        <f t="shared" si="1"/>
        <v>0</v>
      </c>
      <c r="V11" s="203">
        <f t="shared" si="1"/>
        <v>0</v>
      </c>
      <c r="W11" s="203">
        <f t="shared" si="1"/>
        <v>0</v>
      </c>
      <c r="X11" s="203">
        <f t="shared" si="1"/>
        <v>0</v>
      </c>
      <c r="Y11" s="203">
        <f t="shared" si="1"/>
        <v>0</v>
      </c>
      <c r="Z11" s="203">
        <f t="shared" si="1"/>
        <v>0</v>
      </c>
      <c r="AA11" s="203">
        <f t="shared" si="1"/>
        <v>0</v>
      </c>
    </row>
    <row r="12" spans="2:57" x14ac:dyDescent="0.2">
      <c r="B12" s="1195">
        <f>B10+1</f>
        <v>7</v>
      </c>
      <c r="C12" s="194" t="s">
        <v>371</v>
      </c>
      <c r="D12" s="194"/>
      <c r="E12" s="199" t="s">
        <v>372</v>
      </c>
      <c r="F12" s="200"/>
      <c r="G12" s="204"/>
      <c r="H12" s="740"/>
      <c r="I12" s="740"/>
      <c r="J12" s="740"/>
      <c r="K12" s="740"/>
      <c r="L12" s="740"/>
      <c r="M12" s="740"/>
      <c r="N12" s="740"/>
      <c r="O12" s="740"/>
      <c r="P12" s="740"/>
      <c r="Q12" s="740"/>
      <c r="R12" s="740"/>
      <c r="S12" s="740"/>
      <c r="T12" s="740"/>
      <c r="U12" s="740"/>
      <c r="V12" s="740"/>
      <c r="W12" s="740"/>
      <c r="X12" s="740"/>
      <c r="Y12" s="740"/>
      <c r="Z12" s="740"/>
      <c r="AA12" s="740"/>
      <c r="AC12" s="429"/>
    </row>
    <row r="13" spans="2:57" x14ac:dyDescent="0.2">
      <c r="B13" s="1196"/>
      <c r="C13" s="205" t="s">
        <v>373</v>
      </c>
      <c r="D13" s="205"/>
      <c r="E13" s="206" t="s">
        <v>374</v>
      </c>
      <c r="F13" s="200"/>
      <c r="G13" s="204"/>
      <c r="H13" s="741"/>
      <c r="I13" s="741"/>
      <c r="J13" s="741"/>
      <c r="K13" s="741"/>
      <c r="L13" s="741"/>
      <c r="M13" s="741"/>
      <c r="N13" s="741"/>
      <c r="O13" s="741"/>
      <c r="P13" s="741"/>
      <c r="Q13" s="741"/>
      <c r="R13" s="741"/>
      <c r="S13" s="741"/>
      <c r="T13" s="741"/>
      <c r="U13" s="741"/>
      <c r="V13" s="741"/>
      <c r="W13" s="741"/>
      <c r="X13" s="741"/>
      <c r="Y13" s="741"/>
      <c r="Z13" s="741"/>
      <c r="AA13" s="741"/>
      <c r="AB13" s="430"/>
      <c r="AC13" s="429"/>
    </row>
    <row r="14" spans="2:57" ht="18" x14ac:dyDescent="0.2">
      <c r="B14" s="1197"/>
      <c r="C14" s="194" t="s">
        <v>375</v>
      </c>
      <c r="D14" s="194"/>
      <c r="E14" s="199" t="s">
        <v>376</v>
      </c>
      <c r="F14" s="200" t="s">
        <v>377</v>
      </c>
      <c r="G14" s="204"/>
      <c r="H14" s="207">
        <f>H12*H13</f>
        <v>0</v>
      </c>
      <c r="I14" s="207">
        <f t="shared" ref="I14:AA14" si="2">I12*I13</f>
        <v>0</v>
      </c>
      <c r="J14" s="207">
        <f t="shared" si="2"/>
        <v>0</v>
      </c>
      <c r="K14" s="207">
        <f t="shared" si="2"/>
        <v>0</v>
      </c>
      <c r="L14" s="207">
        <f t="shared" si="2"/>
        <v>0</v>
      </c>
      <c r="M14" s="207">
        <f t="shared" si="2"/>
        <v>0</v>
      </c>
      <c r="N14" s="207">
        <f t="shared" si="2"/>
        <v>0</v>
      </c>
      <c r="O14" s="207">
        <f t="shared" si="2"/>
        <v>0</v>
      </c>
      <c r="P14" s="207">
        <f t="shared" si="2"/>
        <v>0</v>
      </c>
      <c r="Q14" s="207">
        <f t="shared" si="2"/>
        <v>0</v>
      </c>
      <c r="R14" s="207">
        <f t="shared" si="2"/>
        <v>0</v>
      </c>
      <c r="S14" s="207">
        <f t="shared" si="2"/>
        <v>0</v>
      </c>
      <c r="T14" s="207">
        <f t="shared" si="2"/>
        <v>0</v>
      </c>
      <c r="U14" s="207">
        <f t="shared" si="2"/>
        <v>0</v>
      </c>
      <c r="V14" s="207">
        <f t="shared" si="2"/>
        <v>0</v>
      </c>
      <c r="W14" s="207">
        <f t="shared" si="2"/>
        <v>0</v>
      </c>
      <c r="X14" s="207">
        <f t="shared" si="2"/>
        <v>0</v>
      </c>
      <c r="Y14" s="207">
        <f t="shared" si="2"/>
        <v>0</v>
      </c>
      <c r="Z14" s="207">
        <f t="shared" si="2"/>
        <v>0</v>
      </c>
      <c r="AA14" s="207">
        <f t="shared" si="2"/>
        <v>0</v>
      </c>
    </row>
    <row r="15" spans="2:57" x14ac:dyDescent="0.2">
      <c r="B15" s="1195">
        <f>B12+1</f>
        <v>8</v>
      </c>
      <c r="C15" s="194" t="s">
        <v>702</v>
      </c>
      <c r="D15" s="194"/>
      <c r="E15" s="199" t="s">
        <v>279</v>
      </c>
      <c r="F15" s="200" t="s">
        <v>697</v>
      </c>
      <c r="G15" s="299">
        <v>12</v>
      </c>
      <c r="H15" s="739"/>
      <c r="I15" s="739"/>
      <c r="J15" s="739"/>
      <c r="K15" s="739"/>
      <c r="L15" s="739"/>
      <c r="M15" s="739"/>
      <c r="N15" s="739"/>
      <c r="O15" s="739"/>
      <c r="P15" s="739"/>
      <c r="Q15" s="739"/>
      <c r="R15" s="739"/>
      <c r="S15" s="739"/>
      <c r="T15" s="739"/>
      <c r="U15" s="739"/>
      <c r="V15" s="739"/>
      <c r="W15" s="739"/>
      <c r="X15" s="739"/>
      <c r="Y15" s="739"/>
      <c r="Z15" s="739"/>
      <c r="AA15" s="739"/>
      <c r="AB15" s="431"/>
      <c r="AC15" s="432"/>
      <c r="AD15" s="432"/>
      <c r="AE15" s="432"/>
      <c r="AF15" s="432"/>
      <c r="AG15" s="432"/>
      <c r="AH15" s="432"/>
      <c r="AI15" s="432"/>
      <c r="AJ15" s="432"/>
      <c r="AK15" s="432"/>
      <c r="AL15" s="432"/>
      <c r="AM15" s="432"/>
      <c r="AN15" s="432"/>
      <c r="AO15" s="432"/>
      <c r="AP15" s="432"/>
      <c r="AQ15" s="432"/>
      <c r="AR15" s="432"/>
      <c r="AS15" s="432"/>
      <c r="AT15" s="432"/>
      <c r="AU15" s="432"/>
      <c r="AV15" s="432"/>
      <c r="AW15" s="432"/>
      <c r="AX15" s="432"/>
      <c r="AY15" s="432"/>
      <c r="AZ15" s="432"/>
      <c r="BA15" s="432"/>
      <c r="BB15" s="432"/>
      <c r="BC15" s="432"/>
      <c r="BD15" s="432"/>
      <c r="BE15" s="432"/>
    </row>
    <row r="16" spans="2:57" x14ac:dyDescent="0.2">
      <c r="B16" s="1196"/>
      <c r="C16" s="194" t="s">
        <v>703</v>
      </c>
      <c r="D16" s="194"/>
      <c r="E16" s="195" t="s">
        <v>700</v>
      </c>
      <c r="F16" s="200" t="s">
        <v>698</v>
      </c>
      <c r="G16" s="299">
        <v>22</v>
      </c>
      <c r="H16" s="739"/>
      <c r="I16" s="739"/>
      <c r="J16" s="739"/>
      <c r="K16" s="739"/>
      <c r="L16" s="739"/>
      <c r="M16" s="739"/>
      <c r="N16" s="739"/>
      <c r="O16" s="739"/>
      <c r="P16" s="739"/>
      <c r="Q16" s="739"/>
      <c r="R16" s="739"/>
      <c r="S16" s="739"/>
      <c r="T16" s="739"/>
      <c r="U16" s="739"/>
      <c r="V16" s="739"/>
      <c r="W16" s="739"/>
      <c r="X16" s="739"/>
      <c r="Y16" s="739"/>
      <c r="Z16" s="739"/>
      <c r="AA16" s="739"/>
      <c r="AB16" s="431"/>
      <c r="AC16" s="432"/>
      <c r="AD16" s="432"/>
      <c r="AE16" s="432"/>
      <c r="AF16" s="432"/>
      <c r="AG16" s="432"/>
      <c r="AH16" s="432"/>
      <c r="AI16" s="432"/>
      <c r="AJ16" s="432"/>
      <c r="AK16" s="432"/>
      <c r="AL16" s="432"/>
      <c r="AM16" s="432"/>
      <c r="AN16" s="432"/>
      <c r="AO16" s="432"/>
      <c r="AP16" s="432"/>
      <c r="AQ16" s="432"/>
      <c r="AR16" s="432"/>
      <c r="AS16" s="432"/>
      <c r="AT16" s="432"/>
      <c r="AU16" s="432"/>
      <c r="AV16" s="432"/>
      <c r="AW16" s="432"/>
      <c r="AX16" s="432"/>
      <c r="AY16" s="432"/>
      <c r="AZ16" s="432"/>
      <c r="BA16" s="432"/>
      <c r="BB16" s="432"/>
      <c r="BC16" s="432"/>
      <c r="BD16" s="432"/>
      <c r="BE16" s="432"/>
    </row>
    <row r="17" spans="2:57" x14ac:dyDescent="0.2">
      <c r="B17" s="1196"/>
      <c r="C17" s="194" t="s">
        <v>704</v>
      </c>
      <c r="D17" s="194"/>
      <c r="E17" s="195" t="s">
        <v>701</v>
      </c>
      <c r="F17" s="200" t="s">
        <v>699</v>
      </c>
      <c r="G17" s="299">
        <v>3</v>
      </c>
      <c r="H17" s="739"/>
      <c r="I17" s="739"/>
      <c r="J17" s="739"/>
      <c r="K17" s="739"/>
      <c r="L17" s="739"/>
      <c r="M17" s="739"/>
      <c r="N17" s="739"/>
      <c r="O17" s="739"/>
      <c r="P17" s="739"/>
      <c r="Q17" s="739"/>
      <c r="R17" s="739"/>
      <c r="S17" s="739"/>
      <c r="T17" s="739"/>
      <c r="U17" s="739"/>
      <c r="V17" s="739"/>
      <c r="W17" s="739"/>
      <c r="X17" s="739"/>
      <c r="Y17" s="739"/>
      <c r="Z17" s="739"/>
      <c r="AA17" s="739"/>
      <c r="AB17" s="431"/>
      <c r="AC17" s="432"/>
      <c r="AD17" s="432"/>
      <c r="AE17" s="432"/>
      <c r="AF17" s="432"/>
      <c r="AG17" s="432"/>
      <c r="AH17" s="432"/>
      <c r="AI17" s="432"/>
      <c r="AJ17" s="432"/>
      <c r="AK17" s="432"/>
      <c r="AL17" s="432"/>
      <c r="AM17" s="432"/>
      <c r="AN17" s="432"/>
      <c r="AO17" s="432"/>
      <c r="AP17" s="432"/>
      <c r="AQ17" s="432"/>
      <c r="AR17" s="432"/>
      <c r="AS17" s="432"/>
      <c r="AT17" s="432"/>
      <c r="AU17" s="432"/>
      <c r="AV17" s="432"/>
      <c r="AW17" s="432"/>
      <c r="AX17" s="432"/>
      <c r="AY17" s="432"/>
      <c r="AZ17" s="432"/>
      <c r="BA17" s="432"/>
      <c r="BB17" s="432"/>
      <c r="BC17" s="432"/>
      <c r="BD17" s="432"/>
      <c r="BE17" s="432"/>
    </row>
    <row r="18" spans="2:57" ht="18" x14ac:dyDescent="0.2">
      <c r="B18" s="1196"/>
      <c r="C18" s="194" t="s">
        <v>378</v>
      </c>
      <c r="D18" s="194"/>
      <c r="E18" s="199" t="s">
        <v>369</v>
      </c>
      <c r="F18" s="200" t="s">
        <v>379</v>
      </c>
      <c r="G18" s="209">
        <f>SUM(H18:AA18)</f>
        <v>0</v>
      </c>
      <c r="H18" s="208">
        <f>H11*((H15*H16*H17)/($G$15*$G$16*$G$17))</f>
        <v>0</v>
      </c>
      <c r="I18" s="208">
        <f t="shared" ref="I18:AA18" si="3">I11*((I15*I16*I17)/($G$15*$G$16*$G$17))</f>
        <v>0</v>
      </c>
      <c r="J18" s="208">
        <f t="shared" si="3"/>
        <v>0</v>
      </c>
      <c r="K18" s="208">
        <f t="shared" si="3"/>
        <v>0</v>
      </c>
      <c r="L18" s="208">
        <f t="shared" si="3"/>
        <v>0</v>
      </c>
      <c r="M18" s="208">
        <f t="shared" si="3"/>
        <v>0</v>
      </c>
      <c r="N18" s="208">
        <f t="shared" si="3"/>
        <v>0</v>
      </c>
      <c r="O18" s="208">
        <f t="shared" si="3"/>
        <v>0</v>
      </c>
      <c r="P18" s="208">
        <f t="shared" si="3"/>
        <v>0</v>
      </c>
      <c r="Q18" s="208">
        <f t="shared" si="3"/>
        <v>0</v>
      </c>
      <c r="R18" s="208">
        <f t="shared" si="3"/>
        <v>0</v>
      </c>
      <c r="S18" s="208">
        <f t="shared" si="3"/>
        <v>0</v>
      </c>
      <c r="T18" s="208">
        <f t="shared" si="3"/>
        <v>0</v>
      </c>
      <c r="U18" s="208">
        <f t="shared" si="3"/>
        <v>0</v>
      </c>
      <c r="V18" s="208">
        <f t="shared" si="3"/>
        <v>0</v>
      </c>
      <c r="W18" s="208">
        <f t="shared" si="3"/>
        <v>0</v>
      </c>
      <c r="X18" s="208">
        <f t="shared" si="3"/>
        <v>0</v>
      </c>
      <c r="Y18" s="208">
        <f t="shared" si="3"/>
        <v>0</v>
      </c>
      <c r="Z18" s="208">
        <f t="shared" si="3"/>
        <v>0</v>
      </c>
      <c r="AA18" s="208">
        <f t="shared" si="3"/>
        <v>0</v>
      </c>
      <c r="AB18" s="430"/>
    </row>
    <row r="19" spans="2:57" ht="18" x14ac:dyDescent="0.2">
      <c r="B19" s="1197"/>
      <c r="C19" s="194" t="s">
        <v>380</v>
      </c>
      <c r="D19" s="194"/>
      <c r="E19" s="194"/>
      <c r="F19" s="200" t="s">
        <v>381</v>
      </c>
      <c r="G19" s="204" t="str">
        <f>IF(LARGE(H19:AA19,1)&gt;1,"ERRO","")</f>
        <v/>
      </c>
      <c r="H19" s="208">
        <f>IFERROR(H18/H11,0)</f>
        <v>0</v>
      </c>
      <c r="I19" s="208">
        <f t="shared" ref="I19:AA19" si="4">IFERROR(I18/I11,0)</f>
        <v>0</v>
      </c>
      <c r="J19" s="208">
        <f t="shared" si="4"/>
        <v>0</v>
      </c>
      <c r="K19" s="208">
        <f t="shared" si="4"/>
        <v>0</v>
      </c>
      <c r="L19" s="208">
        <f t="shared" si="4"/>
        <v>0</v>
      </c>
      <c r="M19" s="208">
        <f t="shared" si="4"/>
        <v>0</v>
      </c>
      <c r="N19" s="208">
        <f t="shared" si="4"/>
        <v>0</v>
      </c>
      <c r="O19" s="208">
        <f t="shared" si="4"/>
        <v>0</v>
      </c>
      <c r="P19" s="208">
        <f t="shared" si="4"/>
        <v>0</v>
      </c>
      <c r="Q19" s="208">
        <f t="shared" si="4"/>
        <v>0</v>
      </c>
      <c r="R19" s="208">
        <f t="shared" si="4"/>
        <v>0</v>
      </c>
      <c r="S19" s="208">
        <f t="shared" si="4"/>
        <v>0</v>
      </c>
      <c r="T19" s="208">
        <f t="shared" si="4"/>
        <v>0</v>
      </c>
      <c r="U19" s="208">
        <f t="shared" si="4"/>
        <v>0</v>
      </c>
      <c r="V19" s="208">
        <f t="shared" si="4"/>
        <v>0</v>
      </c>
      <c r="W19" s="208">
        <f t="shared" si="4"/>
        <v>0</v>
      </c>
      <c r="X19" s="208">
        <f t="shared" si="4"/>
        <v>0</v>
      </c>
      <c r="Y19" s="208">
        <f t="shared" si="4"/>
        <v>0</v>
      </c>
      <c r="Z19" s="208">
        <f t="shared" si="4"/>
        <v>0</v>
      </c>
      <c r="AA19" s="208">
        <f t="shared" si="4"/>
        <v>0</v>
      </c>
    </row>
    <row r="20" spans="2:57" ht="18" x14ac:dyDescent="0.2">
      <c r="B20" s="189">
        <f>B15+1</f>
        <v>9</v>
      </c>
      <c r="C20" s="194" t="s">
        <v>382</v>
      </c>
      <c r="D20" s="194"/>
      <c r="E20" s="199" t="s">
        <v>383</v>
      </c>
      <c r="F20" s="200" t="s">
        <v>384</v>
      </c>
      <c r="G20" s="209">
        <f>SUM(H20:AA20)</f>
        <v>0</v>
      </c>
      <c r="H20" s="207">
        <f>(H11*H14)/1000</f>
        <v>0</v>
      </c>
      <c r="I20" s="207">
        <f t="shared" ref="I20:AA20" si="5">(I11*I14)/1000</f>
        <v>0</v>
      </c>
      <c r="J20" s="207">
        <f t="shared" si="5"/>
        <v>0</v>
      </c>
      <c r="K20" s="207">
        <f t="shared" si="5"/>
        <v>0</v>
      </c>
      <c r="L20" s="207">
        <f t="shared" si="5"/>
        <v>0</v>
      </c>
      <c r="M20" s="207">
        <f t="shared" si="5"/>
        <v>0</v>
      </c>
      <c r="N20" s="207">
        <f t="shared" si="5"/>
        <v>0</v>
      </c>
      <c r="O20" s="207">
        <f t="shared" si="5"/>
        <v>0</v>
      </c>
      <c r="P20" s="207">
        <f t="shared" si="5"/>
        <v>0</v>
      </c>
      <c r="Q20" s="207">
        <f t="shared" si="5"/>
        <v>0</v>
      </c>
      <c r="R20" s="207">
        <f t="shared" si="5"/>
        <v>0</v>
      </c>
      <c r="S20" s="207">
        <f t="shared" si="5"/>
        <v>0</v>
      </c>
      <c r="T20" s="207">
        <f t="shared" si="5"/>
        <v>0</v>
      </c>
      <c r="U20" s="207">
        <f t="shared" si="5"/>
        <v>0</v>
      </c>
      <c r="V20" s="207">
        <f t="shared" si="5"/>
        <v>0</v>
      </c>
      <c r="W20" s="207">
        <f t="shared" si="5"/>
        <v>0</v>
      </c>
      <c r="X20" s="207">
        <f t="shared" si="5"/>
        <v>0</v>
      </c>
      <c r="Y20" s="207">
        <f t="shared" si="5"/>
        <v>0</v>
      </c>
      <c r="Z20" s="207">
        <f t="shared" si="5"/>
        <v>0</v>
      </c>
      <c r="AA20" s="207">
        <f t="shared" si="5"/>
        <v>0</v>
      </c>
    </row>
    <row r="21" spans="2:57" ht="18" x14ac:dyDescent="0.2">
      <c r="B21" s="189">
        <f>B20+1</f>
        <v>10</v>
      </c>
      <c r="C21" s="194" t="s">
        <v>385</v>
      </c>
      <c r="D21" s="194"/>
      <c r="E21" s="195" t="s">
        <v>369</v>
      </c>
      <c r="F21" s="200" t="s">
        <v>386</v>
      </c>
      <c r="G21" s="210">
        <f>SUM(H21:AA21)</f>
        <v>0</v>
      </c>
      <c r="H21" s="211">
        <f>H11*H19</f>
        <v>0</v>
      </c>
      <c r="I21" s="211">
        <f t="shared" ref="I21:AA21" si="6">I11*I19</f>
        <v>0</v>
      </c>
      <c r="J21" s="211">
        <f t="shared" si="6"/>
        <v>0</v>
      </c>
      <c r="K21" s="211">
        <f t="shared" si="6"/>
        <v>0</v>
      </c>
      <c r="L21" s="211">
        <f t="shared" si="6"/>
        <v>0</v>
      </c>
      <c r="M21" s="211">
        <f t="shared" si="6"/>
        <v>0</v>
      </c>
      <c r="N21" s="211">
        <f t="shared" si="6"/>
        <v>0</v>
      </c>
      <c r="O21" s="211">
        <f t="shared" si="6"/>
        <v>0</v>
      </c>
      <c r="P21" s="211">
        <f t="shared" si="6"/>
        <v>0</v>
      </c>
      <c r="Q21" s="211">
        <f t="shared" si="6"/>
        <v>0</v>
      </c>
      <c r="R21" s="211">
        <f t="shared" si="6"/>
        <v>0</v>
      </c>
      <c r="S21" s="211">
        <f t="shared" si="6"/>
        <v>0</v>
      </c>
      <c r="T21" s="211">
        <f t="shared" si="6"/>
        <v>0</v>
      </c>
      <c r="U21" s="211">
        <f t="shared" si="6"/>
        <v>0</v>
      </c>
      <c r="V21" s="211">
        <f t="shared" si="6"/>
        <v>0</v>
      </c>
      <c r="W21" s="211">
        <f t="shared" si="6"/>
        <v>0</v>
      </c>
      <c r="X21" s="211">
        <f t="shared" si="6"/>
        <v>0</v>
      </c>
      <c r="Y21" s="211">
        <f t="shared" si="6"/>
        <v>0</v>
      </c>
      <c r="Z21" s="211">
        <f t="shared" si="6"/>
        <v>0</v>
      </c>
      <c r="AA21" s="211">
        <f t="shared" si="6"/>
        <v>0</v>
      </c>
    </row>
    <row r="23" spans="2:57" x14ac:dyDescent="0.2">
      <c r="B23" s="1191" t="s">
        <v>864</v>
      </c>
      <c r="C23" s="1192"/>
      <c r="D23" s="1192"/>
      <c r="E23" s="1192"/>
      <c r="F23" s="1200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</row>
    <row r="24" spans="2:57" s="423" customFormat="1" x14ac:dyDescent="0.2">
      <c r="B24" s="189"/>
      <c r="C24" s="190"/>
      <c r="D24" s="190"/>
      <c r="E24" s="190"/>
      <c r="F24" s="191"/>
      <c r="G24" s="192" t="s">
        <v>31</v>
      </c>
      <c r="H24" s="193" t="s">
        <v>423</v>
      </c>
      <c r="I24" s="193" t="s">
        <v>424</v>
      </c>
      <c r="J24" s="193" t="s">
        <v>425</v>
      </c>
      <c r="K24" s="193" t="s">
        <v>426</v>
      </c>
      <c r="L24" s="193" t="s">
        <v>427</v>
      </c>
      <c r="M24" s="193" t="s">
        <v>428</v>
      </c>
      <c r="N24" s="193" t="s">
        <v>429</v>
      </c>
      <c r="O24" s="193" t="s">
        <v>430</v>
      </c>
      <c r="P24" s="193" t="s">
        <v>431</v>
      </c>
      <c r="Q24" s="193" t="s">
        <v>432</v>
      </c>
      <c r="R24" s="193" t="s">
        <v>433</v>
      </c>
      <c r="S24" s="193" t="s">
        <v>434</v>
      </c>
      <c r="T24" s="193" t="s">
        <v>435</v>
      </c>
      <c r="U24" s="193" t="s">
        <v>436</v>
      </c>
      <c r="V24" s="193" t="s">
        <v>437</v>
      </c>
      <c r="W24" s="193" t="s">
        <v>438</v>
      </c>
      <c r="X24" s="193" t="s">
        <v>439</v>
      </c>
      <c r="Y24" s="193" t="s">
        <v>440</v>
      </c>
      <c r="Z24" s="193" t="s">
        <v>441</v>
      </c>
      <c r="AA24" s="193" t="s">
        <v>442</v>
      </c>
    </row>
    <row r="25" spans="2:57" x14ac:dyDescent="0.2">
      <c r="B25" s="189">
        <f>B21+1</f>
        <v>11</v>
      </c>
      <c r="C25" s="194" t="s">
        <v>359</v>
      </c>
      <c r="D25" s="194"/>
      <c r="E25" s="195"/>
      <c r="F25" s="196"/>
      <c r="G25" s="197"/>
      <c r="H25" s="781"/>
      <c r="I25" s="781"/>
      <c r="J25" s="781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36"/>
    </row>
    <row r="26" spans="2:57" ht="18" x14ac:dyDescent="0.2">
      <c r="B26" s="189">
        <f>B25+1</f>
        <v>12</v>
      </c>
      <c r="C26" s="194" t="s">
        <v>443</v>
      </c>
      <c r="D26" s="194"/>
      <c r="E26" s="199" t="s">
        <v>444</v>
      </c>
      <c r="F26" s="200" t="s">
        <v>407</v>
      </c>
      <c r="G26" s="202">
        <f>SUM(H26:AA26)</f>
        <v>0</v>
      </c>
      <c r="H26" s="739"/>
      <c r="I26" s="739"/>
      <c r="J26" s="739"/>
      <c r="K26" s="739"/>
      <c r="L26" s="739"/>
      <c r="M26" s="739"/>
      <c r="N26" s="739"/>
      <c r="O26" s="739"/>
      <c r="P26" s="739"/>
      <c r="Q26" s="739"/>
      <c r="R26" s="739"/>
      <c r="S26" s="739"/>
      <c r="T26" s="739"/>
      <c r="U26" s="739"/>
      <c r="V26" s="739"/>
      <c r="W26" s="739"/>
      <c r="X26" s="739"/>
      <c r="Y26" s="739"/>
      <c r="Z26" s="739"/>
      <c r="AA26" s="739"/>
    </row>
    <row r="27" spans="2:57" ht="18" x14ac:dyDescent="0.2">
      <c r="B27" s="189">
        <f>B26+1</f>
        <v>13</v>
      </c>
      <c r="C27" s="194" t="s">
        <v>445</v>
      </c>
      <c r="D27" s="194"/>
      <c r="E27" s="199" t="s">
        <v>446</v>
      </c>
      <c r="F27" s="200" t="s">
        <v>452</v>
      </c>
      <c r="G27" s="202"/>
      <c r="H27" s="764"/>
      <c r="I27" s="764"/>
      <c r="J27" s="764"/>
      <c r="K27" s="764"/>
      <c r="L27" s="764"/>
      <c r="M27" s="764"/>
      <c r="N27" s="764"/>
      <c r="O27" s="764"/>
      <c r="P27" s="764"/>
      <c r="Q27" s="764"/>
      <c r="R27" s="764"/>
      <c r="S27" s="764"/>
      <c r="T27" s="764"/>
      <c r="U27" s="764"/>
      <c r="V27" s="764"/>
      <c r="W27" s="764"/>
      <c r="X27" s="764"/>
      <c r="Y27" s="764"/>
      <c r="Z27" s="764"/>
      <c r="AA27" s="764"/>
    </row>
    <row r="28" spans="2:57" ht="18" x14ac:dyDescent="0.2">
      <c r="B28" s="189">
        <f>B27+1</f>
        <v>14</v>
      </c>
      <c r="C28" s="194" t="s">
        <v>16</v>
      </c>
      <c r="D28" s="194"/>
      <c r="E28" s="199"/>
      <c r="F28" s="200" t="s">
        <v>406</v>
      </c>
      <c r="G28" s="202">
        <f>SUM(H28:AA28)</f>
        <v>0</v>
      </c>
      <c r="H28" s="739"/>
      <c r="I28" s="739"/>
      <c r="J28" s="739"/>
      <c r="K28" s="739"/>
      <c r="L28" s="739"/>
      <c r="M28" s="739"/>
      <c r="N28" s="739"/>
      <c r="O28" s="739"/>
      <c r="P28" s="739"/>
      <c r="Q28" s="739"/>
      <c r="R28" s="739"/>
      <c r="S28" s="739"/>
      <c r="T28" s="739"/>
      <c r="U28" s="739"/>
      <c r="V28" s="739"/>
      <c r="W28" s="739"/>
      <c r="X28" s="739"/>
      <c r="Y28" s="739"/>
      <c r="Z28" s="739"/>
      <c r="AA28" s="739"/>
    </row>
    <row r="29" spans="2:57" ht="18" x14ac:dyDescent="0.2">
      <c r="B29" s="189">
        <f>B28+1</f>
        <v>15</v>
      </c>
      <c r="C29" s="194" t="s">
        <v>368</v>
      </c>
      <c r="D29" s="194"/>
      <c r="E29" s="199" t="s">
        <v>369</v>
      </c>
      <c r="F29" s="200" t="s">
        <v>391</v>
      </c>
      <c r="G29" s="209">
        <f>SUM(H29:AA29)</f>
        <v>0</v>
      </c>
      <c r="H29" s="203">
        <f>IF(H27=0,0,((H26*0.293*H28)/(1000*H27)))</f>
        <v>0</v>
      </c>
      <c r="I29" s="203">
        <f t="shared" ref="I29:AA29" si="7">IF(I27=0,0,((I26*0.293*I28)/(1000*I27)))</f>
        <v>0</v>
      </c>
      <c r="J29" s="203">
        <f t="shared" si="7"/>
        <v>0</v>
      </c>
      <c r="K29" s="203">
        <f t="shared" si="7"/>
        <v>0</v>
      </c>
      <c r="L29" s="203">
        <f t="shared" si="7"/>
        <v>0</v>
      </c>
      <c r="M29" s="203">
        <f t="shared" si="7"/>
        <v>0</v>
      </c>
      <c r="N29" s="203">
        <f t="shared" si="7"/>
        <v>0</v>
      </c>
      <c r="O29" s="203">
        <f t="shared" si="7"/>
        <v>0</v>
      </c>
      <c r="P29" s="203">
        <f t="shared" si="7"/>
        <v>0</v>
      </c>
      <c r="Q29" s="203">
        <f t="shared" si="7"/>
        <v>0</v>
      </c>
      <c r="R29" s="203">
        <f t="shared" si="7"/>
        <v>0</v>
      </c>
      <c r="S29" s="203">
        <f t="shared" si="7"/>
        <v>0</v>
      </c>
      <c r="T29" s="203">
        <f t="shared" si="7"/>
        <v>0</v>
      </c>
      <c r="U29" s="203">
        <f t="shared" si="7"/>
        <v>0</v>
      </c>
      <c r="V29" s="203">
        <f t="shared" si="7"/>
        <v>0</v>
      </c>
      <c r="W29" s="203">
        <f t="shared" si="7"/>
        <v>0</v>
      </c>
      <c r="X29" s="203">
        <f t="shared" si="7"/>
        <v>0</v>
      </c>
      <c r="Y29" s="203">
        <f t="shared" si="7"/>
        <v>0</v>
      </c>
      <c r="Z29" s="203">
        <f t="shared" si="7"/>
        <v>0</v>
      </c>
      <c r="AA29" s="203">
        <f t="shared" si="7"/>
        <v>0</v>
      </c>
    </row>
    <row r="30" spans="2:57" ht="18" x14ac:dyDescent="0.2">
      <c r="B30" s="1195">
        <f>B29+1</f>
        <v>16</v>
      </c>
      <c r="C30" s="194" t="s">
        <v>448</v>
      </c>
      <c r="D30" s="194"/>
      <c r="E30" s="199"/>
      <c r="F30" s="200" t="s">
        <v>453</v>
      </c>
      <c r="G30" s="209"/>
      <c r="H30" s="764"/>
      <c r="I30" s="764"/>
      <c r="J30" s="764"/>
      <c r="K30" s="764"/>
      <c r="L30" s="764"/>
      <c r="M30" s="764"/>
      <c r="N30" s="764"/>
      <c r="O30" s="764"/>
      <c r="P30" s="764"/>
      <c r="Q30" s="764"/>
      <c r="R30" s="764"/>
      <c r="S30" s="764"/>
      <c r="T30" s="764"/>
      <c r="U30" s="764"/>
      <c r="V30" s="764"/>
      <c r="W30" s="764"/>
      <c r="X30" s="764"/>
      <c r="Y30" s="764"/>
      <c r="Z30" s="764"/>
      <c r="AA30" s="764"/>
    </row>
    <row r="31" spans="2:57" ht="18" x14ac:dyDescent="0.2">
      <c r="B31" s="1197"/>
      <c r="C31" s="194" t="s">
        <v>450</v>
      </c>
      <c r="D31" s="194"/>
      <c r="E31" s="199" t="s">
        <v>369</v>
      </c>
      <c r="F31" s="200" t="s">
        <v>454</v>
      </c>
      <c r="G31" s="209">
        <f>SUM(H31:AA31)</f>
        <v>0</v>
      </c>
      <c r="H31" s="203">
        <f>H29*H30</f>
        <v>0</v>
      </c>
      <c r="I31" s="203">
        <f t="shared" ref="I31:AA31" si="8">I29*I30</f>
        <v>0</v>
      </c>
      <c r="J31" s="203">
        <f t="shared" si="8"/>
        <v>0</v>
      </c>
      <c r="K31" s="203">
        <f t="shared" si="8"/>
        <v>0</v>
      </c>
      <c r="L31" s="203">
        <f t="shared" si="8"/>
        <v>0</v>
      </c>
      <c r="M31" s="203">
        <f t="shared" si="8"/>
        <v>0</v>
      </c>
      <c r="N31" s="203">
        <f t="shared" si="8"/>
        <v>0</v>
      </c>
      <c r="O31" s="203">
        <f t="shared" si="8"/>
        <v>0</v>
      </c>
      <c r="P31" s="203">
        <f t="shared" si="8"/>
        <v>0</v>
      </c>
      <c r="Q31" s="203">
        <f t="shared" si="8"/>
        <v>0</v>
      </c>
      <c r="R31" s="203">
        <f t="shared" si="8"/>
        <v>0</v>
      </c>
      <c r="S31" s="203">
        <f t="shared" si="8"/>
        <v>0</v>
      </c>
      <c r="T31" s="203">
        <f t="shared" si="8"/>
        <v>0</v>
      </c>
      <c r="U31" s="203">
        <f t="shared" si="8"/>
        <v>0</v>
      </c>
      <c r="V31" s="203">
        <f t="shared" si="8"/>
        <v>0</v>
      </c>
      <c r="W31" s="203">
        <f t="shared" si="8"/>
        <v>0</v>
      </c>
      <c r="X31" s="203">
        <f t="shared" si="8"/>
        <v>0</v>
      </c>
      <c r="Y31" s="203">
        <f t="shared" si="8"/>
        <v>0</v>
      </c>
      <c r="Z31" s="203">
        <f t="shared" si="8"/>
        <v>0</v>
      </c>
      <c r="AA31" s="203">
        <f t="shared" si="8"/>
        <v>0</v>
      </c>
    </row>
    <row r="32" spans="2:57" x14ac:dyDescent="0.2">
      <c r="B32" s="1195">
        <f>B30+1</f>
        <v>17</v>
      </c>
      <c r="C32" s="194" t="s">
        <v>371</v>
      </c>
      <c r="D32" s="194"/>
      <c r="E32" s="199" t="s">
        <v>372</v>
      </c>
      <c r="F32" s="200"/>
      <c r="G32" s="204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740"/>
    </row>
    <row r="33" spans="2:57" x14ac:dyDescent="0.2">
      <c r="B33" s="1196"/>
      <c r="C33" s="205" t="s">
        <v>373</v>
      </c>
      <c r="D33" s="205"/>
      <c r="E33" s="206" t="s">
        <v>374</v>
      </c>
      <c r="F33" s="200"/>
      <c r="G33" s="204"/>
      <c r="H33" s="741"/>
      <c r="I33" s="741"/>
      <c r="J33" s="741"/>
      <c r="K33" s="741"/>
      <c r="L33" s="741"/>
      <c r="M33" s="741"/>
      <c r="N33" s="741"/>
      <c r="O33" s="741"/>
      <c r="P33" s="741"/>
      <c r="Q33" s="741"/>
      <c r="R33" s="741"/>
      <c r="S33" s="741"/>
      <c r="T33" s="741"/>
      <c r="U33" s="741"/>
      <c r="V33" s="741"/>
      <c r="W33" s="741"/>
      <c r="X33" s="741"/>
      <c r="Y33" s="741"/>
      <c r="Z33" s="741"/>
      <c r="AA33" s="741"/>
    </row>
    <row r="34" spans="2:57" ht="18" x14ac:dyDescent="0.2">
      <c r="B34" s="1197"/>
      <c r="C34" s="194" t="s">
        <v>375</v>
      </c>
      <c r="D34" s="194"/>
      <c r="E34" s="199" t="s">
        <v>376</v>
      </c>
      <c r="F34" s="200" t="s">
        <v>392</v>
      </c>
      <c r="G34" s="204"/>
      <c r="H34" s="207">
        <f>H32*H33</f>
        <v>0</v>
      </c>
      <c r="I34" s="207">
        <f t="shared" ref="I34:AA34" si="9">I32*I33</f>
        <v>0</v>
      </c>
      <c r="J34" s="207">
        <f t="shared" si="9"/>
        <v>0</v>
      </c>
      <c r="K34" s="207">
        <f t="shared" si="9"/>
        <v>0</v>
      </c>
      <c r="L34" s="207">
        <f t="shared" si="9"/>
        <v>0</v>
      </c>
      <c r="M34" s="207">
        <f t="shared" si="9"/>
        <v>0</v>
      </c>
      <c r="N34" s="207">
        <f t="shared" si="9"/>
        <v>0</v>
      </c>
      <c r="O34" s="207">
        <f t="shared" si="9"/>
        <v>0</v>
      </c>
      <c r="P34" s="207">
        <f t="shared" si="9"/>
        <v>0</v>
      </c>
      <c r="Q34" s="207">
        <f t="shared" si="9"/>
        <v>0</v>
      </c>
      <c r="R34" s="207">
        <f t="shared" si="9"/>
        <v>0</v>
      </c>
      <c r="S34" s="207">
        <f t="shared" si="9"/>
        <v>0</v>
      </c>
      <c r="T34" s="207">
        <f t="shared" si="9"/>
        <v>0</v>
      </c>
      <c r="U34" s="207">
        <f t="shared" si="9"/>
        <v>0</v>
      </c>
      <c r="V34" s="207">
        <f t="shared" si="9"/>
        <v>0</v>
      </c>
      <c r="W34" s="207">
        <f t="shared" si="9"/>
        <v>0</v>
      </c>
      <c r="X34" s="207">
        <f t="shared" si="9"/>
        <v>0</v>
      </c>
      <c r="Y34" s="207">
        <f t="shared" si="9"/>
        <v>0</v>
      </c>
      <c r="Z34" s="207">
        <f t="shared" si="9"/>
        <v>0</v>
      </c>
      <c r="AA34" s="207">
        <f t="shared" si="9"/>
        <v>0</v>
      </c>
    </row>
    <row r="35" spans="2:57" x14ac:dyDescent="0.2">
      <c r="B35" s="1195">
        <f>B32+1</f>
        <v>18</v>
      </c>
      <c r="C35" s="194" t="s">
        <v>702</v>
      </c>
      <c r="D35" s="194"/>
      <c r="E35" s="199" t="s">
        <v>279</v>
      </c>
      <c r="F35" s="200" t="s">
        <v>697</v>
      </c>
      <c r="G35" s="299">
        <v>12</v>
      </c>
      <c r="H35" s="739"/>
      <c r="I35" s="739"/>
      <c r="J35" s="739"/>
      <c r="K35" s="739"/>
      <c r="L35" s="739"/>
      <c r="M35" s="739"/>
      <c r="N35" s="739"/>
      <c r="O35" s="739"/>
      <c r="P35" s="739"/>
      <c r="Q35" s="739"/>
      <c r="R35" s="739"/>
      <c r="S35" s="739"/>
      <c r="T35" s="739"/>
      <c r="U35" s="739"/>
      <c r="V35" s="739"/>
      <c r="W35" s="739"/>
      <c r="X35" s="739"/>
      <c r="Y35" s="739"/>
      <c r="Z35" s="739"/>
      <c r="AA35" s="739"/>
      <c r="AB35" s="431"/>
      <c r="AC35" s="432"/>
      <c r="AD35" s="432"/>
      <c r="AE35" s="432"/>
      <c r="AF35" s="432"/>
      <c r="AG35" s="432"/>
      <c r="AH35" s="432"/>
      <c r="AI35" s="432"/>
      <c r="AJ35" s="432"/>
      <c r="AK35" s="432"/>
      <c r="AL35" s="432"/>
      <c r="AM35" s="432"/>
      <c r="AN35" s="432"/>
      <c r="AO35" s="432"/>
      <c r="AP35" s="432"/>
      <c r="AQ35" s="432"/>
      <c r="AR35" s="432"/>
      <c r="AS35" s="432"/>
      <c r="AT35" s="432"/>
      <c r="AU35" s="432"/>
      <c r="AV35" s="432"/>
      <c r="AW35" s="432"/>
      <c r="AX35" s="432"/>
      <c r="AY35" s="432"/>
      <c r="AZ35" s="432"/>
      <c r="BA35" s="432"/>
      <c r="BB35" s="432"/>
      <c r="BC35" s="432"/>
      <c r="BD35" s="432"/>
      <c r="BE35" s="432"/>
    </row>
    <row r="36" spans="2:57" x14ac:dyDescent="0.2">
      <c r="B36" s="1196"/>
      <c r="C36" s="194" t="s">
        <v>703</v>
      </c>
      <c r="D36" s="194"/>
      <c r="E36" s="195" t="s">
        <v>700</v>
      </c>
      <c r="F36" s="200" t="s">
        <v>698</v>
      </c>
      <c r="G36" s="299">
        <v>22</v>
      </c>
      <c r="H36" s="739"/>
      <c r="I36" s="739"/>
      <c r="J36" s="739"/>
      <c r="K36" s="739"/>
      <c r="L36" s="739"/>
      <c r="M36" s="739"/>
      <c r="N36" s="739"/>
      <c r="O36" s="739"/>
      <c r="P36" s="739"/>
      <c r="Q36" s="739"/>
      <c r="R36" s="739"/>
      <c r="S36" s="739"/>
      <c r="T36" s="739"/>
      <c r="U36" s="739"/>
      <c r="V36" s="739"/>
      <c r="W36" s="739"/>
      <c r="X36" s="739"/>
      <c r="Y36" s="739"/>
      <c r="Z36" s="739"/>
      <c r="AA36" s="739"/>
      <c r="AB36" s="431"/>
      <c r="AC36" s="432"/>
      <c r="AD36" s="432"/>
      <c r="AE36" s="432"/>
      <c r="AF36" s="432"/>
      <c r="AG36" s="432"/>
      <c r="AH36" s="432"/>
      <c r="AI36" s="432"/>
      <c r="AJ36" s="432"/>
      <c r="AK36" s="432"/>
      <c r="AL36" s="432"/>
      <c r="AM36" s="432"/>
      <c r="AN36" s="432"/>
      <c r="AO36" s="432"/>
      <c r="AP36" s="432"/>
      <c r="AQ36" s="432"/>
      <c r="AR36" s="432"/>
      <c r="AS36" s="432"/>
      <c r="AT36" s="432"/>
      <c r="AU36" s="432"/>
      <c r="AV36" s="432"/>
      <c r="AW36" s="432"/>
      <c r="AX36" s="432"/>
      <c r="AY36" s="432"/>
      <c r="AZ36" s="432"/>
      <c r="BA36" s="432"/>
      <c r="BB36" s="432"/>
      <c r="BC36" s="432"/>
      <c r="BD36" s="432"/>
      <c r="BE36" s="432"/>
    </row>
    <row r="37" spans="2:57" x14ac:dyDescent="0.2">
      <c r="B37" s="1196"/>
      <c r="C37" s="194" t="s">
        <v>704</v>
      </c>
      <c r="D37" s="194"/>
      <c r="E37" s="195" t="s">
        <v>701</v>
      </c>
      <c r="F37" s="200" t="s">
        <v>699</v>
      </c>
      <c r="G37" s="299">
        <v>3</v>
      </c>
      <c r="H37" s="739"/>
      <c r="I37" s="739"/>
      <c r="J37" s="739"/>
      <c r="K37" s="739"/>
      <c r="L37" s="739"/>
      <c r="M37" s="739"/>
      <c r="N37" s="739"/>
      <c r="O37" s="739"/>
      <c r="P37" s="739"/>
      <c r="Q37" s="739"/>
      <c r="R37" s="739"/>
      <c r="S37" s="739"/>
      <c r="T37" s="739"/>
      <c r="U37" s="739"/>
      <c r="V37" s="739"/>
      <c r="W37" s="739"/>
      <c r="X37" s="739"/>
      <c r="Y37" s="739"/>
      <c r="Z37" s="739"/>
      <c r="AA37" s="739"/>
      <c r="AB37" s="431"/>
      <c r="AC37" s="432"/>
      <c r="AD37" s="432"/>
      <c r="AE37" s="432"/>
      <c r="AF37" s="432"/>
      <c r="AG37" s="432"/>
      <c r="AH37" s="432"/>
      <c r="AI37" s="432"/>
      <c r="AJ37" s="432"/>
      <c r="AK37" s="432"/>
      <c r="AL37" s="432"/>
      <c r="AM37" s="432"/>
      <c r="AN37" s="432"/>
      <c r="AO37" s="432"/>
      <c r="AP37" s="432"/>
      <c r="AQ37" s="432"/>
      <c r="AR37" s="432"/>
      <c r="AS37" s="432"/>
      <c r="AT37" s="432"/>
      <c r="AU37" s="432"/>
      <c r="AV37" s="432"/>
      <c r="AW37" s="432"/>
      <c r="AX37" s="432"/>
      <c r="AY37" s="432"/>
      <c r="AZ37" s="432"/>
      <c r="BA37" s="432"/>
      <c r="BB37" s="432"/>
      <c r="BC37" s="432"/>
      <c r="BD37" s="432"/>
      <c r="BE37" s="432"/>
    </row>
    <row r="38" spans="2:57" ht="18" x14ac:dyDescent="0.2">
      <c r="B38" s="1196"/>
      <c r="C38" s="194" t="s">
        <v>378</v>
      </c>
      <c r="D38" s="194"/>
      <c r="E38" s="199" t="s">
        <v>369</v>
      </c>
      <c r="F38" s="200" t="s">
        <v>393</v>
      </c>
      <c r="G38" s="209">
        <f>SUM(H38:AA38)</f>
        <v>0</v>
      </c>
      <c r="H38" s="208">
        <f>H31*((H35*H36*H37)/($G$35*$G$36*$G$37))</f>
        <v>0</v>
      </c>
      <c r="I38" s="208">
        <f t="shared" ref="I38:AA38" si="10">I31*((I35*I36*I37)/($G$35*$G$36*$G$37))</f>
        <v>0</v>
      </c>
      <c r="J38" s="208">
        <f t="shared" si="10"/>
        <v>0</v>
      </c>
      <c r="K38" s="208">
        <f t="shared" si="10"/>
        <v>0</v>
      </c>
      <c r="L38" s="208">
        <f t="shared" si="10"/>
        <v>0</v>
      </c>
      <c r="M38" s="208">
        <f t="shared" si="10"/>
        <v>0</v>
      </c>
      <c r="N38" s="208">
        <f t="shared" si="10"/>
        <v>0</v>
      </c>
      <c r="O38" s="208">
        <f t="shared" si="10"/>
        <v>0</v>
      </c>
      <c r="P38" s="208">
        <f t="shared" si="10"/>
        <v>0</v>
      </c>
      <c r="Q38" s="208">
        <f t="shared" si="10"/>
        <v>0</v>
      </c>
      <c r="R38" s="208">
        <f t="shared" si="10"/>
        <v>0</v>
      </c>
      <c r="S38" s="208">
        <f t="shared" si="10"/>
        <v>0</v>
      </c>
      <c r="T38" s="208">
        <f t="shared" si="10"/>
        <v>0</v>
      </c>
      <c r="U38" s="208">
        <f t="shared" si="10"/>
        <v>0</v>
      </c>
      <c r="V38" s="208">
        <f t="shared" si="10"/>
        <v>0</v>
      </c>
      <c r="W38" s="208">
        <f t="shared" si="10"/>
        <v>0</v>
      </c>
      <c r="X38" s="208">
        <f t="shared" si="10"/>
        <v>0</v>
      </c>
      <c r="Y38" s="208">
        <f t="shared" si="10"/>
        <v>0</v>
      </c>
      <c r="Z38" s="208">
        <f t="shared" si="10"/>
        <v>0</v>
      </c>
      <c r="AA38" s="208">
        <f t="shared" si="10"/>
        <v>0</v>
      </c>
    </row>
    <row r="39" spans="2:57" ht="18" x14ac:dyDescent="0.2">
      <c r="B39" s="1197"/>
      <c r="C39" s="194" t="s">
        <v>380</v>
      </c>
      <c r="D39" s="194"/>
      <c r="E39" s="194"/>
      <c r="F39" s="200" t="s">
        <v>394</v>
      </c>
      <c r="G39" s="204" t="str">
        <f>IF(LARGE(H39:AA39,1)&gt;1,"ERRO","")</f>
        <v/>
      </c>
      <c r="H39" s="208">
        <f>IFERROR(H38/H31,0)</f>
        <v>0</v>
      </c>
      <c r="I39" s="208">
        <f t="shared" ref="I39:AA39" si="11">IFERROR(I38/I31,0)</f>
        <v>0</v>
      </c>
      <c r="J39" s="208">
        <f t="shared" si="11"/>
        <v>0</v>
      </c>
      <c r="K39" s="208">
        <f t="shared" si="11"/>
        <v>0</v>
      </c>
      <c r="L39" s="208">
        <f t="shared" si="11"/>
        <v>0</v>
      </c>
      <c r="M39" s="208">
        <f t="shared" si="11"/>
        <v>0</v>
      </c>
      <c r="N39" s="208">
        <f t="shared" si="11"/>
        <v>0</v>
      </c>
      <c r="O39" s="208">
        <f t="shared" si="11"/>
        <v>0</v>
      </c>
      <c r="P39" s="208">
        <f t="shared" si="11"/>
        <v>0</v>
      </c>
      <c r="Q39" s="208">
        <f t="shared" si="11"/>
        <v>0</v>
      </c>
      <c r="R39" s="208">
        <f t="shared" si="11"/>
        <v>0</v>
      </c>
      <c r="S39" s="208">
        <f t="shared" si="11"/>
        <v>0</v>
      </c>
      <c r="T39" s="208">
        <f t="shared" si="11"/>
        <v>0</v>
      </c>
      <c r="U39" s="208">
        <f t="shared" si="11"/>
        <v>0</v>
      </c>
      <c r="V39" s="208">
        <f t="shared" si="11"/>
        <v>0</v>
      </c>
      <c r="W39" s="208">
        <f t="shared" si="11"/>
        <v>0</v>
      </c>
      <c r="X39" s="208">
        <f t="shared" si="11"/>
        <v>0</v>
      </c>
      <c r="Y39" s="208">
        <f t="shared" si="11"/>
        <v>0</v>
      </c>
      <c r="Z39" s="208">
        <f t="shared" si="11"/>
        <v>0</v>
      </c>
      <c r="AA39" s="208">
        <f t="shared" si="11"/>
        <v>0</v>
      </c>
    </row>
    <row r="40" spans="2:57" ht="18" x14ac:dyDescent="0.2">
      <c r="B40" s="189">
        <f>B35+1</f>
        <v>19</v>
      </c>
      <c r="C40" s="194" t="s">
        <v>382</v>
      </c>
      <c r="D40" s="194"/>
      <c r="E40" s="199" t="s">
        <v>383</v>
      </c>
      <c r="F40" s="200" t="s">
        <v>395</v>
      </c>
      <c r="G40" s="209">
        <f>SUM(H40:AA40)</f>
        <v>0</v>
      </c>
      <c r="H40" s="207">
        <f>(H31*H34)/1000</f>
        <v>0</v>
      </c>
      <c r="I40" s="207">
        <f t="shared" ref="I40:AA40" si="12">(I31*I34)/1000</f>
        <v>0</v>
      </c>
      <c r="J40" s="207">
        <f t="shared" si="12"/>
        <v>0</v>
      </c>
      <c r="K40" s="207">
        <f t="shared" si="12"/>
        <v>0</v>
      </c>
      <c r="L40" s="207">
        <f t="shared" si="12"/>
        <v>0</v>
      </c>
      <c r="M40" s="207">
        <f t="shared" si="12"/>
        <v>0</v>
      </c>
      <c r="N40" s="207">
        <f t="shared" si="12"/>
        <v>0</v>
      </c>
      <c r="O40" s="207">
        <f t="shared" si="12"/>
        <v>0</v>
      </c>
      <c r="P40" s="207">
        <f t="shared" si="12"/>
        <v>0</v>
      </c>
      <c r="Q40" s="207">
        <f t="shared" si="12"/>
        <v>0</v>
      </c>
      <c r="R40" s="207">
        <f t="shared" si="12"/>
        <v>0</v>
      </c>
      <c r="S40" s="207">
        <f t="shared" si="12"/>
        <v>0</v>
      </c>
      <c r="T40" s="207">
        <f t="shared" si="12"/>
        <v>0</v>
      </c>
      <c r="U40" s="207">
        <f t="shared" si="12"/>
        <v>0</v>
      </c>
      <c r="V40" s="207">
        <f t="shared" si="12"/>
        <v>0</v>
      </c>
      <c r="W40" s="207">
        <f t="shared" si="12"/>
        <v>0</v>
      </c>
      <c r="X40" s="207">
        <f t="shared" si="12"/>
        <v>0</v>
      </c>
      <c r="Y40" s="207">
        <f t="shared" si="12"/>
        <v>0</v>
      </c>
      <c r="Z40" s="207">
        <f t="shared" si="12"/>
        <v>0</v>
      </c>
      <c r="AA40" s="207">
        <f t="shared" si="12"/>
        <v>0</v>
      </c>
    </row>
    <row r="41" spans="2:57" ht="18" x14ac:dyDescent="0.2">
      <c r="B41" s="189">
        <f>B40+1</f>
        <v>20</v>
      </c>
      <c r="C41" s="194" t="s">
        <v>385</v>
      </c>
      <c r="D41" s="194"/>
      <c r="E41" s="195" t="s">
        <v>369</v>
      </c>
      <c r="F41" s="200" t="s">
        <v>396</v>
      </c>
      <c r="G41" s="210">
        <f>SUM(H41:AA41)</f>
        <v>0</v>
      </c>
      <c r="H41" s="211">
        <f>H31*H39</f>
        <v>0</v>
      </c>
      <c r="I41" s="211">
        <f t="shared" ref="I41:AA41" si="13">I31*I39</f>
        <v>0</v>
      </c>
      <c r="J41" s="211">
        <f t="shared" si="13"/>
        <v>0</v>
      </c>
      <c r="K41" s="211">
        <f t="shared" si="13"/>
        <v>0</v>
      </c>
      <c r="L41" s="211">
        <f t="shared" si="13"/>
        <v>0</v>
      </c>
      <c r="M41" s="211">
        <f t="shared" si="13"/>
        <v>0</v>
      </c>
      <c r="N41" s="211">
        <f t="shared" si="13"/>
        <v>0</v>
      </c>
      <c r="O41" s="211">
        <f t="shared" si="13"/>
        <v>0</v>
      </c>
      <c r="P41" s="211">
        <f t="shared" si="13"/>
        <v>0</v>
      </c>
      <c r="Q41" s="211">
        <f t="shared" si="13"/>
        <v>0</v>
      </c>
      <c r="R41" s="211">
        <f t="shared" si="13"/>
        <v>0</v>
      </c>
      <c r="S41" s="211">
        <f t="shared" si="13"/>
        <v>0</v>
      </c>
      <c r="T41" s="211">
        <f t="shared" si="13"/>
        <v>0</v>
      </c>
      <c r="U41" s="211">
        <f t="shared" si="13"/>
        <v>0</v>
      </c>
      <c r="V41" s="211">
        <f t="shared" si="13"/>
        <v>0</v>
      </c>
      <c r="W41" s="211">
        <f t="shared" si="13"/>
        <v>0</v>
      </c>
      <c r="X41" s="211">
        <f t="shared" si="13"/>
        <v>0</v>
      </c>
      <c r="Y41" s="211">
        <f t="shared" si="13"/>
        <v>0</v>
      </c>
      <c r="Z41" s="211">
        <f t="shared" si="13"/>
        <v>0</v>
      </c>
      <c r="AA41" s="211">
        <f t="shared" si="13"/>
        <v>0</v>
      </c>
    </row>
    <row r="43" spans="2:57" x14ac:dyDescent="0.2">
      <c r="B43" s="1199" t="s">
        <v>865</v>
      </c>
      <c r="C43" s="1199"/>
      <c r="D43" s="1199"/>
      <c r="E43" s="1199"/>
      <c r="F43" s="1199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2:57" s="423" customFormat="1" x14ac:dyDescent="0.2">
      <c r="B44" s="189"/>
      <c r="C44" s="214"/>
      <c r="D44" s="214"/>
      <c r="E44" s="214"/>
      <c r="F44" s="212"/>
      <c r="G44" s="192" t="s">
        <v>31</v>
      </c>
      <c r="H44" s="193" t="s">
        <v>423</v>
      </c>
      <c r="I44" s="193" t="s">
        <v>424</v>
      </c>
      <c r="J44" s="193" t="s">
        <v>425</v>
      </c>
      <c r="K44" s="193" t="s">
        <v>426</v>
      </c>
      <c r="L44" s="193" t="s">
        <v>427</v>
      </c>
      <c r="M44" s="193" t="s">
        <v>428</v>
      </c>
      <c r="N44" s="193" t="s">
        <v>429</v>
      </c>
      <c r="O44" s="193" t="s">
        <v>430</v>
      </c>
      <c r="P44" s="193" t="s">
        <v>431</v>
      </c>
      <c r="Q44" s="193" t="s">
        <v>432</v>
      </c>
      <c r="R44" s="193" t="s">
        <v>433</v>
      </c>
      <c r="S44" s="193" t="s">
        <v>434</v>
      </c>
      <c r="T44" s="193" t="s">
        <v>435</v>
      </c>
      <c r="U44" s="193" t="s">
        <v>436</v>
      </c>
      <c r="V44" s="193" t="s">
        <v>437</v>
      </c>
      <c r="W44" s="193" t="s">
        <v>438</v>
      </c>
      <c r="X44" s="193" t="s">
        <v>439</v>
      </c>
      <c r="Y44" s="193" t="s">
        <v>440</v>
      </c>
      <c r="Z44" s="193" t="s">
        <v>441</v>
      </c>
      <c r="AA44" s="193" t="s">
        <v>442</v>
      </c>
    </row>
    <row r="45" spans="2:57" ht="18" x14ac:dyDescent="0.2">
      <c r="B45" s="189">
        <f>B41+1</f>
        <v>21</v>
      </c>
      <c r="C45" s="215" t="s">
        <v>218</v>
      </c>
      <c r="D45" s="215"/>
      <c r="E45" s="216" t="s">
        <v>369</v>
      </c>
      <c r="F45" s="200" t="s">
        <v>397</v>
      </c>
      <c r="G45" s="210">
        <f>SUM(H45:AA45)</f>
        <v>0</v>
      </c>
      <c r="H45" s="207">
        <f>H21-H41</f>
        <v>0</v>
      </c>
      <c r="I45" s="207">
        <f t="shared" ref="I45:AA45" si="14">I21-I41</f>
        <v>0</v>
      </c>
      <c r="J45" s="207">
        <f t="shared" si="14"/>
        <v>0</v>
      </c>
      <c r="K45" s="207">
        <f t="shared" si="14"/>
        <v>0</v>
      </c>
      <c r="L45" s="207">
        <f t="shared" si="14"/>
        <v>0</v>
      </c>
      <c r="M45" s="207">
        <f t="shared" si="14"/>
        <v>0</v>
      </c>
      <c r="N45" s="207">
        <f t="shared" si="14"/>
        <v>0</v>
      </c>
      <c r="O45" s="207">
        <f t="shared" si="14"/>
        <v>0</v>
      </c>
      <c r="P45" s="207">
        <f t="shared" si="14"/>
        <v>0</v>
      </c>
      <c r="Q45" s="207">
        <f t="shared" si="14"/>
        <v>0</v>
      </c>
      <c r="R45" s="207">
        <f t="shared" si="14"/>
        <v>0</v>
      </c>
      <c r="S45" s="207">
        <f t="shared" si="14"/>
        <v>0</v>
      </c>
      <c r="T45" s="207">
        <f t="shared" si="14"/>
        <v>0</v>
      </c>
      <c r="U45" s="207">
        <f t="shared" si="14"/>
        <v>0</v>
      </c>
      <c r="V45" s="207">
        <f t="shared" si="14"/>
        <v>0</v>
      </c>
      <c r="W45" s="207">
        <f t="shared" si="14"/>
        <v>0</v>
      </c>
      <c r="X45" s="207">
        <f t="shared" si="14"/>
        <v>0</v>
      </c>
      <c r="Y45" s="207">
        <f t="shared" si="14"/>
        <v>0</v>
      </c>
      <c r="Z45" s="207">
        <f t="shared" si="14"/>
        <v>0</v>
      </c>
      <c r="AA45" s="207">
        <f t="shared" si="14"/>
        <v>0</v>
      </c>
    </row>
    <row r="46" spans="2:57" ht="18" x14ac:dyDescent="0.2">
      <c r="B46" s="189">
        <f>B45+1</f>
        <v>22</v>
      </c>
      <c r="C46" s="217" t="s">
        <v>398</v>
      </c>
      <c r="D46" s="218">
        <f>CED</f>
        <v>972.17356799999993</v>
      </c>
      <c r="E46" s="206" t="s">
        <v>3</v>
      </c>
      <c r="F46" s="200" t="s">
        <v>399</v>
      </c>
      <c r="G46" s="219">
        <f>IF(G21=0,0,G45/G21)</f>
        <v>0</v>
      </c>
      <c r="H46" s="220">
        <f>IFERROR(H45/H21,0)</f>
        <v>0</v>
      </c>
      <c r="I46" s="220">
        <f t="shared" ref="I46:AA46" si="15">IFERROR(I45/I21,0)</f>
        <v>0</v>
      </c>
      <c r="J46" s="220">
        <f t="shared" si="15"/>
        <v>0</v>
      </c>
      <c r="K46" s="220">
        <f t="shared" si="15"/>
        <v>0</v>
      </c>
      <c r="L46" s="220">
        <f t="shared" si="15"/>
        <v>0</v>
      </c>
      <c r="M46" s="220">
        <f t="shared" si="15"/>
        <v>0</v>
      </c>
      <c r="N46" s="220">
        <f t="shared" si="15"/>
        <v>0</v>
      </c>
      <c r="O46" s="220">
        <f t="shared" si="15"/>
        <v>0</v>
      </c>
      <c r="P46" s="220">
        <f t="shared" si="15"/>
        <v>0</v>
      </c>
      <c r="Q46" s="220">
        <f t="shared" si="15"/>
        <v>0</v>
      </c>
      <c r="R46" s="220">
        <f t="shared" si="15"/>
        <v>0</v>
      </c>
      <c r="S46" s="220">
        <f t="shared" si="15"/>
        <v>0</v>
      </c>
      <c r="T46" s="220">
        <f t="shared" si="15"/>
        <v>0</v>
      </c>
      <c r="U46" s="220">
        <f t="shared" si="15"/>
        <v>0</v>
      </c>
      <c r="V46" s="220">
        <f t="shared" si="15"/>
        <v>0</v>
      </c>
      <c r="W46" s="220">
        <f t="shared" si="15"/>
        <v>0</v>
      </c>
      <c r="X46" s="220">
        <f t="shared" si="15"/>
        <v>0</v>
      </c>
      <c r="Y46" s="220">
        <f t="shared" si="15"/>
        <v>0</v>
      </c>
      <c r="Z46" s="220">
        <f t="shared" si="15"/>
        <v>0</v>
      </c>
      <c r="AA46" s="220">
        <f t="shared" si="15"/>
        <v>0</v>
      </c>
    </row>
    <row r="47" spans="2:57" ht="18" x14ac:dyDescent="0.2">
      <c r="B47" s="189">
        <f>B46+1</f>
        <v>23</v>
      </c>
      <c r="C47" s="215" t="s">
        <v>217</v>
      </c>
      <c r="D47" s="215"/>
      <c r="E47" s="216" t="s">
        <v>383</v>
      </c>
      <c r="F47" s="200" t="s">
        <v>400</v>
      </c>
      <c r="G47" s="210">
        <f>SUM(H47:AA47)</f>
        <v>0</v>
      </c>
      <c r="H47" s="207">
        <f>H20-H40</f>
        <v>0</v>
      </c>
      <c r="I47" s="207">
        <f t="shared" ref="I47:AA47" si="16">I20-I40</f>
        <v>0</v>
      </c>
      <c r="J47" s="207">
        <f t="shared" si="16"/>
        <v>0</v>
      </c>
      <c r="K47" s="207">
        <f t="shared" si="16"/>
        <v>0</v>
      </c>
      <c r="L47" s="207">
        <f t="shared" si="16"/>
        <v>0</v>
      </c>
      <c r="M47" s="207">
        <f t="shared" si="16"/>
        <v>0</v>
      </c>
      <c r="N47" s="207">
        <f t="shared" si="16"/>
        <v>0</v>
      </c>
      <c r="O47" s="207">
        <f t="shared" si="16"/>
        <v>0</v>
      </c>
      <c r="P47" s="207">
        <f t="shared" si="16"/>
        <v>0</v>
      </c>
      <c r="Q47" s="207">
        <f t="shared" si="16"/>
        <v>0</v>
      </c>
      <c r="R47" s="207">
        <f t="shared" si="16"/>
        <v>0</v>
      </c>
      <c r="S47" s="207">
        <f t="shared" si="16"/>
        <v>0</v>
      </c>
      <c r="T47" s="207">
        <f t="shared" si="16"/>
        <v>0</v>
      </c>
      <c r="U47" s="207">
        <f t="shared" si="16"/>
        <v>0</v>
      </c>
      <c r="V47" s="207">
        <f t="shared" si="16"/>
        <v>0</v>
      </c>
      <c r="W47" s="207">
        <f t="shared" si="16"/>
        <v>0</v>
      </c>
      <c r="X47" s="207">
        <f t="shared" si="16"/>
        <v>0</v>
      </c>
      <c r="Y47" s="207">
        <f t="shared" si="16"/>
        <v>0</v>
      </c>
      <c r="Z47" s="207">
        <f t="shared" si="16"/>
        <v>0</v>
      </c>
      <c r="AA47" s="207">
        <f t="shared" si="16"/>
        <v>0</v>
      </c>
    </row>
    <row r="48" spans="2:57" ht="18" x14ac:dyDescent="0.2">
      <c r="B48" s="189">
        <f>B47+1</f>
        <v>24</v>
      </c>
      <c r="C48" s="217" t="s">
        <v>401</v>
      </c>
      <c r="D48" s="218">
        <f>CEE</f>
        <v>308.04024884085311</v>
      </c>
      <c r="E48" s="206" t="s">
        <v>3</v>
      </c>
      <c r="F48" s="200" t="s">
        <v>402</v>
      </c>
      <c r="G48" s="219">
        <f>IF(G20=0,0,G47/G20)</f>
        <v>0</v>
      </c>
      <c r="H48" s="220">
        <f>IFERROR(H47/H20,0)</f>
        <v>0</v>
      </c>
      <c r="I48" s="220">
        <f t="shared" ref="I48:AA48" si="17">IFERROR(I47/I20,0)</f>
        <v>0</v>
      </c>
      <c r="J48" s="220">
        <f t="shared" si="17"/>
        <v>0</v>
      </c>
      <c r="K48" s="220">
        <f t="shared" si="17"/>
        <v>0</v>
      </c>
      <c r="L48" s="220">
        <f t="shared" si="17"/>
        <v>0</v>
      </c>
      <c r="M48" s="220">
        <f t="shared" si="17"/>
        <v>0</v>
      </c>
      <c r="N48" s="220">
        <f t="shared" si="17"/>
        <v>0</v>
      </c>
      <c r="O48" s="220">
        <f t="shared" si="17"/>
        <v>0</v>
      </c>
      <c r="P48" s="220">
        <f t="shared" si="17"/>
        <v>0</v>
      </c>
      <c r="Q48" s="220">
        <f t="shared" si="17"/>
        <v>0</v>
      </c>
      <c r="R48" s="220">
        <f t="shared" si="17"/>
        <v>0</v>
      </c>
      <c r="S48" s="220">
        <f t="shared" si="17"/>
        <v>0</v>
      </c>
      <c r="T48" s="220">
        <f t="shared" si="17"/>
        <v>0</v>
      </c>
      <c r="U48" s="220">
        <f t="shared" si="17"/>
        <v>0</v>
      </c>
      <c r="V48" s="220">
        <f t="shared" si="17"/>
        <v>0</v>
      </c>
      <c r="W48" s="220">
        <f t="shared" si="17"/>
        <v>0</v>
      </c>
      <c r="X48" s="220">
        <f t="shared" si="17"/>
        <v>0</v>
      </c>
      <c r="Y48" s="220">
        <f t="shared" si="17"/>
        <v>0</v>
      </c>
      <c r="Z48" s="220">
        <f t="shared" si="17"/>
        <v>0</v>
      </c>
      <c r="AA48" s="220">
        <f t="shared" si="17"/>
        <v>0</v>
      </c>
    </row>
    <row r="49" spans="2:27" ht="18" x14ac:dyDescent="0.2">
      <c r="B49" s="221"/>
      <c r="C49" s="222" t="s">
        <v>730</v>
      </c>
      <c r="D49" s="222"/>
      <c r="E49" s="223" t="s">
        <v>2</v>
      </c>
      <c r="F49" s="224" t="s">
        <v>455</v>
      </c>
      <c r="G49" s="225">
        <f>SUM(H49:AA49)</f>
        <v>0</v>
      </c>
      <c r="H49" s="226">
        <f>H45*$D$46+H47*$D$48</f>
        <v>0</v>
      </c>
      <c r="I49" s="226">
        <f t="shared" ref="I49:AA49" si="18">I45*$D$46+I47*$D$48</f>
        <v>0</v>
      </c>
      <c r="J49" s="226">
        <f t="shared" si="18"/>
        <v>0</v>
      </c>
      <c r="K49" s="226">
        <f t="shared" si="18"/>
        <v>0</v>
      </c>
      <c r="L49" s="226">
        <f t="shared" si="18"/>
        <v>0</v>
      </c>
      <c r="M49" s="226">
        <f t="shared" si="18"/>
        <v>0</v>
      </c>
      <c r="N49" s="226">
        <f t="shared" si="18"/>
        <v>0</v>
      </c>
      <c r="O49" s="226">
        <f t="shared" si="18"/>
        <v>0</v>
      </c>
      <c r="P49" s="226">
        <f t="shared" si="18"/>
        <v>0</v>
      </c>
      <c r="Q49" s="226">
        <f t="shared" si="18"/>
        <v>0</v>
      </c>
      <c r="R49" s="226">
        <f t="shared" si="18"/>
        <v>0</v>
      </c>
      <c r="S49" s="226">
        <f t="shared" si="18"/>
        <v>0</v>
      </c>
      <c r="T49" s="226">
        <f t="shared" si="18"/>
        <v>0</v>
      </c>
      <c r="U49" s="226">
        <f t="shared" si="18"/>
        <v>0</v>
      </c>
      <c r="V49" s="226">
        <f t="shared" si="18"/>
        <v>0</v>
      </c>
      <c r="W49" s="226">
        <f t="shared" si="18"/>
        <v>0</v>
      </c>
      <c r="X49" s="226">
        <f t="shared" si="18"/>
        <v>0</v>
      </c>
      <c r="Y49" s="226">
        <f t="shared" si="18"/>
        <v>0</v>
      </c>
      <c r="Z49" s="226">
        <f t="shared" si="18"/>
        <v>0</v>
      </c>
      <c r="AA49" s="226">
        <f t="shared" si="18"/>
        <v>0</v>
      </c>
    </row>
    <row r="51" spans="2:27" ht="18" x14ac:dyDescent="0.35">
      <c r="E51" s="338" t="s">
        <v>809</v>
      </c>
      <c r="F51" s="183"/>
      <c r="G51" s="184">
        <f>RCB!G6</f>
        <v>0</v>
      </c>
    </row>
    <row r="52" spans="2:27" ht="18" x14ac:dyDescent="0.35">
      <c r="E52" s="338" t="s">
        <v>810</v>
      </c>
      <c r="F52" s="183"/>
      <c r="G52" s="184">
        <f>RCB!J6</f>
        <v>0</v>
      </c>
    </row>
    <row r="54" spans="2:27" x14ac:dyDescent="0.2">
      <c r="H54" s="427"/>
      <c r="I54" s="427"/>
    </row>
    <row r="55" spans="2:27" x14ac:dyDescent="0.2">
      <c r="B55" s="1198" t="s">
        <v>783</v>
      </c>
      <c r="C55" s="1198"/>
      <c r="D55" s="1198"/>
      <c r="E55" s="1198"/>
      <c r="F55" s="1198"/>
      <c r="G55" s="227"/>
      <c r="H55" s="228"/>
      <c r="I55" s="228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</row>
    <row r="56" spans="2:27" x14ac:dyDescent="0.2">
      <c r="B56" s="229"/>
      <c r="C56" s="230"/>
      <c r="D56" s="231"/>
      <c r="E56" s="232"/>
      <c r="F56" s="233"/>
      <c r="G56" s="234" t="s">
        <v>31</v>
      </c>
      <c r="H56" s="235" t="s">
        <v>423</v>
      </c>
      <c r="I56" s="235" t="s">
        <v>424</v>
      </c>
      <c r="J56" s="235" t="s">
        <v>425</v>
      </c>
      <c r="K56" s="235" t="s">
        <v>426</v>
      </c>
      <c r="L56" s="235" t="s">
        <v>427</v>
      </c>
      <c r="M56" s="235" t="s">
        <v>428</v>
      </c>
      <c r="N56" s="235" t="s">
        <v>429</v>
      </c>
      <c r="O56" s="235" t="s">
        <v>430</v>
      </c>
      <c r="P56" s="235" t="s">
        <v>431</v>
      </c>
      <c r="Q56" s="235" t="s">
        <v>432</v>
      </c>
      <c r="R56" s="235" t="s">
        <v>433</v>
      </c>
      <c r="S56" s="235" t="s">
        <v>434</v>
      </c>
      <c r="T56" s="235" t="s">
        <v>435</v>
      </c>
      <c r="U56" s="235" t="s">
        <v>436</v>
      </c>
      <c r="V56" s="235" t="s">
        <v>437</v>
      </c>
      <c r="W56" s="235" t="s">
        <v>438</v>
      </c>
      <c r="X56" s="235" t="s">
        <v>439</v>
      </c>
      <c r="Y56" s="235" t="s">
        <v>440</v>
      </c>
      <c r="Z56" s="235" t="s">
        <v>441</v>
      </c>
      <c r="AA56" s="235" t="s">
        <v>442</v>
      </c>
    </row>
    <row r="57" spans="2:27" x14ac:dyDescent="0.2">
      <c r="B57" s="229">
        <f>B48+1</f>
        <v>25</v>
      </c>
      <c r="C57" s="236" t="s">
        <v>371</v>
      </c>
      <c r="D57" s="236"/>
      <c r="E57" s="237" t="s">
        <v>372</v>
      </c>
      <c r="F57" s="238"/>
      <c r="G57" s="239"/>
      <c r="H57" s="240">
        <f>H32</f>
        <v>0</v>
      </c>
      <c r="I57" s="240">
        <f t="shared" ref="I57:AA57" si="19">I32</f>
        <v>0</v>
      </c>
      <c r="J57" s="240">
        <f t="shared" si="19"/>
        <v>0</v>
      </c>
      <c r="K57" s="240">
        <f t="shared" si="19"/>
        <v>0</v>
      </c>
      <c r="L57" s="240">
        <f t="shared" si="19"/>
        <v>0</v>
      </c>
      <c r="M57" s="240">
        <f t="shared" si="19"/>
        <v>0</v>
      </c>
      <c r="N57" s="240">
        <f t="shared" si="19"/>
        <v>0</v>
      </c>
      <c r="O57" s="240">
        <f t="shared" si="19"/>
        <v>0</v>
      </c>
      <c r="P57" s="240">
        <f t="shared" si="19"/>
        <v>0</v>
      </c>
      <c r="Q57" s="240">
        <f t="shared" si="19"/>
        <v>0</v>
      </c>
      <c r="R57" s="240">
        <f t="shared" si="19"/>
        <v>0</v>
      </c>
      <c r="S57" s="240">
        <f t="shared" si="19"/>
        <v>0</v>
      </c>
      <c r="T57" s="240">
        <f t="shared" si="19"/>
        <v>0</v>
      </c>
      <c r="U57" s="240">
        <f t="shared" si="19"/>
        <v>0</v>
      </c>
      <c r="V57" s="240">
        <f t="shared" si="19"/>
        <v>0</v>
      </c>
      <c r="W57" s="240">
        <f t="shared" si="19"/>
        <v>0</v>
      </c>
      <c r="X57" s="240">
        <f t="shared" si="19"/>
        <v>0</v>
      </c>
      <c r="Y57" s="240">
        <f t="shared" si="19"/>
        <v>0</v>
      </c>
      <c r="Z57" s="240">
        <f t="shared" si="19"/>
        <v>0</v>
      </c>
      <c r="AA57" s="240">
        <f t="shared" si="19"/>
        <v>0</v>
      </c>
    </row>
    <row r="58" spans="2:27" x14ac:dyDescent="0.2">
      <c r="B58" s="229">
        <f t="shared" ref="B58:B65" si="20">B57+1</f>
        <v>26</v>
      </c>
      <c r="C58" s="236" t="s">
        <v>408</v>
      </c>
      <c r="D58" s="236"/>
      <c r="E58" s="241">
        <v>22</v>
      </c>
      <c r="F58" s="242"/>
      <c r="G58" s="239"/>
      <c r="H58" s="292">
        <f>H36</f>
        <v>0</v>
      </c>
      <c r="I58" s="292">
        <f t="shared" ref="I58:AA58" si="21">I36</f>
        <v>0</v>
      </c>
      <c r="J58" s="292">
        <f t="shared" si="21"/>
        <v>0</v>
      </c>
      <c r="K58" s="292">
        <f t="shared" si="21"/>
        <v>0</v>
      </c>
      <c r="L58" s="292">
        <f t="shared" si="21"/>
        <v>0</v>
      </c>
      <c r="M58" s="292">
        <f t="shared" si="21"/>
        <v>0</v>
      </c>
      <c r="N58" s="292">
        <f t="shared" si="21"/>
        <v>0</v>
      </c>
      <c r="O58" s="292">
        <f t="shared" si="21"/>
        <v>0</v>
      </c>
      <c r="P58" s="292">
        <f t="shared" si="21"/>
        <v>0</v>
      </c>
      <c r="Q58" s="292">
        <f t="shared" si="21"/>
        <v>0</v>
      </c>
      <c r="R58" s="292">
        <f t="shared" si="21"/>
        <v>0</v>
      </c>
      <c r="S58" s="292">
        <f t="shared" si="21"/>
        <v>0</v>
      </c>
      <c r="T58" s="292">
        <f t="shared" si="21"/>
        <v>0</v>
      </c>
      <c r="U58" s="292">
        <f t="shared" si="21"/>
        <v>0</v>
      </c>
      <c r="V58" s="292">
        <f t="shared" si="21"/>
        <v>0</v>
      </c>
      <c r="W58" s="292">
        <f t="shared" si="21"/>
        <v>0</v>
      </c>
      <c r="X58" s="292">
        <f t="shared" si="21"/>
        <v>0</v>
      </c>
      <c r="Y58" s="292">
        <f t="shared" si="21"/>
        <v>0</v>
      </c>
      <c r="Z58" s="292">
        <f t="shared" si="21"/>
        <v>0</v>
      </c>
      <c r="AA58" s="292">
        <f t="shared" si="21"/>
        <v>0</v>
      </c>
    </row>
    <row r="59" spans="2:27" x14ac:dyDescent="0.2">
      <c r="B59" s="229">
        <f t="shared" si="20"/>
        <v>27</v>
      </c>
      <c r="C59" s="236" t="s">
        <v>409</v>
      </c>
      <c r="D59" s="236"/>
      <c r="E59" s="241">
        <v>3</v>
      </c>
      <c r="F59" s="242"/>
      <c r="G59" s="239"/>
      <c r="H59" s="292">
        <f>H37</f>
        <v>0</v>
      </c>
      <c r="I59" s="292">
        <f t="shared" ref="I59:AA59" si="22">I37</f>
        <v>0</v>
      </c>
      <c r="J59" s="292">
        <f t="shared" si="22"/>
        <v>0</v>
      </c>
      <c r="K59" s="292">
        <f t="shared" si="22"/>
        <v>0</v>
      </c>
      <c r="L59" s="292">
        <f t="shared" si="22"/>
        <v>0</v>
      </c>
      <c r="M59" s="292">
        <f t="shared" si="22"/>
        <v>0</v>
      </c>
      <c r="N59" s="292">
        <f t="shared" si="22"/>
        <v>0</v>
      </c>
      <c r="O59" s="292">
        <f t="shared" si="22"/>
        <v>0</v>
      </c>
      <c r="P59" s="292">
        <f t="shared" si="22"/>
        <v>0</v>
      </c>
      <c r="Q59" s="292">
        <f t="shared" si="22"/>
        <v>0</v>
      </c>
      <c r="R59" s="292">
        <f t="shared" si="22"/>
        <v>0</v>
      </c>
      <c r="S59" s="292">
        <f t="shared" si="22"/>
        <v>0</v>
      </c>
      <c r="T59" s="292">
        <f t="shared" si="22"/>
        <v>0</v>
      </c>
      <c r="U59" s="292">
        <f t="shared" si="22"/>
        <v>0</v>
      </c>
      <c r="V59" s="292">
        <f t="shared" si="22"/>
        <v>0</v>
      </c>
      <c r="W59" s="292">
        <f t="shared" si="22"/>
        <v>0</v>
      </c>
      <c r="X59" s="292">
        <f t="shared" si="22"/>
        <v>0</v>
      </c>
      <c r="Y59" s="292">
        <f t="shared" si="22"/>
        <v>0</v>
      </c>
      <c r="Z59" s="292">
        <f t="shared" si="22"/>
        <v>0</v>
      </c>
      <c r="AA59" s="292">
        <f t="shared" si="22"/>
        <v>0</v>
      </c>
    </row>
    <row r="60" spans="2:27" x14ac:dyDescent="0.2">
      <c r="B60" s="229">
        <f t="shared" si="20"/>
        <v>28</v>
      </c>
      <c r="C60" s="236" t="s">
        <v>410</v>
      </c>
      <c r="D60" s="236"/>
      <c r="E60" s="237" t="s">
        <v>3</v>
      </c>
      <c r="F60" s="238"/>
      <c r="G60" s="243"/>
      <c r="H60" s="244">
        <f>H58/30</f>
        <v>0</v>
      </c>
      <c r="I60" s="244">
        <f t="shared" ref="I60:AA60" si="23">I58/30</f>
        <v>0</v>
      </c>
      <c r="J60" s="244">
        <f t="shared" si="23"/>
        <v>0</v>
      </c>
      <c r="K60" s="244">
        <f t="shared" si="23"/>
        <v>0</v>
      </c>
      <c r="L60" s="244">
        <f t="shared" si="23"/>
        <v>0</v>
      </c>
      <c r="M60" s="244">
        <f t="shared" si="23"/>
        <v>0</v>
      </c>
      <c r="N60" s="244">
        <f t="shared" si="23"/>
        <v>0</v>
      </c>
      <c r="O60" s="244">
        <f t="shared" si="23"/>
        <v>0</v>
      </c>
      <c r="P60" s="244">
        <f t="shared" si="23"/>
        <v>0</v>
      </c>
      <c r="Q60" s="244">
        <f t="shared" si="23"/>
        <v>0</v>
      </c>
      <c r="R60" s="244">
        <f t="shared" si="23"/>
        <v>0</v>
      </c>
      <c r="S60" s="244">
        <f t="shared" si="23"/>
        <v>0</v>
      </c>
      <c r="T60" s="244">
        <f t="shared" si="23"/>
        <v>0</v>
      </c>
      <c r="U60" s="244">
        <f t="shared" si="23"/>
        <v>0</v>
      </c>
      <c r="V60" s="244">
        <f t="shared" si="23"/>
        <v>0</v>
      </c>
      <c r="W60" s="244">
        <f t="shared" si="23"/>
        <v>0</v>
      </c>
      <c r="X60" s="244">
        <f t="shared" si="23"/>
        <v>0</v>
      </c>
      <c r="Y60" s="244">
        <f t="shared" si="23"/>
        <v>0</v>
      </c>
      <c r="Z60" s="244">
        <f t="shared" si="23"/>
        <v>0</v>
      </c>
      <c r="AA60" s="244">
        <f t="shared" si="23"/>
        <v>0</v>
      </c>
    </row>
    <row r="61" spans="2:27" x14ac:dyDescent="0.2">
      <c r="B61" s="229">
        <f t="shared" si="20"/>
        <v>29</v>
      </c>
      <c r="C61" s="236" t="s">
        <v>411</v>
      </c>
      <c r="D61" s="236"/>
      <c r="E61" s="237" t="s">
        <v>3</v>
      </c>
      <c r="F61" s="238"/>
      <c r="G61" s="243"/>
      <c r="H61" s="244">
        <f>IFERROR(H59/H57,0)</f>
        <v>0</v>
      </c>
      <c r="I61" s="244">
        <f t="shared" ref="I61:AA61" si="24">IFERROR(I59/I57,0)</f>
        <v>0</v>
      </c>
      <c r="J61" s="244">
        <f t="shared" si="24"/>
        <v>0</v>
      </c>
      <c r="K61" s="244">
        <f t="shared" si="24"/>
        <v>0</v>
      </c>
      <c r="L61" s="244">
        <f t="shared" si="24"/>
        <v>0</v>
      </c>
      <c r="M61" s="244">
        <f t="shared" si="24"/>
        <v>0</v>
      </c>
      <c r="N61" s="244">
        <f t="shared" si="24"/>
        <v>0</v>
      </c>
      <c r="O61" s="244">
        <f t="shared" si="24"/>
        <v>0</v>
      </c>
      <c r="P61" s="244">
        <f t="shared" si="24"/>
        <v>0</v>
      </c>
      <c r="Q61" s="244">
        <f t="shared" si="24"/>
        <v>0</v>
      </c>
      <c r="R61" s="244">
        <f t="shared" si="24"/>
        <v>0</v>
      </c>
      <c r="S61" s="244">
        <f t="shared" si="24"/>
        <v>0</v>
      </c>
      <c r="T61" s="244">
        <f t="shared" si="24"/>
        <v>0</v>
      </c>
      <c r="U61" s="244">
        <f t="shared" si="24"/>
        <v>0</v>
      </c>
      <c r="V61" s="244">
        <f t="shared" si="24"/>
        <v>0</v>
      </c>
      <c r="W61" s="244">
        <f t="shared" si="24"/>
        <v>0</v>
      </c>
      <c r="X61" s="244">
        <f t="shared" si="24"/>
        <v>0</v>
      </c>
      <c r="Y61" s="244">
        <f t="shared" si="24"/>
        <v>0</v>
      </c>
      <c r="Z61" s="244">
        <f t="shared" si="24"/>
        <v>0</v>
      </c>
      <c r="AA61" s="244">
        <f t="shared" si="24"/>
        <v>0</v>
      </c>
    </row>
    <row r="62" spans="2:27" x14ac:dyDescent="0.2">
      <c r="B62" s="229">
        <f t="shared" si="20"/>
        <v>30</v>
      </c>
      <c r="C62" s="236" t="s">
        <v>412</v>
      </c>
      <c r="D62" s="236"/>
      <c r="E62" s="237" t="s">
        <v>3</v>
      </c>
      <c r="F62" s="238"/>
      <c r="G62" s="243"/>
      <c r="H62" s="244">
        <f>H60*H61</f>
        <v>0</v>
      </c>
      <c r="I62" s="244">
        <f t="shared" ref="I62:AA62" si="25">I60*I61</f>
        <v>0</v>
      </c>
      <c r="J62" s="244">
        <f t="shared" si="25"/>
        <v>0</v>
      </c>
      <c r="K62" s="244">
        <f t="shared" si="25"/>
        <v>0</v>
      </c>
      <c r="L62" s="244">
        <f t="shared" si="25"/>
        <v>0</v>
      </c>
      <c r="M62" s="244">
        <f t="shared" si="25"/>
        <v>0</v>
      </c>
      <c r="N62" s="244">
        <f t="shared" si="25"/>
        <v>0</v>
      </c>
      <c r="O62" s="244">
        <f t="shared" si="25"/>
        <v>0</v>
      </c>
      <c r="P62" s="244">
        <f t="shared" si="25"/>
        <v>0</v>
      </c>
      <c r="Q62" s="244">
        <f t="shared" si="25"/>
        <v>0</v>
      </c>
      <c r="R62" s="244">
        <f t="shared" si="25"/>
        <v>0</v>
      </c>
      <c r="S62" s="244">
        <f t="shared" si="25"/>
        <v>0</v>
      </c>
      <c r="T62" s="244">
        <f t="shared" si="25"/>
        <v>0</v>
      </c>
      <c r="U62" s="244">
        <f t="shared" si="25"/>
        <v>0</v>
      </c>
      <c r="V62" s="244">
        <f t="shared" si="25"/>
        <v>0</v>
      </c>
      <c r="W62" s="244">
        <f t="shared" si="25"/>
        <v>0</v>
      </c>
      <c r="X62" s="244">
        <f t="shared" si="25"/>
        <v>0</v>
      </c>
      <c r="Y62" s="244">
        <f t="shared" si="25"/>
        <v>0</v>
      </c>
      <c r="Z62" s="244">
        <f t="shared" si="25"/>
        <v>0</v>
      </c>
      <c r="AA62" s="244">
        <f t="shared" si="25"/>
        <v>0</v>
      </c>
    </row>
    <row r="63" spans="2:27" x14ac:dyDescent="0.2">
      <c r="B63" s="229">
        <f t="shared" si="20"/>
        <v>31</v>
      </c>
      <c r="C63" s="236" t="s">
        <v>413</v>
      </c>
      <c r="D63" s="236"/>
      <c r="E63" s="301" t="s">
        <v>718</v>
      </c>
      <c r="F63" s="238"/>
      <c r="G63" s="245">
        <f t="shared" ref="G63:G68" si="26">ROUND(SUM(H63:BE63),2)</f>
        <v>0</v>
      </c>
      <c r="H63" s="246">
        <f>H47/12</f>
        <v>0</v>
      </c>
      <c r="I63" s="246">
        <f t="shared" ref="I63:AA63" si="27">I47/12</f>
        <v>0</v>
      </c>
      <c r="J63" s="246">
        <f t="shared" si="27"/>
        <v>0</v>
      </c>
      <c r="K63" s="246">
        <f t="shared" si="27"/>
        <v>0</v>
      </c>
      <c r="L63" s="246">
        <f t="shared" si="27"/>
        <v>0</v>
      </c>
      <c r="M63" s="246">
        <f t="shared" si="27"/>
        <v>0</v>
      </c>
      <c r="N63" s="246">
        <f t="shared" si="27"/>
        <v>0</v>
      </c>
      <c r="O63" s="246">
        <f t="shared" si="27"/>
        <v>0</v>
      </c>
      <c r="P63" s="246">
        <f t="shared" si="27"/>
        <v>0</v>
      </c>
      <c r="Q63" s="246">
        <f t="shared" si="27"/>
        <v>0</v>
      </c>
      <c r="R63" s="246">
        <f t="shared" si="27"/>
        <v>0</v>
      </c>
      <c r="S63" s="246">
        <f t="shared" si="27"/>
        <v>0</v>
      </c>
      <c r="T63" s="246">
        <f t="shared" si="27"/>
        <v>0</v>
      </c>
      <c r="U63" s="246">
        <f t="shared" si="27"/>
        <v>0</v>
      </c>
      <c r="V63" s="246">
        <f t="shared" si="27"/>
        <v>0</v>
      </c>
      <c r="W63" s="246">
        <f t="shared" si="27"/>
        <v>0</v>
      </c>
      <c r="X63" s="246">
        <f t="shared" si="27"/>
        <v>0</v>
      </c>
      <c r="Y63" s="246">
        <f t="shared" si="27"/>
        <v>0</v>
      </c>
      <c r="Z63" s="246">
        <f t="shared" si="27"/>
        <v>0</v>
      </c>
      <c r="AA63" s="246">
        <f t="shared" si="27"/>
        <v>0</v>
      </c>
    </row>
    <row r="64" spans="2:27" x14ac:dyDescent="0.2">
      <c r="B64" s="229">
        <f t="shared" si="20"/>
        <v>32</v>
      </c>
      <c r="C64" s="236" t="s">
        <v>414</v>
      </c>
      <c r="D64" s="236"/>
      <c r="E64" s="301" t="s">
        <v>718</v>
      </c>
      <c r="F64" s="238"/>
      <c r="G64" s="245">
        <f t="shared" si="26"/>
        <v>0</v>
      </c>
      <c r="H64" s="246">
        <f>H63*H62</f>
        <v>0</v>
      </c>
      <c r="I64" s="246">
        <f t="shared" ref="I64:AA64" si="28">I63*I62</f>
        <v>0</v>
      </c>
      <c r="J64" s="246">
        <f t="shared" si="28"/>
        <v>0</v>
      </c>
      <c r="K64" s="246">
        <f t="shared" si="28"/>
        <v>0</v>
      </c>
      <c r="L64" s="246">
        <f t="shared" si="28"/>
        <v>0</v>
      </c>
      <c r="M64" s="246">
        <f t="shared" si="28"/>
        <v>0</v>
      </c>
      <c r="N64" s="246">
        <f t="shared" si="28"/>
        <v>0</v>
      </c>
      <c r="O64" s="246">
        <f t="shared" si="28"/>
        <v>0</v>
      </c>
      <c r="P64" s="246">
        <f t="shared" si="28"/>
        <v>0</v>
      </c>
      <c r="Q64" s="246">
        <f t="shared" si="28"/>
        <v>0</v>
      </c>
      <c r="R64" s="246">
        <f t="shared" si="28"/>
        <v>0</v>
      </c>
      <c r="S64" s="246">
        <f t="shared" si="28"/>
        <v>0</v>
      </c>
      <c r="T64" s="246">
        <f t="shared" si="28"/>
        <v>0</v>
      </c>
      <c r="U64" s="246">
        <f t="shared" si="28"/>
        <v>0</v>
      </c>
      <c r="V64" s="246">
        <f t="shared" si="28"/>
        <v>0</v>
      </c>
      <c r="W64" s="246">
        <f t="shared" si="28"/>
        <v>0</v>
      </c>
      <c r="X64" s="246">
        <f t="shared" si="28"/>
        <v>0</v>
      </c>
      <c r="Y64" s="246">
        <f t="shared" si="28"/>
        <v>0</v>
      </c>
      <c r="Z64" s="246">
        <f t="shared" si="28"/>
        <v>0</v>
      </c>
      <c r="AA64" s="246">
        <f t="shared" si="28"/>
        <v>0</v>
      </c>
    </row>
    <row r="65" spans="2:57" x14ac:dyDescent="0.2">
      <c r="B65" s="229">
        <f t="shared" si="20"/>
        <v>33</v>
      </c>
      <c r="C65" s="236" t="s">
        <v>415</v>
      </c>
      <c r="D65" s="236"/>
      <c r="E65" s="301" t="s">
        <v>718</v>
      </c>
      <c r="F65" s="238"/>
      <c r="G65" s="245">
        <f t="shared" si="26"/>
        <v>0</v>
      </c>
      <c r="H65" s="246">
        <f>H63-H64</f>
        <v>0</v>
      </c>
      <c r="I65" s="246">
        <f t="shared" ref="I65:AA65" si="29">I63-I64</f>
        <v>0</v>
      </c>
      <c r="J65" s="246">
        <f t="shared" si="29"/>
        <v>0</v>
      </c>
      <c r="K65" s="246">
        <f t="shared" si="29"/>
        <v>0</v>
      </c>
      <c r="L65" s="246">
        <f t="shared" si="29"/>
        <v>0</v>
      </c>
      <c r="M65" s="246">
        <f t="shared" si="29"/>
        <v>0</v>
      </c>
      <c r="N65" s="246">
        <f t="shared" si="29"/>
        <v>0</v>
      </c>
      <c r="O65" s="246">
        <f t="shared" si="29"/>
        <v>0</v>
      </c>
      <c r="P65" s="246">
        <f t="shared" si="29"/>
        <v>0</v>
      </c>
      <c r="Q65" s="246">
        <f t="shared" si="29"/>
        <v>0</v>
      </c>
      <c r="R65" s="246">
        <f t="shared" si="29"/>
        <v>0</v>
      </c>
      <c r="S65" s="246">
        <f t="shared" si="29"/>
        <v>0</v>
      </c>
      <c r="T65" s="246">
        <f t="shared" si="29"/>
        <v>0</v>
      </c>
      <c r="U65" s="246">
        <f t="shared" si="29"/>
        <v>0</v>
      </c>
      <c r="V65" s="246">
        <f t="shared" si="29"/>
        <v>0</v>
      </c>
      <c r="W65" s="246">
        <f t="shared" si="29"/>
        <v>0</v>
      </c>
      <c r="X65" s="246">
        <f t="shared" si="29"/>
        <v>0</v>
      </c>
      <c r="Y65" s="246">
        <f t="shared" si="29"/>
        <v>0</v>
      </c>
      <c r="Z65" s="246">
        <f t="shared" si="29"/>
        <v>0</v>
      </c>
      <c r="AA65" s="246">
        <f t="shared" si="29"/>
        <v>0</v>
      </c>
    </row>
    <row r="66" spans="2:57" x14ac:dyDescent="0.2">
      <c r="B66" s="229">
        <f>B65+1</f>
        <v>34</v>
      </c>
      <c r="C66" s="236" t="s">
        <v>711</v>
      </c>
      <c r="D66" s="236"/>
      <c r="E66" s="237" t="s">
        <v>712</v>
      </c>
      <c r="F66" s="238"/>
      <c r="G66" s="245">
        <f t="shared" si="26"/>
        <v>0</v>
      </c>
      <c r="H66" s="246">
        <f>H11-H31</f>
        <v>0</v>
      </c>
      <c r="I66" s="246">
        <f t="shared" ref="I66:AA66" si="30">I11-I31</f>
        <v>0</v>
      </c>
      <c r="J66" s="246">
        <f t="shared" si="30"/>
        <v>0</v>
      </c>
      <c r="K66" s="246">
        <f t="shared" si="30"/>
        <v>0</v>
      </c>
      <c r="L66" s="246">
        <f t="shared" si="30"/>
        <v>0</v>
      </c>
      <c r="M66" s="246">
        <f t="shared" si="30"/>
        <v>0</v>
      </c>
      <c r="N66" s="246">
        <f t="shared" si="30"/>
        <v>0</v>
      </c>
      <c r="O66" s="246">
        <f t="shared" si="30"/>
        <v>0</v>
      </c>
      <c r="P66" s="246">
        <f t="shared" si="30"/>
        <v>0</v>
      </c>
      <c r="Q66" s="246">
        <f t="shared" si="30"/>
        <v>0</v>
      </c>
      <c r="R66" s="246">
        <f t="shared" si="30"/>
        <v>0</v>
      </c>
      <c r="S66" s="246">
        <f t="shared" si="30"/>
        <v>0</v>
      </c>
      <c r="T66" s="246">
        <f t="shared" si="30"/>
        <v>0</v>
      </c>
      <c r="U66" s="246">
        <f t="shared" si="30"/>
        <v>0</v>
      </c>
      <c r="V66" s="246">
        <f t="shared" si="30"/>
        <v>0</v>
      </c>
      <c r="W66" s="246">
        <f t="shared" si="30"/>
        <v>0</v>
      </c>
      <c r="X66" s="246">
        <f t="shared" si="30"/>
        <v>0</v>
      </c>
      <c r="Y66" s="246">
        <f t="shared" si="30"/>
        <v>0</v>
      </c>
      <c r="Z66" s="246">
        <f t="shared" si="30"/>
        <v>0</v>
      </c>
      <c r="AA66" s="246">
        <f t="shared" si="30"/>
        <v>0</v>
      </c>
      <c r="AB66" s="433"/>
      <c r="AC66" s="434"/>
      <c r="AD66" s="434"/>
      <c r="AE66" s="434"/>
      <c r="AF66" s="434"/>
      <c r="AG66" s="434"/>
      <c r="AH66" s="434"/>
      <c r="AI66" s="434"/>
      <c r="AJ66" s="434"/>
      <c r="AK66" s="434"/>
      <c r="AL66" s="434"/>
      <c r="AM66" s="434"/>
      <c r="AN66" s="434"/>
      <c r="AO66" s="434"/>
      <c r="AP66" s="434"/>
      <c r="AQ66" s="434"/>
      <c r="AR66" s="434"/>
      <c r="AS66" s="434"/>
      <c r="AT66" s="434"/>
      <c r="AU66" s="434"/>
      <c r="AV66" s="434"/>
      <c r="AW66" s="434"/>
      <c r="AX66" s="434"/>
      <c r="AY66" s="434"/>
      <c r="AZ66" s="434"/>
      <c r="BA66" s="434"/>
      <c r="BB66" s="434"/>
      <c r="BC66" s="434"/>
      <c r="BD66" s="434"/>
      <c r="BE66" s="434"/>
    </row>
    <row r="67" spans="2:57" x14ac:dyDescent="0.2">
      <c r="B67" s="229">
        <f>B66+1</f>
        <v>35</v>
      </c>
      <c r="C67" s="236" t="s">
        <v>715</v>
      </c>
      <c r="D67" s="236"/>
      <c r="E67" s="237" t="s">
        <v>712</v>
      </c>
      <c r="F67" s="238"/>
      <c r="G67" s="245">
        <f t="shared" si="26"/>
        <v>0</v>
      </c>
      <c r="H67" s="246">
        <f>H45</f>
        <v>0</v>
      </c>
      <c r="I67" s="246">
        <f t="shared" ref="I67:AA67" si="31">I45</f>
        <v>0</v>
      </c>
      <c r="J67" s="246">
        <f t="shared" si="31"/>
        <v>0</v>
      </c>
      <c r="K67" s="246">
        <f t="shared" si="31"/>
        <v>0</v>
      </c>
      <c r="L67" s="246">
        <f t="shared" si="31"/>
        <v>0</v>
      </c>
      <c r="M67" s="246">
        <f t="shared" si="31"/>
        <v>0</v>
      </c>
      <c r="N67" s="246">
        <f t="shared" si="31"/>
        <v>0</v>
      </c>
      <c r="O67" s="246">
        <f t="shared" si="31"/>
        <v>0</v>
      </c>
      <c r="P67" s="246">
        <f t="shared" si="31"/>
        <v>0</v>
      </c>
      <c r="Q67" s="246">
        <f t="shared" si="31"/>
        <v>0</v>
      </c>
      <c r="R67" s="246">
        <f t="shared" si="31"/>
        <v>0</v>
      </c>
      <c r="S67" s="246">
        <f t="shared" si="31"/>
        <v>0</v>
      </c>
      <c r="T67" s="246">
        <f t="shared" si="31"/>
        <v>0</v>
      </c>
      <c r="U67" s="246">
        <f t="shared" si="31"/>
        <v>0</v>
      </c>
      <c r="V67" s="246">
        <f t="shared" si="31"/>
        <v>0</v>
      </c>
      <c r="W67" s="246">
        <f t="shared" si="31"/>
        <v>0</v>
      </c>
      <c r="X67" s="246">
        <f t="shared" si="31"/>
        <v>0</v>
      </c>
      <c r="Y67" s="246">
        <f t="shared" si="31"/>
        <v>0</v>
      </c>
      <c r="Z67" s="246">
        <f t="shared" si="31"/>
        <v>0</v>
      </c>
      <c r="AA67" s="246">
        <f t="shared" si="31"/>
        <v>0</v>
      </c>
      <c r="AB67" s="433"/>
      <c r="AC67" s="434"/>
      <c r="AD67" s="434"/>
      <c r="AE67" s="434"/>
      <c r="AF67" s="434"/>
      <c r="AG67" s="434"/>
      <c r="AH67" s="434"/>
      <c r="AI67" s="434"/>
      <c r="AJ67" s="434"/>
      <c r="AK67" s="434"/>
      <c r="AL67" s="434"/>
      <c r="AM67" s="434"/>
      <c r="AN67" s="434"/>
      <c r="AO67" s="434"/>
      <c r="AP67" s="434"/>
      <c r="AQ67" s="434"/>
      <c r="AR67" s="434"/>
      <c r="AS67" s="434"/>
      <c r="AT67" s="434"/>
      <c r="AU67" s="434"/>
      <c r="AV67" s="434"/>
      <c r="AW67" s="434"/>
      <c r="AX67" s="434"/>
      <c r="AY67" s="434"/>
      <c r="AZ67" s="434"/>
      <c r="BA67" s="434"/>
      <c r="BB67" s="434"/>
      <c r="BC67" s="434"/>
      <c r="BD67" s="434"/>
      <c r="BE67" s="434"/>
    </row>
    <row r="68" spans="2:57" x14ac:dyDescent="0.2">
      <c r="B68" s="229">
        <f>B67+1</f>
        <v>36</v>
      </c>
      <c r="C68" s="236" t="s">
        <v>716</v>
      </c>
      <c r="D68" s="236"/>
      <c r="E68" s="237" t="s">
        <v>712</v>
      </c>
      <c r="F68" s="238"/>
      <c r="G68" s="245">
        <f t="shared" si="26"/>
        <v>0</v>
      </c>
      <c r="H68" s="246">
        <f>H66</f>
        <v>0</v>
      </c>
      <c r="I68" s="246">
        <f t="shared" ref="I68:AA68" si="32">I66</f>
        <v>0</v>
      </c>
      <c r="J68" s="246">
        <f t="shared" si="32"/>
        <v>0</v>
      </c>
      <c r="K68" s="246">
        <f t="shared" si="32"/>
        <v>0</v>
      </c>
      <c r="L68" s="246">
        <f t="shared" si="32"/>
        <v>0</v>
      </c>
      <c r="M68" s="246">
        <f t="shared" si="32"/>
        <v>0</v>
      </c>
      <c r="N68" s="246">
        <f t="shared" si="32"/>
        <v>0</v>
      </c>
      <c r="O68" s="246">
        <f t="shared" si="32"/>
        <v>0</v>
      </c>
      <c r="P68" s="246">
        <f t="shared" si="32"/>
        <v>0</v>
      </c>
      <c r="Q68" s="246">
        <f t="shared" si="32"/>
        <v>0</v>
      </c>
      <c r="R68" s="246">
        <f t="shared" si="32"/>
        <v>0</v>
      </c>
      <c r="S68" s="246">
        <f t="shared" si="32"/>
        <v>0</v>
      </c>
      <c r="T68" s="246">
        <f t="shared" si="32"/>
        <v>0</v>
      </c>
      <c r="U68" s="246">
        <f t="shared" si="32"/>
        <v>0</v>
      </c>
      <c r="V68" s="246">
        <f t="shared" si="32"/>
        <v>0</v>
      </c>
      <c r="W68" s="246">
        <f t="shared" si="32"/>
        <v>0</v>
      </c>
      <c r="X68" s="246">
        <f t="shared" si="32"/>
        <v>0</v>
      </c>
      <c r="Y68" s="246">
        <f t="shared" si="32"/>
        <v>0</v>
      </c>
      <c r="Z68" s="246">
        <f t="shared" si="32"/>
        <v>0</v>
      </c>
      <c r="AA68" s="246">
        <f t="shared" si="32"/>
        <v>0</v>
      </c>
      <c r="AB68" s="433"/>
      <c r="AC68" s="434"/>
      <c r="AD68" s="434"/>
      <c r="AE68" s="434"/>
      <c r="AF68" s="434"/>
      <c r="AG68" s="434"/>
      <c r="AH68" s="434"/>
      <c r="AI68" s="434"/>
      <c r="AJ68" s="434"/>
      <c r="AK68" s="434"/>
      <c r="AL68" s="434"/>
      <c r="AM68" s="434"/>
      <c r="AN68" s="434"/>
      <c r="AO68" s="434"/>
      <c r="AP68" s="434"/>
      <c r="AQ68" s="434"/>
      <c r="AR68" s="434"/>
      <c r="AS68" s="434"/>
      <c r="AT68" s="434"/>
      <c r="AU68" s="434"/>
      <c r="AV68" s="434"/>
      <c r="AW68" s="434"/>
      <c r="AX68" s="434"/>
      <c r="AY68" s="434"/>
      <c r="AZ68" s="434"/>
      <c r="BA68" s="434"/>
      <c r="BB68" s="434"/>
      <c r="BC68" s="434"/>
      <c r="BD68" s="434"/>
      <c r="BE68" s="434"/>
    </row>
  </sheetData>
  <sheetProtection password="C9A4" sheet="1" objects="1" scenarios="1"/>
  <mergeCells count="12">
    <mergeCell ref="B30:B31"/>
    <mergeCell ref="B55:F55"/>
    <mergeCell ref="B15:B19"/>
    <mergeCell ref="B35:B39"/>
    <mergeCell ref="B32:B34"/>
    <mergeCell ref="B43:F43"/>
    <mergeCell ref="B2:G2"/>
    <mergeCell ref="B3:F3"/>
    <mergeCell ref="B10:B11"/>
    <mergeCell ref="B12:B14"/>
    <mergeCell ref="B23:F23"/>
    <mergeCell ref="B4:F4"/>
  </mergeCells>
  <conditionalFormatting sqref="H32:AA32 H57:AA57 H12:AA12">
    <cfRule type="cellIs" dxfId="109" priority="42" operator="greaterThan">
      <formula>24</formula>
    </cfRule>
    <cfRule type="cellIs" dxfId="108" priority="43" operator="lessThan">
      <formula>0</formula>
    </cfRule>
  </conditionalFormatting>
  <conditionalFormatting sqref="G51:G52 H58:AA59">
    <cfRule type="cellIs" dxfId="107" priority="39" operator="lessThan">
      <formula>0</formula>
    </cfRule>
  </conditionalFormatting>
  <conditionalFormatting sqref="G19 G39">
    <cfRule type="cellIs" dxfId="106" priority="38" operator="equal">
      <formula>"ERRO"</formula>
    </cfRule>
  </conditionalFormatting>
  <conditionalFormatting sqref="H58:AA58">
    <cfRule type="cellIs" dxfId="105" priority="30" operator="greaterThan">
      <formula>22</formula>
    </cfRule>
  </conditionalFormatting>
  <conditionalFormatting sqref="H59:AA59">
    <cfRule type="cellIs" dxfId="104" priority="29" operator="greaterThan">
      <formula>3</formula>
    </cfRule>
  </conditionalFormatting>
  <conditionalFormatting sqref="H58:AA59">
    <cfRule type="cellIs" dxfId="103" priority="14" operator="greaterThan">
      <formula>24</formula>
    </cfRule>
    <cfRule type="cellIs" dxfId="102" priority="15" operator="lessThan">
      <formula>0</formula>
    </cfRule>
  </conditionalFormatting>
  <conditionalFormatting sqref="H57:AA57">
    <cfRule type="cellIs" dxfId="101" priority="12" operator="greaterThan">
      <formula>24</formula>
    </cfRule>
    <cfRule type="cellIs" dxfId="100" priority="13" operator="lessThan">
      <formula>0</formula>
    </cfRule>
  </conditionalFormatting>
  <conditionalFormatting sqref="H58:AA59">
    <cfRule type="cellIs" dxfId="99" priority="11" operator="lessThan">
      <formula>0</formula>
    </cfRule>
  </conditionalFormatting>
  <conditionalFormatting sqref="H58:AA58">
    <cfRule type="cellIs" dxfId="98" priority="10" operator="greaterThan">
      <formula>22</formula>
    </cfRule>
  </conditionalFormatting>
  <conditionalFormatting sqref="H59:AA59">
    <cfRule type="cellIs" dxfId="97" priority="9" operator="greaterThan">
      <formula>3</formula>
    </cfRule>
  </conditionalFormatting>
  <conditionalFormatting sqref="H58:AA59">
    <cfRule type="cellIs" dxfId="96" priority="7" operator="greaterThan">
      <formula>24</formula>
    </cfRule>
    <cfRule type="cellIs" dxfId="95" priority="8" operator="lessThan">
      <formula>0</formula>
    </cfRule>
  </conditionalFormatting>
  <conditionalFormatting sqref="H19:AA19">
    <cfRule type="cellIs" dxfId="94" priority="5" operator="greaterThan">
      <formula>1</formula>
    </cfRule>
    <cfRule type="cellIs" dxfId="93" priority="6" operator="lessThan">
      <formula>0</formula>
    </cfRule>
  </conditionalFormatting>
  <conditionalFormatting sqref="H39:AA39">
    <cfRule type="cellIs" dxfId="92" priority="3" operator="greaterThan">
      <formula>1</formula>
    </cfRule>
    <cfRule type="cellIs" dxfId="91" priority="4" operator="lessThan">
      <formula>0</formula>
    </cfRule>
  </conditionalFormatting>
  <conditionalFormatting sqref="H39:AA39">
    <cfRule type="cellIs" dxfId="90" priority="1" operator="greaterThan">
      <formula>1</formula>
    </cfRule>
    <cfRule type="cellIs" dxfId="89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B2:Q161"/>
  <sheetViews>
    <sheetView showGridLines="0" topLeftCell="B1" zoomScale="90" zoomScaleNormal="90" workbookViewId="0">
      <pane ySplit="4" topLeftCell="A5" activePane="bottomLeft" state="frozen"/>
      <selection activeCell="H20" sqref="H20"/>
      <selection pane="bottomLeft" activeCell="L8" sqref="L8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0.140625" style="409" bestFit="1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1157" t="s">
        <v>960</v>
      </c>
      <c r="C2" s="1158"/>
      <c r="D2" s="1158"/>
      <c r="E2" s="1158"/>
      <c r="F2" s="1158"/>
      <c r="G2" s="1158"/>
      <c r="H2" s="1158"/>
      <c r="I2" s="1158"/>
      <c r="J2" s="1158"/>
      <c r="K2" s="572"/>
      <c r="L2" s="572"/>
      <c r="M2" s="573"/>
      <c r="N2" s="572"/>
      <c r="O2" s="572"/>
      <c r="P2" s="573"/>
    </row>
    <row r="3" spans="2:1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/>
      <c r="D8" s="1148"/>
      <c r="E8" s="1148"/>
      <c r="F8" s="1148"/>
      <c r="G8" s="1148"/>
      <c r="H8" s="726"/>
      <c r="I8" s="335"/>
      <c r="J8" s="546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175">
        <v>2</v>
      </c>
      <c r="C9" s="1147"/>
      <c r="D9" s="1148"/>
      <c r="E9" s="1148"/>
      <c r="F9" s="1148"/>
      <c r="G9" s="1148"/>
      <c r="H9" s="176"/>
      <c r="I9" s="336"/>
      <c r="J9" s="546">
        <f t="shared" ref="J9:J72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173">
        <v>3</v>
      </c>
      <c r="C10" s="1147"/>
      <c r="D10" s="1148"/>
      <c r="E10" s="1148"/>
      <c r="F10" s="1148"/>
      <c r="G10" s="1148"/>
      <c r="H10" s="176"/>
      <c r="I10" s="336"/>
      <c r="J10" s="546">
        <f t="shared" si="0"/>
        <v>0</v>
      </c>
      <c r="K10" s="343"/>
      <c r="L10" s="343"/>
      <c r="M10" s="343"/>
      <c r="N10" s="343"/>
      <c r="O10" s="343"/>
      <c r="P10" s="343"/>
    </row>
    <row r="11" spans="2:16" ht="15" customHeight="1" outlineLevel="1" x14ac:dyDescent="0.25">
      <c r="B11" s="175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173">
        <v>5</v>
      </c>
      <c r="C12" s="1147"/>
      <c r="D12" s="1148"/>
      <c r="E12" s="1148"/>
      <c r="F12" s="1148"/>
      <c r="G12" s="1148"/>
      <c r="H12" s="176" t="s">
        <v>267</v>
      </c>
      <c r="I12" s="336"/>
      <c r="J12" s="546">
        <f t="shared" si="0"/>
        <v>0</v>
      </c>
      <c r="K12" s="343" t="s">
        <v>267</v>
      </c>
      <c r="L12" s="343"/>
      <c r="M12" s="343"/>
      <c r="N12" s="343"/>
      <c r="O12" s="343"/>
      <c r="P12" s="343"/>
    </row>
    <row r="13" spans="2:16" ht="15" customHeight="1" outlineLevel="1" x14ac:dyDescent="0.25">
      <c r="B13" s="175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/>
      <c r="M13" s="343"/>
      <c r="N13" s="343"/>
      <c r="O13" s="343"/>
      <c r="P13" s="343"/>
    </row>
    <row r="14" spans="2:16" ht="15" customHeight="1" outlineLevel="1" x14ac:dyDescent="0.25">
      <c r="B14" s="173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/>
      <c r="L14" s="343"/>
      <c r="M14" s="343"/>
      <c r="N14" s="343"/>
      <c r="O14" s="343"/>
      <c r="P14" s="343"/>
    </row>
    <row r="15" spans="2:16" ht="15" customHeight="1" outlineLevel="1" x14ac:dyDescent="0.25">
      <c r="B15" s="175">
        <v>8</v>
      </c>
      <c r="C15" s="1147"/>
      <c r="D15" s="1148"/>
      <c r="E15" s="1148"/>
      <c r="F15" s="1148"/>
      <c r="G15" s="1148"/>
      <c r="H15" s="176"/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173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175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173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175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ht="15" customHeight="1" outlineLevel="1" x14ac:dyDescent="0.25">
      <c r="B48" s="173">
        <v>41</v>
      </c>
      <c r="C48" s="1147"/>
      <c r="D48" s="1148"/>
      <c r="E48" s="1148"/>
      <c r="F48" s="1148"/>
      <c r="G48" s="1148"/>
      <c r="H48" s="176"/>
      <c r="I48" s="33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6" ht="15" customHeight="1" outlineLevel="1" x14ac:dyDescent="0.25">
      <c r="B49" s="175">
        <v>42</v>
      </c>
      <c r="C49" s="1147"/>
      <c r="D49" s="1148"/>
      <c r="E49" s="1148"/>
      <c r="F49" s="1148"/>
      <c r="G49" s="1148"/>
      <c r="H49" s="176"/>
      <c r="I49" s="336"/>
      <c r="J49" s="546">
        <f t="shared" si="0"/>
        <v>0</v>
      </c>
      <c r="K49" s="343"/>
      <c r="L49" s="343"/>
      <c r="M49" s="343"/>
      <c r="N49" s="343"/>
      <c r="O49" s="343"/>
      <c r="P49" s="343"/>
    </row>
    <row r="50" spans="2:16" ht="15" customHeight="1" outlineLevel="1" x14ac:dyDescent="0.25">
      <c r="B50" s="173">
        <v>43</v>
      </c>
      <c r="C50" s="1147"/>
      <c r="D50" s="1148"/>
      <c r="E50" s="1148"/>
      <c r="F50" s="1148"/>
      <c r="G50" s="1148"/>
      <c r="H50" s="176"/>
      <c r="I50" s="336"/>
      <c r="J50" s="546">
        <f t="shared" si="0"/>
        <v>0</v>
      </c>
      <c r="K50" s="343"/>
      <c r="L50" s="343"/>
      <c r="M50" s="343"/>
      <c r="N50" s="343"/>
      <c r="O50" s="343"/>
      <c r="P50" s="343"/>
    </row>
    <row r="51" spans="2:16" ht="15" customHeight="1" outlineLevel="1" x14ac:dyDescent="0.25">
      <c r="B51" s="175">
        <v>44</v>
      </c>
      <c r="C51" s="1147"/>
      <c r="D51" s="1148"/>
      <c r="E51" s="1148"/>
      <c r="F51" s="1148"/>
      <c r="G51" s="1148"/>
      <c r="H51" s="176"/>
      <c r="I51" s="336"/>
      <c r="J51" s="546">
        <f t="shared" si="0"/>
        <v>0</v>
      </c>
      <c r="K51" s="343"/>
      <c r="L51" s="343"/>
      <c r="M51" s="343"/>
      <c r="N51" s="343"/>
      <c r="O51" s="343"/>
      <c r="P51" s="343"/>
    </row>
    <row r="52" spans="2:16" ht="15" customHeight="1" outlineLevel="1" x14ac:dyDescent="0.25">
      <c r="B52" s="173">
        <v>45</v>
      </c>
      <c r="C52" s="1147"/>
      <c r="D52" s="1148"/>
      <c r="E52" s="1148"/>
      <c r="F52" s="1148"/>
      <c r="G52" s="1148"/>
      <c r="H52" s="176"/>
      <c r="I52" s="336"/>
      <c r="J52" s="546">
        <f t="shared" si="0"/>
        <v>0</v>
      </c>
      <c r="K52" s="343"/>
      <c r="L52" s="343"/>
      <c r="M52" s="343"/>
      <c r="N52" s="343"/>
      <c r="O52" s="343"/>
      <c r="P52" s="343"/>
    </row>
    <row r="53" spans="2:16" ht="15" customHeight="1" outlineLevel="1" x14ac:dyDescent="0.25">
      <c r="B53" s="175">
        <v>46</v>
      </c>
      <c r="C53" s="1147"/>
      <c r="D53" s="1148"/>
      <c r="E53" s="1148"/>
      <c r="F53" s="1148"/>
      <c r="G53" s="1148"/>
      <c r="H53" s="176"/>
      <c r="I53" s="336"/>
      <c r="J53" s="546">
        <f t="shared" si="0"/>
        <v>0</v>
      </c>
      <c r="K53" s="343"/>
      <c r="L53" s="343"/>
      <c r="M53" s="343"/>
      <c r="N53" s="343"/>
      <c r="O53" s="343"/>
      <c r="P53" s="343"/>
    </row>
    <row r="54" spans="2:16" ht="15" customHeight="1" outlineLevel="1" x14ac:dyDescent="0.25">
      <c r="B54" s="173">
        <v>47</v>
      </c>
      <c r="C54" s="1147"/>
      <c r="D54" s="1148"/>
      <c r="E54" s="1148"/>
      <c r="F54" s="1148"/>
      <c r="G54" s="1148"/>
      <c r="H54" s="176"/>
      <c r="I54" s="336"/>
      <c r="J54" s="546">
        <f t="shared" si="0"/>
        <v>0</v>
      </c>
      <c r="K54" s="343"/>
      <c r="L54" s="343"/>
      <c r="M54" s="343"/>
      <c r="N54" s="343"/>
      <c r="O54" s="343"/>
      <c r="P54" s="343"/>
    </row>
    <row r="55" spans="2:16" ht="15" customHeight="1" outlineLevel="1" x14ac:dyDescent="0.25">
      <c r="B55" s="175">
        <v>48</v>
      </c>
      <c r="C55" s="1147"/>
      <c r="D55" s="1148"/>
      <c r="E55" s="1148"/>
      <c r="F55" s="1148"/>
      <c r="G55" s="1148"/>
      <c r="H55" s="176"/>
      <c r="I55" s="336"/>
      <c r="J55" s="546">
        <f t="shared" si="0"/>
        <v>0</v>
      </c>
      <c r="K55" s="343"/>
      <c r="L55" s="343"/>
      <c r="M55" s="343"/>
      <c r="N55" s="343"/>
      <c r="O55" s="343"/>
      <c r="P55" s="343"/>
    </row>
    <row r="56" spans="2:16" ht="15" customHeight="1" outlineLevel="1" x14ac:dyDescent="0.25">
      <c r="B56" s="173">
        <v>49</v>
      </c>
      <c r="C56" s="1147"/>
      <c r="D56" s="1148"/>
      <c r="E56" s="1148"/>
      <c r="F56" s="1148"/>
      <c r="G56" s="1148"/>
      <c r="H56" s="176"/>
      <c r="I56" s="336"/>
      <c r="J56" s="546">
        <f t="shared" si="0"/>
        <v>0</v>
      </c>
      <c r="K56" s="343"/>
      <c r="L56" s="343"/>
      <c r="M56" s="343"/>
      <c r="N56" s="343"/>
      <c r="O56" s="343"/>
      <c r="P56" s="343"/>
    </row>
    <row r="57" spans="2:16" ht="15" customHeight="1" outlineLevel="1" x14ac:dyDescent="0.25">
      <c r="B57" s="175">
        <v>50</v>
      </c>
      <c r="C57" s="1147"/>
      <c r="D57" s="1148"/>
      <c r="E57" s="1148"/>
      <c r="F57" s="1148"/>
      <c r="G57" s="1148"/>
      <c r="H57" s="342"/>
      <c r="I57" s="336"/>
      <c r="J57" s="546">
        <f t="shared" si="0"/>
        <v>0</v>
      </c>
      <c r="K57" s="343"/>
      <c r="L57" s="343"/>
      <c r="M57" s="343"/>
      <c r="N57" s="343"/>
      <c r="O57" s="343"/>
      <c r="P57" s="343"/>
    </row>
    <row r="58" spans="2:16" ht="15" customHeight="1" outlineLevel="1" x14ac:dyDescent="0.25">
      <c r="B58" s="173">
        <v>51</v>
      </c>
      <c r="C58" s="1147"/>
      <c r="D58" s="1148"/>
      <c r="E58" s="1148"/>
      <c r="F58" s="1148"/>
      <c r="G58" s="1148"/>
      <c r="H58" s="176"/>
      <c r="I58" s="336"/>
      <c r="J58" s="546">
        <f t="shared" si="0"/>
        <v>0</v>
      </c>
      <c r="K58" s="343"/>
      <c r="L58" s="343"/>
      <c r="M58" s="343"/>
      <c r="N58" s="343"/>
      <c r="O58" s="343"/>
      <c r="P58" s="343"/>
    </row>
    <row r="59" spans="2:16" ht="15" customHeight="1" outlineLevel="1" x14ac:dyDescent="0.25">
      <c r="B59" s="175">
        <v>52</v>
      </c>
      <c r="C59" s="1147"/>
      <c r="D59" s="1148"/>
      <c r="E59" s="1148"/>
      <c r="F59" s="1148"/>
      <c r="G59" s="1148"/>
      <c r="H59" s="176"/>
      <c r="I59" s="336"/>
      <c r="J59" s="546">
        <f t="shared" si="0"/>
        <v>0</v>
      </c>
      <c r="K59" s="343"/>
      <c r="L59" s="343"/>
      <c r="M59" s="343"/>
      <c r="N59" s="343"/>
      <c r="O59" s="343"/>
      <c r="P59" s="343"/>
    </row>
    <row r="60" spans="2:16" ht="15" customHeight="1" outlineLevel="1" x14ac:dyDescent="0.25">
      <c r="B60" s="173">
        <v>53</v>
      </c>
      <c r="C60" s="1147"/>
      <c r="D60" s="1148"/>
      <c r="E60" s="1148"/>
      <c r="F60" s="1148"/>
      <c r="G60" s="1148"/>
      <c r="H60" s="342"/>
      <c r="I60" s="336"/>
      <c r="J60" s="546">
        <f t="shared" si="0"/>
        <v>0</v>
      </c>
      <c r="K60" s="343"/>
      <c r="L60" s="343"/>
      <c r="M60" s="343"/>
      <c r="N60" s="343"/>
      <c r="O60" s="343"/>
      <c r="P60" s="343"/>
    </row>
    <row r="61" spans="2:16" ht="15" customHeight="1" outlineLevel="1" x14ac:dyDescent="0.25">
      <c r="B61" s="175">
        <v>54</v>
      </c>
      <c r="C61" s="1147"/>
      <c r="D61" s="1148"/>
      <c r="E61" s="1148"/>
      <c r="F61" s="1148"/>
      <c r="G61" s="1148"/>
      <c r="H61" s="176"/>
      <c r="I61" s="336"/>
      <c r="J61" s="546">
        <f t="shared" si="0"/>
        <v>0</v>
      </c>
      <c r="K61" s="343"/>
      <c r="L61" s="343"/>
      <c r="M61" s="343"/>
      <c r="N61" s="343"/>
      <c r="O61" s="343"/>
      <c r="P61" s="343"/>
    </row>
    <row r="62" spans="2:16" ht="15" customHeight="1" outlineLevel="1" x14ac:dyDescent="0.25">
      <c r="B62" s="173">
        <v>55</v>
      </c>
      <c r="C62" s="1147"/>
      <c r="D62" s="1148"/>
      <c r="E62" s="1148"/>
      <c r="F62" s="1148"/>
      <c r="G62" s="1148"/>
      <c r="H62" s="176"/>
      <c r="I62" s="336"/>
      <c r="J62" s="546">
        <f t="shared" si="0"/>
        <v>0</v>
      </c>
      <c r="K62" s="343"/>
      <c r="L62" s="343"/>
      <c r="M62" s="343"/>
      <c r="N62" s="343"/>
      <c r="O62" s="343"/>
      <c r="P62" s="343"/>
    </row>
    <row r="63" spans="2:16" ht="15" customHeight="1" outlineLevel="1" x14ac:dyDescent="0.25">
      <c r="B63" s="175">
        <v>56</v>
      </c>
      <c r="C63" s="1147"/>
      <c r="D63" s="1148"/>
      <c r="E63" s="1148"/>
      <c r="F63" s="1148"/>
      <c r="G63" s="1148"/>
      <c r="H63" s="176"/>
      <c r="I63" s="336"/>
      <c r="J63" s="546">
        <f t="shared" si="0"/>
        <v>0</v>
      </c>
      <c r="K63" s="343"/>
      <c r="L63" s="343"/>
      <c r="M63" s="343"/>
      <c r="N63" s="343"/>
      <c r="O63" s="343"/>
      <c r="P63" s="343"/>
    </row>
    <row r="64" spans="2:16" ht="15" customHeight="1" outlineLevel="1" x14ac:dyDescent="0.25">
      <c r="B64" s="173">
        <v>57</v>
      </c>
      <c r="C64" s="1147"/>
      <c r="D64" s="1148"/>
      <c r="E64" s="1148"/>
      <c r="F64" s="1148"/>
      <c r="G64" s="1148"/>
      <c r="H64" s="176"/>
      <c r="I64" s="336"/>
      <c r="J64" s="546">
        <f t="shared" si="0"/>
        <v>0</v>
      </c>
      <c r="K64" s="343"/>
      <c r="L64" s="343"/>
      <c r="M64" s="343"/>
      <c r="N64" s="343"/>
      <c r="O64" s="343"/>
      <c r="P64" s="343"/>
    </row>
    <row r="65" spans="2:16" ht="15" customHeight="1" outlineLevel="1" x14ac:dyDescent="0.25">
      <c r="B65" s="175">
        <v>58</v>
      </c>
      <c r="C65" s="1147"/>
      <c r="D65" s="1148"/>
      <c r="E65" s="1148"/>
      <c r="F65" s="1148"/>
      <c r="G65" s="1148"/>
      <c r="H65" s="176"/>
      <c r="I65" s="336"/>
      <c r="J65" s="546">
        <f t="shared" si="0"/>
        <v>0</v>
      </c>
      <c r="K65" s="343"/>
      <c r="L65" s="343"/>
      <c r="M65" s="343"/>
      <c r="N65" s="343"/>
      <c r="O65" s="343"/>
      <c r="P65" s="343"/>
    </row>
    <row r="66" spans="2:16" ht="15" customHeight="1" outlineLevel="1" x14ac:dyDescent="0.25">
      <c r="B66" s="173">
        <v>59</v>
      </c>
      <c r="C66" s="1147"/>
      <c r="D66" s="1148"/>
      <c r="E66" s="1148"/>
      <c r="F66" s="1148"/>
      <c r="G66" s="1148"/>
      <c r="H66" s="176"/>
      <c r="I66" s="336"/>
      <c r="J66" s="546">
        <f t="shared" si="0"/>
        <v>0</v>
      </c>
      <c r="K66" s="343"/>
      <c r="L66" s="343"/>
      <c r="M66" s="343"/>
      <c r="N66" s="343"/>
      <c r="O66" s="343"/>
      <c r="P66" s="343"/>
    </row>
    <row r="67" spans="2:16" ht="15" customHeight="1" outlineLevel="1" x14ac:dyDescent="0.25">
      <c r="B67" s="175">
        <v>60</v>
      </c>
      <c r="C67" s="1147"/>
      <c r="D67" s="1148"/>
      <c r="E67" s="1148"/>
      <c r="F67" s="1148"/>
      <c r="G67" s="1148"/>
      <c r="H67" s="176"/>
      <c r="I67" s="336"/>
      <c r="J67" s="546">
        <f t="shared" si="0"/>
        <v>0</v>
      </c>
      <c r="K67" s="343"/>
      <c r="L67" s="343"/>
      <c r="M67" s="343"/>
      <c r="N67" s="343"/>
      <c r="O67" s="343"/>
      <c r="P67" s="343"/>
    </row>
    <row r="68" spans="2:16" ht="15" customHeight="1" outlineLevel="1" x14ac:dyDescent="0.25">
      <c r="B68" s="173">
        <v>61</v>
      </c>
      <c r="C68" s="1147"/>
      <c r="D68" s="1148"/>
      <c r="E68" s="1148"/>
      <c r="F68" s="1148"/>
      <c r="G68" s="1148"/>
      <c r="H68" s="176"/>
      <c r="I68" s="336"/>
      <c r="J68" s="546">
        <f t="shared" si="0"/>
        <v>0</v>
      </c>
      <c r="K68" s="343"/>
      <c r="L68" s="343"/>
      <c r="M68" s="343"/>
      <c r="N68" s="343"/>
      <c r="O68" s="343"/>
      <c r="P68" s="343"/>
    </row>
    <row r="69" spans="2:16" ht="15" customHeight="1" outlineLevel="1" x14ac:dyDescent="0.25">
      <c r="B69" s="175">
        <v>62</v>
      </c>
      <c r="C69" s="1147"/>
      <c r="D69" s="1148"/>
      <c r="E69" s="1148"/>
      <c r="F69" s="1148"/>
      <c r="G69" s="1148"/>
      <c r="H69" s="176"/>
      <c r="I69" s="336"/>
      <c r="J69" s="546">
        <f t="shared" si="0"/>
        <v>0</v>
      </c>
      <c r="K69" s="343"/>
      <c r="L69" s="343"/>
      <c r="M69" s="343"/>
      <c r="N69" s="343"/>
      <c r="O69" s="343"/>
      <c r="P69" s="343"/>
    </row>
    <row r="70" spans="2:16" ht="15" customHeight="1" outlineLevel="1" x14ac:dyDescent="0.25">
      <c r="B70" s="173">
        <v>63</v>
      </c>
      <c r="C70" s="1147"/>
      <c r="D70" s="1148"/>
      <c r="E70" s="1148"/>
      <c r="F70" s="1148"/>
      <c r="G70" s="1148"/>
      <c r="H70" s="176"/>
      <c r="I70" s="336"/>
      <c r="J70" s="546">
        <f t="shared" si="0"/>
        <v>0</v>
      </c>
      <c r="K70" s="343"/>
      <c r="L70" s="343"/>
      <c r="M70" s="343"/>
      <c r="N70" s="343"/>
      <c r="O70" s="343"/>
      <c r="P70" s="343"/>
    </row>
    <row r="71" spans="2:16" ht="15" customHeight="1" outlineLevel="1" x14ac:dyDescent="0.25">
      <c r="B71" s="175">
        <v>64</v>
      </c>
      <c r="C71" s="1147"/>
      <c r="D71" s="1148"/>
      <c r="E71" s="1148"/>
      <c r="F71" s="1148"/>
      <c r="G71" s="1148"/>
      <c r="H71" s="176"/>
      <c r="I71" s="336"/>
      <c r="J71" s="546">
        <f t="shared" si="0"/>
        <v>0</v>
      </c>
      <c r="K71" s="343"/>
      <c r="L71" s="343"/>
      <c r="M71" s="343"/>
      <c r="N71" s="343"/>
      <c r="O71" s="343"/>
      <c r="P71" s="343"/>
    </row>
    <row r="72" spans="2:16" ht="15" customHeight="1" outlineLevel="1" x14ac:dyDescent="0.25">
      <c r="B72" s="173">
        <v>65</v>
      </c>
      <c r="C72" s="1147"/>
      <c r="D72" s="1148"/>
      <c r="E72" s="1148"/>
      <c r="F72" s="1148"/>
      <c r="G72" s="1148"/>
      <c r="H72" s="176"/>
      <c r="I72" s="336"/>
      <c r="J72" s="546">
        <f t="shared" si="0"/>
        <v>0</v>
      </c>
      <c r="K72" s="343"/>
      <c r="L72" s="343"/>
      <c r="M72" s="343"/>
      <c r="N72" s="343"/>
      <c r="O72" s="343"/>
      <c r="P72" s="343"/>
    </row>
    <row r="73" spans="2:16" ht="15" customHeight="1" outlineLevel="1" x14ac:dyDescent="0.25">
      <c r="B73" s="175">
        <v>66</v>
      </c>
      <c r="C73" s="1147"/>
      <c r="D73" s="1148"/>
      <c r="E73" s="1148"/>
      <c r="F73" s="1148"/>
      <c r="G73" s="1148"/>
      <c r="H73" s="176"/>
      <c r="I73" s="336"/>
      <c r="J73" s="546">
        <f t="shared" ref="J73:J108" si="1">IFERROR(SMALL(K73:P73,1),0)</f>
        <v>0</v>
      </c>
      <c r="K73" s="343"/>
      <c r="L73" s="343"/>
      <c r="M73" s="343"/>
      <c r="N73" s="343"/>
      <c r="O73" s="343"/>
      <c r="P73" s="343"/>
    </row>
    <row r="74" spans="2:16" ht="15" customHeight="1" outlineLevel="1" x14ac:dyDescent="0.25">
      <c r="B74" s="173">
        <v>67</v>
      </c>
      <c r="C74" s="1147"/>
      <c r="D74" s="1148"/>
      <c r="E74" s="1148"/>
      <c r="F74" s="1148"/>
      <c r="G74" s="1148"/>
      <c r="H74" s="176"/>
      <c r="I74" s="336"/>
      <c r="J74" s="546">
        <f t="shared" si="1"/>
        <v>0</v>
      </c>
      <c r="K74" s="343"/>
      <c r="L74" s="343"/>
      <c r="M74" s="343"/>
      <c r="N74" s="343"/>
      <c r="O74" s="343"/>
      <c r="P74" s="343"/>
    </row>
    <row r="75" spans="2:16" ht="15" customHeight="1" outlineLevel="1" x14ac:dyDescent="0.25">
      <c r="B75" s="175">
        <v>68</v>
      </c>
      <c r="C75" s="1147"/>
      <c r="D75" s="1148"/>
      <c r="E75" s="1148"/>
      <c r="F75" s="1148"/>
      <c r="G75" s="1148"/>
      <c r="H75" s="176"/>
      <c r="I75" s="336"/>
      <c r="J75" s="546">
        <f t="shared" si="1"/>
        <v>0</v>
      </c>
      <c r="K75" s="343"/>
      <c r="L75" s="343"/>
      <c r="M75" s="343"/>
      <c r="N75" s="343"/>
      <c r="O75" s="343"/>
      <c r="P75" s="343"/>
    </row>
    <row r="76" spans="2:16" ht="15" customHeight="1" outlineLevel="1" x14ac:dyDescent="0.25">
      <c r="B76" s="173">
        <v>69</v>
      </c>
      <c r="C76" s="1147"/>
      <c r="D76" s="1148"/>
      <c r="E76" s="1148"/>
      <c r="F76" s="1148"/>
      <c r="G76" s="1148"/>
      <c r="H76" s="176"/>
      <c r="I76" s="336"/>
      <c r="J76" s="546">
        <f t="shared" si="1"/>
        <v>0</v>
      </c>
      <c r="K76" s="343"/>
      <c r="L76" s="343"/>
      <c r="M76" s="343"/>
      <c r="N76" s="343"/>
      <c r="O76" s="343"/>
      <c r="P76" s="343"/>
    </row>
    <row r="77" spans="2:16" ht="15" customHeight="1" outlineLevel="1" x14ac:dyDescent="0.25">
      <c r="B77" s="175">
        <v>70</v>
      </c>
      <c r="C77" s="1147"/>
      <c r="D77" s="1148"/>
      <c r="E77" s="1148"/>
      <c r="F77" s="1148"/>
      <c r="G77" s="1148"/>
      <c r="H77" s="176"/>
      <c r="I77" s="336"/>
      <c r="J77" s="546">
        <f t="shared" si="1"/>
        <v>0</v>
      </c>
      <c r="K77" s="343"/>
      <c r="L77" s="343"/>
      <c r="M77" s="343"/>
      <c r="N77" s="343"/>
      <c r="O77" s="343"/>
      <c r="P77" s="343"/>
    </row>
    <row r="78" spans="2:16" ht="15" customHeight="1" outlineLevel="1" x14ac:dyDescent="0.25">
      <c r="B78" s="173">
        <v>71</v>
      </c>
      <c r="C78" s="1147"/>
      <c r="D78" s="1148"/>
      <c r="E78" s="1148"/>
      <c r="F78" s="1148"/>
      <c r="G78" s="1148"/>
      <c r="H78" s="176"/>
      <c r="I78" s="336"/>
      <c r="J78" s="546">
        <f t="shared" si="1"/>
        <v>0</v>
      </c>
      <c r="K78" s="343"/>
      <c r="L78" s="343"/>
      <c r="M78" s="343"/>
      <c r="N78" s="343"/>
      <c r="O78" s="343"/>
      <c r="P78" s="343"/>
    </row>
    <row r="79" spans="2:16" ht="15" customHeight="1" outlineLevel="1" x14ac:dyDescent="0.25">
      <c r="B79" s="175">
        <v>72</v>
      </c>
      <c r="C79" s="1147"/>
      <c r="D79" s="1148"/>
      <c r="E79" s="1148"/>
      <c r="F79" s="1148"/>
      <c r="G79" s="1148"/>
      <c r="H79" s="176"/>
      <c r="I79" s="336"/>
      <c r="J79" s="546">
        <f t="shared" si="1"/>
        <v>0</v>
      </c>
      <c r="K79" s="343"/>
      <c r="L79" s="343"/>
      <c r="M79" s="343"/>
      <c r="N79" s="343"/>
      <c r="O79" s="343"/>
      <c r="P79" s="343"/>
    </row>
    <row r="80" spans="2:16" ht="15" customHeight="1" outlineLevel="1" x14ac:dyDescent="0.25">
      <c r="B80" s="173">
        <v>73</v>
      </c>
      <c r="C80" s="1147"/>
      <c r="D80" s="1148"/>
      <c r="E80" s="1148"/>
      <c r="F80" s="1148"/>
      <c r="G80" s="1148"/>
      <c r="H80" s="176"/>
      <c r="I80" s="336"/>
      <c r="J80" s="546">
        <f t="shared" si="1"/>
        <v>0</v>
      </c>
      <c r="K80" s="343"/>
      <c r="L80" s="343"/>
      <c r="M80" s="343"/>
      <c r="N80" s="343"/>
      <c r="O80" s="343"/>
      <c r="P80" s="343"/>
    </row>
    <row r="81" spans="2:16" ht="15" customHeight="1" outlineLevel="1" x14ac:dyDescent="0.25">
      <c r="B81" s="175">
        <v>74</v>
      </c>
      <c r="C81" s="1147"/>
      <c r="D81" s="1148"/>
      <c r="E81" s="1148"/>
      <c r="F81" s="1148"/>
      <c r="G81" s="1148"/>
      <c r="H81" s="176"/>
      <c r="I81" s="336"/>
      <c r="J81" s="546">
        <f t="shared" si="1"/>
        <v>0</v>
      </c>
      <c r="K81" s="343"/>
      <c r="L81" s="343"/>
      <c r="M81" s="343"/>
      <c r="N81" s="343"/>
      <c r="O81" s="343"/>
      <c r="P81" s="343"/>
    </row>
    <row r="82" spans="2:16" ht="15" customHeight="1" outlineLevel="1" x14ac:dyDescent="0.25">
      <c r="B82" s="173">
        <v>75</v>
      </c>
      <c r="C82" s="1147"/>
      <c r="D82" s="1148"/>
      <c r="E82" s="1148"/>
      <c r="F82" s="1148"/>
      <c r="G82" s="1148"/>
      <c r="H82" s="176"/>
      <c r="I82" s="336"/>
      <c r="J82" s="546">
        <f t="shared" si="1"/>
        <v>0</v>
      </c>
      <c r="K82" s="343"/>
      <c r="L82" s="343"/>
      <c r="M82" s="343"/>
      <c r="N82" s="343"/>
      <c r="O82" s="343"/>
      <c r="P82" s="343"/>
    </row>
    <row r="83" spans="2:16" ht="15" customHeight="1" outlineLevel="1" x14ac:dyDescent="0.25">
      <c r="B83" s="175">
        <v>76</v>
      </c>
      <c r="C83" s="1147"/>
      <c r="D83" s="1148"/>
      <c r="E83" s="1148"/>
      <c r="F83" s="1148"/>
      <c r="G83" s="1148"/>
      <c r="H83" s="176"/>
      <c r="I83" s="336"/>
      <c r="J83" s="546">
        <f t="shared" si="1"/>
        <v>0</v>
      </c>
      <c r="K83" s="343"/>
      <c r="L83" s="343"/>
      <c r="M83" s="343"/>
      <c r="N83" s="343"/>
      <c r="O83" s="343"/>
      <c r="P83" s="343"/>
    </row>
    <row r="84" spans="2:16" ht="15" customHeight="1" outlineLevel="1" x14ac:dyDescent="0.25">
      <c r="B84" s="173">
        <v>77</v>
      </c>
      <c r="C84" s="1147"/>
      <c r="D84" s="1148"/>
      <c r="E84" s="1148"/>
      <c r="F84" s="1148"/>
      <c r="G84" s="1148"/>
      <c r="H84" s="176"/>
      <c r="I84" s="336"/>
      <c r="J84" s="546">
        <f t="shared" si="1"/>
        <v>0</v>
      </c>
      <c r="K84" s="343"/>
      <c r="L84" s="343"/>
      <c r="M84" s="343"/>
      <c r="N84" s="343"/>
      <c r="O84" s="343"/>
      <c r="P84" s="343"/>
    </row>
    <row r="85" spans="2:16" ht="15" customHeight="1" outlineLevel="1" x14ac:dyDescent="0.25">
      <c r="B85" s="175">
        <v>78</v>
      </c>
      <c r="C85" s="1147"/>
      <c r="D85" s="1148"/>
      <c r="E85" s="1148"/>
      <c r="F85" s="1148"/>
      <c r="G85" s="1148"/>
      <c r="H85" s="176"/>
      <c r="I85" s="336"/>
      <c r="J85" s="546">
        <f t="shared" si="1"/>
        <v>0</v>
      </c>
      <c r="K85" s="343"/>
      <c r="L85" s="343"/>
      <c r="M85" s="343"/>
      <c r="N85" s="343"/>
      <c r="O85" s="343"/>
      <c r="P85" s="343"/>
    </row>
    <row r="86" spans="2:16" ht="15" customHeight="1" outlineLevel="1" x14ac:dyDescent="0.25">
      <c r="B86" s="173">
        <v>79</v>
      </c>
      <c r="C86" s="1147"/>
      <c r="D86" s="1148"/>
      <c r="E86" s="1148"/>
      <c r="F86" s="1148"/>
      <c r="G86" s="1148"/>
      <c r="H86" s="176"/>
      <c r="I86" s="336"/>
      <c r="J86" s="546">
        <f t="shared" si="1"/>
        <v>0</v>
      </c>
      <c r="K86" s="343"/>
      <c r="L86" s="343"/>
      <c r="M86" s="343"/>
      <c r="N86" s="343"/>
      <c r="O86" s="343"/>
      <c r="P86" s="343"/>
    </row>
    <row r="87" spans="2:16" ht="15" customHeight="1" outlineLevel="1" x14ac:dyDescent="0.25">
      <c r="B87" s="175">
        <v>80</v>
      </c>
      <c r="C87" s="1147"/>
      <c r="D87" s="1148"/>
      <c r="E87" s="1148"/>
      <c r="F87" s="1148"/>
      <c r="G87" s="1148"/>
      <c r="H87" s="176"/>
      <c r="I87" s="336"/>
      <c r="J87" s="546">
        <f t="shared" si="1"/>
        <v>0</v>
      </c>
      <c r="K87" s="343"/>
      <c r="L87" s="343"/>
      <c r="M87" s="343"/>
      <c r="N87" s="343"/>
      <c r="O87" s="343"/>
      <c r="P87" s="343"/>
    </row>
    <row r="88" spans="2:16" ht="15" customHeight="1" outlineLevel="1" x14ac:dyDescent="0.25">
      <c r="B88" s="173">
        <v>81</v>
      </c>
      <c r="C88" s="1147"/>
      <c r="D88" s="1148"/>
      <c r="E88" s="1148"/>
      <c r="F88" s="1148"/>
      <c r="G88" s="1148"/>
      <c r="H88" s="176"/>
      <c r="I88" s="336"/>
      <c r="J88" s="546">
        <f t="shared" si="1"/>
        <v>0</v>
      </c>
      <c r="K88" s="343"/>
      <c r="L88" s="343"/>
      <c r="M88" s="343"/>
      <c r="N88" s="343"/>
      <c r="O88" s="343"/>
      <c r="P88" s="343"/>
    </row>
    <row r="89" spans="2:16" ht="15" customHeight="1" outlineLevel="1" x14ac:dyDescent="0.25">
      <c r="B89" s="175">
        <v>82</v>
      </c>
      <c r="C89" s="1147"/>
      <c r="D89" s="1148"/>
      <c r="E89" s="1148"/>
      <c r="F89" s="1148"/>
      <c r="G89" s="1148"/>
      <c r="H89" s="176"/>
      <c r="I89" s="336"/>
      <c r="J89" s="546">
        <f t="shared" si="1"/>
        <v>0</v>
      </c>
      <c r="K89" s="343"/>
      <c r="L89" s="343"/>
      <c r="M89" s="343"/>
      <c r="N89" s="343"/>
      <c r="O89" s="343"/>
      <c r="P89" s="343"/>
    </row>
    <row r="90" spans="2:16" ht="15" customHeight="1" outlineLevel="1" x14ac:dyDescent="0.25">
      <c r="B90" s="173">
        <v>83</v>
      </c>
      <c r="C90" s="1147"/>
      <c r="D90" s="1148"/>
      <c r="E90" s="1148"/>
      <c r="F90" s="1148"/>
      <c r="G90" s="1148"/>
      <c r="H90" s="176"/>
      <c r="I90" s="336"/>
      <c r="J90" s="546">
        <f t="shared" si="1"/>
        <v>0</v>
      </c>
      <c r="K90" s="343"/>
      <c r="L90" s="343"/>
      <c r="M90" s="343"/>
      <c r="N90" s="343"/>
      <c r="O90" s="343"/>
      <c r="P90" s="343"/>
    </row>
    <row r="91" spans="2:16" ht="15" customHeight="1" outlineLevel="1" x14ac:dyDescent="0.25">
      <c r="B91" s="175">
        <v>84</v>
      </c>
      <c r="C91" s="1147"/>
      <c r="D91" s="1148"/>
      <c r="E91" s="1148"/>
      <c r="F91" s="1148"/>
      <c r="G91" s="1148"/>
      <c r="H91" s="176"/>
      <c r="I91" s="336"/>
      <c r="J91" s="546">
        <f t="shared" si="1"/>
        <v>0</v>
      </c>
      <c r="K91" s="343"/>
      <c r="L91" s="343"/>
      <c r="M91" s="343"/>
      <c r="N91" s="343"/>
      <c r="O91" s="343"/>
      <c r="P91" s="343"/>
    </row>
    <row r="92" spans="2:16" ht="15" customHeight="1" outlineLevel="1" x14ac:dyDescent="0.25">
      <c r="B92" s="173">
        <v>85</v>
      </c>
      <c r="C92" s="1147"/>
      <c r="D92" s="1148"/>
      <c r="E92" s="1148"/>
      <c r="F92" s="1148"/>
      <c r="G92" s="1148"/>
      <c r="H92" s="176"/>
      <c r="I92" s="336"/>
      <c r="J92" s="546">
        <f t="shared" si="1"/>
        <v>0</v>
      </c>
      <c r="K92" s="343"/>
      <c r="L92" s="343"/>
      <c r="M92" s="343"/>
      <c r="N92" s="343"/>
      <c r="O92" s="343"/>
      <c r="P92" s="343"/>
    </row>
    <row r="93" spans="2:16" ht="15" customHeight="1" outlineLevel="1" x14ac:dyDescent="0.25">
      <c r="B93" s="175">
        <v>86</v>
      </c>
      <c r="C93" s="1147"/>
      <c r="D93" s="1148"/>
      <c r="E93" s="1148"/>
      <c r="F93" s="1148"/>
      <c r="G93" s="1148"/>
      <c r="H93" s="176"/>
      <c r="I93" s="336"/>
      <c r="J93" s="546">
        <f t="shared" si="1"/>
        <v>0</v>
      </c>
      <c r="K93" s="343"/>
      <c r="L93" s="343"/>
      <c r="M93" s="343"/>
      <c r="N93" s="343"/>
      <c r="O93" s="343"/>
      <c r="P93" s="343"/>
    </row>
    <row r="94" spans="2:16" ht="15" customHeight="1" outlineLevel="1" x14ac:dyDescent="0.25">
      <c r="B94" s="173">
        <v>87</v>
      </c>
      <c r="C94" s="1147"/>
      <c r="D94" s="1148"/>
      <c r="E94" s="1148"/>
      <c r="F94" s="1148"/>
      <c r="G94" s="1148"/>
      <c r="H94" s="176"/>
      <c r="I94" s="336"/>
      <c r="J94" s="546">
        <f t="shared" si="1"/>
        <v>0</v>
      </c>
      <c r="K94" s="343"/>
      <c r="L94" s="343"/>
      <c r="M94" s="343"/>
      <c r="N94" s="343"/>
      <c r="O94" s="343"/>
      <c r="P94" s="343"/>
    </row>
    <row r="95" spans="2:16" ht="15" customHeight="1" outlineLevel="1" x14ac:dyDescent="0.25">
      <c r="B95" s="175">
        <v>88</v>
      </c>
      <c r="C95" s="1147"/>
      <c r="D95" s="1148"/>
      <c r="E95" s="1148"/>
      <c r="F95" s="1148"/>
      <c r="G95" s="1148"/>
      <c r="H95" s="176"/>
      <c r="I95" s="336"/>
      <c r="J95" s="546">
        <f t="shared" si="1"/>
        <v>0</v>
      </c>
      <c r="K95" s="343"/>
      <c r="L95" s="343"/>
      <c r="M95" s="343"/>
      <c r="N95" s="343"/>
      <c r="O95" s="343"/>
      <c r="P95" s="343"/>
    </row>
    <row r="96" spans="2:16" ht="15" customHeight="1" outlineLevel="1" x14ac:dyDescent="0.25">
      <c r="B96" s="173">
        <v>89</v>
      </c>
      <c r="C96" s="1147"/>
      <c r="D96" s="1148"/>
      <c r="E96" s="1148"/>
      <c r="F96" s="1148"/>
      <c r="G96" s="1148"/>
      <c r="H96" s="176"/>
      <c r="I96" s="336"/>
      <c r="J96" s="546">
        <f t="shared" si="1"/>
        <v>0</v>
      </c>
      <c r="K96" s="343"/>
      <c r="L96" s="343"/>
      <c r="M96" s="343"/>
      <c r="N96" s="343"/>
      <c r="O96" s="343"/>
      <c r="P96" s="343"/>
    </row>
    <row r="97" spans="2:16" ht="15" customHeight="1" outlineLevel="1" x14ac:dyDescent="0.25">
      <c r="B97" s="175">
        <v>90</v>
      </c>
      <c r="C97" s="1147"/>
      <c r="D97" s="1148"/>
      <c r="E97" s="1148"/>
      <c r="F97" s="1148"/>
      <c r="G97" s="1148"/>
      <c r="H97" s="176"/>
      <c r="I97" s="336"/>
      <c r="J97" s="546">
        <f t="shared" si="1"/>
        <v>0</v>
      </c>
      <c r="K97" s="343"/>
      <c r="L97" s="343"/>
      <c r="M97" s="343"/>
      <c r="N97" s="343"/>
      <c r="O97" s="343"/>
      <c r="P97" s="343"/>
    </row>
    <row r="98" spans="2:16" ht="15" customHeight="1" outlineLevel="1" x14ac:dyDescent="0.25">
      <c r="B98" s="173">
        <v>91</v>
      </c>
      <c r="C98" s="1147"/>
      <c r="D98" s="1148"/>
      <c r="E98" s="1148"/>
      <c r="F98" s="1148"/>
      <c r="G98" s="1148"/>
      <c r="H98" s="176"/>
      <c r="I98" s="336"/>
      <c r="J98" s="546">
        <f t="shared" si="1"/>
        <v>0</v>
      </c>
      <c r="K98" s="343"/>
      <c r="L98" s="343"/>
      <c r="M98" s="343"/>
      <c r="N98" s="343"/>
      <c r="O98" s="343"/>
      <c r="P98" s="343"/>
    </row>
    <row r="99" spans="2:16" ht="15" customHeight="1" outlineLevel="1" x14ac:dyDescent="0.25">
      <c r="B99" s="175">
        <v>92</v>
      </c>
      <c r="C99" s="1147"/>
      <c r="D99" s="1148"/>
      <c r="E99" s="1148"/>
      <c r="F99" s="1148"/>
      <c r="G99" s="1148"/>
      <c r="H99" s="176"/>
      <c r="I99" s="336"/>
      <c r="J99" s="546">
        <f t="shared" si="1"/>
        <v>0</v>
      </c>
      <c r="K99" s="343"/>
      <c r="L99" s="343"/>
      <c r="M99" s="343"/>
      <c r="N99" s="343"/>
      <c r="O99" s="343"/>
      <c r="P99" s="343"/>
    </row>
    <row r="100" spans="2:16" ht="15" customHeight="1" outlineLevel="1" x14ac:dyDescent="0.25">
      <c r="B100" s="173">
        <v>93</v>
      </c>
      <c r="C100" s="1147"/>
      <c r="D100" s="1148"/>
      <c r="E100" s="1148"/>
      <c r="F100" s="1148"/>
      <c r="G100" s="1148"/>
      <c r="H100" s="176"/>
      <c r="I100" s="336"/>
      <c r="J100" s="546">
        <f t="shared" si="1"/>
        <v>0</v>
      </c>
      <c r="K100" s="343"/>
      <c r="L100" s="343"/>
      <c r="M100" s="343"/>
      <c r="N100" s="343"/>
      <c r="O100" s="343"/>
      <c r="P100" s="343"/>
    </row>
    <row r="101" spans="2:16" ht="15" customHeight="1" outlineLevel="1" x14ac:dyDescent="0.25">
      <c r="B101" s="175">
        <v>94</v>
      </c>
      <c r="C101" s="1147"/>
      <c r="D101" s="1148"/>
      <c r="E101" s="1148"/>
      <c r="F101" s="1148"/>
      <c r="G101" s="1148"/>
      <c r="H101" s="176"/>
      <c r="I101" s="336"/>
      <c r="J101" s="546">
        <f t="shared" si="1"/>
        <v>0</v>
      </c>
      <c r="K101" s="343"/>
      <c r="L101" s="343"/>
      <c r="M101" s="343"/>
      <c r="N101" s="343"/>
      <c r="O101" s="343"/>
      <c r="P101" s="343"/>
    </row>
    <row r="102" spans="2:16" ht="15" customHeight="1" outlineLevel="1" x14ac:dyDescent="0.25">
      <c r="B102" s="173">
        <v>95</v>
      </c>
      <c r="C102" s="1147"/>
      <c r="D102" s="1148"/>
      <c r="E102" s="1148"/>
      <c r="F102" s="1148"/>
      <c r="G102" s="1148"/>
      <c r="H102" s="176"/>
      <c r="I102" s="336"/>
      <c r="J102" s="546">
        <f t="shared" si="1"/>
        <v>0</v>
      </c>
      <c r="K102" s="343"/>
      <c r="L102" s="343"/>
      <c r="M102" s="343"/>
      <c r="N102" s="343"/>
      <c r="O102" s="343"/>
      <c r="P102" s="343"/>
    </row>
    <row r="103" spans="2:16" ht="15" customHeight="1" outlineLevel="1" x14ac:dyDescent="0.25">
      <c r="B103" s="175">
        <v>96</v>
      </c>
      <c r="C103" s="1147"/>
      <c r="D103" s="1148"/>
      <c r="E103" s="1148"/>
      <c r="F103" s="1148"/>
      <c r="G103" s="1148"/>
      <c r="H103" s="176"/>
      <c r="I103" s="336"/>
      <c r="J103" s="546">
        <f t="shared" si="1"/>
        <v>0</v>
      </c>
      <c r="K103" s="343"/>
      <c r="L103" s="343"/>
      <c r="M103" s="343"/>
      <c r="N103" s="343"/>
      <c r="O103" s="343"/>
      <c r="P103" s="343"/>
    </row>
    <row r="104" spans="2:16" ht="15" customHeight="1" outlineLevel="1" x14ac:dyDescent="0.25">
      <c r="B104" s="173">
        <v>97</v>
      </c>
      <c r="C104" s="1147"/>
      <c r="D104" s="1148"/>
      <c r="E104" s="1148"/>
      <c r="F104" s="1148"/>
      <c r="G104" s="1148"/>
      <c r="H104" s="176"/>
      <c r="I104" s="336"/>
      <c r="J104" s="546">
        <f t="shared" si="1"/>
        <v>0</v>
      </c>
      <c r="K104" s="343"/>
      <c r="L104" s="343"/>
      <c r="M104" s="343"/>
      <c r="N104" s="343"/>
      <c r="O104" s="343"/>
      <c r="P104" s="343"/>
    </row>
    <row r="105" spans="2:16" ht="15" customHeight="1" outlineLevel="1" x14ac:dyDescent="0.25">
      <c r="B105" s="175">
        <v>98</v>
      </c>
      <c r="C105" s="1147"/>
      <c r="D105" s="1148"/>
      <c r="E105" s="1148"/>
      <c r="F105" s="1148"/>
      <c r="G105" s="1148"/>
      <c r="H105" s="176"/>
      <c r="I105" s="336"/>
      <c r="J105" s="546">
        <f t="shared" si="1"/>
        <v>0</v>
      </c>
      <c r="K105" s="343"/>
      <c r="L105" s="343"/>
      <c r="M105" s="343"/>
      <c r="N105" s="343"/>
      <c r="O105" s="343"/>
      <c r="P105" s="343"/>
    </row>
    <row r="106" spans="2:16" ht="15" customHeight="1" outlineLevel="1" x14ac:dyDescent="0.25">
      <c r="B106" s="173">
        <v>99</v>
      </c>
      <c r="C106" s="1147"/>
      <c r="D106" s="1148"/>
      <c r="E106" s="1148"/>
      <c r="F106" s="1148"/>
      <c r="G106" s="1148"/>
      <c r="H106" s="176"/>
      <c r="I106" s="336"/>
      <c r="J106" s="546">
        <f t="shared" si="1"/>
        <v>0</v>
      </c>
      <c r="K106" s="343"/>
      <c r="L106" s="343"/>
      <c r="M106" s="343"/>
      <c r="N106" s="343"/>
      <c r="O106" s="343"/>
      <c r="P106" s="343"/>
    </row>
    <row r="107" spans="2:16" ht="15" customHeight="1" outlineLevel="1" x14ac:dyDescent="0.25">
      <c r="B107" s="175">
        <v>100</v>
      </c>
      <c r="C107" s="1147"/>
      <c r="D107" s="1148"/>
      <c r="E107" s="1148"/>
      <c r="F107" s="1148"/>
      <c r="G107" s="1148"/>
      <c r="H107" s="176"/>
      <c r="I107" s="336"/>
      <c r="J107" s="546">
        <f t="shared" si="1"/>
        <v>0</v>
      </c>
      <c r="K107" s="343"/>
      <c r="L107" s="343"/>
      <c r="M107" s="343"/>
      <c r="N107" s="343"/>
      <c r="O107" s="343"/>
      <c r="P107" s="343"/>
    </row>
    <row r="108" spans="2:16" x14ac:dyDescent="0.25">
      <c r="B108" s="173"/>
      <c r="C108" s="1152" t="s">
        <v>289</v>
      </c>
      <c r="D108" s="1153"/>
      <c r="E108" s="1153"/>
      <c r="F108" s="1153"/>
      <c r="G108" s="1153"/>
      <c r="H108" s="177"/>
      <c r="I108" s="336"/>
      <c r="J108" s="546">
        <f t="shared" si="1"/>
        <v>0</v>
      </c>
      <c r="K108" s="343"/>
      <c r="L108" s="343"/>
      <c r="M108" s="343"/>
      <c r="N108" s="343"/>
      <c r="O108" s="343"/>
      <c r="P108" s="343"/>
    </row>
    <row r="109" spans="2:16" s="510" customFormat="1" ht="15" customHeight="1" x14ac:dyDescent="0.2">
      <c r="B109" s="516"/>
      <c r="C109" s="1007" t="s">
        <v>928</v>
      </c>
      <c r="D109" s="1007"/>
      <c r="E109" s="1007"/>
      <c r="F109" s="1007"/>
      <c r="G109" s="1007"/>
      <c r="H109" s="1007"/>
      <c r="I109" s="1007"/>
      <c r="J109" s="1007"/>
      <c r="K109" s="521" t="s">
        <v>917</v>
      </c>
      <c r="L109" s="521" t="s">
        <v>926</v>
      </c>
      <c r="M109" s="521" t="s">
        <v>927</v>
      </c>
      <c r="N109" s="521" t="s">
        <v>943</v>
      </c>
      <c r="O109" s="521" t="s">
        <v>944</v>
      </c>
      <c r="P109" s="521" t="s">
        <v>945</v>
      </c>
    </row>
    <row r="110" spans="2:16" s="509" customFormat="1" ht="15" customHeight="1" x14ac:dyDescent="0.2">
      <c r="B110" s="993" t="s">
        <v>918</v>
      </c>
      <c r="C110" s="994"/>
      <c r="D110" s="994"/>
      <c r="E110" s="994"/>
      <c r="F110" s="994"/>
      <c r="G110" s="994"/>
      <c r="H110" s="994"/>
      <c r="I110" s="994"/>
      <c r="J110" s="995"/>
      <c r="K110" s="535"/>
      <c r="L110" s="535"/>
      <c r="M110" s="535"/>
      <c r="N110" s="535"/>
      <c r="O110" s="535"/>
      <c r="P110" s="535"/>
    </row>
    <row r="111" spans="2:16" s="509" customFormat="1" ht="15" customHeight="1" x14ac:dyDescent="0.2">
      <c r="B111" s="993" t="s">
        <v>919</v>
      </c>
      <c r="C111" s="994"/>
      <c r="D111" s="994"/>
      <c r="E111" s="994"/>
      <c r="F111" s="994"/>
      <c r="G111" s="994"/>
      <c r="H111" s="994"/>
      <c r="I111" s="994"/>
      <c r="J111" s="995"/>
      <c r="K111" s="536"/>
      <c r="L111" s="536"/>
      <c r="M111" s="536"/>
      <c r="N111" s="536"/>
      <c r="O111" s="536"/>
      <c r="P111" s="536"/>
    </row>
    <row r="112" spans="2:16" s="509" customFormat="1" ht="15" customHeight="1" x14ac:dyDescent="0.2">
      <c r="B112" s="993" t="s">
        <v>920</v>
      </c>
      <c r="C112" s="994"/>
      <c r="D112" s="994"/>
      <c r="E112" s="994"/>
      <c r="F112" s="994"/>
      <c r="G112" s="994"/>
      <c r="H112" s="994"/>
      <c r="I112" s="994"/>
      <c r="J112" s="995"/>
      <c r="K112" s="537"/>
      <c r="L112" s="537"/>
      <c r="M112" s="537"/>
      <c r="N112" s="537"/>
      <c r="O112" s="537"/>
      <c r="P112" s="537"/>
    </row>
    <row r="113" spans="2:17" s="509" customFormat="1" ht="15" customHeight="1" x14ac:dyDescent="0.2">
      <c r="B113" s="993" t="s">
        <v>921</v>
      </c>
      <c r="C113" s="994"/>
      <c r="D113" s="994"/>
      <c r="E113" s="994"/>
      <c r="F113" s="994"/>
      <c r="G113" s="994"/>
      <c r="H113" s="994"/>
      <c r="I113" s="994"/>
      <c r="J113" s="995"/>
      <c r="K113" s="537"/>
      <c r="L113" s="537"/>
      <c r="M113" s="537"/>
      <c r="N113" s="537"/>
      <c r="O113" s="537"/>
      <c r="P113" s="537"/>
    </row>
    <row r="114" spans="2:17" s="509" customFormat="1" ht="15" customHeight="1" x14ac:dyDescent="0.2">
      <c r="B114" s="993" t="s">
        <v>922</v>
      </c>
      <c r="C114" s="994"/>
      <c r="D114" s="994"/>
      <c r="E114" s="994"/>
      <c r="F114" s="994"/>
      <c r="G114" s="994"/>
      <c r="H114" s="994"/>
      <c r="I114" s="994"/>
      <c r="J114" s="995"/>
      <c r="K114" s="535"/>
      <c r="L114" s="535"/>
      <c r="M114" s="535"/>
      <c r="N114" s="535"/>
      <c r="O114" s="535"/>
      <c r="P114" s="535"/>
    </row>
    <row r="115" spans="2:17" s="509" customFormat="1" x14ac:dyDescent="0.2">
      <c r="B115" s="993" t="s">
        <v>923</v>
      </c>
      <c r="C115" s="994"/>
      <c r="D115" s="994"/>
      <c r="E115" s="994"/>
      <c r="F115" s="994"/>
      <c r="G115" s="994"/>
      <c r="H115" s="994"/>
      <c r="I115" s="994"/>
      <c r="J115" s="995"/>
      <c r="K115" s="538"/>
      <c r="L115" s="538"/>
      <c r="M115" s="538"/>
      <c r="N115" s="538"/>
      <c r="O115" s="538"/>
      <c r="P115" s="538"/>
    </row>
    <row r="116" spans="2:17" s="509" customFormat="1" x14ac:dyDescent="0.2">
      <c r="B116" s="993" t="s">
        <v>924</v>
      </c>
      <c r="C116" s="994"/>
      <c r="D116" s="994"/>
      <c r="E116" s="994"/>
      <c r="F116" s="994"/>
      <c r="G116" s="994"/>
      <c r="H116" s="994"/>
      <c r="I116" s="994"/>
      <c r="J116" s="995"/>
      <c r="K116" s="539"/>
      <c r="L116" s="539"/>
      <c r="M116" s="539"/>
      <c r="N116" s="539"/>
      <c r="O116" s="539"/>
      <c r="P116" s="539"/>
    </row>
    <row r="117" spans="2:17" s="575" customFormat="1" ht="15" customHeight="1" x14ac:dyDescent="0.2">
      <c r="B117" s="1154" t="s">
        <v>925</v>
      </c>
      <c r="C117" s="1155"/>
      <c r="D117" s="1155"/>
      <c r="E117" s="1155"/>
      <c r="F117" s="1155"/>
      <c r="G117" s="1155"/>
      <c r="H117" s="1155"/>
      <c r="I117" s="1155"/>
      <c r="J117" s="1156"/>
      <c r="K117" s="1097" t="s">
        <v>915</v>
      </c>
      <c r="L117" s="1097"/>
      <c r="M117" s="1097"/>
      <c r="N117" s="1097" t="s">
        <v>915</v>
      </c>
      <c r="O117" s="1097"/>
      <c r="P117" s="1097"/>
    </row>
    <row r="118" spans="2:17" x14ac:dyDescent="0.25">
      <c r="B118" s="1161" t="s">
        <v>292</v>
      </c>
      <c r="C118" s="1162"/>
      <c r="D118" s="1162"/>
      <c r="E118" s="1162"/>
      <c r="F118" s="1162"/>
      <c r="G118" s="1162"/>
      <c r="H118" s="1162"/>
      <c r="I118" s="1162"/>
      <c r="J118" s="1163"/>
      <c r="K118" s="550" t="s">
        <v>917</v>
      </c>
      <c r="L118" s="550" t="s">
        <v>926</v>
      </c>
      <c r="M118" s="550" t="s">
        <v>927</v>
      </c>
      <c r="N118" s="550" t="s">
        <v>943</v>
      </c>
      <c r="O118" s="550" t="s">
        <v>944</v>
      </c>
      <c r="P118" s="550" t="s">
        <v>945</v>
      </c>
    </row>
    <row r="119" spans="2:17" ht="45" x14ac:dyDescent="0.25">
      <c r="B119" s="332"/>
      <c r="C119" s="1150" t="s">
        <v>294</v>
      </c>
      <c r="D119" s="1150"/>
      <c r="E119" s="1150"/>
      <c r="F119" s="1150"/>
      <c r="G119" s="1151"/>
      <c r="H119" s="127" t="s">
        <v>16</v>
      </c>
      <c r="I119" s="560" t="s">
        <v>295</v>
      </c>
      <c r="J119" s="560" t="s">
        <v>948</v>
      </c>
      <c r="K119" s="560" t="s">
        <v>949</v>
      </c>
      <c r="L119" s="560" t="s">
        <v>949</v>
      </c>
      <c r="M119" s="560" t="s">
        <v>949</v>
      </c>
      <c r="N119" s="560" t="s">
        <v>949</v>
      </c>
      <c r="O119" s="560" t="s">
        <v>949</v>
      </c>
      <c r="P119" s="560" t="s">
        <v>949</v>
      </c>
    </row>
    <row r="120" spans="2:17" ht="15" customHeight="1" x14ac:dyDescent="0.25">
      <c r="B120" s="173">
        <v>1</v>
      </c>
      <c r="C120" s="1149"/>
      <c r="D120" s="1149"/>
      <c r="E120" s="1149"/>
      <c r="F120" s="1149"/>
      <c r="G120" s="1147"/>
      <c r="H120" s="727"/>
      <c r="I120" s="335"/>
      <c r="J120" s="546">
        <f>IFERROR(SMALL(K120:P120,1),0)</f>
        <v>0</v>
      </c>
      <c r="K120" s="343"/>
      <c r="L120" s="343"/>
      <c r="M120" s="343"/>
      <c r="N120" s="343"/>
      <c r="O120" s="343"/>
      <c r="P120" s="343"/>
    </row>
    <row r="121" spans="2:17" ht="15" customHeight="1" x14ac:dyDescent="0.25">
      <c r="B121" s="175">
        <v>2</v>
      </c>
      <c r="C121" s="1149"/>
      <c r="D121" s="1149"/>
      <c r="E121" s="1149"/>
      <c r="F121" s="1149"/>
      <c r="G121" s="1147"/>
      <c r="H121" s="185"/>
      <c r="I121" s="336"/>
      <c r="J121" s="546">
        <f t="shared" ref="J121:J124" si="2">IFERROR(SMALL(K121:P121,1),0)</f>
        <v>0</v>
      </c>
      <c r="K121" s="343"/>
      <c r="L121" s="343"/>
      <c r="M121" s="343"/>
      <c r="N121" s="343"/>
      <c r="O121" s="343"/>
      <c r="P121" s="343"/>
    </row>
    <row r="122" spans="2:17" ht="15" customHeight="1" x14ac:dyDescent="0.25">
      <c r="B122" s="173">
        <v>3</v>
      </c>
      <c r="C122" s="1149"/>
      <c r="D122" s="1149"/>
      <c r="E122" s="1149"/>
      <c r="F122" s="1149"/>
      <c r="G122" s="1147"/>
      <c r="H122" s="185"/>
      <c r="I122" s="336"/>
      <c r="J122" s="546">
        <f t="shared" si="2"/>
        <v>0</v>
      </c>
      <c r="K122" s="343"/>
      <c r="L122" s="343"/>
      <c r="M122" s="343"/>
      <c r="N122" s="343"/>
      <c r="O122" s="343"/>
      <c r="P122" s="343"/>
    </row>
    <row r="123" spans="2:17" ht="15" customHeight="1" x14ac:dyDescent="0.25">
      <c r="B123" s="175">
        <v>4</v>
      </c>
      <c r="C123" s="1149"/>
      <c r="D123" s="1149"/>
      <c r="E123" s="1149"/>
      <c r="F123" s="1149"/>
      <c r="G123" s="1147"/>
      <c r="H123" s="185"/>
      <c r="I123" s="336"/>
      <c r="J123" s="546">
        <f t="shared" si="2"/>
        <v>0</v>
      </c>
      <c r="K123" s="343"/>
      <c r="L123" s="343"/>
      <c r="M123" s="343"/>
      <c r="N123" s="343"/>
      <c r="O123" s="343"/>
      <c r="P123" s="343"/>
    </row>
    <row r="124" spans="2:17" ht="15" customHeight="1" x14ac:dyDescent="0.25">
      <c r="B124" s="173">
        <v>5</v>
      </c>
      <c r="C124" s="1149"/>
      <c r="D124" s="1149"/>
      <c r="E124" s="1149"/>
      <c r="F124" s="1149"/>
      <c r="G124" s="1147"/>
      <c r="H124" s="185"/>
      <c r="I124" s="336"/>
      <c r="J124" s="546">
        <f t="shared" si="2"/>
        <v>0</v>
      </c>
      <c r="K124" s="343"/>
      <c r="L124" s="343"/>
      <c r="M124" s="343"/>
      <c r="N124" s="343"/>
      <c r="O124" s="343"/>
      <c r="P124" s="343"/>
    </row>
    <row r="125" spans="2:17" s="510" customFormat="1" ht="15" customHeight="1" x14ac:dyDescent="0.2">
      <c r="B125" s="516"/>
      <c r="C125" s="1007" t="s">
        <v>928</v>
      </c>
      <c r="D125" s="1007"/>
      <c r="E125" s="1007"/>
      <c r="F125" s="1007"/>
      <c r="G125" s="1007"/>
      <c r="H125" s="1007"/>
      <c r="I125" s="1007"/>
      <c r="J125" s="1007"/>
      <c r="K125" s="521" t="s">
        <v>917</v>
      </c>
      <c r="L125" s="521" t="s">
        <v>926</v>
      </c>
      <c r="M125" s="521" t="s">
        <v>927</v>
      </c>
      <c r="N125" s="521" t="s">
        <v>943</v>
      </c>
      <c r="O125" s="521" t="s">
        <v>944</v>
      </c>
      <c r="P125" s="521" t="s">
        <v>945</v>
      </c>
    </row>
    <row r="126" spans="2:17" s="509" customFormat="1" ht="15" customHeight="1" x14ac:dyDescent="0.2">
      <c r="B126" s="993" t="s">
        <v>918</v>
      </c>
      <c r="C126" s="994"/>
      <c r="D126" s="994"/>
      <c r="E126" s="994"/>
      <c r="F126" s="994"/>
      <c r="G126" s="994"/>
      <c r="H126" s="994"/>
      <c r="I126" s="994"/>
      <c r="J126" s="995"/>
      <c r="K126" s="535"/>
      <c r="L126" s="535"/>
      <c r="M126" s="535"/>
      <c r="N126" s="535"/>
      <c r="O126" s="535"/>
      <c r="P126" s="535"/>
      <c r="Q126" s="752"/>
    </row>
    <row r="127" spans="2:17" s="509" customFormat="1" ht="15" customHeight="1" x14ac:dyDescent="0.2">
      <c r="B127" s="993" t="s">
        <v>919</v>
      </c>
      <c r="C127" s="994"/>
      <c r="D127" s="994"/>
      <c r="E127" s="994"/>
      <c r="F127" s="994"/>
      <c r="G127" s="994"/>
      <c r="H127" s="994"/>
      <c r="I127" s="994"/>
      <c r="J127" s="995"/>
      <c r="K127" s="536"/>
      <c r="L127" s="536"/>
      <c r="M127" s="536"/>
      <c r="N127" s="536"/>
      <c r="O127" s="536"/>
      <c r="P127" s="536"/>
      <c r="Q127" s="752"/>
    </row>
    <row r="128" spans="2:17" s="509" customFormat="1" ht="15" customHeight="1" x14ac:dyDescent="0.2">
      <c r="B128" s="993" t="s">
        <v>920</v>
      </c>
      <c r="C128" s="994"/>
      <c r="D128" s="994"/>
      <c r="E128" s="994"/>
      <c r="F128" s="994"/>
      <c r="G128" s="994"/>
      <c r="H128" s="994"/>
      <c r="I128" s="994"/>
      <c r="J128" s="995"/>
      <c r="K128" s="537"/>
      <c r="L128" s="537"/>
      <c r="M128" s="537"/>
      <c r="N128" s="537"/>
      <c r="O128" s="537"/>
      <c r="P128" s="537"/>
      <c r="Q128" s="752"/>
    </row>
    <row r="129" spans="2:17" s="509" customFormat="1" ht="15" customHeight="1" x14ac:dyDescent="0.2">
      <c r="B129" s="993" t="s">
        <v>921</v>
      </c>
      <c r="C129" s="994"/>
      <c r="D129" s="994"/>
      <c r="E129" s="994"/>
      <c r="F129" s="994"/>
      <c r="G129" s="994"/>
      <c r="H129" s="994"/>
      <c r="I129" s="994"/>
      <c r="J129" s="995"/>
      <c r="K129" s="537"/>
      <c r="L129" s="537"/>
      <c r="M129" s="537"/>
      <c r="N129" s="537"/>
      <c r="O129" s="537"/>
      <c r="P129" s="537"/>
      <c r="Q129" s="752"/>
    </row>
    <row r="130" spans="2:17" s="509" customFormat="1" ht="15" customHeight="1" x14ac:dyDescent="0.2">
      <c r="B130" s="993" t="s">
        <v>922</v>
      </c>
      <c r="C130" s="994"/>
      <c r="D130" s="994"/>
      <c r="E130" s="994"/>
      <c r="F130" s="994"/>
      <c r="G130" s="994"/>
      <c r="H130" s="994"/>
      <c r="I130" s="994"/>
      <c r="J130" s="995"/>
      <c r="K130" s="535"/>
      <c r="L130" s="535"/>
      <c r="M130" s="535"/>
      <c r="N130" s="535"/>
      <c r="O130" s="535"/>
      <c r="P130" s="535"/>
      <c r="Q130" s="752"/>
    </row>
    <row r="131" spans="2:17" s="509" customFormat="1" x14ac:dyDescent="0.2">
      <c r="B131" s="993" t="s">
        <v>923</v>
      </c>
      <c r="C131" s="994"/>
      <c r="D131" s="994"/>
      <c r="E131" s="994"/>
      <c r="F131" s="994"/>
      <c r="G131" s="994"/>
      <c r="H131" s="994"/>
      <c r="I131" s="994"/>
      <c r="J131" s="995"/>
      <c r="K131" s="538"/>
      <c r="L131" s="538"/>
      <c r="M131" s="538"/>
      <c r="N131" s="538"/>
      <c r="O131" s="538"/>
      <c r="P131" s="538"/>
      <c r="Q131" s="752"/>
    </row>
    <row r="132" spans="2:17" s="509" customFormat="1" x14ac:dyDescent="0.2">
      <c r="B132" s="993" t="s">
        <v>924</v>
      </c>
      <c r="C132" s="994"/>
      <c r="D132" s="994"/>
      <c r="E132" s="994"/>
      <c r="F132" s="994"/>
      <c r="G132" s="994"/>
      <c r="H132" s="994"/>
      <c r="I132" s="994"/>
      <c r="J132" s="995"/>
      <c r="K132" s="539"/>
      <c r="L132" s="539"/>
      <c r="M132" s="539"/>
      <c r="N132" s="539"/>
      <c r="O132" s="539"/>
      <c r="P132" s="539"/>
      <c r="Q132" s="752"/>
    </row>
    <row r="133" spans="2:17" s="575" customFormat="1" ht="15" customHeight="1" x14ac:dyDescent="0.2">
      <c r="B133" s="1154" t="s">
        <v>925</v>
      </c>
      <c r="C133" s="1155"/>
      <c r="D133" s="1155"/>
      <c r="E133" s="1155"/>
      <c r="F133" s="1155"/>
      <c r="G133" s="1155"/>
      <c r="H133" s="1155"/>
      <c r="I133" s="1155"/>
      <c r="J133" s="1156"/>
      <c r="K133" s="1097" t="s">
        <v>915</v>
      </c>
      <c r="L133" s="1097"/>
      <c r="M133" s="1097"/>
      <c r="N133" s="1097" t="s">
        <v>915</v>
      </c>
      <c r="O133" s="1097"/>
      <c r="P133" s="1097"/>
    </row>
    <row r="134" spans="2:17" ht="15" customHeight="1" x14ac:dyDescent="0.25">
      <c r="B134" s="1161" t="s">
        <v>300</v>
      </c>
      <c r="C134" s="1162"/>
      <c r="D134" s="1162"/>
      <c r="E134" s="1162"/>
      <c r="F134" s="1162"/>
      <c r="G134" s="1162"/>
      <c r="H134" s="1162"/>
      <c r="I134" s="1162"/>
      <c r="J134" s="1163"/>
      <c r="K134" s="550" t="s">
        <v>917</v>
      </c>
      <c r="L134" s="550" t="s">
        <v>926</v>
      </c>
      <c r="M134" s="550" t="s">
        <v>927</v>
      </c>
      <c r="N134" s="550" t="s">
        <v>943</v>
      </c>
      <c r="O134" s="550" t="s">
        <v>944</v>
      </c>
      <c r="P134" s="550" t="s">
        <v>945</v>
      </c>
    </row>
    <row r="135" spans="2:17" ht="15" customHeight="1" x14ac:dyDescent="0.25">
      <c r="B135" s="332"/>
      <c r="C135" s="1166" t="s">
        <v>178</v>
      </c>
      <c r="D135" s="1166"/>
      <c r="E135" s="1166"/>
      <c r="F135" s="1166"/>
      <c r="G135" s="1166"/>
      <c r="H135" s="1167"/>
      <c r="I135" s="560" t="s">
        <v>16</v>
      </c>
      <c r="J135" s="560" t="s">
        <v>947</v>
      </c>
      <c r="K135" s="560" t="s">
        <v>929</v>
      </c>
      <c r="L135" s="560" t="s">
        <v>929</v>
      </c>
      <c r="M135" s="560" t="s">
        <v>929</v>
      </c>
      <c r="N135" s="560" t="s">
        <v>929</v>
      </c>
      <c r="O135" s="560" t="s">
        <v>929</v>
      </c>
      <c r="P135" s="560" t="s">
        <v>929</v>
      </c>
    </row>
    <row r="136" spans="2:17" ht="15" customHeight="1" x14ac:dyDescent="0.25">
      <c r="B136" s="186">
        <v>1</v>
      </c>
      <c r="C136" s="1164"/>
      <c r="D136" s="1164"/>
      <c r="E136" s="1164"/>
      <c r="F136" s="1164"/>
      <c r="G136" s="1164"/>
      <c r="H136" s="1165"/>
      <c r="I136" s="336"/>
      <c r="J136" s="546">
        <f t="shared" ref="J136:J138" si="3">IFERROR(SMALL(K136:P136,1),0)</f>
        <v>0</v>
      </c>
      <c r="K136" s="343"/>
      <c r="L136" s="343"/>
      <c r="M136" s="343"/>
      <c r="N136" s="343"/>
      <c r="O136" s="343"/>
      <c r="P136" s="343"/>
    </row>
    <row r="137" spans="2:17" ht="15" customHeight="1" x14ac:dyDescent="0.25">
      <c r="B137" s="186">
        <v>2</v>
      </c>
      <c r="C137" s="1164"/>
      <c r="D137" s="1164"/>
      <c r="E137" s="1164"/>
      <c r="F137" s="1164"/>
      <c r="G137" s="1164"/>
      <c r="H137" s="1165"/>
      <c r="I137" s="336"/>
      <c r="J137" s="546">
        <f t="shared" si="3"/>
        <v>0</v>
      </c>
      <c r="K137" s="343"/>
      <c r="L137" s="343"/>
      <c r="M137" s="343"/>
      <c r="N137" s="343"/>
      <c r="O137" s="343"/>
      <c r="P137" s="343"/>
    </row>
    <row r="138" spans="2:17" ht="15" customHeight="1" x14ac:dyDescent="0.25">
      <c r="B138" s="186">
        <v>3</v>
      </c>
      <c r="C138" s="1164"/>
      <c r="D138" s="1164"/>
      <c r="E138" s="1164"/>
      <c r="F138" s="1164"/>
      <c r="G138" s="1164"/>
      <c r="H138" s="1165"/>
      <c r="I138" s="336"/>
      <c r="J138" s="546">
        <f t="shared" si="3"/>
        <v>0</v>
      </c>
      <c r="K138" s="343"/>
      <c r="L138" s="343"/>
      <c r="M138" s="343"/>
      <c r="N138" s="343"/>
      <c r="O138" s="343"/>
      <c r="P138" s="343"/>
    </row>
    <row r="139" spans="2:17" s="510" customFormat="1" ht="15" customHeight="1" x14ac:dyDescent="0.2">
      <c r="B139" s="516"/>
      <c r="C139" s="1007" t="s">
        <v>928</v>
      </c>
      <c r="D139" s="1007"/>
      <c r="E139" s="1007"/>
      <c r="F139" s="1007"/>
      <c r="G139" s="1007"/>
      <c r="H139" s="1007"/>
      <c r="I139" s="1007"/>
      <c r="J139" s="1007"/>
      <c r="K139" s="521" t="s">
        <v>917</v>
      </c>
      <c r="L139" s="521" t="s">
        <v>926</v>
      </c>
      <c r="M139" s="521" t="s">
        <v>927</v>
      </c>
      <c r="N139" s="521" t="s">
        <v>943</v>
      </c>
      <c r="O139" s="521" t="s">
        <v>944</v>
      </c>
      <c r="P139" s="521" t="s">
        <v>945</v>
      </c>
    </row>
    <row r="140" spans="2:17" s="509" customFormat="1" ht="15" customHeight="1" x14ac:dyDescent="0.2">
      <c r="B140" s="993" t="s">
        <v>918</v>
      </c>
      <c r="C140" s="994"/>
      <c r="D140" s="994"/>
      <c r="E140" s="994"/>
      <c r="F140" s="994"/>
      <c r="G140" s="994"/>
      <c r="H140" s="994"/>
      <c r="I140" s="994"/>
      <c r="J140" s="995"/>
      <c r="K140" s="535"/>
      <c r="L140" s="535"/>
      <c r="M140" s="535"/>
      <c r="N140" s="535"/>
      <c r="O140" s="535"/>
      <c r="P140" s="535"/>
      <c r="Q140" s="752"/>
    </row>
    <row r="141" spans="2:17" s="509" customFormat="1" ht="15" customHeight="1" x14ac:dyDescent="0.2">
      <c r="B141" s="993" t="s">
        <v>919</v>
      </c>
      <c r="C141" s="994"/>
      <c r="D141" s="994"/>
      <c r="E141" s="994"/>
      <c r="F141" s="994"/>
      <c r="G141" s="994"/>
      <c r="H141" s="994"/>
      <c r="I141" s="994"/>
      <c r="J141" s="995"/>
      <c r="K141" s="536"/>
      <c r="L141" s="536"/>
      <c r="M141" s="536"/>
      <c r="N141" s="536"/>
      <c r="O141" s="536"/>
      <c r="P141" s="536"/>
      <c r="Q141" s="752"/>
    </row>
    <row r="142" spans="2:17" s="509" customFormat="1" ht="15" customHeight="1" x14ac:dyDescent="0.2">
      <c r="B142" s="993" t="s">
        <v>920</v>
      </c>
      <c r="C142" s="994"/>
      <c r="D142" s="994"/>
      <c r="E142" s="994"/>
      <c r="F142" s="994"/>
      <c r="G142" s="994"/>
      <c r="H142" s="994"/>
      <c r="I142" s="994"/>
      <c r="J142" s="995"/>
      <c r="K142" s="537"/>
      <c r="L142" s="537"/>
      <c r="M142" s="537"/>
      <c r="N142" s="537"/>
      <c r="O142" s="537"/>
      <c r="P142" s="537"/>
      <c r="Q142" s="752"/>
    </row>
    <row r="143" spans="2:17" s="509" customFormat="1" ht="15" customHeight="1" x14ac:dyDescent="0.2">
      <c r="B143" s="993" t="s">
        <v>921</v>
      </c>
      <c r="C143" s="994"/>
      <c r="D143" s="994"/>
      <c r="E143" s="994"/>
      <c r="F143" s="994"/>
      <c r="G143" s="994"/>
      <c r="H143" s="994"/>
      <c r="I143" s="994"/>
      <c r="J143" s="995"/>
      <c r="K143" s="537"/>
      <c r="L143" s="537"/>
      <c r="M143" s="537"/>
      <c r="N143" s="537"/>
      <c r="O143" s="537"/>
      <c r="P143" s="537"/>
      <c r="Q143" s="752"/>
    </row>
    <row r="144" spans="2:17" s="509" customFormat="1" ht="15" customHeight="1" x14ac:dyDescent="0.2">
      <c r="B144" s="993" t="s">
        <v>922</v>
      </c>
      <c r="C144" s="994"/>
      <c r="D144" s="994"/>
      <c r="E144" s="994"/>
      <c r="F144" s="994"/>
      <c r="G144" s="994"/>
      <c r="H144" s="994"/>
      <c r="I144" s="994"/>
      <c r="J144" s="995"/>
      <c r="K144" s="535"/>
      <c r="L144" s="535"/>
      <c r="M144" s="535"/>
      <c r="N144" s="535"/>
      <c r="O144" s="535"/>
      <c r="P144" s="535"/>
      <c r="Q144" s="752"/>
    </row>
    <row r="145" spans="2:17" s="509" customFormat="1" x14ac:dyDescent="0.2">
      <c r="B145" s="993" t="s">
        <v>923</v>
      </c>
      <c r="C145" s="994"/>
      <c r="D145" s="994"/>
      <c r="E145" s="994"/>
      <c r="F145" s="994"/>
      <c r="G145" s="994"/>
      <c r="H145" s="994"/>
      <c r="I145" s="994"/>
      <c r="J145" s="995"/>
      <c r="K145" s="538"/>
      <c r="L145" s="538"/>
      <c r="M145" s="538"/>
      <c r="N145" s="538"/>
      <c r="O145" s="538"/>
      <c r="P145" s="538"/>
      <c r="Q145" s="752"/>
    </row>
    <row r="146" spans="2:17" s="509" customFormat="1" x14ac:dyDescent="0.2">
      <c r="B146" s="993" t="s">
        <v>924</v>
      </c>
      <c r="C146" s="994"/>
      <c r="D146" s="994"/>
      <c r="E146" s="994"/>
      <c r="F146" s="994"/>
      <c r="G146" s="994"/>
      <c r="H146" s="994"/>
      <c r="I146" s="994"/>
      <c r="J146" s="995"/>
      <c r="K146" s="539"/>
      <c r="L146" s="539"/>
      <c r="M146" s="539"/>
      <c r="N146" s="539"/>
      <c r="O146" s="539"/>
      <c r="P146" s="539"/>
      <c r="Q146" s="752"/>
    </row>
    <row r="147" spans="2:17" s="575" customFormat="1" ht="15" customHeight="1" x14ac:dyDescent="0.2">
      <c r="B147" s="1154" t="s">
        <v>925</v>
      </c>
      <c r="C147" s="1155"/>
      <c r="D147" s="1155"/>
      <c r="E147" s="1155"/>
      <c r="F147" s="1155"/>
      <c r="G147" s="1155"/>
      <c r="H147" s="1155"/>
      <c r="I147" s="1155"/>
      <c r="J147" s="1156"/>
      <c r="K147" s="1097" t="s">
        <v>915</v>
      </c>
      <c r="L147" s="1097"/>
      <c r="M147" s="1097"/>
      <c r="N147" s="1097" t="s">
        <v>915</v>
      </c>
      <c r="O147" s="1097"/>
      <c r="P147" s="1097"/>
    </row>
    <row r="148" spans="2:17" ht="15" customHeight="1" x14ac:dyDescent="0.25">
      <c r="B148" s="1159" t="s">
        <v>707</v>
      </c>
      <c r="C148" s="1160"/>
      <c r="D148" s="1160"/>
      <c r="E148" s="1160"/>
      <c r="F148" s="1160"/>
      <c r="G148" s="1160"/>
      <c r="H148" s="1160"/>
      <c r="I148" s="1160"/>
      <c r="J148" s="1168"/>
      <c r="K148" s="551" t="s">
        <v>917</v>
      </c>
      <c r="L148" s="551" t="s">
        <v>926</v>
      </c>
      <c r="M148" s="551" t="s">
        <v>927</v>
      </c>
      <c r="N148" s="551" t="s">
        <v>943</v>
      </c>
      <c r="O148" s="551" t="s">
        <v>944</v>
      </c>
      <c r="P148" s="551" t="s">
        <v>945</v>
      </c>
    </row>
    <row r="149" spans="2:17" ht="15" customHeight="1" x14ac:dyDescent="0.25">
      <c r="B149" s="1169" t="s">
        <v>15</v>
      </c>
      <c r="C149" s="1166"/>
      <c r="D149" s="1166"/>
      <c r="E149" s="1166"/>
      <c r="F149" s="1166"/>
      <c r="G149" s="1166"/>
      <c r="H149" s="1167"/>
      <c r="I149" s="560" t="s">
        <v>16</v>
      </c>
      <c r="J149" s="560" t="s">
        <v>947</v>
      </c>
      <c r="K149" s="560" t="s">
        <v>929</v>
      </c>
      <c r="L149" s="560" t="s">
        <v>929</v>
      </c>
      <c r="M149" s="560" t="s">
        <v>929</v>
      </c>
      <c r="N149" s="560" t="s">
        <v>929</v>
      </c>
      <c r="O149" s="560" t="s">
        <v>929</v>
      </c>
      <c r="P149" s="560" t="s">
        <v>929</v>
      </c>
    </row>
    <row r="150" spans="2:17" ht="15" customHeight="1" x14ac:dyDescent="0.25">
      <c r="B150" s="186">
        <v>1</v>
      </c>
      <c r="C150" s="1164"/>
      <c r="D150" s="1164"/>
      <c r="E150" s="1164"/>
      <c r="F150" s="1164"/>
      <c r="G150" s="1164"/>
      <c r="H150" s="1165"/>
      <c r="I150" s="336"/>
      <c r="J150" s="546">
        <f t="shared" ref="J150:J152" si="4">IFERROR(SMALL(K150:P150,1),0)</f>
        <v>0</v>
      </c>
      <c r="K150" s="343"/>
      <c r="L150" s="343"/>
      <c r="M150" s="343"/>
      <c r="N150" s="343"/>
      <c r="O150" s="343"/>
      <c r="P150" s="343"/>
    </row>
    <row r="151" spans="2:17" ht="15" customHeight="1" x14ac:dyDescent="0.25">
      <c r="B151" s="186">
        <v>2</v>
      </c>
      <c r="C151" s="1164"/>
      <c r="D151" s="1164"/>
      <c r="E151" s="1164"/>
      <c r="F151" s="1164"/>
      <c r="G151" s="1164"/>
      <c r="H151" s="1165"/>
      <c r="I151" s="336"/>
      <c r="J151" s="546">
        <f t="shared" si="4"/>
        <v>0</v>
      </c>
      <c r="K151" s="343"/>
      <c r="L151" s="343"/>
      <c r="M151" s="343"/>
      <c r="N151" s="343"/>
      <c r="O151" s="343"/>
      <c r="P151" s="343"/>
    </row>
    <row r="152" spans="2:17" ht="15" customHeight="1" x14ac:dyDescent="0.25">
      <c r="B152" s="186">
        <v>3</v>
      </c>
      <c r="C152" s="1164"/>
      <c r="D152" s="1164"/>
      <c r="E152" s="1164"/>
      <c r="F152" s="1164"/>
      <c r="G152" s="1164"/>
      <c r="H152" s="1165"/>
      <c r="I152" s="336"/>
      <c r="J152" s="546">
        <f t="shared" si="4"/>
        <v>0</v>
      </c>
      <c r="K152" s="343"/>
      <c r="L152" s="343"/>
      <c r="M152" s="343"/>
      <c r="N152" s="343"/>
      <c r="O152" s="343"/>
      <c r="P152" s="343"/>
    </row>
    <row r="153" spans="2:17" s="510" customFormat="1" ht="15" customHeight="1" x14ac:dyDescent="0.2">
      <c r="B153" s="516"/>
      <c r="C153" s="1007" t="s">
        <v>928</v>
      </c>
      <c r="D153" s="1007"/>
      <c r="E153" s="1007"/>
      <c r="F153" s="1007"/>
      <c r="G153" s="1007"/>
      <c r="H153" s="1007"/>
      <c r="I153" s="1007"/>
      <c r="J153" s="1007"/>
      <c r="K153" s="521" t="s">
        <v>917</v>
      </c>
      <c r="L153" s="521" t="s">
        <v>926</v>
      </c>
      <c r="M153" s="521" t="s">
        <v>927</v>
      </c>
      <c r="N153" s="521" t="s">
        <v>943</v>
      </c>
      <c r="O153" s="521" t="s">
        <v>944</v>
      </c>
      <c r="P153" s="521" t="s">
        <v>945</v>
      </c>
    </row>
    <row r="154" spans="2:17" s="509" customFormat="1" ht="15" customHeight="1" x14ac:dyDescent="0.2">
      <c r="B154" s="993" t="s">
        <v>918</v>
      </c>
      <c r="C154" s="994"/>
      <c r="D154" s="994"/>
      <c r="E154" s="994"/>
      <c r="F154" s="994"/>
      <c r="G154" s="994"/>
      <c r="H154" s="994"/>
      <c r="I154" s="994"/>
      <c r="J154" s="995"/>
      <c r="K154" s="535"/>
      <c r="L154" s="535"/>
      <c r="M154" s="535"/>
      <c r="N154" s="535"/>
      <c r="O154" s="535"/>
      <c r="P154" s="535"/>
      <c r="Q154" s="752"/>
    </row>
    <row r="155" spans="2:17" s="509" customFormat="1" ht="15" customHeight="1" x14ac:dyDescent="0.2">
      <c r="B155" s="993" t="s">
        <v>919</v>
      </c>
      <c r="C155" s="994"/>
      <c r="D155" s="994"/>
      <c r="E155" s="994"/>
      <c r="F155" s="994"/>
      <c r="G155" s="994"/>
      <c r="H155" s="994"/>
      <c r="I155" s="994"/>
      <c r="J155" s="995"/>
      <c r="K155" s="536"/>
      <c r="L155" s="536"/>
      <c r="M155" s="536"/>
      <c r="N155" s="536"/>
      <c r="O155" s="536"/>
      <c r="P155" s="536"/>
      <c r="Q155" s="752"/>
    </row>
    <row r="156" spans="2:17" s="509" customFormat="1" ht="15" customHeight="1" x14ac:dyDescent="0.2">
      <c r="B156" s="993" t="s">
        <v>920</v>
      </c>
      <c r="C156" s="994"/>
      <c r="D156" s="994"/>
      <c r="E156" s="994"/>
      <c r="F156" s="994"/>
      <c r="G156" s="994"/>
      <c r="H156" s="994"/>
      <c r="I156" s="994"/>
      <c r="J156" s="995"/>
      <c r="K156" s="537"/>
      <c r="L156" s="537"/>
      <c r="M156" s="537"/>
      <c r="N156" s="537"/>
      <c r="O156" s="537"/>
      <c r="P156" s="537"/>
      <c r="Q156" s="752"/>
    </row>
    <row r="157" spans="2:17" s="509" customFormat="1" ht="15" customHeight="1" x14ac:dyDescent="0.2">
      <c r="B157" s="993" t="s">
        <v>921</v>
      </c>
      <c r="C157" s="994"/>
      <c r="D157" s="994"/>
      <c r="E157" s="994"/>
      <c r="F157" s="994"/>
      <c r="G157" s="994"/>
      <c r="H157" s="994"/>
      <c r="I157" s="994"/>
      <c r="J157" s="995"/>
      <c r="K157" s="537"/>
      <c r="L157" s="537"/>
      <c r="M157" s="537"/>
      <c r="N157" s="537"/>
      <c r="O157" s="537"/>
      <c r="P157" s="537"/>
      <c r="Q157" s="752"/>
    </row>
    <row r="158" spans="2:17" s="509" customFormat="1" ht="15" customHeight="1" x14ac:dyDescent="0.2">
      <c r="B158" s="993" t="s">
        <v>922</v>
      </c>
      <c r="C158" s="994"/>
      <c r="D158" s="994"/>
      <c r="E158" s="994"/>
      <c r="F158" s="994"/>
      <c r="G158" s="994"/>
      <c r="H158" s="994"/>
      <c r="I158" s="994"/>
      <c r="J158" s="995"/>
      <c r="K158" s="535"/>
      <c r="L158" s="535"/>
      <c r="M158" s="535"/>
      <c r="N158" s="535"/>
      <c r="O158" s="535"/>
      <c r="P158" s="535"/>
      <c r="Q158" s="752"/>
    </row>
    <row r="159" spans="2:17" s="509" customFormat="1" x14ac:dyDescent="0.2">
      <c r="B159" s="993" t="s">
        <v>923</v>
      </c>
      <c r="C159" s="994"/>
      <c r="D159" s="994"/>
      <c r="E159" s="994"/>
      <c r="F159" s="994"/>
      <c r="G159" s="994"/>
      <c r="H159" s="994"/>
      <c r="I159" s="994"/>
      <c r="J159" s="995"/>
      <c r="K159" s="538"/>
      <c r="L159" s="538"/>
      <c r="M159" s="538"/>
      <c r="N159" s="538"/>
      <c r="O159" s="538"/>
      <c r="P159" s="538"/>
      <c r="Q159" s="752"/>
    </row>
    <row r="160" spans="2:17" s="509" customFormat="1" x14ac:dyDescent="0.2">
      <c r="B160" s="993" t="s">
        <v>924</v>
      </c>
      <c r="C160" s="994"/>
      <c r="D160" s="994"/>
      <c r="E160" s="994"/>
      <c r="F160" s="994"/>
      <c r="G160" s="994"/>
      <c r="H160" s="994"/>
      <c r="I160" s="994"/>
      <c r="J160" s="995"/>
      <c r="K160" s="539"/>
      <c r="L160" s="539"/>
      <c r="M160" s="539"/>
      <c r="N160" s="539"/>
      <c r="O160" s="539"/>
      <c r="P160" s="539"/>
      <c r="Q160" s="752"/>
    </row>
    <row r="161" spans="2:16" s="575" customFormat="1" ht="15" customHeight="1" x14ac:dyDescent="0.2">
      <c r="B161" s="1154" t="s">
        <v>925</v>
      </c>
      <c r="C161" s="1155"/>
      <c r="D161" s="1155"/>
      <c r="E161" s="1155"/>
      <c r="F161" s="1155"/>
      <c r="G161" s="1155"/>
      <c r="H161" s="1155"/>
      <c r="I161" s="1155"/>
      <c r="J161" s="1156"/>
      <c r="K161" s="1097" t="s">
        <v>915</v>
      </c>
      <c r="L161" s="1097"/>
      <c r="M161" s="1097"/>
      <c r="N161" s="1097" t="s">
        <v>915</v>
      </c>
      <c r="O161" s="1097"/>
      <c r="P161" s="1097"/>
    </row>
  </sheetData>
  <sheetProtection algorithmName="SHA-512" hashValue="slo8oVJtV6YTe5m83DkIp84+04yUP+tATjJLD8ZBeI3fayKPY2O/cWBlvwINMEpUmoZQXRmWxHFuRF0qlS96Qw==" saltValue="SZHy+/ckS5U7m4bOidlmgQ==" spinCount="100000" sheet="1" objects="1" scenarios="1"/>
  <mergeCells count="168">
    <mergeCell ref="B158:J158"/>
    <mergeCell ref="B159:J159"/>
    <mergeCell ref="B160:J160"/>
    <mergeCell ref="B161:J161"/>
    <mergeCell ref="K161:M161"/>
    <mergeCell ref="N161:P161"/>
    <mergeCell ref="C152:H152"/>
    <mergeCell ref="C153:J153"/>
    <mergeCell ref="B154:J154"/>
    <mergeCell ref="B155:J155"/>
    <mergeCell ref="B156:J156"/>
    <mergeCell ref="B157:J157"/>
    <mergeCell ref="K147:M147"/>
    <mergeCell ref="N147:P147"/>
    <mergeCell ref="B148:J148"/>
    <mergeCell ref="B149:H149"/>
    <mergeCell ref="C150:H150"/>
    <mergeCell ref="C151:H151"/>
    <mergeCell ref="B142:J142"/>
    <mergeCell ref="B143:J143"/>
    <mergeCell ref="B144:J144"/>
    <mergeCell ref="B145:J145"/>
    <mergeCell ref="B146:J146"/>
    <mergeCell ref="B147:J147"/>
    <mergeCell ref="C136:H136"/>
    <mergeCell ref="C137:H137"/>
    <mergeCell ref="C138:H138"/>
    <mergeCell ref="C139:J139"/>
    <mergeCell ref="B140:J140"/>
    <mergeCell ref="B141:J141"/>
    <mergeCell ref="B132:J132"/>
    <mergeCell ref="B133:J133"/>
    <mergeCell ref="K133:M133"/>
    <mergeCell ref="N133:P133"/>
    <mergeCell ref="B134:J134"/>
    <mergeCell ref="C135:H135"/>
    <mergeCell ref="B126:J126"/>
    <mergeCell ref="B127:J127"/>
    <mergeCell ref="B128:J128"/>
    <mergeCell ref="B129:J129"/>
    <mergeCell ref="B130:J130"/>
    <mergeCell ref="B131:J131"/>
    <mergeCell ref="C120:G120"/>
    <mergeCell ref="C121:G121"/>
    <mergeCell ref="C122:G122"/>
    <mergeCell ref="C123:G123"/>
    <mergeCell ref="C124:G124"/>
    <mergeCell ref="C125:J125"/>
    <mergeCell ref="B116:J116"/>
    <mergeCell ref="B117:J117"/>
    <mergeCell ref="K117:M117"/>
    <mergeCell ref="N117:P117"/>
    <mergeCell ref="B118:J118"/>
    <mergeCell ref="C119:G119"/>
    <mergeCell ref="B110:J110"/>
    <mergeCell ref="B111:J111"/>
    <mergeCell ref="B112:J112"/>
    <mergeCell ref="B113:J113"/>
    <mergeCell ref="B114:J114"/>
    <mergeCell ref="B115:J115"/>
    <mergeCell ref="C104:G104"/>
    <mergeCell ref="C105:G105"/>
    <mergeCell ref="C106:G106"/>
    <mergeCell ref="C107:G107"/>
    <mergeCell ref="C108:G108"/>
    <mergeCell ref="C109:J109"/>
    <mergeCell ref="C98:G98"/>
    <mergeCell ref="C99:G99"/>
    <mergeCell ref="C100:G100"/>
    <mergeCell ref="C101:G101"/>
    <mergeCell ref="C102:G102"/>
    <mergeCell ref="C103:G103"/>
    <mergeCell ref="C92:G92"/>
    <mergeCell ref="C93:G93"/>
    <mergeCell ref="C94:G94"/>
    <mergeCell ref="C95:G95"/>
    <mergeCell ref="C96:G96"/>
    <mergeCell ref="C97:G97"/>
    <mergeCell ref="C86:G86"/>
    <mergeCell ref="C87:G87"/>
    <mergeCell ref="C88:G88"/>
    <mergeCell ref="C89:G89"/>
    <mergeCell ref="C90:G90"/>
    <mergeCell ref="C91:G91"/>
    <mergeCell ref="C80:G80"/>
    <mergeCell ref="C81:G81"/>
    <mergeCell ref="C82:G82"/>
    <mergeCell ref="C83:G83"/>
    <mergeCell ref="C84:G84"/>
    <mergeCell ref="C85:G85"/>
    <mergeCell ref="C74:G74"/>
    <mergeCell ref="C75:G75"/>
    <mergeCell ref="C76:G76"/>
    <mergeCell ref="C77:G77"/>
    <mergeCell ref="C78:G78"/>
    <mergeCell ref="C79:G79"/>
    <mergeCell ref="C68:G68"/>
    <mergeCell ref="C69:G69"/>
    <mergeCell ref="C70:G70"/>
    <mergeCell ref="C71:G71"/>
    <mergeCell ref="C72:G72"/>
    <mergeCell ref="C73:G73"/>
    <mergeCell ref="C62:G62"/>
    <mergeCell ref="C63:G63"/>
    <mergeCell ref="C64:G64"/>
    <mergeCell ref="C65:G65"/>
    <mergeCell ref="C66:G66"/>
    <mergeCell ref="C67:G67"/>
    <mergeCell ref="C56:G56"/>
    <mergeCell ref="C57:G57"/>
    <mergeCell ref="C58:G58"/>
    <mergeCell ref="C59:G59"/>
    <mergeCell ref="C60:G60"/>
    <mergeCell ref="C61:G61"/>
    <mergeCell ref="C50:G50"/>
    <mergeCell ref="C51:G51"/>
    <mergeCell ref="C52:G52"/>
    <mergeCell ref="C53:G53"/>
    <mergeCell ref="C54:G54"/>
    <mergeCell ref="C55:G55"/>
    <mergeCell ref="C44:G44"/>
    <mergeCell ref="C45:G45"/>
    <mergeCell ref="C46:G46"/>
    <mergeCell ref="C47:G47"/>
    <mergeCell ref="C48:G48"/>
    <mergeCell ref="C49:G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B2:J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0">
    <tabColor theme="7"/>
  </sheetPr>
  <dimension ref="B2:Z147"/>
  <sheetViews>
    <sheetView showGridLines="0" zoomScale="90" zoomScaleNormal="90" workbookViewId="0">
      <pane ySplit="5" topLeftCell="A6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4" width="14.42578125" style="409" customWidth="1"/>
    <col min="15" max="16" width="3.42578125" style="409" customWidth="1"/>
    <col min="17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5.85546875" style="409" bestFit="1" customWidth="1"/>
    <col min="26" max="16384" width="9.140625" style="409"/>
  </cols>
  <sheetData>
    <row r="2" spans="2:26" ht="22.5" customHeight="1" x14ac:dyDescent="0.25">
      <c r="B2" s="1157" t="s">
        <v>961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MOTOR (ORIGEM DOS RECURSOS)</v>
      </c>
      <c r="Q2" s="1158"/>
      <c r="R2" s="1158"/>
      <c r="S2" s="1158"/>
      <c r="T2" s="1158"/>
      <c r="U2" s="1158"/>
      <c r="V2" s="1158"/>
      <c r="W2" s="1158"/>
      <c r="X2" s="1173"/>
      <c r="Y2" s="416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14"/>
      <c r="Q5" s="315"/>
      <c r="R5" s="315"/>
      <c r="S5" s="315"/>
      <c r="T5" s="315"/>
      <c r="U5" s="315"/>
      <c r="V5" s="315"/>
      <c r="W5" s="315"/>
      <c r="X5" s="316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317" t="s">
        <v>285</v>
      </c>
      <c r="I7" s="317" t="s">
        <v>16</v>
      </c>
      <c r="J7" s="317" t="s">
        <v>239</v>
      </c>
      <c r="K7" s="172" t="s">
        <v>286</v>
      </c>
      <c r="L7" s="317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17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175" t="str">
        <f>IF(ISBLANK('MotorCusto (ORÇ)'!C8)," ",'MotorCusto (ORÇ)'!C8)</f>
        <v xml:space="preserve"> </v>
      </c>
      <c r="D8" s="1176"/>
      <c r="E8" s="1176"/>
      <c r="F8" s="1176"/>
      <c r="G8" s="1176"/>
      <c r="H8" s="581">
        <f>'MotorCusto (ORÇ)'!H8</f>
        <v>0</v>
      </c>
      <c r="I8" s="582">
        <f>'MotorCusto (ORÇ)'!I8</f>
        <v>0</v>
      </c>
      <c r="J8" s="574">
        <f>'MotorCusto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17">
        <f>V8*X8</f>
        <v>0</v>
      </c>
    </row>
    <row r="9" spans="2:26" ht="15" customHeight="1" outlineLevel="1" x14ac:dyDescent="0.25">
      <c r="B9" s="175">
        <v>2</v>
      </c>
      <c r="C9" s="1175" t="str">
        <f>IF(ISBLANK('MotorCusto (ORÇ)'!C9)," ",'MotorCusto (ORÇ)'!C9)</f>
        <v xml:space="preserve"> </v>
      </c>
      <c r="D9" s="1176"/>
      <c r="E9" s="1176"/>
      <c r="F9" s="1176"/>
      <c r="G9" s="1176"/>
      <c r="H9" s="581">
        <f>'MotorCusto (ORÇ)'!H9</f>
        <v>0</v>
      </c>
      <c r="I9" s="582">
        <f>'MotorCusto (ORÇ)'!I9</f>
        <v>0</v>
      </c>
      <c r="J9" s="574">
        <f>'MotorCusto (ORÇ)'!J9</f>
        <v>0</v>
      </c>
      <c r="K9" s="344">
        <f t="shared" ref="K9:K72" si="0">I9*J9</f>
        <v>0</v>
      </c>
      <c r="L9" s="344">
        <f t="shared" ref="L9:L72" si="1">K9-M9-N9</f>
        <v>0</v>
      </c>
      <c r="M9" s="343"/>
      <c r="N9" s="343"/>
      <c r="O9" s="410"/>
      <c r="P9" s="173">
        <f t="shared" ref="P9:P106" si="2">B9</f>
        <v>2</v>
      </c>
      <c r="Q9" s="1177" t="str">
        <f t="shared" ref="Q9:Q72" si="3">IF(OR(C9=0,C9=""),"",C9)</f>
        <v xml:space="preserve"> </v>
      </c>
      <c r="R9" s="1177"/>
      <c r="S9" s="1177"/>
      <c r="T9" s="1177"/>
      <c r="U9" s="1178"/>
      <c r="V9" s="174">
        <f t="shared" ref="V9:V72" si="4">IF(H9="",0,H9)</f>
        <v>0</v>
      </c>
      <c r="W9" s="345">
        <f t="shared" ref="W9:W72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17">
        <f t="shared" ref="Y9:Y72" si="6">V9*X9</f>
        <v>0</v>
      </c>
    </row>
    <row r="10" spans="2:26" ht="15" customHeight="1" outlineLevel="1" x14ac:dyDescent="0.25">
      <c r="B10" s="173">
        <v>3</v>
      </c>
      <c r="C10" s="1175" t="str">
        <f>IF(ISBLANK('MotorCusto (ORÇ)'!C10)," ",'MotorCusto (ORÇ)'!C10)</f>
        <v xml:space="preserve"> </v>
      </c>
      <c r="D10" s="1176"/>
      <c r="E10" s="1176"/>
      <c r="F10" s="1176"/>
      <c r="G10" s="1176"/>
      <c r="H10" s="581">
        <f>'MotorCusto (ORÇ)'!H10</f>
        <v>0</v>
      </c>
      <c r="I10" s="582">
        <f>'MotorCusto (ORÇ)'!I10</f>
        <v>0</v>
      </c>
      <c r="J10" s="574">
        <f>'MotorCusto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17">
        <f t="shared" si="6"/>
        <v>0</v>
      </c>
    </row>
    <row r="11" spans="2:26" ht="15" customHeight="1" outlineLevel="1" x14ac:dyDescent="0.25">
      <c r="B11" s="175">
        <v>4</v>
      </c>
      <c r="C11" s="1175" t="str">
        <f>IF(ISBLANK('MotorCusto (ORÇ)'!C11)," ",'MotorCusto (ORÇ)'!C11)</f>
        <v xml:space="preserve"> </v>
      </c>
      <c r="D11" s="1176"/>
      <c r="E11" s="1176"/>
      <c r="F11" s="1176"/>
      <c r="G11" s="1176"/>
      <c r="H11" s="581">
        <f>'MotorCusto (ORÇ)'!H11</f>
        <v>0</v>
      </c>
      <c r="I11" s="582">
        <f>'MotorCusto (ORÇ)'!I11</f>
        <v>0</v>
      </c>
      <c r="J11" s="574">
        <f>'MotorCusto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17">
        <f t="shared" si="6"/>
        <v>0</v>
      </c>
    </row>
    <row r="12" spans="2:26" ht="15" customHeight="1" outlineLevel="1" x14ac:dyDescent="0.25">
      <c r="B12" s="173">
        <v>5</v>
      </c>
      <c r="C12" s="1175" t="str">
        <f>IF(ISBLANK('MotorCusto (ORÇ)'!C12)," ",'MotorCusto (ORÇ)'!C12)</f>
        <v xml:space="preserve"> </v>
      </c>
      <c r="D12" s="1176"/>
      <c r="E12" s="1176"/>
      <c r="F12" s="1176"/>
      <c r="G12" s="1176"/>
      <c r="H12" s="581" t="str">
        <f>'MotorCusto (ORÇ)'!H12</f>
        <v xml:space="preserve"> </v>
      </c>
      <c r="I12" s="582">
        <f>'MotorCusto (ORÇ)'!I12</f>
        <v>0</v>
      </c>
      <c r="J12" s="574">
        <f>'MotorCusto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 t="str">
        <f t="shared" si="4"/>
        <v xml:space="preserve"> </v>
      </c>
      <c r="W12" s="345" t="e">
        <f t="shared" si="5"/>
        <v>#VALUE!</v>
      </c>
      <c r="X12" s="346">
        <f>IF(AND(K12&gt;0,'Custo Contábil'!$D$7&gt;0),ROUND(K12*('Custo Contábil'!$D$20/'Custo Contábil'!$D$7)*W12,2),0)</f>
        <v>0</v>
      </c>
      <c r="Y12" s="417" t="e">
        <f t="shared" si="6"/>
        <v>#VALUE!</v>
      </c>
    </row>
    <row r="13" spans="2:26" ht="15" customHeight="1" outlineLevel="1" x14ac:dyDescent="0.25">
      <c r="B13" s="175">
        <v>6</v>
      </c>
      <c r="C13" s="1175" t="str">
        <f>IF(ISBLANK('MotorCusto (ORÇ)'!C13)," ",'MotorCusto (ORÇ)'!C13)</f>
        <v xml:space="preserve"> </v>
      </c>
      <c r="D13" s="1176"/>
      <c r="E13" s="1176"/>
      <c r="F13" s="1176"/>
      <c r="G13" s="1176"/>
      <c r="H13" s="581">
        <f>'MotorCusto (ORÇ)'!H13</f>
        <v>0</v>
      </c>
      <c r="I13" s="582">
        <f>'MotorCusto (ORÇ)'!I13</f>
        <v>0</v>
      </c>
      <c r="J13" s="574">
        <f>'MotorCusto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17">
        <f t="shared" si="6"/>
        <v>0</v>
      </c>
    </row>
    <row r="14" spans="2:26" ht="15" customHeight="1" outlineLevel="1" x14ac:dyDescent="0.25">
      <c r="B14" s="173">
        <v>7</v>
      </c>
      <c r="C14" s="1175" t="str">
        <f>IF(ISBLANK('MotorCusto (ORÇ)'!C14)," ",'MotorCusto (ORÇ)'!C14)</f>
        <v xml:space="preserve"> </v>
      </c>
      <c r="D14" s="1176"/>
      <c r="E14" s="1176"/>
      <c r="F14" s="1176"/>
      <c r="G14" s="1176"/>
      <c r="H14" s="581">
        <f>'MotorCusto (ORÇ)'!H14</f>
        <v>0</v>
      </c>
      <c r="I14" s="582">
        <f>'MotorCusto (ORÇ)'!I14</f>
        <v>0</v>
      </c>
      <c r="J14" s="574">
        <f>'MotorCusto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17">
        <f t="shared" si="6"/>
        <v>0</v>
      </c>
    </row>
    <row r="15" spans="2:26" ht="15" customHeight="1" outlineLevel="1" x14ac:dyDescent="0.25">
      <c r="B15" s="175">
        <v>8</v>
      </c>
      <c r="C15" s="1175" t="str">
        <f>IF(ISBLANK('MotorCusto (ORÇ)'!C15)," ",'MotorCusto (ORÇ)'!C15)</f>
        <v xml:space="preserve"> </v>
      </c>
      <c r="D15" s="1176"/>
      <c r="E15" s="1176"/>
      <c r="F15" s="1176"/>
      <c r="G15" s="1176"/>
      <c r="H15" s="581">
        <f>'MotorCusto (ORÇ)'!H15</f>
        <v>0</v>
      </c>
      <c r="I15" s="582">
        <f>'MotorCusto (ORÇ)'!I15</f>
        <v>0</v>
      </c>
      <c r="J15" s="574">
        <f>'MotorCusto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17">
        <f t="shared" si="6"/>
        <v>0</v>
      </c>
    </row>
    <row r="16" spans="2:26" ht="15" customHeight="1" outlineLevel="1" x14ac:dyDescent="0.25">
      <c r="B16" s="173">
        <v>9</v>
      </c>
      <c r="C16" s="1175" t="str">
        <f>IF(ISBLANK('MotorCusto (ORÇ)'!C16)," ",'MotorCusto (ORÇ)'!C16)</f>
        <v xml:space="preserve"> </v>
      </c>
      <c r="D16" s="1176"/>
      <c r="E16" s="1176"/>
      <c r="F16" s="1176"/>
      <c r="G16" s="1176"/>
      <c r="H16" s="581">
        <f>'MotorCusto (ORÇ)'!H16</f>
        <v>0</v>
      </c>
      <c r="I16" s="582">
        <f>'MotorCusto (ORÇ)'!I16</f>
        <v>0</v>
      </c>
      <c r="J16" s="574">
        <f>'MotorCusto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17">
        <f t="shared" si="6"/>
        <v>0</v>
      </c>
    </row>
    <row r="17" spans="2:25" outlineLevel="1" x14ac:dyDescent="0.25">
      <c r="B17" s="175">
        <v>10</v>
      </c>
      <c r="C17" s="1175" t="str">
        <f>IF(ISBLANK('MotorCusto (ORÇ)'!C17)," ",'MotorCusto (ORÇ)'!C17)</f>
        <v xml:space="preserve"> </v>
      </c>
      <c r="D17" s="1176"/>
      <c r="E17" s="1176"/>
      <c r="F17" s="1176"/>
      <c r="G17" s="1176"/>
      <c r="H17" s="581">
        <f>'MotorCusto (ORÇ)'!H17</f>
        <v>0</v>
      </c>
      <c r="I17" s="582">
        <f>'MotorCusto (ORÇ)'!I17</f>
        <v>0</v>
      </c>
      <c r="J17" s="574">
        <f>'MotorCusto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17">
        <f t="shared" si="6"/>
        <v>0</v>
      </c>
    </row>
    <row r="18" spans="2:25" outlineLevel="1" x14ac:dyDescent="0.25">
      <c r="B18" s="173">
        <v>11</v>
      </c>
      <c r="C18" s="1175" t="str">
        <f>IF(ISBLANK('MotorCusto (ORÇ)'!C18)," ",'MotorCusto (ORÇ)'!C18)</f>
        <v xml:space="preserve"> </v>
      </c>
      <c r="D18" s="1176"/>
      <c r="E18" s="1176"/>
      <c r="F18" s="1176"/>
      <c r="G18" s="1176"/>
      <c r="H18" s="581">
        <f>'MotorCusto (ORÇ)'!H18</f>
        <v>0</v>
      </c>
      <c r="I18" s="582">
        <f>'MotorCusto (ORÇ)'!I18</f>
        <v>0</v>
      </c>
      <c r="J18" s="574">
        <f>'MotorCusto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17">
        <f t="shared" si="6"/>
        <v>0</v>
      </c>
    </row>
    <row r="19" spans="2:25" outlineLevel="1" x14ac:dyDescent="0.25">
      <c r="B19" s="175">
        <v>12</v>
      </c>
      <c r="C19" s="1175" t="str">
        <f>IF(ISBLANK('MotorCusto (ORÇ)'!C19)," ",'MotorCusto (ORÇ)'!C19)</f>
        <v xml:space="preserve"> </v>
      </c>
      <c r="D19" s="1176"/>
      <c r="E19" s="1176"/>
      <c r="F19" s="1176"/>
      <c r="G19" s="1176"/>
      <c r="H19" s="581">
        <f>'MotorCusto (ORÇ)'!H19</f>
        <v>0</v>
      </c>
      <c r="I19" s="582">
        <f>'MotorCusto (ORÇ)'!I19</f>
        <v>0</v>
      </c>
      <c r="J19" s="574">
        <f>'MotorCusto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17">
        <f t="shared" si="6"/>
        <v>0</v>
      </c>
    </row>
    <row r="20" spans="2:25" outlineLevel="1" x14ac:dyDescent="0.25">
      <c r="B20" s="173">
        <v>13</v>
      </c>
      <c r="C20" s="1175" t="str">
        <f>IF(ISBLANK('MotorCusto (ORÇ)'!C20)," ",'MotorCusto (ORÇ)'!C20)</f>
        <v xml:space="preserve"> </v>
      </c>
      <c r="D20" s="1176"/>
      <c r="E20" s="1176"/>
      <c r="F20" s="1176"/>
      <c r="G20" s="1176"/>
      <c r="H20" s="581">
        <f>'MotorCusto (ORÇ)'!H20</f>
        <v>0</v>
      </c>
      <c r="I20" s="582">
        <f>'MotorCusto (ORÇ)'!I20</f>
        <v>0</v>
      </c>
      <c r="J20" s="574">
        <f>'MotorCusto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17">
        <f t="shared" si="6"/>
        <v>0</v>
      </c>
    </row>
    <row r="21" spans="2:25" outlineLevel="1" x14ac:dyDescent="0.25">
      <c r="B21" s="175">
        <v>14</v>
      </c>
      <c r="C21" s="1175" t="str">
        <f>IF(ISBLANK('MotorCusto (ORÇ)'!C21)," ",'MotorCusto (ORÇ)'!C21)</f>
        <v xml:space="preserve"> </v>
      </c>
      <c r="D21" s="1176"/>
      <c r="E21" s="1176"/>
      <c r="F21" s="1176"/>
      <c r="G21" s="1176"/>
      <c r="H21" s="581">
        <f>'MotorCusto (ORÇ)'!H21</f>
        <v>0</v>
      </c>
      <c r="I21" s="582">
        <f>'MotorCusto (ORÇ)'!I21</f>
        <v>0</v>
      </c>
      <c r="J21" s="574">
        <f>'MotorCusto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17">
        <f t="shared" si="6"/>
        <v>0</v>
      </c>
    </row>
    <row r="22" spans="2:25" outlineLevel="1" x14ac:dyDescent="0.25">
      <c r="B22" s="173">
        <v>15</v>
      </c>
      <c r="C22" s="1175" t="str">
        <f>IF(ISBLANK('MotorCusto (ORÇ)'!C22)," ",'MotorCusto (ORÇ)'!C22)</f>
        <v xml:space="preserve"> </v>
      </c>
      <c r="D22" s="1176"/>
      <c r="E22" s="1176"/>
      <c r="F22" s="1176"/>
      <c r="G22" s="1176"/>
      <c r="H22" s="581">
        <f>'MotorCusto (ORÇ)'!H22</f>
        <v>0</v>
      </c>
      <c r="I22" s="582">
        <f>'MotorCusto (ORÇ)'!I22</f>
        <v>0</v>
      </c>
      <c r="J22" s="574">
        <f>'MotorCusto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17">
        <f t="shared" si="6"/>
        <v>0</v>
      </c>
    </row>
    <row r="23" spans="2:25" outlineLevel="1" x14ac:dyDescent="0.25">
      <c r="B23" s="175">
        <v>16</v>
      </c>
      <c r="C23" s="1175" t="str">
        <f>IF(ISBLANK('MotorCusto (ORÇ)'!C23)," ",'MotorCusto (ORÇ)'!C23)</f>
        <v xml:space="preserve"> </v>
      </c>
      <c r="D23" s="1176"/>
      <c r="E23" s="1176"/>
      <c r="F23" s="1176"/>
      <c r="G23" s="1176"/>
      <c r="H23" s="581">
        <f>'MotorCusto (ORÇ)'!H23</f>
        <v>0</v>
      </c>
      <c r="I23" s="582">
        <f>'MotorCusto (ORÇ)'!I23</f>
        <v>0</v>
      </c>
      <c r="J23" s="574">
        <f>'MotorCusto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17">
        <f t="shared" si="6"/>
        <v>0</v>
      </c>
    </row>
    <row r="24" spans="2:25" outlineLevel="1" x14ac:dyDescent="0.25">
      <c r="B24" s="173">
        <v>17</v>
      </c>
      <c r="C24" s="1175" t="str">
        <f>IF(ISBLANK('MotorCusto (ORÇ)'!C24)," ",'MotorCusto (ORÇ)'!C24)</f>
        <v xml:space="preserve"> </v>
      </c>
      <c r="D24" s="1176"/>
      <c r="E24" s="1176"/>
      <c r="F24" s="1176"/>
      <c r="G24" s="1176"/>
      <c r="H24" s="581">
        <f>'MotorCusto (ORÇ)'!H24</f>
        <v>0</v>
      </c>
      <c r="I24" s="582">
        <f>'MotorCusto (ORÇ)'!I24</f>
        <v>0</v>
      </c>
      <c r="J24" s="574">
        <f>'MotorCusto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17">
        <f t="shared" si="6"/>
        <v>0</v>
      </c>
    </row>
    <row r="25" spans="2:25" outlineLevel="1" x14ac:dyDescent="0.25">
      <c r="B25" s="175">
        <v>18</v>
      </c>
      <c r="C25" s="1175" t="str">
        <f>IF(ISBLANK('MotorCusto (ORÇ)'!C25)," ",'MotorCusto (ORÇ)'!C25)</f>
        <v xml:space="preserve"> </v>
      </c>
      <c r="D25" s="1176"/>
      <c r="E25" s="1176"/>
      <c r="F25" s="1176"/>
      <c r="G25" s="1176"/>
      <c r="H25" s="581">
        <f>'MotorCusto (ORÇ)'!H25</f>
        <v>0</v>
      </c>
      <c r="I25" s="582">
        <f>'MotorCusto (ORÇ)'!I25</f>
        <v>0</v>
      </c>
      <c r="J25" s="574">
        <f>'MotorCusto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17">
        <f t="shared" si="6"/>
        <v>0</v>
      </c>
    </row>
    <row r="26" spans="2:25" outlineLevel="1" x14ac:dyDescent="0.25">
      <c r="B26" s="173">
        <v>19</v>
      </c>
      <c r="C26" s="1175" t="str">
        <f>IF(ISBLANK('MotorCusto (ORÇ)'!C26)," ",'MotorCusto (ORÇ)'!C26)</f>
        <v xml:space="preserve"> </v>
      </c>
      <c r="D26" s="1176"/>
      <c r="E26" s="1176"/>
      <c r="F26" s="1176"/>
      <c r="G26" s="1176"/>
      <c r="H26" s="581">
        <f>'MotorCusto (ORÇ)'!H26</f>
        <v>0</v>
      </c>
      <c r="I26" s="582">
        <f>'MotorCusto (ORÇ)'!I26</f>
        <v>0</v>
      </c>
      <c r="J26" s="574">
        <f>'MotorCusto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17">
        <f t="shared" si="6"/>
        <v>0</v>
      </c>
    </row>
    <row r="27" spans="2:25" outlineLevel="1" x14ac:dyDescent="0.25">
      <c r="B27" s="175">
        <v>20</v>
      </c>
      <c r="C27" s="1175" t="str">
        <f>IF(ISBLANK('MotorCusto (ORÇ)'!C27)," ",'MotorCusto (ORÇ)'!C27)</f>
        <v xml:space="preserve"> </v>
      </c>
      <c r="D27" s="1176"/>
      <c r="E27" s="1176"/>
      <c r="F27" s="1176"/>
      <c r="G27" s="1176"/>
      <c r="H27" s="581">
        <f>'MotorCusto (ORÇ)'!H27</f>
        <v>0</v>
      </c>
      <c r="I27" s="582">
        <f>'MotorCusto (ORÇ)'!I27</f>
        <v>0</v>
      </c>
      <c r="J27" s="574">
        <f>'MotorCusto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17">
        <f t="shared" si="6"/>
        <v>0</v>
      </c>
    </row>
    <row r="28" spans="2:25" outlineLevel="1" x14ac:dyDescent="0.25">
      <c r="B28" s="173">
        <v>21</v>
      </c>
      <c r="C28" s="1175" t="str">
        <f>IF(ISBLANK('MotorCusto (ORÇ)'!C28)," ",'MotorCusto (ORÇ)'!C28)</f>
        <v xml:space="preserve"> </v>
      </c>
      <c r="D28" s="1176"/>
      <c r="E28" s="1176"/>
      <c r="F28" s="1176"/>
      <c r="G28" s="1176"/>
      <c r="H28" s="581">
        <f>'MotorCusto (ORÇ)'!H28</f>
        <v>0</v>
      </c>
      <c r="I28" s="582">
        <f>'MotorCusto (ORÇ)'!I28</f>
        <v>0</v>
      </c>
      <c r="J28" s="574">
        <f>'MotorCusto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17">
        <f t="shared" si="6"/>
        <v>0</v>
      </c>
    </row>
    <row r="29" spans="2:25" outlineLevel="1" x14ac:dyDescent="0.25">
      <c r="B29" s="175">
        <v>22</v>
      </c>
      <c r="C29" s="1175" t="str">
        <f>IF(ISBLANK('MotorCusto (ORÇ)'!C29)," ",'MotorCusto (ORÇ)'!C29)</f>
        <v xml:space="preserve"> </v>
      </c>
      <c r="D29" s="1176"/>
      <c r="E29" s="1176"/>
      <c r="F29" s="1176"/>
      <c r="G29" s="1176"/>
      <c r="H29" s="581">
        <f>'MotorCusto (ORÇ)'!H29</f>
        <v>0</v>
      </c>
      <c r="I29" s="582">
        <f>'MotorCusto (ORÇ)'!I29</f>
        <v>0</v>
      </c>
      <c r="J29" s="574">
        <f>'MotorCusto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17">
        <f t="shared" si="6"/>
        <v>0</v>
      </c>
    </row>
    <row r="30" spans="2:25" outlineLevel="1" x14ac:dyDescent="0.25">
      <c r="B30" s="173">
        <v>23</v>
      </c>
      <c r="C30" s="1175" t="str">
        <f>IF(ISBLANK('MotorCusto (ORÇ)'!C30)," ",'MotorCusto (ORÇ)'!C30)</f>
        <v xml:space="preserve"> </v>
      </c>
      <c r="D30" s="1176"/>
      <c r="E30" s="1176"/>
      <c r="F30" s="1176"/>
      <c r="G30" s="1176"/>
      <c r="H30" s="581">
        <f>'MotorCusto (ORÇ)'!H30</f>
        <v>0</v>
      </c>
      <c r="I30" s="582">
        <f>'MotorCusto (ORÇ)'!I30</f>
        <v>0</v>
      </c>
      <c r="J30" s="574">
        <f>'MotorCusto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17">
        <f t="shared" si="6"/>
        <v>0</v>
      </c>
    </row>
    <row r="31" spans="2:25" outlineLevel="1" x14ac:dyDescent="0.25">
      <c r="B31" s="175">
        <v>24</v>
      </c>
      <c r="C31" s="1175" t="str">
        <f>IF(ISBLANK('MotorCusto (ORÇ)'!C31)," ",'MotorCusto (ORÇ)'!C31)</f>
        <v xml:space="preserve"> </v>
      </c>
      <c r="D31" s="1176"/>
      <c r="E31" s="1176"/>
      <c r="F31" s="1176"/>
      <c r="G31" s="1176"/>
      <c r="H31" s="581">
        <f>'MotorCusto (ORÇ)'!H31</f>
        <v>0</v>
      </c>
      <c r="I31" s="582">
        <f>'MotorCusto (ORÇ)'!I31</f>
        <v>0</v>
      </c>
      <c r="J31" s="574">
        <f>'MotorCusto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17">
        <f t="shared" si="6"/>
        <v>0</v>
      </c>
    </row>
    <row r="32" spans="2:25" outlineLevel="1" x14ac:dyDescent="0.25">
      <c r="B32" s="173">
        <v>25</v>
      </c>
      <c r="C32" s="1175"/>
      <c r="D32" s="1176"/>
      <c r="E32" s="1176"/>
      <c r="F32" s="1176"/>
      <c r="G32" s="1176"/>
      <c r="H32" s="581">
        <f>'MotorCusto (ORÇ)'!H32</f>
        <v>0</v>
      </c>
      <c r="I32" s="582">
        <f>'MotorCusto (ORÇ)'!I32</f>
        <v>0</v>
      </c>
      <c r="J32" s="574">
        <f>'MotorCusto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/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17">
        <f t="shared" si="6"/>
        <v>0</v>
      </c>
    </row>
    <row r="33" spans="2:25" outlineLevel="1" x14ac:dyDescent="0.25">
      <c r="B33" s="175">
        <v>26</v>
      </c>
      <c r="C33" s="1175" t="str">
        <f>IF(ISBLANK('MotorCusto (ORÇ)'!C33)," ",'MotorCusto (ORÇ)'!C33)</f>
        <v xml:space="preserve"> </v>
      </c>
      <c r="D33" s="1176"/>
      <c r="E33" s="1176"/>
      <c r="F33" s="1176"/>
      <c r="G33" s="1176"/>
      <c r="H33" s="581">
        <f>'MotorCusto (ORÇ)'!H33</f>
        <v>0</v>
      </c>
      <c r="I33" s="582">
        <f>'MotorCusto (ORÇ)'!I33</f>
        <v>0</v>
      </c>
      <c r="J33" s="574">
        <f>'MotorCusto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17">
        <f t="shared" si="6"/>
        <v>0</v>
      </c>
    </row>
    <row r="34" spans="2:25" outlineLevel="1" x14ac:dyDescent="0.25">
      <c r="B34" s="173">
        <v>27</v>
      </c>
      <c r="C34" s="1175" t="str">
        <f>IF(ISBLANK('MotorCusto (ORÇ)'!C34)," ",'MotorCusto (ORÇ)'!C34)</f>
        <v xml:space="preserve"> </v>
      </c>
      <c r="D34" s="1176"/>
      <c r="E34" s="1176"/>
      <c r="F34" s="1176"/>
      <c r="G34" s="1176"/>
      <c r="H34" s="581">
        <f>'MotorCusto (ORÇ)'!H34</f>
        <v>0</v>
      </c>
      <c r="I34" s="582">
        <f>'MotorCusto (ORÇ)'!I34</f>
        <v>0</v>
      </c>
      <c r="J34" s="574">
        <f>'MotorCusto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17">
        <f t="shared" si="6"/>
        <v>0</v>
      </c>
    </row>
    <row r="35" spans="2:25" outlineLevel="1" x14ac:dyDescent="0.25">
      <c r="B35" s="175">
        <v>28</v>
      </c>
      <c r="C35" s="1175" t="str">
        <f>IF(ISBLANK('MotorCusto (ORÇ)'!C35)," ",'MotorCusto (ORÇ)'!C35)</f>
        <v xml:space="preserve"> </v>
      </c>
      <c r="D35" s="1176"/>
      <c r="E35" s="1176"/>
      <c r="F35" s="1176"/>
      <c r="G35" s="1176"/>
      <c r="H35" s="581">
        <f>'MotorCusto (ORÇ)'!H35</f>
        <v>0</v>
      </c>
      <c r="I35" s="582">
        <f>'MotorCusto (ORÇ)'!I35</f>
        <v>0</v>
      </c>
      <c r="J35" s="574">
        <f>'MotorCusto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17">
        <f t="shared" si="6"/>
        <v>0</v>
      </c>
    </row>
    <row r="36" spans="2:25" outlineLevel="1" x14ac:dyDescent="0.25">
      <c r="B36" s="173">
        <v>29</v>
      </c>
      <c r="C36" s="1175" t="str">
        <f>IF(ISBLANK('MotorCusto (ORÇ)'!C36)," ",'MotorCusto (ORÇ)'!C36)</f>
        <v xml:space="preserve"> </v>
      </c>
      <c r="D36" s="1176"/>
      <c r="E36" s="1176"/>
      <c r="F36" s="1176"/>
      <c r="G36" s="1176"/>
      <c r="H36" s="581">
        <f>'MotorCusto (ORÇ)'!H36</f>
        <v>0</v>
      </c>
      <c r="I36" s="582">
        <f>'MotorCusto (ORÇ)'!I36</f>
        <v>0</v>
      </c>
      <c r="J36" s="574">
        <f>'MotorCusto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17">
        <f t="shared" si="6"/>
        <v>0</v>
      </c>
    </row>
    <row r="37" spans="2:25" outlineLevel="1" x14ac:dyDescent="0.25">
      <c r="B37" s="175">
        <v>30</v>
      </c>
      <c r="C37" s="1175" t="str">
        <f>IF(ISBLANK('MotorCusto (ORÇ)'!C37)," ",'MotorCusto (ORÇ)'!C37)</f>
        <v xml:space="preserve"> </v>
      </c>
      <c r="D37" s="1176"/>
      <c r="E37" s="1176"/>
      <c r="F37" s="1176"/>
      <c r="G37" s="1176"/>
      <c r="H37" s="581">
        <f>'MotorCusto (ORÇ)'!H37</f>
        <v>0</v>
      </c>
      <c r="I37" s="582">
        <f>'MotorCusto (ORÇ)'!I37</f>
        <v>0</v>
      </c>
      <c r="J37" s="574">
        <f>'MotorCusto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17">
        <f t="shared" si="6"/>
        <v>0</v>
      </c>
    </row>
    <row r="38" spans="2:25" outlineLevel="1" x14ac:dyDescent="0.25">
      <c r="B38" s="173">
        <v>31</v>
      </c>
      <c r="C38" s="1175" t="str">
        <f>IF(ISBLANK('MotorCusto (ORÇ)'!C38)," ",'MotorCusto (ORÇ)'!C38)</f>
        <v xml:space="preserve"> </v>
      </c>
      <c r="D38" s="1176"/>
      <c r="E38" s="1176"/>
      <c r="F38" s="1176"/>
      <c r="G38" s="1176"/>
      <c r="H38" s="581">
        <f>'MotorCusto (ORÇ)'!H38</f>
        <v>0</v>
      </c>
      <c r="I38" s="582">
        <f>'MotorCusto (ORÇ)'!I38</f>
        <v>0</v>
      </c>
      <c r="J38" s="574">
        <f>'MotorCusto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17">
        <f t="shared" si="6"/>
        <v>0</v>
      </c>
    </row>
    <row r="39" spans="2:25" outlineLevel="1" x14ac:dyDescent="0.25">
      <c r="B39" s="175">
        <v>32</v>
      </c>
      <c r="C39" s="1175" t="str">
        <f>IF(ISBLANK('MotorCusto (ORÇ)'!C39)," ",'MotorCusto (ORÇ)'!C39)</f>
        <v xml:space="preserve"> </v>
      </c>
      <c r="D39" s="1176"/>
      <c r="E39" s="1176"/>
      <c r="F39" s="1176"/>
      <c r="G39" s="1176"/>
      <c r="H39" s="581">
        <f>'MotorCusto (ORÇ)'!H39</f>
        <v>0</v>
      </c>
      <c r="I39" s="582">
        <f>'MotorCusto (ORÇ)'!I39</f>
        <v>0</v>
      </c>
      <c r="J39" s="574">
        <f>'MotorCusto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17">
        <f t="shared" si="6"/>
        <v>0</v>
      </c>
    </row>
    <row r="40" spans="2:25" outlineLevel="1" x14ac:dyDescent="0.25">
      <c r="B40" s="173">
        <v>33</v>
      </c>
      <c r="C40" s="1175" t="str">
        <f>IF(ISBLANK('MotorCusto (ORÇ)'!C40)," ",'MotorCusto (ORÇ)'!C40)</f>
        <v xml:space="preserve"> </v>
      </c>
      <c r="D40" s="1176"/>
      <c r="E40" s="1176"/>
      <c r="F40" s="1176"/>
      <c r="G40" s="1176"/>
      <c r="H40" s="581">
        <f>'MotorCusto (ORÇ)'!H40</f>
        <v>0</v>
      </c>
      <c r="I40" s="582">
        <f>'MotorCusto (ORÇ)'!I40</f>
        <v>0</v>
      </c>
      <c r="J40" s="574">
        <f>'MotorCusto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17">
        <f t="shared" si="6"/>
        <v>0</v>
      </c>
    </row>
    <row r="41" spans="2:25" outlineLevel="1" x14ac:dyDescent="0.25">
      <c r="B41" s="175">
        <v>34</v>
      </c>
      <c r="C41" s="1175" t="str">
        <f>IF(ISBLANK('MotorCusto (ORÇ)'!C41)," ",'MotorCusto (ORÇ)'!C41)</f>
        <v xml:space="preserve"> </v>
      </c>
      <c r="D41" s="1176"/>
      <c r="E41" s="1176"/>
      <c r="F41" s="1176"/>
      <c r="G41" s="1176"/>
      <c r="H41" s="581">
        <f>'MotorCusto (ORÇ)'!H41</f>
        <v>0</v>
      </c>
      <c r="I41" s="582">
        <f>'MotorCusto (ORÇ)'!I41</f>
        <v>0</v>
      </c>
      <c r="J41" s="574">
        <f>'MotorCusto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17">
        <f t="shared" si="6"/>
        <v>0</v>
      </c>
    </row>
    <row r="42" spans="2:25" outlineLevel="1" x14ac:dyDescent="0.25">
      <c r="B42" s="173">
        <v>35</v>
      </c>
      <c r="C42" s="1175" t="str">
        <f>IF(ISBLANK('MotorCusto (ORÇ)'!C42)," ",'MotorCusto (ORÇ)'!C42)</f>
        <v xml:space="preserve"> </v>
      </c>
      <c r="D42" s="1176"/>
      <c r="E42" s="1176"/>
      <c r="F42" s="1176"/>
      <c r="G42" s="1176"/>
      <c r="H42" s="581">
        <f>'MotorCusto (ORÇ)'!H42</f>
        <v>0</v>
      </c>
      <c r="I42" s="582">
        <f>'MotorCusto (ORÇ)'!I42</f>
        <v>0</v>
      </c>
      <c r="J42" s="574">
        <f>'MotorCusto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17">
        <f t="shared" si="6"/>
        <v>0</v>
      </c>
    </row>
    <row r="43" spans="2:25" outlineLevel="1" x14ac:dyDescent="0.25">
      <c r="B43" s="175">
        <v>36</v>
      </c>
      <c r="C43" s="1175" t="str">
        <f>IF(ISBLANK('MotorCusto (ORÇ)'!C43)," ",'MotorCusto (ORÇ)'!C43)</f>
        <v xml:space="preserve"> </v>
      </c>
      <c r="D43" s="1176"/>
      <c r="E43" s="1176"/>
      <c r="F43" s="1176"/>
      <c r="G43" s="1176"/>
      <c r="H43" s="581">
        <f>'MotorCusto (ORÇ)'!H43</f>
        <v>0</v>
      </c>
      <c r="I43" s="582">
        <f>'MotorCusto (ORÇ)'!I43</f>
        <v>0</v>
      </c>
      <c r="J43" s="574">
        <f>'MotorCusto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17">
        <f t="shared" si="6"/>
        <v>0</v>
      </c>
    </row>
    <row r="44" spans="2:25" outlineLevel="1" x14ac:dyDescent="0.25">
      <c r="B44" s="173">
        <v>37</v>
      </c>
      <c r="C44" s="1175" t="str">
        <f>IF(ISBLANK('MotorCusto (ORÇ)'!C44)," ",'MotorCusto (ORÇ)'!C44)</f>
        <v xml:space="preserve"> </v>
      </c>
      <c r="D44" s="1176"/>
      <c r="E44" s="1176"/>
      <c r="F44" s="1176"/>
      <c r="G44" s="1176"/>
      <c r="H44" s="581">
        <f>'MotorCusto (ORÇ)'!H44</f>
        <v>0</v>
      </c>
      <c r="I44" s="582">
        <f>'MotorCusto (ORÇ)'!I44</f>
        <v>0</v>
      </c>
      <c r="J44" s="574">
        <f>'MotorCusto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17">
        <f t="shared" si="6"/>
        <v>0</v>
      </c>
    </row>
    <row r="45" spans="2:25" outlineLevel="1" x14ac:dyDescent="0.25">
      <c r="B45" s="175">
        <v>38</v>
      </c>
      <c r="C45" s="1175" t="str">
        <f>IF(ISBLANK('MotorCusto (ORÇ)'!C45)," ",'MotorCusto (ORÇ)'!C45)</f>
        <v xml:space="preserve"> </v>
      </c>
      <c r="D45" s="1176"/>
      <c r="E45" s="1176"/>
      <c r="F45" s="1176"/>
      <c r="G45" s="1176"/>
      <c r="H45" s="581">
        <f>'MotorCusto (ORÇ)'!H45</f>
        <v>0</v>
      </c>
      <c r="I45" s="582">
        <f>'MotorCusto (ORÇ)'!I45</f>
        <v>0</v>
      </c>
      <c r="J45" s="574">
        <f>'MotorCusto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17">
        <f t="shared" si="6"/>
        <v>0</v>
      </c>
    </row>
    <row r="46" spans="2:25" outlineLevel="1" x14ac:dyDescent="0.25">
      <c r="B46" s="173">
        <v>39</v>
      </c>
      <c r="C46" s="1175" t="str">
        <f>IF(ISBLANK('MotorCusto (ORÇ)'!C46)," ",'MotorCusto (ORÇ)'!C46)</f>
        <v xml:space="preserve"> </v>
      </c>
      <c r="D46" s="1176"/>
      <c r="E46" s="1176"/>
      <c r="F46" s="1176"/>
      <c r="G46" s="1176"/>
      <c r="H46" s="581">
        <f>'MotorCusto (ORÇ)'!H46</f>
        <v>0</v>
      </c>
      <c r="I46" s="582">
        <f>'MotorCusto (ORÇ)'!I46</f>
        <v>0</v>
      </c>
      <c r="J46" s="574">
        <f>'MotorCusto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17">
        <f t="shared" si="6"/>
        <v>0</v>
      </c>
    </row>
    <row r="47" spans="2:25" outlineLevel="1" x14ac:dyDescent="0.25">
      <c r="B47" s="175">
        <v>40</v>
      </c>
      <c r="C47" s="1175" t="str">
        <f>IF(ISBLANK('MotorCusto (ORÇ)'!C47)," ",'MotorCusto (ORÇ)'!C47)</f>
        <v xml:space="preserve"> </v>
      </c>
      <c r="D47" s="1176"/>
      <c r="E47" s="1176"/>
      <c r="F47" s="1176"/>
      <c r="G47" s="1176"/>
      <c r="H47" s="581">
        <f>'MotorCusto (ORÇ)'!H47</f>
        <v>0</v>
      </c>
      <c r="I47" s="582">
        <f>'MotorCusto (ORÇ)'!I47</f>
        <v>0</v>
      </c>
      <c r="J47" s="574">
        <f>'MotorCusto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17">
        <f t="shared" si="6"/>
        <v>0</v>
      </c>
    </row>
    <row r="48" spans="2:25" outlineLevel="1" x14ac:dyDescent="0.25">
      <c r="B48" s="173">
        <v>41</v>
      </c>
      <c r="C48" s="1175" t="str">
        <f>IF(ISBLANK('MotorCusto (ORÇ)'!C48)," ",'MotorCusto (ORÇ)'!C48)</f>
        <v xml:space="preserve"> </v>
      </c>
      <c r="D48" s="1176"/>
      <c r="E48" s="1176"/>
      <c r="F48" s="1176"/>
      <c r="G48" s="1176"/>
      <c r="H48" s="581">
        <f>'MotorCusto (ORÇ)'!H48</f>
        <v>0</v>
      </c>
      <c r="I48" s="582">
        <f>'MotorCusto (ORÇ)'!I48</f>
        <v>0</v>
      </c>
      <c r="J48" s="574">
        <f>'MotorCusto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>
        <f t="shared" si="2"/>
        <v>41</v>
      </c>
      <c r="Q48" s="1177" t="str">
        <f t="shared" si="3"/>
        <v xml:space="preserve"> </v>
      </c>
      <c r="R48" s="1177"/>
      <c r="S48" s="1177"/>
      <c r="T48" s="1177"/>
      <c r="U48" s="1178"/>
      <c r="V48" s="174">
        <f t="shared" si="4"/>
        <v>0</v>
      </c>
      <c r="W48" s="345">
        <f t="shared" si="5"/>
        <v>0</v>
      </c>
      <c r="X48" s="346">
        <f>IF(AND(K48&gt;0,'Custo Contábil'!$D$7&gt;0),ROUND(K48*('Custo Contábil'!$D$20/'Custo Contábil'!$D$7)*W48,2),0)</f>
        <v>0</v>
      </c>
      <c r="Y48" s="417">
        <f t="shared" si="6"/>
        <v>0</v>
      </c>
    </row>
    <row r="49" spans="2:25" outlineLevel="1" x14ac:dyDescent="0.25">
      <c r="B49" s="175">
        <v>42</v>
      </c>
      <c r="C49" s="1175" t="str">
        <f>IF(ISBLANK('MotorCusto (ORÇ)'!C49)," ",'MotorCusto (ORÇ)'!C49)</f>
        <v xml:space="preserve"> </v>
      </c>
      <c r="D49" s="1176"/>
      <c r="E49" s="1176"/>
      <c r="F49" s="1176"/>
      <c r="G49" s="1176"/>
      <c r="H49" s="581">
        <f>'MotorCusto (ORÇ)'!H49</f>
        <v>0</v>
      </c>
      <c r="I49" s="582">
        <f>'MotorCusto (ORÇ)'!I49</f>
        <v>0</v>
      </c>
      <c r="J49" s="574">
        <f>'MotorCusto (ORÇ)'!J49</f>
        <v>0</v>
      </c>
      <c r="K49" s="344">
        <f t="shared" si="0"/>
        <v>0</v>
      </c>
      <c r="L49" s="344">
        <f t="shared" si="1"/>
        <v>0</v>
      </c>
      <c r="M49" s="343"/>
      <c r="N49" s="343"/>
      <c r="O49" s="410"/>
      <c r="P49" s="173">
        <f t="shared" si="2"/>
        <v>42</v>
      </c>
      <c r="Q49" s="1177" t="str">
        <f t="shared" si="3"/>
        <v xml:space="preserve"> </v>
      </c>
      <c r="R49" s="1177"/>
      <c r="S49" s="1177"/>
      <c r="T49" s="1177"/>
      <c r="U49" s="1178"/>
      <c r="V49" s="174">
        <f t="shared" si="4"/>
        <v>0</v>
      </c>
      <c r="W49" s="345">
        <f t="shared" si="5"/>
        <v>0</v>
      </c>
      <c r="X49" s="346">
        <f>IF(AND(K49&gt;0,'Custo Contábil'!$D$7&gt;0),ROUND(K49*('Custo Contábil'!$D$20/'Custo Contábil'!$D$7)*W49,2),0)</f>
        <v>0</v>
      </c>
      <c r="Y49" s="417">
        <f t="shared" si="6"/>
        <v>0</v>
      </c>
    </row>
    <row r="50" spans="2:25" outlineLevel="1" x14ac:dyDescent="0.25">
      <c r="B50" s="173">
        <v>43</v>
      </c>
      <c r="C50" s="1175" t="str">
        <f>IF(ISBLANK('MotorCusto (ORÇ)'!C50)," ",'MotorCusto (ORÇ)'!C50)</f>
        <v xml:space="preserve"> </v>
      </c>
      <c r="D50" s="1176"/>
      <c r="E50" s="1176"/>
      <c r="F50" s="1176"/>
      <c r="G50" s="1176"/>
      <c r="H50" s="581">
        <f>'MotorCusto (ORÇ)'!H50</f>
        <v>0</v>
      </c>
      <c r="I50" s="582">
        <f>'MotorCusto (ORÇ)'!I50</f>
        <v>0</v>
      </c>
      <c r="J50" s="574">
        <f>'MotorCusto (ORÇ)'!J50</f>
        <v>0</v>
      </c>
      <c r="K50" s="344">
        <f t="shared" si="0"/>
        <v>0</v>
      </c>
      <c r="L50" s="344">
        <f t="shared" si="1"/>
        <v>0</v>
      </c>
      <c r="M50" s="343"/>
      <c r="N50" s="343"/>
      <c r="O50" s="410"/>
      <c r="P50" s="173">
        <f t="shared" si="2"/>
        <v>43</v>
      </c>
      <c r="Q50" s="1177" t="str">
        <f t="shared" si="3"/>
        <v xml:space="preserve"> </v>
      </c>
      <c r="R50" s="1177"/>
      <c r="S50" s="1177"/>
      <c r="T50" s="1177"/>
      <c r="U50" s="1178"/>
      <c r="V50" s="174">
        <f t="shared" si="4"/>
        <v>0</v>
      </c>
      <c r="W50" s="345">
        <f t="shared" si="5"/>
        <v>0</v>
      </c>
      <c r="X50" s="346">
        <f>IF(AND(K50&gt;0,'Custo Contábil'!$D$7&gt;0),ROUND(K50*('Custo Contábil'!$D$20/'Custo Contábil'!$D$7)*W50,2),0)</f>
        <v>0</v>
      </c>
      <c r="Y50" s="417">
        <f t="shared" si="6"/>
        <v>0</v>
      </c>
    </row>
    <row r="51" spans="2:25" outlineLevel="1" x14ac:dyDescent="0.25">
      <c r="B51" s="175">
        <v>44</v>
      </c>
      <c r="C51" s="1175" t="str">
        <f>IF(ISBLANK('MotorCusto (ORÇ)'!C51)," ",'MotorCusto (ORÇ)'!C51)</f>
        <v xml:space="preserve"> </v>
      </c>
      <c r="D51" s="1176"/>
      <c r="E51" s="1176"/>
      <c r="F51" s="1176"/>
      <c r="G51" s="1176"/>
      <c r="H51" s="581">
        <f>'MotorCusto (ORÇ)'!H51</f>
        <v>0</v>
      </c>
      <c r="I51" s="582">
        <f>'MotorCusto (ORÇ)'!I51</f>
        <v>0</v>
      </c>
      <c r="J51" s="574">
        <f>'MotorCusto (ORÇ)'!J51</f>
        <v>0</v>
      </c>
      <c r="K51" s="344">
        <f t="shared" si="0"/>
        <v>0</v>
      </c>
      <c r="L51" s="344">
        <f t="shared" si="1"/>
        <v>0</v>
      </c>
      <c r="M51" s="343"/>
      <c r="N51" s="343"/>
      <c r="O51" s="410"/>
      <c r="P51" s="173">
        <f t="shared" si="2"/>
        <v>44</v>
      </c>
      <c r="Q51" s="1177" t="str">
        <f t="shared" si="3"/>
        <v xml:space="preserve"> </v>
      </c>
      <c r="R51" s="1177"/>
      <c r="S51" s="1177"/>
      <c r="T51" s="1177"/>
      <c r="U51" s="1178"/>
      <c r="V51" s="174">
        <f t="shared" si="4"/>
        <v>0</v>
      </c>
      <c r="W51" s="345">
        <f t="shared" si="5"/>
        <v>0</v>
      </c>
      <c r="X51" s="346">
        <f>IF(AND(K51&gt;0,'Custo Contábil'!$D$7&gt;0),ROUND(K51*('Custo Contábil'!$D$20/'Custo Contábil'!$D$7)*W51,2),0)</f>
        <v>0</v>
      </c>
      <c r="Y51" s="417">
        <f t="shared" si="6"/>
        <v>0</v>
      </c>
    </row>
    <row r="52" spans="2:25" outlineLevel="1" x14ac:dyDescent="0.25">
      <c r="B52" s="173">
        <v>45</v>
      </c>
      <c r="C52" s="1175" t="str">
        <f>IF(ISBLANK('MotorCusto (ORÇ)'!C52)," ",'MotorCusto (ORÇ)'!C52)</f>
        <v xml:space="preserve"> </v>
      </c>
      <c r="D52" s="1176"/>
      <c r="E52" s="1176"/>
      <c r="F52" s="1176"/>
      <c r="G52" s="1176"/>
      <c r="H52" s="581">
        <f>'MotorCusto (ORÇ)'!H52</f>
        <v>0</v>
      </c>
      <c r="I52" s="582">
        <f>'MotorCusto (ORÇ)'!I52</f>
        <v>0</v>
      </c>
      <c r="J52" s="574">
        <f>'MotorCusto (ORÇ)'!J52</f>
        <v>0</v>
      </c>
      <c r="K52" s="344">
        <f t="shared" si="0"/>
        <v>0</v>
      </c>
      <c r="L52" s="344">
        <f t="shared" si="1"/>
        <v>0</v>
      </c>
      <c r="M52" s="343"/>
      <c r="N52" s="343"/>
      <c r="O52" s="410"/>
      <c r="P52" s="173">
        <f t="shared" si="2"/>
        <v>45</v>
      </c>
      <c r="Q52" s="1177" t="str">
        <f t="shared" si="3"/>
        <v xml:space="preserve"> </v>
      </c>
      <c r="R52" s="1177"/>
      <c r="S52" s="1177"/>
      <c r="T52" s="1177"/>
      <c r="U52" s="1178"/>
      <c r="V52" s="174">
        <f t="shared" si="4"/>
        <v>0</v>
      </c>
      <c r="W52" s="345">
        <f t="shared" si="5"/>
        <v>0</v>
      </c>
      <c r="X52" s="346">
        <f>IF(AND(K52&gt;0,'Custo Contábil'!$D$7&gt;0),ROUND(K52*('Custo Contábil'!$D$20/'Custo Contábil'!$D$7)*W52,2),0)</f>
        <v>0</v>
      </c>
      <c r="Y52" s="417">
        <f t="shared" si="6"/>
        <v>0</v>
      </c>
    </row>
    <row r="53" spans="2:25" outlineLevel="1" x14ac:dyDescent="0.25">
      <c r="B53" s="175">
        <v>46</v>
      </c>
      <c r="C53" s="1175" t="str">
        <f>IF(ISBLANK('MotorCusto (ORÇ)'!C53)," ",'MotorCusto (ORÇ)'!C53)</f>
        <v xml:space="preserve"> </v>
      </c>
      <c r="D53" s="1176"/>
      <c r="E53" s="1176"/>
      <c r="F53" s="1176"/>
      <c r="G53" s="1176"/>
      <c r="H53" s="581">
        <f>'MotorCusto (ORÇ)'!H53</f>
        <v>0</v>
      </c>
      <c r="I53" s="582">
        <f>'MotorCusto (ORÇ)'!I53</f>
        <v>0</v>
      </c>
      <c r="J53" s="574">
        <f>'MotorCusto (ORÇ)'!J53</f>
        <v>0</v>
      </c>
      <c r="K53" s="344">
        <f t="shared" si="0"/>
        <v>0</v>
      </c>
      <c r="L53" s="344">
        <f t="shared" si="1"/>
        <v>0</v>
      </c>
      <c r="M53" s="343"/>
      <c r="N53" s="343"/>
      <c r="O53" s="410"/>
      <c r="P53" s="173">
        <f t="shared" si="2"/>
        <v>46</v>
      </c>
      <c r="Q53" s="1177" t="str">
        <f t="shared" si="3"/>
        <v xml:space="preserve"> </v>
      </c>
      <c r="R53" s="1177"/>
      <c r="S53" s="1177"/>
      <c r="T53" s="1177"/>
      <c r="U53" s="1178"/>
      <c r="V53" s="174">
        <f t="shared" si="4"/>
        <v>0</v>
      </c>
      <c r="W53" s="345">
        <f t="shared" si="5"/>
        <v>0</v>
      </c>
      <c r="X53" s="346">
        <f>IF(AND(K53&gt;0,'Custo Contábil'!$D$7&gt;0),ROUND(K53*('Custo Contábil'!$D$20/'Custo Contábil'!$D$7)*W53,2),0)</f>
        <v>0</v>
      </c>
      <c r="Y53" s="417">
        <f t="shared" si="6"/>
        <v>0</v>
      </c>
    </row>
    <row r="54" spans="2:25" outlineLevel="1" x14ac:dyDescent="0.25">
      <c r="B54" s="173">
        <v>47</v>
      </c>
      <c r="C54" s="1175" t="str">
        <f>IF(ISBLANK('MotorCusto (ORÇ)'!C54)," ",'MotorCusto (ORÇ)'!C54)</f>
        <v xml:space="preserve"> </v>
      </c>
      <c r="D54" s="1176"/>
      <c r="E54" s="1176"/>
      <c r="F54" s="1176"/>
      <c r="G54" s="1176"/>
      <c r="H54" s="581">
        <f>'MotorCusto (ORÇ)'!H54</f>
        <v>0</v>
      </c>
      <c r="I54" s="582">
        <f>'MotorCusto (ORÇ)'!I54</f>
        <v>0</v>
      </c>
      <c r="J54" s="574">
        <f>'MotorCusto (ORÇ)'!J54</f>
        <v>0</v>
      </c>
      <c r="K54" s="344">
        <f t="shared" si="0"/>
        <v>0</v>
      </c>
      <c r="L54" s="344">
        <f t="shared" si="1"/>
        <v>0</v>
      </c>
      <c r="M54" s="343"/>
      <c r="N54" s="343"/>
      <c r="O54" s="410"/>
      <c r="P54" s="173">
        <f t="shared" si="2"/>
        <v>47</v>
      </c>
      <c r="Q54" s="1177" t="str">
        <f t="shared" si="3"/>
        <v xml:space="preserve"> </v>
      </c>
      <c r="R54" s="1177"/>
      <c r="S54" s="1177"/>
      <c r="T54" s="1177"/>
      <c r="U54" s="1178"/>
      <c r="V54" s="174">
        <f t="shared" si="4"/>
        <v>0</v>
      </c>
      <c r="W54" s="345">
        <f t="shared" si="5"/>
        <v>0</v>
      </c>
      <c r="X54" s="346">
        <f>IF(AND(K54&gt;0,'Custo Contábil'!$D$7&gt;0),ROUND(K54*('Custo Contábil'!$D$20/'Custo Contábil'!$D$7)*W54,2),0)</f>
        <v>0</v>
      </c>
      <c r="Y54" s="417">
        <f t="shared" si="6"/>
        <v>0</v>
      </c>
    </row>
    <row r="55" spans="2:25" outlineLevel="1" x14ac:dyDescent="0.25">
      <c r="B55" s="175">
        <v>48</v>
      </c>
      <c r="C55" s="1175" t="str">
        <f>IF(ISBLANK('MotorCusto (ORÇ)'!C55)," ",'MotorCusto (ORÇ)'!C55)</f>
        <v xml:space="preserve"> </v>
      </c>
      <c r="D55" s="1176"/>
      <c r="E55" s="1176"/>
      <c r="F55" s="1176"/>
      <c r="G55" s="1176"/>
      <c r="H55" s="581">
        <f>'MotorCusto (ORÇ)'!H55</f>
        <v>0</v>
      </c>
      <c r="I55" s="582">
        <f>'MotorCusto (ORÇ)'!I55</f>
        <v>0</v>
      </c>
      <c r="J55" s="574">
        <f>'MotorCusto (ORÇ)'!J55</f>
        <v>0</v>
      </c>
      <c r="K55" s="344">
        <f t="shared" si="0"/>
        <v>0</v>
      </c>
      <c r="L55" s="344">
        <f t="shared" si="1"/>
        <v>0</v>
      </c>
      <c r="M55" s="343"/>
      <c r="N55" s="343"/>
      <c r="O55" s="410"/>
      <c r="P55" s="173">
        <f t="shared" si="2"/>
        <v>48</v>
      </c>
      <c r="Q55" s="1177" t="str">
        <f t="shared" si="3"/>
        <v xml:space="preserve"> </v>
      </c>
      <c r="R55" s="1177"/>
      <c r="S55" s="1177"/>
      <c r="T55" s="1177"/>
      <c r="U55" s="1178"/>
      <c r="V55" s="174">
        <f t="shared" si="4"/>
        <v>0</v>
      </c>
      <c r="W55" s="345">
        <f t="shared" si="5"/>
        <v>0</v>
      </c>
      <c r="X55" s="346">
        <f>IF(AND(K55&gt;0,'Custo Contábil'!$D$7&gt;0),ROUND(K55*('Custo Contábil'!$D$20/'Custo Contábil'!$D$7)*W55,2),0)</f>
        <v>0</v>
      </c>
      <c r="Y55" s="417">
        <f t="shared" si="6"/>
        <v>0</v>
      </c>
    </row>
    <row r="56" spans="2:25" outlineLevel="1" x14ac:dyDescent="0.25">
      <c r="B56" s="173">
        <v>49</v>
      </c>
      <c r="C56" s="1175" t="str">
        <f>IF(ISBLANK('MotorCusto (ORÇ)'!C56)," ",'MotorCusto (ORÇ)'!C56)</f>
        <v xml:space="preserve"> </v>
      </c>
      <c r="D56" s="1176"/>
      <c r="E56" s="1176"/>
      <c r="F56" s="1176"/>
      <c r="G56" s="1176"/>
      <c r="H56" s="581">
        <f>'MotorCusto (ORÇ)'!H56</f>
        <v>0</v>
      </c>
      <c r="I56" s="582">
        <f>'MotorCusto (ORÇ)'!I56</f>
        <v>0</v>
      </c>
      <c r="J56" s="574">
        <f>'MotorCusto (ORÇ)'!J56</f>
        <v>0</v>
      </c>
      <c r="K56" s="344">
        <f t="shared" si="0"/>
        <v>0</v>
      </c>
      <c r="L56" s="344">
        <f t="shared" si="1"/>
        <v>0</v>
      </c>
      <c r="M56" s="343"/>
      <c r="N56" s="343"/>
      <c r="O56" s="410"/>
      <c r="P56" s="173">
        <f t="shared" si="2"/>
        <v>49</v>
      </c>
      <c r="Q56" s="1177" t="str">
        <f t="shared" si="3"/>
        <v xml:space="preserve"> </v>
      </c>
      <c r="R56" s="1177"/>
      <c r="S56" s="1177"/>
      <c r="T56" s="1177"/>
      <c r="U56" s="1178"/>
      <c r="V56" s="174">
        <f t="shared" si="4"/>
        <v>0</v>
      </c>
      <c r="W56" s="345">
        <f t="shared" si="5"/>
        <v>0</v>
      </c>
      <c r="X56" s="346">
        <f>IF(AND(K56&gt;0,'Custo Contábil'!$D$7&gt;0),ROUND(K56*('Custo Contábil'!$D$20/'Custo Contábil'!$D$7)*W56,2),0)</f>
        <v>0</v>
      </c>
      <c r="Y56" s="417">
        <f t="shared" si="6"/>
        <v>0</v>
      </c>
    </row>
    <row r="57" spans="2:25" outlineLevel="1" x14ac:dyDescent="0.25">
      <c r="B57" s="175">
        <v>50</v>
      </c>
      <c r="C57" s="1175" t="str">
        <f>IF(ISBLANK('MotorCusto (ORÇ)'!C57)," ",'MotorCusto (ORÇ)'!C57)</f>
        <v xml:space="preserve"> </v>
      </c>
      <c r="D57" s="1176"/>
      <c r="E57" s="1176"/>
      <c r="F57" s="1176"/>
      <c r="G57" s="1176"/>
      <c r="H57" s="581">
        <f>'MotorCusto (ORÇ)'!H57</f>
        <v>0</v>
      </c>
      <c r="I57" s="582">
        <f>'MotorCusto (ORÇ)'!I57</f>
        <v>0</v>
      </c>
      <c r="J57" s="574">
        <f>'MotorCusto (ORÇ)'!J57</f>
        <v>0</v>
      </c>
      <c r="K57" s="344">
        <f t="shared" si="0"/>
        <v>0</v>
      </c>
      <c r="L57" s="344">
        <f t="shared" si="1"/>
        <v>0</v>
      </c>
      <c r="M57" s="343"/>
      <c r="N57" s="343"/>
      <c r="O57" s="410"/>
      <c r="P57" s="173">
        <f t="shared" si="2"/>
        <v>50</v>
      </c>
      <c r="Q57" s="1177" t="str">
        <f t="shared" si="3"/>
        <v xml:space="preserve"> </v>
      </c>
      <c r="R57" s="1177"/>
      <c r="S57" s="1177"/>
      <c r="T57" s="1177"/>
      <c r="U57" s="1178"/>
      <c r="V57" s="174">
        <f t="shared" si="4"/>
        <v>0</v>
      </c>
      <c r="W57" s="345">
        <f t="shared" si="5"/>
        <v>0</v>
      </c>
      <c r="X57" s="346">
        <f>IF(AND(K57&gt;0,'Custo Contábil'!$D$7&gt;0),ROUND(K57*('Custo Contábil'!$D$20/'Custo Contábil'!$D$7)*W57,2),0)</f>
        <v>0</v>
      </c>
      <c r="Y57" s="417">
        <f t="shared" si="6"/>
        <v>0</v>
      </c>
    </row>
    <row r="58" spans="2:25" outlineLevel="1" x14ac:dyDescent="0.25">
      <c r="B58" s="173">
        <v>51</v>
      </c>
      <c r="C58" s="1175" t="str">
        <f>IF(ISBLANK('MotorCusto (ORÇ)'!C58)," ",'MotorCusto (ORÇ)'!C58)</f>
        <v xml:space="preserve"> </v>
      </c>
      <c r="D58" s="1176"/>
      <c r="E58" s="1176"/>
      <c r="F58" s="1176"/>
      <c r="G58" s="1176"/>
      <c r="H58" s="581">
        <f>'MotorCusto (ORÇ)'!H58</f>
        <v>0</v>
      </c>
      <c r="I58" s="582">
        <f>'MotorCusto (ORÇ)'!I58</f>
        <v>0</v>
      </c>
      <c r="J58" s="574">
        <f>'MotorCusto (ORÇ)'!J58</f>
        <v>0</v>
      </c>
      <c r="K58" s="344">
        <f t="shared" si="0"/>
        <v>0</v>
      </c>
      <c r="L58" s="344">
        <f t="shared" si="1"/>
        <v>0</v>
      </c>
      <c r="M58" s="343"/>
      <c r="N58" s="343"/>
      <c r="O58" s="410"/>
      <c r="P58" s="173">
        <f t="shared" si="2"/>
        <v>51</v>
      </c>
      <c r="Q58" s="1177" t="str">
        <f t="shared" si="3"/>
        <v xml:space="preserve"> </v>
      </c>
      <c r="R58" s="1177"/>
      <c r="S58" s="1177"/>
      <c r="T58" s="1177"/>
      <c r="U58" s="1178"/>
      <c r="V58" s="174">
        <f t="shared" si="4"/>
        <v>0</v>
      </c>
      <c r="W58" s="345">
        <f t="shared" si="5"/>
        <v>0</v>
      </c>
      <c r="X58" s="346">
        <f>IF(AND(K58&gt;0,'Custo Contábil'!$D$7&gt;0),ROUND(K58*('Custo Contábil'!$D$20/'Custo Contábil'!$D$7)*W58,2),0)</f>
        <v>0</v>
      </c>
      <c r="Y58" s="417">
        <f t="shared" si="6"/>
        <v>0</v>
      </c>
    </row>
    <row r="59" spans="2:25" outlineLevel="1" x14ac:dyDescent="0.25">
      <c r="B59" s="175">
        <v>52</v>
      </c>
      <c r="C59" s="1175" t="str">
        <f>IF(ISBLANK('MotorCusto (ORÇ)'!C59)," ",'MotorCusto (ORÇ)'!C59)</f>
        <v xml:space="preserve"> </v>
      </c>
      <c r="D59" s="1176"/>
      <c r="E59" s="1176"/>
      <c r="F59" s="1176"/>
      <c r="G59" s="1176"/>
      <c r="H59" s="581">
        <f>'MotorCusto (ORÇ)'!H59</f>
        <v>0</v>
      </c>
      <c r="I59" s="582">
        <f>'MotorCusto (ORÇ)'!I59</f>
        <v>0</v>
      </c>
      <c r="J59" s="574">
        <f>'MotorCusto (ORÇ)'!J59</f>
        <v>0</v>
      </c>
      <c r="K59" s="344">
        <f t="shared" si="0"/>
        <v>0</v>
      </c>
      <c r="L59" s="344">
        <f t="shared" si="1"/>
        <v>0</v>
      </c>
      <c r="M59" s="343"/>
      <c r="N59" s="343"/>
      <c r="O59" s="410"/>
      <c r="P59" s="173">
        <f t="shared" si="2"/>
        <v>52</v>
      </c>
      <c r="Q59" s="1177" t="str">
        <f t="shared" si="3"/>
        <v xml:space="preserve"> </v>
      </c>
      <c r="R59" s="1177"/>
      <c r="S59" s="1177"/>
      <c r="T59" s="1177"/>
      <c r="U59" s="1178"/>
      <c r="V59" s="174">
        <f t="shared" si="4"/>
        <v>0</v>
      </c>
      <c r="W59" s="345">
        <f t="shared" si="5"/>
        <v>0</v>
      </c>
      <c r="X59" s="346">
        <f>IF(AND(K59&gt;0,'Custo Contábil'!$D$7&gt;0),ROUND(K59*('Custo Contábil'!$D$20/'Custo Contábil'!$D$7)*W59,2),0)</f>
        <v>0</v>
      </c>
      <c r="Y59" s="417">
        <f t="shared" si="6"/>
        <v>0</v>
      </c>
    </row>
    <row r="60" spans="2:25" outlineLevel="1" x14ac:dyDescent="0.25">
      <c r="B60" s="173">
        <v>53</v>
      </c>
      <c r="C60" s="1175" t="str">
        <f>IF(ISBLANK('MotorCusto (ORÇ)'!C60)," ",'MotorCusto (ORÇ)'!C60)</f>
        <v xml:space="preserve"> </v>
      </c>
      <c r="D60" s="1176"/>
      <c r="E60" s="1176"/>
      <c r="F60" s="1176"/>
      <c r="G60" s="1176"/>
      <c r="H60" s="581">
        <f>'MotorCusto (ORÇ)'!H60</f>
        <v>0</v>
      </c>
      <c r="I60" s="582">
        <f>'MotorCusto (ORÇ)'!I60</f>
        <v>0</v>
      </c>
      <c r="J60" s="574">
        <f>'MotorCusto (ORÇ)'!J60</f>
        <v>0</v>
      </c>
      <c r="K60" s="344">
        <f t="shared" si="0"/>
        <v>0</v>
      </c>
      <c r="L60" s="344">
        <f t="shared" si="1"/>
        <v>0</v>
      </c>
      <c r="M60" s="343"/>
      <c r="N60" s="343"/>
      <c r="O60" s="410"/>
      <c r="P60" s="173">
        <f t="shared" si="2"/>
        <v>53</v>
      </c>
      <c r="Q60" s="1177" t="str">
        <f t="shared" si="3"/>
        <v xml:space="preserve"> </v>
      </c>
      <c r="R60" s="1177"/>
      <c r="S60" s="1177"/>
      <c r="T60" s="1177"/>
      <c r="U60" s="1178"/>
      <c r="V60" s="174">
        <f t="shared" si="4"/>
        <v>0</v>
      </c>
      <c r="W60" s="345">
        <f t="shared" si="5"/>
        <v>0</v>
      </c>
      <c r="X60" s="346">
        <f>IF(AND(K60&gt;0,'Custo Contábil'!$D$7&gt;0),ROUND(K60*('Custo Contábil'!$D$20/'Custo Contábil'!$D$7)*W60,2),0)</f>
        <v>0</v>
      </c>
      <c r="Y60" s="417">
        <f t="shared" si="6"/>
        <v>0</v>
      </c>
    </row>
    <row r="61" spans="2:25" outlineLevel="1" x14ac:dyDescent="0.25">
      <c r="B61" s="175">
        <v>54</v>
      </c>
      <c r="C61" s="1175" t="str">
        <f>IF(ISBLANK('MotorCusto (ORÇ)'!C61)," ",'MotorCusto (ORÇ)'!C61)</f>
        <v xml:space="preserve"> </v>
      </c>
      <c r="D61" s="1176"/>
      <c r="E61" s="1176"/>
      <c r="F61" s="1176"/>
      <c r="G61" s="1176"/>
      <c r="H61" s="581">
        <f>'MotorCusto (ORÇ)'!H61</f>
        <v>0</v>
      </c>
      <c r="I61" s="582">
        <f>'MotorCusto (ORÇ)'!I61</f>
        <v>0</v>
      </c>
      <c r="J61" s="574">
        <f>'MotorCusto (ORÇ)'!J61</f>
        <v>0</v>
      </c>
      <c r="K61" s="344">
        <f t="shared" si="0"/>
        <v>0</v>
      </c>
      <c r="L61" s="344">
        <f t="shared" si="1"/>
        <v>0</v>
      </c>
      <c r="M61" s="343"/>
      <c r="N61" s="343"/>
      <c r="O61" s="410"/>
      <c r="P61" s="173">
        <f t="shared" si="2"/>
        <v>54</v>
      </c>
      <c r="Q61" s="1177" t="str">
        <f t="shared" si="3"/>
        <v xml:space="preserve"> </v>
      </c>
      <c r="R61" s="1177"/>
      <c r="S61" s="1177"/>
      <c r="T61" s="1177"/>
      <c r="U61" s="1178"/>
      <c r="V61" s="174">
        <f t="shared" si="4"/>
        <v>0</v>
      </c>
      <c r="W61" s="345">
        <f t="shared" si="5"/>
        <v>0</v>
      </c>
      <c r="X61" s="346">
        <f>IF(AND(K61&gt;0,'Custo Contábil'!$D$7&gt;0),ROUND(K61*('Custo Contábil'!$D$20/'Custo Contábil'!$D$7)*W61,2),0)</f>
        <v>0</v>
      </c>
      <c r="Y61" s="417">
        <f t="shared" si="6"/>
        <v>0</v>
      </c>
    </row>
    <row r="62" spans="2:25" outlineLevel="1" x14ac:dyDescent="0.25">
      <c r="B62" s="173">
        <v>55</v>
      </c>
      <c r="C62" s="1175" t="str">
        <f>IF(ISBLANK('MotorCusto (ORÇ)'!C62)," ",'MotorCusto (ORÇ)'!C62)</f>
        <v xml:space="preserve"> </v>
      </c>
      <c r="D62" s="1176"/>
      <c r="E62" s="1176"/>
      <c r="F62" s="1176"/>
      <c r="G62" s="1176"/>
      <c r="H62" s="581">
        <f>'MotorCusto (ORÇ)'!H62</f>
        <v>0</v>
      </c>
      <c r="I62" s="582">
        <f>'MotorCusto (ORÇ)'!I62</f>
        <v>0</v>
      </c>
      <c r="J62" s="574">
        <f>'MotorCusto (ORÇ)'!J62</f>
        <v>0</v>
      </c>
      <c r="K62" s="344">
        <f t="shared" si="0"/>
        <v>0</v>
      </c>
      <c r="L62" s="344">
        <f t="shared" si="1"/>
        <v>0</v>
      </c>
      <c r="M62" s="343"/>
      <c r="N62" s="343"/>
      <c r="O62" s="410"/>
      <c r="P62" s="173">
        <f t="shared" si="2"/>
        <v>55</v>
      </c>
      <c r="Q62" s="1177" t="str">
        <f t="shared" si="3"/>
        <v xml:space="preserve"> </v>
      </c>
      <c r="R62" s="1177"/>
      <c r="S62" s="1177"/>
      <c r="T62" s="1177"/>
      <c r="U62" s="1178"/>
      <c r="V62" s="174">
        <f t="shared" si="4"/>
        <v>0</v>
      </c>
      <c r="W62" s="345">
        <f t="shared" si="5"/>
        <v>0</v>
      </c>
      <c r="X62" s="346">
        <f>IF(AND(K62&gt;0,'Custo Contábil'!$D$7&gt;0),ROUND(K62*('Custo Contábil'!$D$20/'Custo Contábil'!$D$7)*W62,2),0)</f>
        <v>0</v>
      </c>
      <c r="Y62" s="417">
        <f t="shared" si="6"/>
        <v>0</v>
      </c>
    </row>
    <row r="63" spans="2:25" outlineLevel="1" x14ac:dyDescent="0.25">
      <c r="B63" s="175">
        <v>56</v>
      </c>
      <c r="C63" s="1175" t="str">
        <f>IF(ISBLANK('MotorCusto (ORÇ)'!C63)," ",'MotorCusto (ORÇ)'!C63)</f>
        <v xml:space="preserve"> </v>
      </c>
      <c r="D63" s="1176"/>
      <c r="E63" s="1176"/>
      <c r="F63" s="1176"/>
      <c r="G63" s="1176"/>
      <c r="H63" s="581">
        <f>'MotorCusto (ORÇ)'!H63</f>
        <v>0</v>
      </c>
      <c r="I63" s="582">
        <f>'MotorCusto (ORÇ)'!I63</f>
        <v>0</v>
      </c>
      <c r="J63" s="574">
        <f>'MotorCusto (ORÇ)'!J63</f>
        <v>0</v>
      </c>
      <c r="K63" s="344">
        <f t="shared" si="0"/>
        <v>0</v>
      </c>
      <c r="L63" s="344">
        <f t="shared" si="1"/>
        <v>0</v>
      </c>
      <c r="M63" s="343"/>
      <c r="N63" s="343"/>
      <c r="O63" s="410"/>
      <c r="P63" s="173">
        <f t="shared" si="2"/>
        <v>56</v>
      </c>
      <c r="Q63" s="1177" t="str">
        <f t="shared" si="3"/>
        <v xml:space="preserve"> </v>
      </c>
      <c r="R63" s="1177"/>
      <c r="S63" s="1177"/>
      <c r="T63" s="1177"/>
      <c r="U63" s="1178"/>
      <c r="V63" s="174">
        <f t="shared" si="4"/>
        <v>0</v>
      </c>
      <c r="W63" s="345">
        <f t="shared" si="5"/>
        <v>0</v>
      </c>
      <c r="X63" s="346">
        <f>IF(AND(K63&gt;0,'Custo Contábil'!$D$7&gt;0),ROUND(K63*('Custo Contábil'!$D$20/'Custo Contábil'!$D$7)*W63,2),0)</f>
        <v>0</v>
      </c>
      <c r="Y63" s="417">
        <f t="shared" si="6"/>
        <v>0</v>
      </c>
    </row>
    <row r="64" spans="2:25" outlineLevel="1" x14ac:dyDescent="0.25">
      <c r="B64" s="173">
        <v>57</v>
      </c>
      <c r="C64" s="1175" t="str">
        <f>IF(ISBLANK('MotorCusto (ORÇ)'!C64)," ",'MotorCusto (ORÇ)'!C64)</f>
        <v xml:space="preserve"> </v>
      </c>
      <c r="D64" s="1176"/>
      <c r="E64" s="1176"/>
      <c r="F64" s="1176"/>
      <c r="G64" s="1176"/>
      <c r="H64" s="581">
        <f>'MotorCusto (ORÇ)'!H64</f>
        <v>0</v>
      </c>
      <c r="I64" s="582">
        <f>'MotorCusto (ORÇ)'!I64</f>
        <v>0</v>
      </c>
      <c r="J64" s="574">
        <f>'MotorCusto (ORÇ)'!J64</f>
        <v>0</v>
      </c>
      <c r="K64" s="344">
        <f t="shared" si="0"/>
        <v>0</v>
      </c>
      <c r="L64" s="344">
        <f t="shared" si="1"/>
        <v>0</v>
      </c>
      <c r="M64" s="343"/>
      <c r="N64" s="343"/>
      <c r="O64" s="410"/>
      <c r="P64" s="173">
        <f t="shared" si="2"/>
        <v>57</v>
      </c>
      <c r="Q64" s="1177" t="str">
        <f t="shared" si="3"/>
        <v xml:space="preserve"> </v>
      </c>
      <c r="R64" s="1177"/>
      <c r="S64" s="1177"/>
      <c r="T64" s="1177"/>
      <c r="U64" s="1178"/>
      <c r="V64" s="174">
        <f t="shared" si="4"/>
        <v>0</v>
      </c>
      <c r="W64" s="345">
        <f t="shared" si="5"/>
        <v>0</v>
      </c>
      <c r="X64" s="346">
        <f>IF(AND(K64&gt;0,'Custo Contábil'!$D$7&gt;0),ROUND(K64*('Custo Contábil'!$D$20/'Custo Contábil'!$D$7)*W64,2),0)</f>
        <v>0</v>
      </c>
      <c r="Y64" s="417">
        <f t="shared" si="6"/>
        <v>0</v>
      </c>
    </row>
    <row r="65" spans="2:25" outlineLevel="1" x14ac:dyDescent="0.25">
      <c r="B65" s="175">
        <v>58</v>
      </c>
      <c r="C65" s="1175" t="str">
        <f>IF(ISBLANK('MotorCusto (ORÇ)'!C65)," ",'MotorCusto (ORÇ)'!C65)</f>
        <v xml:space="preserve"> </v>
      </c>
      <c r="D65" s="1176"/>
      <c r="E65" s="1176"/>
      <c r="F65" s="1176"/>
      <c r="G65" s="1176"/>
      <c r="H65" s="581">
        <f>'MotorCusto (ORÇ)'!H65</f>
        <v>0</v>
      </c>
      <c r="I65" s="582">
        <f>'MotorCusto (ORÇ)'!I65</f>
        <v>0</v>
      </c>
      <c r="J65" s="574">
        <f>'MotorCusto (ORÇ)'!J65</f>
        <v>0</v>
      </c>
      <c r="K65" s="344">
        <f t="shared" si="0"/>
        <v>0</v>
      </c>
      <c r="L65" s="344">
        <f t="shared" si="1"/>
        <v>0</v>
      </c>
      <c r="M65" s="343"/>
      <c r="N65" s="343"/>
      <c r="O65" s="410"/>
      <c r="P65" s="173">
        <f t="shared" si="2"/>
        <v>58</v>
      </c>
      <c r="Q65" s="1177" t="str">
        <f t="shared" si="3"/>
        <v xml:space="preserve"> </v>
      </c>
      <c r="R65" s="1177"/>
      <c r="S65" s="1177"/>
      <c r="T65" s="1177"/>
      <c r="U65" s="1178"/>
      <c r="V65" s="174">
        <f t="shared" si="4"/>
        <v>0</v>
      </c>
      <c r="W65" s="345">
        <f t="shared" si="5"/>
        <v>0</v>
      </c>
      <c r="X65" s="346">
        <f>IF(AND(K65&gt;0,'Custo Contábil'!$D$7&gt;0),ROUND(K65*('Custo Contábil'!$D$20/'Custo Contábil'!$D$7)*W65,2),0)</f>
        <v>0</v>
      </c>
      <c r="Y65" s="417">
        <f t="shared" si="6"/>
        <v>0</v>
      </c>
    </row>
    <row r="66" spans="2:25" outlineLevel="1" x14ac:dyDescent="0.25">
      <c r="B66" s="173">
        <v>59</v>
      </c>
      <c r="C66" s="1175" t="str">
        <f>IF(ISBLANK('MotorCusto (ORÇ)'!C66)," ",'MotorCusto (ORÇ)'!C66)</f>
        <v xml:space="preserve"> </v>
      </c>
      <c r="D66" s="1176"/>
      <c r="E66" s="1176"/>
      <c r="F66" s="1176"/>
      <c r="G66" s="1176"/>
      <c r="H66" s="581">
        <f>'MotorCusto (ORÇ)'!H66</f>
        <v>0</v>
      </c>
      <c r="I66" s="582">
        <f>'MotorCusto (ORÇ)'!I66</f>
        <v>0</v>
      </c>
      <c r="J66" s="574">
        <f>'MotorCusto (ORÇ)'!J66</f>
        <v>0</v>
      </c>
      <c r="K66" s="344">
        <f t="shared" si="0"/>
        <v>0</v>
      </c>
      <c r="L66" s="344">
        <f t="shared" si="1"/>
        <v>0</v>
      </c>
      <c r="M66" s="343"/>
      <c r="N66" s="343"/>
      <c r="O66" s="410"/>
      <c r="P66" s="173">
        <f t="shared" si="2"/>
        <v>59</v>
      </c>
      <c r="Q66" s="1177" t="str">
        <f t="shared" si="3"/>
        <v xml:space="preserve"> </v>
      </c>
      <c r="R66" s="1177"/>
      <c r="S66" s="1177"/>
      <c r="T66" s="1177"/>
      <c r="U66" s="1178"/>
      <c r="V66" s="174">
        <f t="shared" si="4"/>
        <v>0</v>
      </c>
      <c r="W66" s="345">
        <f t="shared" si="5"/>
        <v>0</v>
      </c>
      <c r="X66" s="346">
        <f>IF(AND(K66&gt;0,'Custo Contábil'!$D$7&gt;0),ROUND(K66*('Custo Contábil'!$D$20/'Custo Contábil'!$D$7)*W66,2),0)</f>
        <v>0</v>
      </c>
      <c r="Y66" s="417">
        <f t="shared" si="6"/>
        <v>0</v>
      </c>
    </row>
    <row r="67" spans="2:25" outlineLevel="1" x14ac:dyDescent="0.25">
      <c r="B67" s="175">
        <v>60</v>
      </c>
      <c r="C67" s="1175" t="str">
        <f>IF(ISBLANK('MotorCusto (ORÇ)'!C67)," ",'MotorCusto (ORÇ)'!C67)</f>
        <v xml:space="preserve"> </v>
      </c>
      <c r="D67" s="1176"/>
      <c r="E67" s="1176"/>
      <c r="F67" s="1176"/>
      <c r="G67" s="1176"/>
      <c r="H67" s="581">
        <f>'MotorCusto (ORÇ)'!H67</f>
        <v>0</v>
      </c>
      <c r="I67" s="582">
        <f>'MotorCusto (ORÇ)'!I67</f>
        <v>0</v>
      </c>
      <c r="J67" s="574">
        <f>'MotorCusto (ORÇ)'!J67</f>
        <v>0</v>
      </c>
      <c r="K67" s="344">
        <f t="shared" si="0"/>
        <v>0</v>
      </c>
      <c r="L67" s="344">
        <f t="shared" si="1"/>
        <v>0</v>
      </c>
      <c r="M67" s="343"/>
      <c r="N67" s="343"/>
      <c r="O67" s="410"/>
      <c r="P67" s="173">
        <f t="shared" si="2"/>
        <v>60</v>
      </c>
      <c r="Q67" s="1177" t="str">
        <f t="shared" si="3"/>
        <v xml:space="preserve"> </v>
      </c>
      <c r="R67" s="1177"/>
      <c r="S67" s="1177"/>
      <c r="T67" s="1177"/>
      <c r="U67" s="1178"/>
      <c r="V67" s="174">
        <f t="shared" si="4"/>
        <v>0</v>
      </c>
      <c r="W67" s="345">
        <f t="shared" si="5"/>
        <v>0</v>
      </c>
      <c r="X67" s="346">
        <f>IF(AND(K67&gt;0,'Custo Contábil'!$D$7&gt;0),ROUND(K67*('Custo Contábil'!$D$20/'Custo Contábil'!$D$7)*W67,2),0)</f>
        <v>0</v>
      </c>
      <c r="Y67" s="417">
        <f t="shared" si="6"/>
        <v>0</v>
      </c>
    </row>
    <row r="68" spans="2:25" outlineLevel="1" x14ac:dyDescent="0.25">
      <c r="B68" s="173">
        <v>61</v>
      </c>
      <c r="C68" s="1175" t="str">
        <f>IF(ISBLANK('MotorCusto (ORÇ)'!C68)," ",'MotorCusto (ORÇ)'!C68)</f>
        <v xml:space="preserve"> </v>
      </c>
      <c r="D68" s="1176"/>
      <c r="E68" s="1176"/>
      <c r="F68" s="1176"/>
      <c r="G68" s="1176"/>
      <c r="H68" s="581">
        <f>'MotorCusto (ORÇ)'!H68</f>
        <v>0</v>
      </c>
      <c r="I68" s="582">
        <f>'MotorCusto (ORÇ)'!I68</f>
        <v>0</v>
      </c>
      <c r="J68" s="574">
        <f>'MotorCusto (ORÇ)'!J68</f>
        <v>0</v>
      </c>
      <c r="K68" s="344">
        <f t="shared" si="0"/>
        <v>0</v>
      </c>
      <c r="L68" s="344">
        <f t="shared" si="1"/>
        <v>0</v>
      </c>
      <c r="M68" s="343"/>
      <c r="N68" s="343"/>
      <c r="O68" s="410"/>
      <c r="P68" s="173">
        <f t="shared" si="2"/>
        <v>61</v>
      </c>
      <c r="Q68" s="1177" t="str">
        <f t="shared" si="3"/>
        <v xml:space="preserve"> </v>
      </c>
      <c r="R68" s="1177"/>
      <c r="S68" s="1177"/>
      <c r="T68" s="1177"/>
      <c r="U68" s="1178"/>
      <c r="V68" s="174">
        <f t="shared" si="4"/>
        <v>0</v>
      </c>
      <c r="W68" s="345">
        <f t="shared" si="5"/>
        <v>0</v>
      </c>
      <c r="X68" s="346">
        <f>IF(AND(K68&gt;0,'Custo Contábil'!$D$7&gt;0),ROUND(K68*('Custo Contábil'!$D$20/'Custo Contábil'!$D$7)*W68,2),0)</f>
        <v>0</v>
      </c>
      <c r="Y68" s="417">
        <f t="shared" si="6"/>
        <v>0</v>
      </c>
    </row>
    <row r="69" spans="2:25" outlineLevel="1" x14ac:dyDescent="0.25">
      <c r="B69" s="175">
        <v>62</v>
      </c>
      <c r="C69" s="1175" t="str">
        <f>IF(ISBLANK('MotorCusto (ORÇ)'!C69)," ",'MotorCusto (ORÇ)'!C69)</f>
        <v xml:space="preserve"> </v>
      </c>
      <c r="D69" s="1176"/>
      <c r="E69" s="1176"/>
      <c r="F69" s="1176"/>
      <c r="G69" s="1176"/>
      <c r="H69" s="581">
        <f>'MotorCusto (ORÇ)'!H69</f>
        <v>0</v>
      </c>
      <c r="I69" s="582">
        <f>'MotorCusto (ORÇ)'!I69</f>
        <v>0</v>
      </c>
      <c r="J69" s="574">
        <f>'MotorCusto (ORÇ)'!J69</f>
        <v>0</v>
      </c>
      <c r="K69" s="344">
        <f t="shared" si="0"/>
        <v>0</v>
      </c>
      <c r="L69" s="344">
        <f t="shared" si="1"/>
        <v>0</v>
      </c>
      <c r="M69" s="343"/>
      <c r="N69" s="343"/>
      <c r="O69" s="410"/>
      <c r="P69" s="173">
        <f t="shared" si="2"/>
        <v>62</v>
      </c>
      <c r="Q69" s="1177" t="str">
        <f t="shared" si="3"/>
        <v xml:space="preserve"> </v>
      </c>
      <c r="R69" s="1177"/>
      <c r="S69" s="1177"/>
      <c r="T69" s="1177"/>
      <c r="U69" s="1178"/>
      <c r="V69" s="174">
        <f t="shared" si="4"/>
        <v>0</v>
      </c>
      <c r="W69" s="345">
        <f t="shared" si="5"/>
        <v>0</v>
      </c>
      <c r="X69" s="346">
        <f>IF(AND(K69&gt;0,'Custo Contábil'!$D$7&gt;0),ROUND(K69*('Custo Contábil'!$D$20/'Custo Contábil'!$D$7)*W69,2),0)</f>
        <v>0</v>
      </c>
      <c r="Y69" s="417">
        <f t="shared" si="6"/>
        <v>0</v>
      </c>
    </row>
    <row r="70" spans="2:25" outlineLevel="1" x14ac:dyDescent="0.25">
      <c r="B70" s="173">
        <v>63</v>
      </c>
      <c r="C70" s="1175" t="str">
        <f>IF(ISBLANK('MotorCusto (ORÇ)'!C70)," ",'MotorCusto (ORÇ)'!C70)</f>
        <v xml:space="preserve"> </v>
      </c>
      <c r="D70" s="1176"/>
      <c r="E70" s="1176"/>
      <c r="F70" s="1176"/>
      <c r="G70" s="1176"/>
      <c r="H70" s="581">
        <f>'MotorCusto (ORÇ)'!H70</f>
        <v>0</v>
      </c>
      <c r="I70" s="582">
        <f>'MotorCusto (ORÇ)'!I70</f>
        <v>0</v>
      </c>
      <c r="J70" s="574">
        <f>'MotorCusto (ORÇ)'!J70</f>
        <v>0</v>
      </c>
      <c r="K70" s="344">
        <f t="shared" si="0"/>
        <v>0</v>
      </c>
      <c r="L70" s="344">
        <f t="shared" si="1"/>
        <v>0</v>
      </c>
      <c r="M70" s="343"/>
      <c r="N70" s="343"/>
      <c r="O70" s="410"/>
      <c r="P70" s="173">
        <f t="shared" si="2"/>
        <v>63</v>
      </c>
      <c r="Q70" s="1177" t="str">
        <f t="shared" si="3"/>
        <v xml:space="preserve"> </v>
      </c>
      <c r="R70" s="1177"/>
      <c r="S70" s="1177"/>
      <c r="T70" s="1177"/>
      <c r="U70" s="1178"/>
      <c r="V70" s="174">
        <f t="shared" si="4"/>
        <v>0</v>
      </c>
      <c r="W70" s="345">
        <f t="shared" si="5"/>
        <v>0</v>
      </c>
      <c r="X70" s="346">
        <f>IF(AND(K70&gt;0,'Custo Contábil'!$D$7&gt;0),ROUND(K70*('Custo Contábil'!$D$20/'Custo Contábil'!$D$7)*W70,2),0)</f>
        <v>0</v>
      </c>
      <c r="Y70" s="417">
        <f t="shared" si="6"/>
        <v>0</v>
      </c>
    </row>
    <row r="71" spans="2:25" outlineLevel="1" x14ac:dyDescent="0.25">
      <c r="B71" s="175">
        <v>64</v>
      </c>
      <c r="C71" s="1175" t="str">
        <f>IF(ISBLANK('MotorCusto (ORÇ)'!C71)," ",'MotorCusto (ORÇ)'!C71)</f>
        <v xml:space="preserve"> </v>
      </c>
      <c r="D71" s="1176"/>
      <c r="E71" s="1176"/>
      <c r="F71" s="1176"/>
      <c r="G71" s="1176"/>
      <c r="H71" s="581">
        <f>'MotorCusto (ORÇ)'!H71</f>
        <v>0</v>
      </c>
      <c r="I71" s="582">
        <f>'MotorCusto (ORÇ)'!I71</f>
        <v>0</v>
      </c>
      <c r="J71" s="574">
        <f>'MotorCusto (ORÇ)'!J71</f>
        <v>0</v>
      </c>
      <c r="K71" s="344">
        <f t="shared" si="0"/>
        <v>0</v>
      </c>
      <c r="L71" s="344">
        <f t="shared" si="1"/>
        <v>0</v>
      </c>
      <c r="M71" s="343"/>
      <c r="N71" s="343"/>
      <c r="O71" s="410"/>
      <c r="P71" s="173">
        <f t="shared" si="2"/>
        <v>64</v>
      </c>
      <c r="Q71" s="1177" t="str">
        <f t="shared" si="3"/>
        <v xml:space="preserve"> </v>
      </c>
      <c r="R71" s="1177"/>
      <c r="S71" s="1177"/>
      <c r="T71" s="1177"/>
      <c r="U71" s="1178"/>
      <c r="V71" s="174">
        <f t="shared" si="4"/>
        <v>0</v>
      </c>
      <c r="W71" s="345">
        <f t="shared" si="5"/>
        <v>0</v>
      </c>
      <c r="X71" s="346">
        <f>IF(AND(K71&gt;0,'Custo Contábil'!$D$7&gt;0),ROUND(K71*('Custo Contábil'!$D$20/'Custo Contábil'!$D$7)*W71,2),0)</f>
        <v>0</v>
      </c>
      <c r="Y71" s="417">
        <f t="shared" si="6"/>
        <v>0</v>
      </c>
    </row>
    <row r="72" spans="2:25" outlineLevel="1" x14ac:dyDescent="0.25">
      <c r="B72" s="173">
        <v>65</v>
      </c>
      <c r="C72" s="1175" t="str">
        <f>IF(ISBLANK('MotorCusto (ORÇ)'!C72)," ",'MotorCusto (ORÇ)'!C72)</f>
        <v xml:space="preserve"> </v>
      </c>
      <c r="D72" s="1176"/>
      <c r="E72" s="1176"/>
      <c r="F72" s="1176"/>
      <c r="G72" s="1176"/>
      <c r="H72" s="581">
        <f>'MotorCusto (ORÇ)'!H72</f>
        <v>0</v>
      </c>
      <c r="I72" s="582">
        <f>'MotorCusto (ORÇ)'!I72</f>
        <v>0</v>
      </c>
      <c r="J72" s="574">
        <f>'MotorCusto (ORÇ)'!J72</f>
        <v>0</v>
      </c>
      <c r="K72" s="344">
        <f t="shared" si="0"/>
        <v>0</v>
      </c>
      <c r="L72" s="344">
        <f t="shared" si="1"/>
        <v>0</v>
      </c>
      <c r="M72" s="343"/>
      <c r="N72" s="343"/>
      <c r="O72" s="410"/>
      <c r="P72" s="173">
        <f t="shared" si="2"/>
        <v>65</v>
      </c>
      <c r="Q72" s="1177" t="str">
        <f t="shared" si="3"/>
        <v xml:space="preserve"> </v>
      </c>
      <c r="R72" s="1177"/>
      <c r="S72" s="1177"/>
      <c r="T72" s="1177"/>
      <c r="U72" s="1178"/>
      <c r="V72" s="174">
        <f t="shared" si="4"/>
        <v>0</v>
      </c>
      <c r="W72" s="345">
        <f t="shared" si="5"/>
        <v>0</v>
      </c>
      <c r="X72" s="346">
        <f>IF(AND(K72&gt;0,'Custo Contábil'!$D$7&gt;0),ROUND(K72*('Custo Contábil'!$D$20/'Custo Contábil'!$D$7)*W72,2),0)</f>
        <v>0</v>
      </c>
      <c r="Y72" s="417">
        <f t="shared" si="6"/>
        <v>0</v>
      </c>
    </row>
    <row r="73" spans="2:25" outlineLevel="1" x14ac:dyDescent="0.25">
      <c r="B73" s="175">
        <v>66</v>
      </c>
      <c r="C73" s="1175" t="str">
        <f>IF(ISBLANK('MotorCusto (ORÇ)'!C73)," ",'MotorCusto (ORÇ)'!C73)</f>
        <v xml:space="preserve"> </v>
      </c>
      <c r="D73" s="1176"/>
      <c r="E73" s="1176"/>
      <c r="F73" s="1176"/>
      <c r="G73" s="1176"/>
      <c r="H73" s="581">
        <f>'MotorCusto (ORÇ)'!H73</f>
        <v>0</v>
      </c>
      <c r="I73" s="582">
        <f>'MotorCusto (ORÇ)'!I73</f>
        <v>0</v>
      </c>
      <c r="J73" s="574">
        <f>'MotorCusto (ORÇ)'!J73</f>
        <v>0</v>
      </c>
      <c r="K73" s="344">
        <f t="shared" ref="K73:K108" si="7">I73*J73</f>
        <v>0</v>
      </c>
      <c r="L73" s="344">
        <f t="shared" ref="L73:L108" si="8">K73-M73-N73</f>
        <v>0</v>
      </c>
      <c r="M73" s="343"/>
      <c r="N73" s="343"/>
      <c r="O73" s="410"/>
      <c r="P73" s="173">
        <f t="shared" si="2"/>
        <v>66</v>
      </c>
      <c r="Q73" s="1177" t="str">
        <f t="shared" ref="Q73:Q107" si="9">IF(OR(C73=0,C73=""),"",C73)</f>
        <v xml:space="preserve"> </v>
      </c>
      <c r="R73" s="1177"/>
      <c r="S73" s="1177"/>
      <c r="T73" s="1177"/>
      <c r="U73" s="1178"/>
      <c r="V73" s="174">
        <f t="shared" ref="V73:V107" si="10">IF(H73="",0,H73)</f>
        <v>0</v>
      </c>
      <c r="W73" s="345">
        <f t="shared" ref="W73:W108" si="11">IF(OR(V73="",V73=0),0,(Desc*((1+Desc)^V73))/(((1+Desc)^V73)-1))</f>
        <v>0</v>
      </c>
      <c r="X73" s="346">
        <f>IF(AND(K73&gt;0,'Custo Contábil'!$D$7&gt;0),ROUND(K73*('Custo Contábil'!$D$20/'Custo Contábil'!$D$7)*W73,2),0)</f>
        <v>0</v>
      </c>
      <c r="Y73" s="417">
        <f t="shared" ref="Y73:Y108" si="12">V73*X73</f>
        <v>0</v>
      </c>
    </row>
    <row r="74" spans="2:25" outlineLevel="1" x14ac:dyDescent="0.25">
      <c r="B74" s="173">
        <v>67</v>
      </c>
      <c r="C74" s="1175" t="str">
        <f>IF(ISBLANK('MotorCusto (ORÇ)'!C74)," ",'MotorCusto (ORÇ)'!C74)</f>
        <v xml:space="preserve"> </v>
      </c>
      <c r="D74" s="1176"/>
      <c r="E74" s="1176"/>
      <c r="F74" s="1176"/>
      <c r="G74" s="1176"/>
      <c r="H74" s="581">
        <f>'MotorCusto (ORÇ)'!H74</f>
        <v>0</v>
      </c>
      <c r="I74" s="582">
        <f>'MotorCusto (ORÇ)'!I74</f>
        <v>0</v>
      </c>
      <c r="J74" s="574">
        <f>'MotorCusto (ORÇ)'!J74</f>
        <v>0</v>
      </c>
      <c r="K74" s="344">
        <f t="shared" si="7"/>
        <v>0</v>
      </c>
      <c r="L74" s="344">
        <f t="shared" si="8"/>
        <v>0</v>
      </c>
      <c r="M74" s="343"/>
      <c r="N74" s="343"/>
      <c r="O74" s="410"/>
      <c r="P74" s="173">
        <f t="shared" si="2"/>
        <v>67</v>
      </c>
      <c r="Q74" s="1177" t="str">
        <f t="shared" si="9"/>
        <v xml:space="preserve"> </v>
      </c>
      <c r="R74" s="1177"/>
      <c r="S74" s="1177"/>
      <c r="T74" s="1177"/>
      <c r="U74" s="1178"/>
      <c r="V74" s="174">
        <f t="shared" si="10"/>
        <v>0</v>
      </c>
      <c r="W74" s="345">
        <f t="shared" si="11"/>
        <v>0</v>
      </c>
      <c r="X74" s="346">
        <f>IF(AND(K74&gt;0,'Custo Contábil'!$D$7&gt;0),ROUND(K74*('Custo Contábil'!$D$20/'Custo Contábil'!$D$7)*W74,2),0)</f>
        <v>0</v>
      </c>
      <c r="Y74" s="417">
        <f t="shared" si="12"/>
        <v>0</v>
      </c>
    </row>
    <row r="75" spans="2:25" outlineLevel="1" x14ac:dyDescent="0.25">
      <c r="B75" s="175">
        <v>68</v>
      </c>
      <c r="C75" s="1175" t="str">
        <f>IF(ISBLANK('MotorCusto (ORÇ)'!C75)," ",'MotorCusto (ORÇ)'!C75)</f>
        <v xml:space="preserve"> </v>
      </c>
      <c r="D75" s="1176"/>
      <c r="E75" s="1176"/>
      <c r="F75" s="1176"/>
      <c r="G75" s="1176"/>
      <c r="H75" s="581">
        <f>'MotorCusto (ORÇ)'!H75</f>
        <v>0</v>
      </c>
      <c r="I75" s="582">
        <f>'MotorCusto (ORÇ)'!I75</f>
        <v>0</v>
      </c>
      <c r="J75" s="574">
        <f>'MotorCusto (ORÇ)'!J75</f>
        <v>0</v>
      </c>
      <c r="K75" s="344">
        <f t="shared" si="7"/>
        <v>0</v>
      </c>
      <c r="L75" s="344">
        <f t="shared" si="8"/>
        <v>0</v>
      </c>
      <c r="M75" s="343"/>
      <c r="N75" s="343"/>
      <c r="O75" s="410"/>
      <c r="P75" s="173">
        <f t="shared" si="2"/>
        <v>68</v>
      </c>
      <c r="Q75" s="1177" t="str">
        <f t="shared" si="9"/>
        <v xml:space="preserve"> </v>
      </c>
      <c r="R75" s="1177"/>
      <c r="S75" s="1177"/>
      <c r="T75" s="1177"/>
      <c r="U75" s="1178"/>
      <c r="V75" s="174">
        <f t="shared" si="10"/>
        <v>0</v>
      </c>
      <c r="W75" s="345">
        <f t="shared" si="11"/>
        <v>0</v>
      </c>
      <c r="X75" s="346">
        <f>IF(AND(K75&gt;0,'Custo Contábil'!$D$7&gt;0),ROUND(K75*('Custo Contábil'!$D$20/'Custo Contábil'!$D$7)*W75,2),0)</f>
        <v>0</v>
      </c>
      <c r="Y75" s="417">
        <f t="shared" si="12"/>
        <v>0</v>
      </c>
    </row>
    <row r="76" spans="2:25" outlineLevel="1" x14ac:dyDescent="0.25">
      <c r="B76" s="173">
        <v>69</v>
      </c>
      <c r="C76" s="1175" t="str">
        <f>IF(ISBLANK('MotorCusto (ORÇ)'!C76)," ",'MotorCusto (ORÇ)'!C76)</f>
        <v xml:space="preserve"> </v>
      </c>
      <c r="D76" s="1176"/>
      <c r="E76" s="1176"/>
      <c r="F76" s="1176"/>
      <c r="G76" s="1176"/>
      <c r="H76" s="581">
        <f>'MotorCusto (ORÇ)'!H76</f>
        <v>0</v>
      </c>
      <c r="I76" s="582">
        <f>'MotorCusto (ORÇ)'!I76</f>
        <v>0</v>
      </c>
      <c r="J76" s="574">
        <f>'MotorCusto (ORÇ)'!J76</f>
        <v>0</v>
      </c>
      <c r="K76" s="344">
        <f t="shared" si="7"/>
        <v>0</v>
      </c>
      <c r="L76" s="344">
        <f t="shared" si="8"/>
        <v>0</v>
      </c>
      <c r="M76" s="343"/>
      <c r="N76" s="343"/>
      <c r="O76" s="410"/>
      <c r="P76" s="173">
        <f t="shared" si="2"/>
        <v>69</v>
      </c>
      <c r="Q76" s="1177" t="str">
        <f t="shared" si="9"/>
        <v xml:space="preserve"> </v>
      </c>
      <c r="R76" s="1177"/>
      <c r="S76" s="1177"/>
      <c r="T76" s="1177"/>
      <c r="U76" s="1178"/>
      <c r="V76" s="174">
        <f t="shared" si="10"/>
        <v>0</v>
      </c>
      <c r="W76" s="345">
        <f t="shared" si="11"/>
        <v>0</v>
      </c>
      <c r="X76" s="346">
        <f>IF(AND(K76&gt;0,'Custo Contábil'!$D$7&gt;0),ROUND(K76*('Custo Contábil'!$D$20/'Custo Contábil'!$D$7)*W76,2),0)</f>
        <v>0</v>
      </c>
      <c r="Y76" s="417">
        <f t="shared" si="12"/>
        <v>0</v>
      </c>
    </row>
    <row r="77" spans="2:25" outlineLevel="1" x14ac:dyDescent="0.25">
      <c r="B77" s="175">
        <v>70</v>
      </c>
      <c r="C77" s="1175" t="str">
        <f>IF(ISBLANK('MotorCusto (ORÇ)'!C77)," ",'MotorCusto (ORÇ)'!C77)</f>
        <v xml:space="preserve"> </v>
      </c>
      <c r="D77" s="1176"/>
      <c r="E77" s="1176"/>
      <c r="F77" s="1176"/>
      <c r="G77" s="1176"/>
      <c r="H77" s="581">
        <f>'MotorCusto (ORÇ)'!H77</f>
        <v>0</v>
      </c>
      <c r="I77" s="582">
        <f>'MotorCusto (ORÇ)'!I77</f>
        <v>0</v>
      </c>
      <c r="J77" s="574">
        <f>'MotorCusto (ORÇ)'!J77</f>
        <v>0</v>
      </c>
      <c r="K77" s="344">
        <f t="shared" si="7"/>
        <v>0</v>
      </c>
      <c r="L77" s="344">
        <f t="shared" si="8"/>
        <v>0</v>
      </c>
      <c r="M77" s="343"/>
      <c r="N77" s="343"/>
      <c r="O77" s="410"/>
      <c r="P77" s="173">
        <f t="shared" si="2"/>
        <v>70</v>
      </c>
      <c r="Q77" s="1177" t="str">
        <f t="shared" si="9"/>
        <v xml:space="preserve"> </v>
      </c>
      <c r="R77" s="1177"/>
      <c r="S77" s="1177"/>
      <c r="T77" s="1177"/>
      <c r="U77" s="1178"/>
      <c r="V77" s="174">
        <f t="shared" si="10"/>
        <v>0</v>
      </c>
      <c r="W77" s="345">
        <f t="shared" si="11"/>
        <v>0</v>
      </c>
      <c r="X77" s="346">
        <f>IF(AND(K77&gt;0,'Custo Contábil'!$D$7&gt;0),ROUND(K77*('Custo Contábil'!$D$20/'Custo Contábil'!$D$7)*W77,2),0)</f>
        <v>0</v>
      </c>
      <c r="Y77" s="417">
        <f t="shared" si="12"/>
        <v>0</v>
      </c>
    </row>
    <row r="78" spans="2:25" outlineLevel="1" x14ac:dyDescent="0.25">
      <c r="B78" s="173">
        <v>71</v>
      </c>
      <c r="C78" s="1175" t="str">
        <f>IF(ISBLANK('MotorCusto (ORÇ)'!C78)," ",'MotorCusto (ORÇ)'!C78)</f>
        <v xml:space="preserve"> </v>
      </c>
      <c r="D78" s="1176"/>
      <c r="E78" s="1176"/>
      <c r="F78" s="1176"/>
      <c r="G78" s="1176"/>
      <c r="H78" s="581">
        <f>'MotorCusto (ORÇ)'!H78</f>
        <v>0</v>
      </c>
      <c r="I78" s="582">
        <f>'MotorCusto (ORÇ)'!I78</f>
        <v>0</v>
      </c>
      <c r="J78" s="574">
        <f>'MotorCusto (ORÇ)'!J78</f>
        <v>0</v>
      </c>
      <c r="K78" s="344">
        <f t="shared" si="7"/>
        <v>0</v>
      </c>
      <c r="L78" s="344">
        <f t="shared" si="8"/>
        <v>0</v>
      </c>
      <c r="M78" s="343"/>
      <c r="N78" s="343"/>
      <c r="O78" s="410"/>
      <c r="P78" s="173">
        <f t="shared" si="2"/>
        <v>71</v>
      </c>
      <c r="Q78" s="1177" t="str">
        <f t="shared" si="9"/>
        <v xml:space="preserve"> </v>
      </c>
      <c r="R78" s="1177"/>
      <c r="S78" s="1177"/>
      <c r="T78" s="1177"/>
      <c r="U78" s="1178"/>
      <c r="V78" s="174">
        <f t="shared" si="10"/>
        <v>0</v>
      </c>
      <c r="W78" s="345">
        <f t="shared" si="11"/>
        <v>0</v>
      </c>
      <c r="X78" s="346">
        <f>IF(AND(K78&gt;0,'Custo Contábil'!$D$7&gt;0),ROUND(K78*('Custo Contábil'!$D$20/'Custo Contábil'!$D$7)*W78,2),0)</f>
        <v>0</v>
      </c>
      <c r="Y78" s="417">
        <f t="shared" si="12"/>
        <v>0</v>
      </c>
    </row>
    <row r="79" spans="2:25" outlineLevel="1" x14ac:dyDescent="0.25">
      <c r="B79" s="175">
        <v>72</v>
      </c>
      <c r="C79" s="1175" t="str">
        <f>IF(ISBLANK('MotorCusto (ORÇ)'!C79)," ",'MotorCusto (ORÇ)'!C79)</f>
        <v xml:space="preserve"> </v>
      </c>
      <c r="D79" s="1176"/>
      <c r="E79" s="1176"/>
      <c r="F79" s="1176"/>
      <c r="G79" s="1176"/>
      <c r="H79" s="581">
        <f>'MotorCusto (ORÇ)'!H79</f>
        <v>0</v>
      </c>
      <c r="I79" s="582">
        <f>'MotorCusto (ORÇ)'!I79</f>
        <v>0</v>
      </c>
      <c r="J79" s="574">
        <f>'MotorCusto (ORÇ)'!J79</f>
        <v>0</v>
      </c>
      <c r="K79" s="344">
        <f t="shared" si="7"/>
        <v>0</v>
      </c>
      <c r="L79" s="344">
        <f t="shared" si="8"/>
        <v>0</v>
      </c>
      <c r="M79" s="343"/>
      <c r="N79" s="343"/>
      <c r="O79" s="410"/>
      <c r="P79" s="173">
        <f t="shared" si="2"/>
        <v>72</v>
      </c>
      <c r="Q79" s="1177" t="str">
        <f t="shared" si="9"/>
        <v xml:space="preserve"> </v>
      </c>
      <c r="R79" s="1177"/>
      <c r="S79" s="1177"/>
      <c r="T79" s="1177"/>
      <c r="U79" s="1178"/>
      <c r="V79" s="174">
        <f t="shared" si="10"/>
        <v>0</v>
      </c>
      <c r="W79" s="345">
        <f t="shared" si="11"/>
        <v>0</v>
      </c>
      <c r="X79" s="346">
        <f>IF(AND(K79&gt;0,'Custo Contábil'!$D$7&gt;0),ROUND(K79*('Custo Contábil'!$D$20/'Custo Contábil'!$D$7)*W79,2),0)</f>
        <v>0</v>
      </c>
      <c r="Y79" s="417">
        <f t="shared" si="12"/>
        <v>0</v>
      </c>
    </row>
    <row r="80" spans="2:25" outlineLevel="1" x14ac:dyDescent="0.25">
      <c r="B80" s="173">
        <v>73</v>
      </c>
      <c r="C80" s="1175" t="str">
        <f>IF(ISBLANK('MotorCusto (ORÇ)'!C80)," ",'MotorCusto (ORÇ)'!C80)</f>
        <v xml:space="preserve"> </v>
      </c>
      <c r="D80" s="1176"/>
      <c r="E80" s="1176"/>
      <c r="F80" s="1176"/>
      <c r="G80" s="1176"/>
      <c r="H80" s="581">
        <f>'MotorCusto (ORÇ)'!H80</f>
        <v>0</v>
      </c>
      <c r="I80" s="582">
        <f>'MotorCusto (ORÇ)'!I80</f>
        <v>0</v>
      </c>
      <c r="J80" s="574">
        <f>'MotorCusto (ORÇ)'!J80</f>
        <v>0</v>
      </c>
      <c r="K80" s="344">
        <f t="shared" si="7"/>
        <v>0</v>
      </c>
      <c r="L80" s="344">
        <f t="shared" si="8"/>
        <v>0</v>
      </c>
      <c r="M80" s="343"/>
      <c r="N80" s="343"/>
      <c r="O80" s="410"/>
      <c r="P80" s="173">
        <f t="shared" si="2"/>
        <v>73</v>
      </c>
      <c r="Q80" s="1177" t="str">
        <f t="shared" si="9"/>
        <v xml:space="preserve"> </v>
      </c>
      <c r="R80" s="1177"/>
      <c r="S80" s="1177"/>
      <c r="T80" s="1177"/>
      <c r="U80" s="1178"/>
      <c r="V80" s="174">
        <f t="shared" si="10"/>
        <v>0</v>
      </c>
      <c r="W80" s="345">
        <f t="shared" si="11"/>
        <v>0</v>
      </c>
      <c r="X80" s="346">
        <f>IF(AND(K80&gt;0,'Custo Contábil'!$D$7&gt;0),ROUND(K80*('Custo Contábil'!$D$20/'Custo Contábil'!$D$7)*W80,2),0)</f>
        <v>0</v>
      </c>
      <c r="Y80" s="417">
        <f t="shared" si="12"/>
        <v>0</v>
      </c>
    </row>
    <row r="81" spans="2:25" outlineLevel="1" x14ac:dyDescent="0.25">
      <c r="B81" s="175">
        <v>74</v>
      </c>
      <c r="C81" s="1175" t="str">
        <f>IF(ISBLANK('MotorCusto (ORÇ)'!C81)," ",'MotorCusto (ORÇ)'!C81)</f>
        <v xml:space="preserve"> </v>
      </c>
      <c r="D81" s="1176"/>
      <c r="E81" s="1176"/>
      <c r="F81" s="1176"/>
      <c r="G81" s="1176"/>
      <c r="H81" s="581">
        <f>'MotorCusto (ORÇ)'!H81</f>
        <v>0</v>
      </c>
      <c r="I81" s="582">
        <f>'MotorCusto (ORÇ)'!I81</f>
        <v>0</v>
      </c>
      <c r="J81" s="574">
        <f>'MotorCusto (ORÇ)'!J81</f>
        <v>0</v>
      </c>
      <c r="K81" s="344">
        <f t="shared" si="7"/>
        <v>0</v>
      </c>
      <c r="L81" s="344">
        <f t="shared" si="8"/>
        <v>0</v>
      </c>
      <c r="M81" s="343"/>
      <c r="N81" s="343"/>
      <c r="O81" s="410"/>
      <c r="P81" s="173">
        <f t="shared" si="2"/>
        <v>74</v>
      </c>
      <c r="Q81" s="1177" t="str">
        <f t="shared" si="9"/>
        <v xml:space="preserve"> </v>
      </c>
      <c r="R81" s="1177"/>
      <c r="S81" s="1177"/>
      <c r="T81" s="1177"/>
      <c r="U81" s="1178"/>
      <c r="V81" s="174">
        <f t="shared" si="10"/>
        <v>0</v>
      </c>
      <c r="W81" s="345">
        <f t="shared" si="11"/>
        <v>0</v>
      </c>
      <c r="X81" s="346">
        <f>IF(AND(K81&gt;0,'Custo Contábil'!$D$7&gt;0),ROUND(K81*('Custo Contábil'!$D$20/'Custo Contábil'!$D$7)*W81,2),0)</f>
        <v>0</v>
      </c>
      <c r="Y81" s="417">
        <f t="shared" si="12"/>
        <v>0</v>
      </c>
    </row>
    <row r="82" spans="2:25" outlineLevel="1" x14ac:dyDescent="0.25">
      <c r="B82" s="173">
        <v>75</v>
      </c>
      <c r="C82" s="1175" t="str">
        <f>IF(ISBLANK('MotorCusto (ORÇ)'!C82)," ",'MotorCusto (ORÇ)'!C82)</f>
        <v xml:space="preserve"> </v>
      </c>
      <c r="D82" s="1176"/>
      <c r="E82" s="1176"/>
      <c r="F82" s="1176"/>
      <c r="G82" s="1176"/>
      <c r="H82" s="581">
        <f>'MotorCusto (ORÇ)'!H82</f>
        <v>0</v>
      </c>
      <c r="I82" s="582">
        <f>'MotorCusto (ORÇ)'!I82</f>
        <v>0</v>
      </c>
      <c r="J82" s="574">
        <f>'MotorCusto (ORÇ)'!J82</f>
        <v>0</v>
      </c>
      <c r="K82" s="344">
        <f t="shared" si="7"/>
        <v>0</v>
      </c>
      <c r="L82" s="344">
        <f t="shared" si="8"/>
        <v>0</v>
      </c>
      <c r="M82" s="343"/>
      <c r="N82" s="343"/>
      <c r="O82" s="410"/>
      <c r="P82" s="173">
        <f t="shared" si="2"/>
        <v>75</v>
      </c>
      <c r="Q82" s="1177" t="str">
        <f t="shared" si="9"/>
        <v xml:space="preserve"> </v>
      </c>
      <c r="R82" s="1177"/>
      <c r="S82" s="1177"/>
      <c r="T82" s="1177"/>
      <c r="U82" s="1178"/>
      <c r="V82" s="174">
        <f t="shared" si="10"/>
        <v>0</v>
      </c>
      <c r="W82" s="345">
        <f t="shared" si="11"/>
        <v>0</v>
      </c>
      <c r="X82" s="346">
        <f>IF(AND(K82&gt;0,'Custo Contábil'!$D$7&gt;0),ROUND(K82*('Custo Contábil'!$D$20/'Custo Contábil'!$D$7)*W82,2),0)</f>
        <v>0</v>
      </c>
      <c r="Y82" s="417">
        <f t="shared" si="12"/>
        <v>0</v>
      </c>
    </row>
    <row r="83" spans="2:25" outlineLevel="1" x14ac:dyDescent="0.25">
      <c r="B83" s="175">
        <v>76</v>
      </c>
      <c r="C83" s="1175" t="str">
        <f>IF(ISBLANK('MotorCusto (ORÇ)'!C83)," ",'MotorCusto (ORÇ)'!C83)</f>
        <v xml:space="preserve"> </v>
      </c>
      <c r="D83" s="1176"/>
      <c r="E83" s="1176"/>
      <c r="F83" s="1176"/>
      <c r="G83" s="1176"/>
      <c r="H83" s="581">
        <f>'MotorCusto (ORÇ)'!H83</f>
        <v>0</v>
      </c>
      <c r="I83" s="582">
        <f>'MotorCusto (ORÇ)'!I83</f>
        <v>0</v>
      </c>
      <c r="J83" s="574">
        <f>'MotorCusto (ORÇ)'!J83</f>
        <v>0</v>
      </c>
      <c r="K83" s="344">
        <f t="shared" si="7"/>
        <v>0</v>
      </c>
      <c r="L83" s="344">
        <f t="shared" si="8"/>
        <v>0</v>
      </c>
      <c r="M83" s="343"/>
      <c r="N83" s="343"/>
      <c r="O83" s="410"/>
      <c r="P83" s="173">
        <f t="shared" si="2"/>
        <v>76</v>
      </c>
      <c r="Q83" s="1177" t="str">
        <f t="shared" si="9"/>
        <v xml:space="preserve"> </v>
      </c>
      <c r="R83" s="1177"/>
      <c r="S83" s="1177"/>
      <c r="T83" s="1177"/>
      <c r="U83" s="1178"/>
      <c r="V83" s="174">
        <f t="shared" si="10"/>
        <v>0</v>
      </c>
      <c r="W83" s="345">
        <f t="shared" si="11"/>
        <v>0</v>
      </c>
      <c r="X83" s="346">
        <f>IF(AND(K83&gt;0,'Custo Contábil'!$D$7&gt;0),ROUND(K83*('Custo Contábil'!$D$20/'Custo Contábil'!$D$7)*W83,2),0)</f>
        <v>0</v>
      </c>
      <c r="Y83" s="417">
        <f t="shared" si="12"/>
        <v>0</v>
      </c>
    </row>
    <row r="84" spans="2:25" outlineLevel="1" x14ac:dyDescent="0.25">
      <c r="B84" s="173">
        <v>77</v>
      </c>
      <c r="C84" s="1175" t="str">
        <f>IF(ISBLANK('MotorCusto (ORÇ)'!C84)," ",'MotorCusto (ORÇ)'!C84)</f>
        <v xml:space="preserve"> </v>
      </c>
      <c r="D84" s="1176"/>
      <c r="E84" s="1176"/>
      <c r="F84" s="1176"/>
      <c r="G84" s="1176"/>
      <c r="H84" s="581">
        <f>'MotorCusto (ORÇ)'!H84</f>
        <v>0</v>
      </c>
      <c r="I84" s="582">
        <f>'MotorCusto (ORÇ)'!I84</f>
        <v>0</v>
      </c>
      <c r="J84" s="574">
        <f>'MotorCusto (ORÇ)'!J84</f>
        <v>0</v>
      </c>
      <c r="K84" s="344">
        <f t="shared" si="7"/>
        <v>0</v>
      </c>
      <c r="L84" s="344">
        <f t="shared" si="8"/>
        <v>0</v>
      </c>
      <c r="M84" s="343"/>
      <c r="N84" s="343"/>
      <c r="O84" s="410"/>
      <c r="P84" s="173">
        <f t="shared" si="2"/>
        <v>77</v>
      </c>
      <c r="Q84" s="1177" t="str">
        <f t="shared" si="9"/>
        <v xml:space="preserve"> </v>
      </c>
      <c r="R84" s="1177"/>
      <c r="S84" s="1177"/>
      <c r="T84" s="1177"/>
      <c r="U84" s="1178"/>
      <c r="V84" s="174">
        <f t="shared" si="10"/>
        <v>0</v>
      </c>
      <c r="W84" s="345">
        <f t="shared" si="11"/>
        <v>0</v>
      </c>
      <c r="X84" s="346">
        <f>IF(AND(K84&gt;0,'Custo Contábil'!$D$7&gt;0),ROUND(K84*('Custo Contábil'!$D$20/'Custo Contábil'!$D$7)*W84,2),0)</f>
        <v>0</v>
      </c>
      <c r="Y84" s="417">
        <f t="shared" si="12"/>
        <v>0</v>
      </c>
    </row>
    <row r="85" spans="2:25" outlineLevel="1" x14ac:dyDescent="0.25">
      <c r="B85" s="175">
        <v>78</v>
      </c>
      <c r="C85" s="1175" t="str">
        <f>IF(ISBLANK('MotorCusto (ORÇ)'!C85)," ",'MotorCusto (ORÇ)'!C85)</f>
        <v xml:space="preserve"> </v>
      </c>
      <c r="D85" s="1176"/>
      <c r="E85" s="1176"/>
      <c r="F85" s="1176"/>
      <c r="G85" s="1176"/>
      <c r="H85" s="581">
        <f>'MotorCusto (ORÇ)'!H85</f>
        <v>0</v>
      </c>
      <c r="I85" s="582">
        <f>'MotorCusto (ORÇ)'!I85</f>
        <v>0</v>
      </c>
      <c r="J85" s="574">
        <f>'MotorCusto (ORÇ)'!J85</f>
        <v>0</v>
      </c>
      <c r="K85" s="344">
        <f t="shared" si="7"/>
        <v>0</v>
      </c>
      <c r="L85" s="344">
        <f t="shared" si="8"/>
        <v>0</v>
      </c>
      <c r="M85" s="343"/>
      <c r="N85" s="343"/>
      <c r="O85" s="410"/>
      <c r="P85" s="173">
        <f t="shared" si="2"/>
        <v>78</v>
      </c>
      <c r="Q85" s="1177" t="str">
        <f t="shared" si="9"/>
        <v xml:space="preserve"> </v>
      </c>
      <c r="R85" s="1177"/>
      <c r="S85" s="1177"/>
      <c r="T85" s="1177"/>
      <c r="U85" s="1178"/>
      <c r="V85" s="174">
        <f t="shared" si="10"/>
        <v>0</v>
      </c>
      <c r="W85" s="345">
        <f t="shared" si="11"/>
        <v>0</v>
      </c>
      <c r="X85" s="346">
        <f>IF(AND(K85&gt;0,'Custo Contábil'!$D$7&gt;0),ROUND(K85*('Custo Contábil'!$D$20/'Custo Contábil'!$D$7)*W85,2),0)</f>
        <v>0</v>
      </c>
      <c r="Y85" s="417">
        <f t="shared" si="12"/>
        <v>0</v>
      </c>
    </row>
    <row r="86" spans="2:25" outlineLevel="1" x14ac:dyDescent="0.25">
      <c r="B86" s="173">
        <v>79</v>
      </c>
      <c r="C86" s="1175" t="str">
        <f>IF(ISBLANK('MotorCusto (ORÇ)'!C86)," ",'MotorCusto (ORÇ)'!C86)</f>
        <v xml:space="preserve"> </v>
      </c>
      <c r="D86" s="1176"/>
      <c r="E86" s="1176"/>
      <c r="F86" s="1176"/>
      <c r="G86" s="1176"/>
      <c r="H86" s="581">
        <f>'MotorCusto (ORÇ)'!H86</f>
        <v>0</v>
      </c>
      <c r="I86" s="582">
        <f>'MotorCusto (ORÇ)'!I86</f>
        <v>0</v>
      </c>
      <c r="J86" s="574">
        <f>'MotorCusto (ORÇ)'!J86</f>
        <v>0</v>
      </c>
      <c r="K86" s="344">
        <f t="shared" si="7"/>
        <v>0</v>
      </c>
      <c r="L86" s="344">
        <f t="shared" si="8"/>
        <v>0</v>
      </c>
      <c r="M86" s="343"/>
      <c r="N86" s="343"/>
      <c r="O86" s="410"/>
      <c r="P86" s="173">
        <f t="shared" si="2"/>
        <v>79</v>
      </c>
      <c r="Q86" s="1177" t="str">
        <f t="shared" si="9"/>
        <v xml:space="preserve"> </v>
      </c>
      <c r="R86" s="1177"/>
      <c r="S86" s="1177"/>
      <c r="T86" s="1177"/>
      <c r="U86" s="1178"/>
      <c r="V86" s="174">
        <f t="shared" si="10"/>
        <v>0</v>
      </c>
      <c r="W86" s="345">
        <f t="shared" si="11"/>
        <v>0</v>
      </c>
      <c r="X86" s="346">
        <f>IF(AND(K86&gt;0,'Custo Contábil'!$D$7&gt;0),ROUND(K86*('Custo Contábil'!$D$20/'Custo Contábil'!$D$7)*W86,2),0)</f>
        <v>0</v>
      </c>
      <c r="Y86" s="417">
        <f t="shared" si="12"/>
        <v>0</v>
      </c>
    </row>
    <row r="87" spans="2:25" outlineLevel="1" x14ac:dyDescent="0.25">
      <c r="B87" s="175">
        <v>80</v>
      </c>
      <c r="C87" s="1175" t="str">
        <f>IF(ISBLANK('MotorCusto (ORÇ)'!C87)," ",'MotorCusto (ORÇ)'!C87)</f>
        <v xml:space="preserve"> </v>
      </c>
      <c r="D87" s="1176"/>
      <c r="E87" s="1176"/>
      <c r="F87" s="1176"/>
      <c r="G87" s="1176"/>
      <c r="H87" s="581">
        <f>'MotorCusto (ORÇ)'!H87</f>
        <v>0</v>
      </c>
      <c r="I87" s="582">
        <f>'MotorCusto (ORÇ)'!I87</f>
        <v>0</v>
      </c>
      <c r="J87" s="574">
        <f>'MotorCusto (ORÇ)'!J87</f>
        <v>0</v>
      </c>
      <c r="K87" s="344">
        <f t="shared" si="7"/>
        <v>0</v>
      </c>
      <c r="L87" s="344">
        <f t="shared" si="8"/>
        <v>0</v>
      </c>
      <c r="M87" s="343"/>
      <c r="N87" s="343"/>
      <c r="O87" s="410"/>
      <c r="P87" s="173">
        <f t="shared" si="2"/>
        <v>80</v>
      </c>
      <c r="Q87" s="1177" t="str">
        <f t="shared" si="9"/>
        <v xml:space="preserve"> </v>
      </c>
      <c r="R87" s="1177"/>
      <c r="S87" s="1177"/>
      <c r="T87" s="1177"/>
      <c r="U87" s="1178"/>
      <c r="V87" s="174">
        <f t="shared" si="10"/>
        <v>0</v>
      </c>
      <c r="W87" s="345">
        <f t="shared" si="11"/>
        <v>0</v>
      </c>
      <c r="X87" s="346">
        <f>IF(AND(K87&gt;0,'Custo Contábil'!$D$7&gt;0),ROUND(K87*('Custo Contábil'!$D$20/'Custo Contábil'!$D$7)*W87,2),0)</f>
        <v>0</v>
      </c>
      <c r="Y87" s="417">
        <f t="shared" si="12"/>
        <v>0</v>
      </c>
    </row>
    <row r="88" spans="2:25" outlineLevel="1" x14ac:dyDescent="0.25">
      <c r="B88" s="173">
        <v>81</v>
      </c>
      <c r="C88" s="1175" t="str">
        <f>IF(ISBLANK('MotorCusto (ORÇ)'!C88)," ",'MotorCusto (ORÇ)'!C88)</f>
        <v xml:space="preserve"> </v>
      </c>
      <c r="D88" s="1176"/>
      <c r="E88" s="1176"/>
      <c r="F88" s="1176"/>
      <c r="G88" s="1176"/>
      <c r="H88" s="581">
        <f>'MotorCusto (ORÇ)'!H88</f>
        <v>0</v>
      </c>
      <c r="I88" s="582">
        <f>'MotorCusto (ORÇ)'!I88</f>
        <v>0</v>
      </c>
      <c r="J88" s="574">
        <f>'MotorCusto (ORÇ)'!J88</f>
        <v>0</v>
      </c>
      <c r="K88" s="344">
        <f t="shared" si="7"/>
        <v>0</v>
      </c>
      <c r="L88" s="344">
        <f t="shared" si="8"/>
        <v>0</v>
      </c>
      <c r="M88" s="343"/>
      <c r="N88" s="343"/>
      <c r="O88" s="410"/>
      <c r="P88" s="173">
        <f t="shared" si="2"/>
        <v>81</v>
      </c>
      <c r="Q88" s="1177" t="str">
        <f t="shared" si="9"/>
        <v xml:space="preserve"> </v>
      </c>
      <c r="R88" s="1177"/>
      <c r="S88" s="1177"/>
      <c r="T88" s="1177"/>
      <c r="U88" s="1178"/>
      <c r="V88" s="174">
        <f t="shared" si="10"/>
        <v>0</v>
      </c>
      <c r="W88" s="345">
        <f t="shared" si="11"/>
        <v>0</v>
      </c>
      <c r="X88" s="346">
        <f>IF(AND(K88&gt;0,'Custo Contábil'!$D$7&gt;0),ROUND(K88*('Custo Contábil'!$D$20/'Custo Contábil'!$D$7)*W88,2),0)</f>
        <v>0</v>
      </c>
      <c r="Y88" s="417">
        <f t="shared" si="12"/>
        <v>0</v>
      </c>
    </row>
    <row r="89" spans="2:25" outlineLevel="1" x14ac:dyDescent="0.25">
      <c r="B89" s="175">
        <v>82</v>
      </c>
      <c r="C89" s="1175" t="str">
        <f>IF(ISBLANK('MotorCusto (ORÇ)'!C89)," ",'MotorCusto (ORÇ)'!C89)</f>
        <v xml:space="preserve"> </v>
      </c>
      <c r="D89" s="1176"/>
      <c r="E89" s="1176"/>
      <c r="F89" s="1176"/>
      <c r="G89" s="1176"/>
      <c r="H89" s="581">
        <f>'MotorCusto (ORÇ)'!H89</f>
        <v>0</v>
      </c>
      <c r="I89" s="582">
        <f>'MotorCusto (ORÇ)'!I89</f>
        <v>0</v>
      </c>
      <c r="J89" s="574">
        <f>'MotorCusto (ORÇ)'!J89</f>
        <v>0</v>
      </c>
      <c r="K89" s="344">
        <f t="shared" si="7"/>
        <v>0</v>
      </c>
      <c r="L89" s="344">
        <f t="shared" si="8"/>
        <v>0</v>
      </c>
      <c r="M89" s="343"/>
      <c r="N89" s="343"/>
      <c r="O89" s="410"/>
      <c r="P89" s="173">
        <f t="shared" si="2"/>
        <v>82</v>
      </c>
      <c r="Q89" s="1177" t="str">
        <f t="shared" si="9"/>
        <v xml:space="preserve"> </v>
      </c>
      <c r="R89" s="1177"/>
      <c r="S89" s="1177"/>
      <c r="T89" s="1177"/>
      <c r="U89" s="1178"/>
      <c r="V89" s="174">
        <f t="shared" si="10"/>
        <v>0</v>
      </c>
      <c r="W89" s="345">
        <f t="shared" si="11"/>
        <v>0</v>
      </c>
      <c r="X89" s="346">
        <f>IF(AND(K89&gt;0,'Custo Contábil'!$D$7&gt;0),ROUND(K89*('Custo Contábil'!$D$20/'Custo Contábil'!$D$7)*W89,2),0)</f>
        <v>0</v>
      </c>
      <c r="Y89" s="417">
        <f t="shared" si="12"/>
        <v>0</v>
      </c>
    </row>
    <row r="90" spans="2:25" outlineLevel="1" x14ac:dyDescent="0.25">
      <c r="B90" s="173">
        <v>83</v>
      </c>
      <c r="C90" s="1175" t="str">
        <f>IF(ISBLANK('MotorCusto (ORÇ)'!C90)," ",'MotorCusto (ORÇ)'!C90)</f>
        <v xml:space="preserve"> </v>
      </c>
      <c r="D90" s="1176"/>
      <c r="E90" s="1176"/>
      <c r="F90" s="1176"/>
      <c r="G90" s="1176"/>
      <c r="H90" s="581">
        <f>'MotorCusto (ORÇ)'!H90</f>
        <v>0</v>
      </c>
      <c r="I90" s="582">
        <f>'MotorCusto (ORÇ)'!I90</f>
        <v>0</v>
      </c>
      <c r="J90" s="574">
        <f>'MotorCusto (ORÇ)'!J90</f>
        <v>0</v>
      </c>
      <c r="K90" s="344">
        <f t="shared" si="7"/>
        <v>0</v>
      </c>
      <c r="L90" s="344">
        <f t="shared" si="8"/>
        <v>0</v>
      </c>
      <c r="M90" s="343"/>
      <c r="N90" s="343"/>
      <c r="O90" s="410"/>
      <c r="P90" s="173">
        <f t="shared" si="2"/>
        <v>83</v>
      </c>
      <c r="Q90" s="1177" t="str">
        <f t="shared" si="9"/>
        <v xml:space="preserve"> </v>
      </c>
      <c r="R90" s="1177"/>
      <c r="S90" s="1177"/>
      <c r="T90" s="1177"/>
      <c r="U90" s="1178"/>
      <c r="V90" s="174">
        <f t="shared" si="10"/>
        <v>0</v>
      </c>
      <c r="W90" s="345">
        <f t="shared" si="11"/>
        <v>0</v>
      </c>
      <c r="X90" s="346">
        <f>IF(AND(K90&gt;0,'Custo Contábil'!$D$7&gt;0),ROUND(K90*('Custo Contábil'!$D$20/'Custo Contábil'!$D$7)*W90,2),0)</f>
        <v>0</v>
      </c>
      <c r="Y90" s="417">
        <f t="shared" si="12"/>
        <v>0</v>
      </c>
    </row>
    <row r="91" spans="2:25" outlineLevel="1" x14ac:dyDescent="0.25">
      <c r="B91" s="175">
        <v>84</v>
      </c>
      <c r="C91" s="1175" t="str">
        <f>IF(ISBLANK('MotorCusto (ORÇ)'!C91)," ",'MotorCusto (ORÇ)'!C91)</f>
        <v xml:space="preserve"> </v>
      </c>
      <c r="D91" s="1176"/>
      <c r="E91" s="1176"/>
      <c r="F91" s="1176"/>
      <c r="G91" s="1176"/>
      <c r="H91" s="581">
        <f>'MotorCusto (ORÇ)'!H91</f>
        <v>0</v>
      </c>
      <c r="I91" s="582">
        <f>'MotorCusto (ORÇ)'!I91</f>
        <v>0</v>
      </c>
      <c r="J91" s="574">
        <f>'MotorCusto (ORÇ)'!J91</f>
        <v>0</v>
      </c>
      <c r="K91" s="344">
        <f t="shared" si="7"/>
        <v>0</v>
      </c>
      <c r="L91" s="344">
        <f t="shared" si="8"/>
        <v>0</v>
      </c>
      <c r="M91" s="343"/>
      <c r="N91" s="343"/>
      <c r="O91" s="410"/>
      <c r="P91" s="173">
        <f t="shared" si="2"/>
        <v>84</v>
      </c>
      <c r="Q91" s="1177" t="str">
        <f t="shared" si="9"/>
        <v xml:space="preserve"> </v>
      </c>
      <c r="R91" s="1177"/>
      <c r="S91" s="1177"/>
      <c r="T91" s="1177"/>
      <c r="U91" s="1178"/>
      <c r="V91" s="174">
        <f t="shared" si="10"/>
        <v>0</v>
      </c>
      <c r="W91" s="345">
        <f t="shared" si="11"/>
        <v>0</v>
      </c>
      <c r="X91" s="346">
        <f>IF(AND(K91&gt;0,'Custo Contábil'!$D$7&gt;0),ROUND(K91*('Custo Contábil'!$D$20/'Custo Contábil'!$D$7)*W91,2),0)</f>
        <v>0</v>
      </c>
      <c r="Y91" s="417">
        <f t="shared" si="12"/>
        <v>0</v>
      </c>
    </row>
    <row r="92" spans="2:25" outlineLevel="1" x14ac:dyDescent="0.25">
      <c r="B92" s="173">
        <v>85</v>
      </c>
      <c r="C92" s="1175" t="str">
        <f>IF(ISBLANK('MotorCusto (ORÇ)'!C92)," ",'MotorCusto (ORÇ)'!C92)</f>
        <v xml:space="preserve"> </v>
      </c>
      <c r="D92" s="1176"/>
      <c r="E92" s="1176"/>
      <c r="F92" s="1176"/>
      <c r="G92" s="1176"/>
      <c r="H92" s="581">
        <f>'MotorCusto (ORÇ)'!H92</f>
        <v>0</v>
      </c>
      <c r="I92" s="582">
        <f>'MotorCusto (ORÇ)'!I92</f>
        <v>0</v>
      </c>
      <c r="J92" s="574">
        <f>'MotorCusto (ORÇ)'!J92</f>
        <v>0</v>
      </c>
      <c r="K92" s="344">
        <f t="shared" si="7"/>
        <v>0</v>
      </c>
      <c r="L92" s="344">
        <f t="shared" si="8"/>
        <v>0</v>
      </c>
      <c r="M92" s="343"/>
      <c r="N92" s="343"/>
      <c r="O92" s="410"/>
      <c r="P92" s="173">
        <f t="shared" si="2"/>
        <v>85</v>
      </c>
      <c r="Q92" s="1177" t="str">
        <f t="shared" si="9"/>
        <v xml:space="preserve"> </v>
      </c>
      <c r="R92" s="1177"/>
      <c r="S92" s="1177"/>
      <c r="T92" s="1177"/>
      <c r="U92" s="1178"/>
      <c r="V92" s="174">
        <f t="shared" si="10"/>
        <v>0</v>
      </c>
      <c r="W92" s="345">
        <f t="shared" si="11"/>
        <v>0</v>
      </c>
      <c r="X92" s="346">
        <f>IF(AND(K92&gt;0,'Custo Contábil'!$D$7&gt;0),ROUND(K92*('Custo Contábil'!$D$20/'Custo Contábil'!$D$7)*W92,2),0)</f>
        <v>0</v>
      </c>
      <c r="Y92" s="417">
        <f t="shared" si="12"/>
        <v>0</v>
      </c>
    </row>
    <row r="93" spans="2:25" outlineLevel="1" x14ac:dyDescent="0.25">
      <c r="B93" s="175">
        <v>86</v>
      </c>
      <c r="C93" s="1175" t="str">
        <f>IF(ISBLANK('MotorCusto (ORÇ)'!C93)," ",'MotorCusto (ORÇ)'!C93)</f>
        <v xml:space="preserve"> </v>
      </c>
      <c r="D93" s="1176"/>
      <c r="E93" s="1176"/>
      <c r="F93" s="1176"/>
      <c r="G93" s="1176"/>
      <c r="H93" s="581">
        <f>'MotorCusto (ORÇ)'!H93</f>
        <v>0</v>
      </c>
      <c r="I93" s="582">
        <f>'MotorCusto (ORÇ)'!I93</f>
        <v>0</v>
      </c>
      <c r="J93" s="574">
        <f>'MotorCusto (ORÇ)'!J93</f>
        <v>0</v>
      </c>
      <c r="K93" s="344">
        <f t="shared" si="7"/>
        <v>0</v>
      </c>
      <c r="L93" s="344">
        <f t="shared" si="8"/>
        <v>0</v>
      </c>
      <c r="M93" s="343"/>
      <c r="N93" s="343"/>
      <c r="O93" s="410"/>
      <c r="P93" s="173">
        <f t="shared" si="2"/>
        <v>86</v>
      </c>
      <c r="Q93" s="1177" t="str">
        <f t="shared" si="9"/>
        <v xml:space="preserve"> </v>
      </c>
      <c r="R93" s="1177"/>
      <c r="S93" s="1177"/>
      <c r="T93" s="1177"/>
      <c r="U93" s="1178"/>
      <c r="V93" s="174">
        <f t="shared" si="10"/>
        <v>0</v>
      </c>
      <c r="W93" s="345">
        <f t="shared" si="11"/>
        <v>0</v>
      </c>
      <c r="X93" s="346">
        <f>IF(AND(K93&gt;0,'Custo Contábil'!$D$7&gt;0),ROUND(K93*('Custo Contábil'!$D$20/'Custo Contábil'!$D$7)*W93,2),0)</f>
        <v>0</v>
      </c>
      <c r="Y93" s="417">
        <f t="shared" si="12"/>
        <v>0</v>
      </c>
    </row>
    <row r="94" spans="2:25" outlineLevel="1" x14ac:dyDescent="0.25">
      <c r="B94" s="173">
        <v>87</v>
      </c>
      <c r="C94" s="1175" t="str">
        <f>IF(ISBLANK('MotorCusto (ORÇ)'!C94)," ",'MotorCusto (ORÇ)'!C94)</f>
        <v xml:space="preserve"> </v>
      </c>
      <c r="D94" s="1176"/>
      <c r="E94" s="1176"/>
      <c r="F94" s="1176"/>
      <c r="G94" s="1176"/>
      <c r="H94" s="581">
        <f>'MotorCusto (ORÇ)'!H94</f>
        <v>0</v>
      </c>
      <c r="I94" s="582">
        <f>'MotorCusto (ORÇ)'!I94</f>
        <v>0</v>
      </c>
      <c r="J94" s="574">
        <f>'MotorCusto (ORÇ)'!J94</f>
        <v>0</v>
      </c>
      <c r="K94" s="344">
        <f t="shared" si="7"/>
        <v>0</v>
      </c>
      <c r="L94" s="344">
        <f t="shared" si="8"/>
        <v>0</v>
      </c>
      <c r="M94" s="343"/>
      <c r="N94" s="343"/>
      <c r="O94" s="410"/>
      <c r="P94" s="173">
        <f t="shared" si="2"/>
        <v>87</v>
      </c>
      <c r="Q94" s="1177" t="str">
        <f t="shared" si="9"/>
        <v xml:space="preserve"> </v>
      </c>
      <c r="R94" s="1177"/>
      <c r="S94" s="1177"/>
      <c r="T94" s="1177"/>
      <c r="U94" s="1178"/>
      <c r="V94" s="174">
        <f t="shared" si="10"/>
        <v>0</v>
      </c>
      <c r="W94" s="345">
        <f t="shared" si="11"/>
        <v>0</v>
      </c>
      <c r="X94" s="346">
        <f>IF(AND(K94&gt;0,'Custo Contábil'!$D$7&gt;0),ROUND(K94*('Custo Contábil'!$D$20/'Custo Contábil'!$D$7)*W94,2),0)</f>
        <v>0</v>
      </c>
      <c r="Y94" s="417">
        <f t="shared" si="12"/>
        <v>0</v>
      </c>
    </row>
    <row r="95" spans="2:25" outlineLevel="1" x14ac:dyDescent="0.25">
      <c r="B95" s="175">
        <v>88</v>
      </c>
      <c r="C95" s="1175" t="str">
        <f>IF(ISBLANK('MotorCusto (ORÇ)'!C95)," ",'MotorCusto (ORÇ)'!C95)</f>
        <v xml:space="preserve"> </v>
      </c>
      <c r="D95" s="1176"/>
      <c r="E95" s="1176"/>
      <c r="F95" s="1176"/>
      <c r="G95" s="1176"/>
      <c r="H95" s="581">
        <f>'MotorCusto (ORÇ)'!H95</f>
        <v>0</v>
      </c>
      <c r="I95" s="582">
        <f>'MotorCusto (ORÇ)'!I95</f>
        <v>0</v>
      </c>
      <c r="J95" s="574">
        <f>'MotorCusto (ORÇ)'!J95</f>
        <v>0</v>
      </c>
      <c r="K95" s="344">
        <f t="shared" si="7"/>
        <v>0</v>
      </c>
      <c r="L95" s="344">
        <f t="shared" si="8"/>
        <v>0</v>
      </c>
      <c r="M95" s="343"/>
      <c r="N95" s="343"/>
      <c r="O95" s="410"/>
      <c r="P95" s="173">
        <f t="shared" si="2"/>
        <v>88</v>
      </c>
      <c r="Q95" s="1177" t="str">
        <f t="shared" si="9"/>
        <v xml:space="preserve"> </v>
      </c>
      <c r="R95" s="1177"/>
      <c r="S95" s="1177"/>
      <c r="T95" s="1177"/>
      <c r="U95" s="1178"/>
      <c r="V95" s="174">
        <f t="shared" si="10"/>
        <v>0</v>
      </c>
      <c r="W95" s="345">
        <f t="shared" si="11"/>
        <v>0</v>
      </c>
      <c r="X95" s="346">
        <f>IF(AND(K95&gt;0,'Custo Contábil'!$D$7&gt;0),ROUND(K95*('Custo Contábil'!$D$20/'Custo Contábil'!$D$7)*W95,2),0)</f>
        <v>0</v>
      </c>
      <c r="Y95" s="417">
        <f t="shared" si="12"/>
        <v>0</v>
      </c>
    </row>
    <row r="96" spans="2:25" outlineLevel="1" x14ac:dyDescent="0.25">
      <c r="B96" s="173">
        <v>89</v>
      </c>
      <c r="C96" s="1175" t="str">
        <f>IF(ISBLANK('MotorCusto (ORÇ)'!C96)," ",'MotorCusto (ORÇ)'!C96)</f>
        <v xml:space="preserve"> </v>
      </c>
      <c r="D96" s="1176"/>
      <c r="E96" s="1176"/>
      <c r="F96" s="1176"/>
      <c r="G96" s="1176"/>
      <c r="H96" s="581">
        <f>'MotorCusto (ORÇ)'!H96</f>
        <v>0</v>
      </c>
      <c r="I96" s="582">
        <f>'MotorCusto (ORÇ)'!I96</f>
        <v>0</v>
      </c>
      <c r="J96" s="574">
        <f>'MotorCusto (ORÇ)'!J96</f>
        <v>0</v>
      </c>
      <c r="K96" s="344">
        <f t="shared" si="7"/>
        <v>0</v>
      </c>
      <c r="L96" s="344">
        <f t="shared" si="8"/>
        <v>0</v>
      </c>
      <c r="M96" s="343"/>
      <c r="N96" s="343"/>
      <c r="O96" s="410"/>
      <c r="P96" s="173">
        <f t="shared" si="2"/>
        <v>89</v>
      </c>
      <c r="Q96" s="1177" t="str">
        <f t="shared" si="9"/>
        <v xml:space="preserve"> </v>
      </c>
      <c r="R96" s="1177"/>
      <c r="S96" s="1177"/>
      <c r="T96" s="1177"/>
      <c r="U96" s="1178"/>
      <c r="V96" s="174">
        <f t="shared" si="10"/>
        <v>0</v>
      </c>
      <c r="W96" s="345">
        <f t="shared" si="11"/>
        <v>0</v>
      </c>
      <c r="X96" s="346">
        <f>IF(AND(K96&gt;0,'Custo Contábil'!$D$7&gt;0),ROUND(K96*('Custo Contábil'!$D$20/'Custo Contábil'!$D$7)*W96,2),0)</f>
        <v>0</v>
      </c>
      <c r="Y96" s="417">
        <f t="shared" si="12"/>
        <v>0</v>
      </c>
    </row>
    <row r="97" spans="2:25" outlineLevel="1" x14ac:dyDescent="0.25">
      <c r="B97" s="175">
        <v>90</v>
      </c>
      <c r="C97" s="1175" t="str">
        <f>IF(ISBLANK('MotorCusto (ORÇ)'!C97)," ",'MotorCusto (ORÇ)'!C97)</f>
        <v xml:space="preserve"> </v>
      </c>
      <c r="D97" s="1176"/>
      <c r="E97" s="1176"/>
      <c r="F97" s="1176"/>
      <c r="G97" s="1176"/>
      <c r="H97" s="581">
        <f>'MotorCusto (ORÇ)'!H97</f>
        <v>0</v>
      </c>
      <c r="I97" s="582">
        <f>'MotorCusto (ORÇ)'!I97</f>
        <v>0</v>
      </c>
      <c r="J97" s="574">
        <f>'MotorCusto (ORÇ)'!J97</f>
        <v>0</v>
      </c>
      <c r="K97" s="344">
        <f t="shared" si="7"/>
        <v>0</v>
      </c>
      <c r="L97" s="344">
        <f t="shared" si="8"/>
        <v>0</v>
      </c>
      <c r="M97" s="343"/>
      <c r="N97" s="343"/>
      <c r="O97" s="410"/>
      <c r="P97" s="173">
        <f t="shared" si="2"/>
        <v>90</v>
      </c>
      <c r="Q97" s="1177" t="str">
        <f t="shared" si="9"/>
        <v xml:space="preserve"> </v>
      </c>
      <c r="R97" s="1177"/>
      <c r="S97" s="1177"/>
      <c r="T97" s="1177"/>
      <c r="U97" s="1178"/>
      <c r="V97" s="174">
        <f t="shared" si="10"/>
        <v>0</v>
      </c>
      <c r="W97" s="345">
        <f t="shared" si="11"/>
        <v>0</v>
      </c>
      <c r="X97" s="346">
        <f>IF(AND(K97&gt;0,'Custo Contábil'!$D$7&gt;0),ROUND(K97*('Custo Contábil'!$D$20/'Custo Contábil'!$D$7)*W97,2),0)</f>
        <v>0</v>
      </c>
      <c r="Y97" s="417">
        <f t="shared" si="12"/>
        <v>0</v>
      </c>
    </row>
    <row r="98" spans="2:25" outlineLevel="1" x14ac:dyDescent="0.25">
      <c r="B98" s="173">
        <v>91</v>
      </c>
      <c r="C98" s="1175" t="str">
        <f>IF(ISBLANK('MotorCusto (ORÇ)'!C98)," ",'MotorCusto (ORÇ)'!C98)</f>
        <v xml:space="preserve"> </v>
      </c>
      <c r="D98" s="1176"/>
      <c r="E98" s="1176"/>
      <c r="F98" s="1176"/>
      <c r="G98" s="1176"/>
      <c r="H98" s="581">
        <f>'MotorCusto (ORÇ)'!H98</f>
        <v>0</v>
      </c>
      <c r="I98" s="582">
        <f>'MotorCusto (ORÇ)'!I98</f>
        <v>0</v>
      </c>
      <c r="J98" s="574">
        <f>'MotorCusto (ORÇ)'!J98</f>
        <v>0</v>
      </c>
      <c r="K98" s="344">
        <f t="shared" si="7"/>
        <v>0</v>
      </c>
      <c r="L98" s="344">
        <f t="shared" si="8"/>
        <v>0</v>
      </c>
      <c r="M98" s="343"/>
      <c r="N98" s="343"/>
      <c r="O98" s="410"/>
      <c r="P98" s="173">
        <f t="shared" si="2"/>
        <v>91</v>
      </c>
      <c r="Q98" s="1177" t="str">
        <f t="shared" si="9"/>
        <v xml:space="preserve"> </v>
      </c>
      <c r="R98" s="1177"/>
      <c r="S98" s="1177"/>
      <c r="T98" s="1177"/>
      <c r="U98" s="1178"/>
      <c r="V98" s="174">
        <f t="shared" si="10"/>
        <v>0</v>
      </c>
      <c r="W98" s="345">
        <f t="shared" si="11"/>
        <v>0</v>
      </c>
      <c r="X98" s="346">
        <f>IF(AND(K98&gt;0,'Custo Contábil'!$D$7&gt;0),ROUND(K98*('Custo Contábil'!$D$20/'Custo Contábil'!$D$7)*W98,2),0)</f>
        <v>0</v>
      </c>
      <c r="Y98" s="417">
        <f t="shared" si="12"/>
        <v>0</v>
      </c>
    </row>
    <row r="99" spans="2:25" outlineLevel="1" x14ac:dyDescent="0.25">
      <c r="B99" s="175">
        <v>92</v>
      </c>
      <c r="C99" s="1175" t="str">
        <f>IF(ISBLANK('MotorCusto (ORÇ)'!C99)," ",'MotorCusto (ORÇ)'!C99)</f>
        <v xml:space="preserve"> </v>
      </c>
      <c r="D99" s="1176"/>
      <c r="E99" s="1176"/>
      <c r="F99" s="1176"/>
      <c r="G99" s="1176"/>
      <c r="H99" s="581">
        <f>'MotorCusto (ORÇ)'!H99</f>
        <v>0</v>
      </c>
      <c r="I99" s="582">
        <f>'MotorCusto (ORÇ)'!I99</f>
        <v>0</v>
      </c>
      <c r="J99" s="574">
        <f>'MotorCusto (ORÇ)'!J99</f>
        <v>0</v>
      </c>
      <c r="K99" s="344">
        <f t="shared" si="7"/>
        <v>0</v>
      </c>
      <c r="L99" s="344">
        <f t="shared" si="8"/>
        <v>0</v>
      </c>
      <c r="M99" s="343"/>
      <c r="N99" s="343"/>
      <c r="O99" s="410"/>
      <c r="P99" s="173">
        <f t="shared" si="2"/>
        <v>92</v>
      </c>
      <c r="Q99" s="1177" t="str">
        <f t="shared" si="9"/>
        <v xml:space="preserve"> </v>
      </c>
      <c r="R99" s="1177"/>
      <c r="S99" s="1177"/>
      <c r="T99" s="1177"/>
      <c r="U99" s="1178"/>
      <c r="V99" s="174">
        <f t="shared" si="10"/>
        <v>0</v>
      </c>
      <c r="W99" s="345">
        <f t="shared" si="11"/>
        <v>0</v>
      </c>
      <c r="X99" s="346">
        <f>IF(AND(K99&gt;0,'Custo Contábil'!$D$7&gt;0),ROUND(K99*('Custo Contábil'!$D$20/'Custo Contábil'!$D$7)*W99,2),0)</f>
        <v>0</v>
      </c>
      <c r="Y99" s="417">
        <f t="shared" si="12"/>
        <v>0</v>
      </c>
    </row>
    <row r="100" spans="2:25" outlineLevel="1" x14ac:dyDescent="0.25">
      <c r="B100" s="173">
        <v>93</v>
      </c>
      <c r="C100" s="1175" t="str">
        <f>IF(ISBLANK('MotorCusto (ORÇ)'!C100)," ",'MotorCusto (ORÇ)'!C100)</f>
        <v xml:space="preserve"> </v>
      </c>
      <c r="D100" s="1176"/>
      <c r="E100" s="1176"/>
      <c r="F100" s="1176"/>
      <c r="G100" s="1176"/>
      <c r="H100" s="581">
        <f>'MotorCusto (ORÇ)'!H100</f>
        <v>0</v>
      </c>
      <c r="I100" s="582">
        <f>'MotorCusto (ORÇ)'!I100</f>
        <v>0</v>
      </c>
      <c r="J100" s="574">
        <f>'MotorCusto (ORÇ)'!J100</f>
        <v>0</v>
      </c>
      <c r="K100" s="344">
        <f t="shared" si="7"/>
        <v>0</v>
      </c>
      <c r="L100" s="344">
        <f t="shared" si="8"/>
        <v>0</v>
      </c>
      <c r="M100" s="343"/>
      <c r="N100" s="343"/>
      <c r="O100" s="410"/>
      <c r="P100" s="173">
        <f t="shared" si="2"/>
        <v>93</v>
      </c>
      <c r="Q100" s="1177" t="str">
        <f t="shared" si="9"/>
        <v xml:space="preserve"> </v>
      </c>
      <c r="R100" s="1177"/>
      <c r="S100" s="1177"/>
      <c r="T100" s="1177"/>
      <c r="U100" s="1178"/>
      <c r="V100" s="174">
        <f t="shared" si="10"/>
        <v>0</v>
      </c>
      <c r="W100" s="345">
        <f t="shared" si="11"/>
        <v>0</v>
      </c>
      <c r="X100" s="346">
        <f>IF(AND(K100&gt;0,'Custo Contábil'!$D$7&gt;0),ROUND(K100*('Custo Contábil'!$D$20/'Custo Contábil'!$D$7)*W100,2),0)</f>
        <v>0</v>
      </c>
      <c r="Y100" s="417">
        <f t="shared" si="12"/>
        <v>0</v>
      </c>
    </row>
    <row r="101" spans="2:25" outlineLevel="1" x14ac:dyDescent="0.25">
      <c r="B101" s="175">
        <v>94</v>
      </c>
      <c r="C101" s="1175" t="str">
        <f>IF(ISBLANK('MotorCusto (ORÇ)'!C101)," ",'MotorCusto (ORÇ)'!C101)</f>
        <v xml:space="preserve"> </v>
      </c>
      <c r="D101" s="1176"/>
      <c r="E101" s="1176"/>
      <c r="F101" s="1176"/>
      <c r="G101" s="1176"/>
      <c r="H101" s="581">
        <f>'MotorCusto (ORÇ)'!H101</f>
        <v>0</v>
      </c>
      <c r="I101" s="582">
        <f>'MotorCusto (ORÇ)'!I101</f>
        <v>0</v>
      </c>
      <c r="J101" s="574">
        <f>'MotorCusto (ORÇ)'!J101</f>
        <v>0</v>
      </c>
      <c r="K101" s="344">
        <f t="shared" si="7"/>
        <v>0</v>
      </c>
      <c r="L101" s="344">
        <f t="shared" si="8"/>
        <v>0</v>
      </c>
      <c r="M101" s="343"/>
      <c r="N101" s="343"/>
      <c r="O101" s="410"/>
      <c r="P101" s="173">
        <f t="shared" si="2"/>
        <v>94</v>
      </c>
      <c r="Q101" s="1177" t="str">
        <f t="shared" si="9"/>
        <v xml:space="preserve"> </v>
      </c>
      <c r="R101" s="1177"/>
      <c r="S101" s="1177"/>
      <c r="T101" s="1177"/>
      <c r="U101" s="1178"/>
      <c r="V101" s="174">
        <f t="shared" si="10"/>
        <v>0</v>
      </c>
      <c r="W101" s="345">
        <f t="shared" si="11"/>
        <v>0</v>
      </c>
      <c r="X101" s="346">
        <f>IF(AND(K101&gt;0,'Custo Contábil'!$D$7&gt;0),ROUND(K101*('Custo Contábil'!$D$20/'Custo Contábil'!$D$7)*W101,2),0)</f>
        <v>0</v>
      </c>
      <c r="Y101" s="417">
        <f t="shared" si="12"/>
        <v>0</v>
      </c>
    </row>
    <row r="102" spans="2:25" outlineLevel="1" x14ac:dyDescent="0.25">
      <c r="B102" s="173">
        <v>95</v>
      </c>
      <c r="C102" s="1175" t="str">
        <f>IF(ISBLANK('MotorCusto (ORÇ)'!C102)," ",'MotorCusto (ORÇ)'!C102)</f>
        <v xml:space="preserve"> </v>
      </c>
      <c r="D102" s="1176"/>
      <c r="E102" s="1176"/>
      <c r="F102" s="1176"/>
      <c r="G102" s="1176"/>
      <c r="H102" s="581">
        <f>'MotorCusto (ORÇ)'!H102</f>
        <v>0</v>
      </c>
      <c r="I102" s="582">
        <f>'MotorCusto (ORÇ)'!I102</f>
        <v>0</v>
      </c>
      <c r="J102" s="574">
        <f>'MotorCusto (ORÇ)'!J102</f>
        <v>0</v>
      </c>
      <c r="K102" s="344">
        <f t="shared" si="7"/>
        <v>0</v>
      </c>
      <c r="L102" s="344">
        <f t="shared" si="8"/>
        <v>0</v>
      </c>
      <c r="M102" s="343"/>
      <c r="N102" s="343"/>
      <c r="O102" s="410"/>
      <c r="P102" s="173">
        <f t="shared" si="2"/>
        <v>95</v>
      </c>
      <c r="Q102" s="1177" t="str">
        <f t="shared" si="9"/>
        <v xml:space="preserve"> </v>
      </c>
      <c r="R102" s="1177"/>
      <c r="S102" s="1177"/>
      <c r="T102" s="1177"/>
      <c r="U102" s="1178"/>
      <c r="V102" s="174">
        <f t="shared" si="10"/>
        <v>0</v>
      </c>
      <c r="W102" s="345">
        <f t="shared" si="11"/>
        <v>0</v>
      </c>
      <c r="X102" s="346">
        <f>IF(AND(K102&gt;0,'Custo Contábil'!$D$7&gt;0),ROUND(K102*('Custo Contábil'!$D$20/'Custo Contábil'!$D$7)*W102,2),0)</f>
        <v>0</v>
      </c>
      <c r="Y102" s="417">
        <f t="shared" si="12"/>
        <v>0</v>
      </c>
    </row>
    <row r="103" spans="2:25" outlineLevel="1" x14ac:dyDescent="0.25">
      <c r="B103" s="175">
        <v>96</v>
      </c>
      <c r="C103" s="1175" t="str">
        <f>IF(ISBLANK('MotorCusto (ORÇ)'!C103)," ",'MotorCusto (ORÇ)'!C103)</f>
        <v xml:space="preserve"> </v>
      </c>
      <c r="D103" s="1176"/>
      <c r="E103" s="1176"/>
      <c r="F103" s="1176"/>
      <c r="G103" s="1176"/>
      <c r="H103" s="581">
        <f>'MotorCusto (ORÇ)'!H103</f>
        <v>0</v>
      </c>
      <c r="I103" s="582">
        <f>'MotorCusto (ORÇ)'!I103</f>
        <v>0</v>
      </c>
      <c r="J103" s="574">
        <f>'MotorCusto (ORÇ)'!J103</f>
        <v>0</v>
      </c>
      <c r="K103" s="344">
        <f t="shared" si="7"/>
        <v>0</v>
      </c>
      <c r="L103" s="344">
        <f t="shared" si="8"/>
        <v>0</v>
      </c>
      <c r="M103" s="343"/>
      <c r="N103" s="343"/>
      <c r="O103" s="410"/>
      <c r="P103" s="173">
        <f t="shared" si="2"/>
        <v>96</v>
      </c>
      <c r="Q103" s="1177" t="str">
        <f t="shared" si="9"/>
        <v xml:space="preserve"> </v>
      </c>
      <c r="R103" s="1177"/>
      <c r="S103" s="1177"/>
      <c r="T103" s="1177"/>
      <c r="U103" s="1178"/>
      <c r="V103" s="174">
        <f t="shared" si="10"/>
        <v>0</v>
      </c>
      <c r="W103" s="345">
        <f t="shared" si="11"/>
        <v>0</v>
      </c>
      <c r="X103" s="346">
        <f>IF(AND(K103&gt;0,'Custo Contábil'!$D$7&gt;0),ROUND(K103*('Custo Contábil'!$D$20/'Custo Contábil'!$D$7)*W103,2),0)</f>
        <v>0</v>
      </c>
      <c r="Y103" s="417">
        <f t="shared" si="12"/>
        <v>0</v>
      </c>
    </row>
    <row r="104" spans="2:25" outlineLevel="1" x14ac:dyDescent="0.25">
      <c r="B104" s="173">
        <v>97</v>
      </c>
      <c r="C104" s="1175" t="str">
        <f>IF(ISBLANK('MotorCusto (ORÇ)'!C104)," ",'MotorCusto (ORÇ)'!C104)</f>
        <v xml:space="preserve"> </v>
      </c>
      <c r="D104" s="1176"/>
      <c r="E104" s="1176"/>
      <c r="F104" s="1176"/>
      <c r="G104" s="1176"/>
      <c r="H104" s="581">
        <f>'MotorCusto (ORÇ)'!H104</f>
        <v>0</v>
      </c>
      <c r="I104" s="582">
        <f>'MotorCusto (ORÇ)'!I104</f>
        <v>0</v>
      </c>
      <c r="J104" s="574">
        <f>'MotorCusto (ORÇ)'!J104</f>
        <v>0</v>
      </c>
      <c r="K104" s="344">
        <f t="shared" si="7"/>
        <v>0</v>
      </c>
      <c r="L104" s="344">
        <f t="shared" si="8"/>
        <v>0</v>
      </c>
      <c r="M104" s="343"/>
      <c r="N104" s="343"/>
      <c r="O104" s="410"/>
      <c r="P104" s="173">
        <f t="shared" si="2"/>
        <v>97</v>
      </c>
      <c r="Q104" s="1177" t="str">
        <f t="shared" si="9"/>
        <v xml:space="preserve"> </v>
      </c>
      <c r="R104" s="1177"/>
      <c r="S104" s="1177"/>
      <c r="T104" s="1177"/>
      <c r="U104" s="1178"/>
      <c r="V104" s="174">
        <f t="shared" si="10"/>
        <v>0</v>
      </c>
      <c r="W104" s="345">
        <f t="shared" si="11"/>
        <v>0</v>
      </c>
      <c r="X104" s="346">
        <f>IF(AND(K104&gt;0,'Custo Contábil'!$D$7&gt;0),ROUND(K104*('Custo Contábil'!$D$20/'Custo Contábil'!$D$7)*W104,2),0)</f>
        <v>0</v>
      </c>
      <c r="Y104" s="417">
        <f t="shared" si="12"/>
        <v>0</v>
      </c>
    </row>
    <row r="105" spans="2:25" outlineLevel="1" x14ac:dyDescent="0.25">
      <c r="B105" s="175">
        <v>98</v>
      </c>
      <c r="C105" s="1175" t="str">
        <f>IF(ISBLANK('MotorCusto (ORÇ)'!C105)," ",'MotorCusto (ORÇ)'!C105)</f>
        <v xml:space="preserve"> </v>
      </c>
      <c r="D105" s="1176"/>
      <c r="E105" s="1176"/>
      <c r="F105" s="1176"/>
      <c r="G105" s="1176"/>
      <c r="H105" s="581">
        <f>'MotorCusto (ORÇ)'!H105</f>
        <v>0</v>
      </c>
      <c r="I105" s="582">
        <f>'MotorCusto (ORÇ)'!I105</f>
        <v>0</v>
      </c>
      <c r="J105" s="574">
        <f>'MotorCusto (ORÇ)'!J105</f>
        <v>0</v>
      </c>
      <c r="K105" s="344">
        <f t="shared" si="7"/>
        <v>0</v>
      </c>
      <c r="L105" s="344">
        <f t="shared" si="8"/>
        <v>0</v>
      </c>
      <c r="M105" s="343"/>
      <c r="N105" s="343"/>
      <c r="O105" s="410"/>
      <c r="P105" s="173">
        <f t="shared" si="2"/>
        <v>98</v>
      </c>
      <c r="Q105" s="1177" t="str">
        <f t="shared" si="9"/>
        <v xml:space="preserve"> </v>
      </c>
      <c r="R105" s="1177"/>
      <c r="S105" s="1177"/>
      <c r="T105" s="1177"/>
      <c r="U105" s="1178"/>
      <c r="V105" s="174">
        <f t="shared" si="10"/>
        <v>0</v>
      </c>
      <c r="W105" s="345">
        <f t="shared" si="11"/>
        <v>0</v>
      </c>
      <c r="X105" s="346">
        <f>IF(AND(K105&gt;0,'Custo Contábil'!$D$7&gt;0),ROUND(K105*('Custo Contábil'!$D$20/'Custo Contábil'!$D$7)*W105,2),0)</f>
        <v>0</v>
      </c>
      <c r="Y105" s="417">
        <f t="shared" si="12"/>
        <v>0</v>
      </c>
    </row>
    <row r="106" spans="2:25" outlineLevel="1" x14ac:dyDescent="0.25">
      <c r="B106" s="173">
        <v>99</v>
      </c>
      <c r="C106" s="1175" t="str">
        <f>IF(ISBLANK('MotorCusto (ORÇ)'!C106)," ",'MotorCusto (ORÇ)'!C106)</f>
        <v xml:space="preserve"> </v>
      </c>
      <c r="D106" s="1176"/>
      <c r="E106" s="1176"/>
      <c r="F106" s="1176"/>
      <c r="G106" s="1176"/>
      <c r="H106" s="581">
        <f>'MotorCusto (ORÇ)'!H106</f>
        <v>0</v>
      </c>
      <c r="I106" s="582">
        <f>'MotorCusto (ORÇ)'!I106</f>
        <v>0</v>
      </c>
      <c r="J106" s="574">
        <f>'MotorCusto (ORÇ)'!J106</f>
        <v>0</v>
      </c>
      <c r="K106" s="344">
        <f t="shared" si="7"/>
        <v>0</v>
      </c>
      <c r="L106" s="344">
        <f t="shared" si="8"/>
        <v>0</v>
      </c>
      <c r="M106" s="343"/>
      <c r="N106" s="343"/>
      <c r="O106" s="410"/>
      <c r="P106" s="173">
        <f t="shared" si="2"/>
        <v>99</v>
      </c>
      <c r="Q106" s="1177" t="str">
        <f t="shared" si="9"/>
        <v xml:space="preserve"> </v>
      </c>
      <c r="R106" s="1177"/>
      <c r="S106" s="1177"/>
      <c r="T106" s="1177"/>
      <c r="U106" s="1178"/>
      <c r="V106" s="174">
        <f t="shared" si="10"/>
        <v>0</v>
      </c>
      <c r="W106" s="345">
        <f t="shared" si="11"/>
        <v>0</v>
      </c>
      <c r="X106" s="346">
        <f>IF(AND(K106&gt;0,'Custo Contábil'!$D$7&gt;0),ROUND(K106*('Custo Contábil'!$D$20/'Custo Contábil'!$D$7)*W106,2),0)</f>
        <v>0</v>
      </c>
      <c r="Y106" s="417">
        <f t="shared" si="12"/>
        <v>0</v>
      </c>
    </row>
    <row r="107" spans="2:25" outlineLevel="1" x14ac:dyDescent="0.25">
      <c r="B107" s="175">
        <v>100</v>
      </c>
      <c r="C107" s="1175" t="str">
        <f>IF(ISBLANK('MotorCusto (ORÇ)'!C107)," ",'MotorCusto (ORÇ)'!C107)</f>
        <v xml:space="preserve"> </v>
      </c>
      <c r="D107" s="1176"/>
      <c r="E107" s="1176"/>
      <c r="F107" s="1176"/>
      <c r="G107" s="1176"/>
      <c r="H107" s="581">
        <f>'MotorCusto (ORÇ)'!H107</f>
        <v>0</v>
      </c>
      <c r="I107" s="582">
        <f>'MotorCusto (ORÇ)'!I107</f>
        <v>0</v>
      </c>
      <c r="J107" s="574">
        <f>'MotorCusto (ORÇ)'!J107</f>
        <v>0</v>
      </c>
      <c r="K107" s="344">
        <f t="shared" si="7"/>
        <v>0</v>
      </c>
      <c r="L107" s="344">
        <f t="shared" si="8"/>
        <v>0</v>
      </c>
      <c r="M107" s="343"/>
      <c r="N107" s="343"/>
      <c r="O107" s="410"/>
      <c r="P107" s="173">
        <f>B107</f>
        <v>100</v>
      </c>
      <c r="Q107" s="1177" t="str">
        <f t="shared" si="9"/>
        <v xml:space="preserve"> </v>
      </c>
      <c r="R107" s="1177"/>
      <c r="S107" s="1177"/>
      <c r="T107" s="1177"/>
      <c r="U107" s="1178"/>
      <c r="V107" s="174">
        <f t="shared" si="10"/>
        <v>0</v>
      </c>
      <c r="W107" s="345">
        <f t="shared" si="11"/>
        <v>0</v>
      </c>
      <c r="X107" s="346">
        <f>IF(AND(K107&gt;0,'Custo Contábil'!$D$7&gt;0),ROUND(K107*('Custo Contábil'!$D$20/'Custo Contábil'!$D$7)*W107,2),0)</f>
        <v>0</v>
      </c>
      <c r="Y107" s="417">
        <f t="shared" si="12"/>
        <v>0</v>
      </c>
    </row>
    <row r="108" spans="2:25" x14ac:dyDescent="0.25">
      <c r="B108" s="173"/>
      <c r="C108" s="1175" t="str">
        <f>IF(ISBLANK('MotorCusto (ORÇ)'!C108)," ",'MotorCusto (ORÇ)'!C108)</f>
        <v>Acessórios</v>
      </c>
      <c r="D108" s="1176"/>
      <c r="E108" s="1176"/>
      <c r="F108" s="1176"/>
      <c r="G108" s="1176"/>
      <c r="H108" s="581">
        <f>'MotorCusto (ORÇ)'!H108</f>
        <v>0</v>
      </c>
      <c r="I108" s="582">
        <f>'MotorCusto (ORÇ)'!I108</f>
        <v>0</v>
      </c>
      <c r="J108" s="574">
        <f>'MotorCusto (ORÇ)'!J108</f>
        <v>0</v>
      </c>
      <c r="K108" s="344">
        <f t="shared" si="7"/>
        <v>0</v>
      </c>
      <c r="L108" s="344">
        <f t="shared" si="8"/>
        <v>0</v>
      </c>
      <c r="M108" s="343"/>
      <c r="N108" s="343"/>
      <c r="O108" s="410"/>
      <c r="P108" s="173"/>
      <c r="Q108" s="1177" t="str">
        <f>IF(OR(C108=0,C108=""),"",C108)</f>
        <v>Acessórios</v>
      </c>
      <c r="R108" s="1177"/>
      <c r="S108" s="1177"/>
      <c r="T108" s="1177"/>
      <c r="U108" s="1178"/>
      <c r="V108" s="174">
        <f>IF(H108="",0,H108)</f>
        <v>0</v>
      </c>
      <c r="W108" s="345">
        <f t="shared" si="11"/>
        <v>0</v>
      </c>
      <c r="X108" s="346">
        <f>IF(AND(K108&gt;0,'Custo Contábil'!$D$7&gt;0),ROUND(K108*('Custo Contábil'!$D$20/'Custo Contábil'!$D$7)*W108,2),0)</f>
        <v>0</v>
      </c>
      <c r="Y108" s="417">
        <f t="shared" si="12"/>
        <v>0</v>
      </c>
    </row>
    <row r="109" spans="2:25" ht="18" x14ac:dyDescent="0.25">
      <c r="B109" s="337"/>
      <c r="C109" s="1186" t="s">
        <v>818</v>
      </c>
      <c r="D109" s="1186"/>
      <c r="E109" s="1186"/>
      <c r="F109" s="1186"/>
      <c r="G109" s="1186"/>
      <c r="H109" s="1186"/>
      <c r="I109" s="1186"/>
      <c r="J109" s="1187"/>
      <c r="K109" s="178">
        <f>SUM(K8:K108)</f>
        <v>0</v>
      </c>
      <c r="L109" s="178">
        <f>SUM(L8:L108)</f>
        <v>0</v>
      </c>
      <c r="M109" s="178">
        <f>SUM(M8:M108)</f>
        <v>0</v>
      </c>
      <c r="N109" s="178">
        <f>SUM(N8:N108)</f>
        <v>0</v>
      </c>
      <c r="O109" s="410"/>
      <c r="P109" s="1170" t="s">
        <v>824</v>
      </c>
      <c r="Q109" s="1171"/>
      <c r="R109" s="1171"/>
      <c r="S109" s="1171"/>
      <c r="T109" s="1171"/>
      <c r="U109" s="1171"/>
      <c r="V109" s="1172"/>
      <c r="W109" s="179" t="s">
        <v>826</v>
      </c>
      <c r="X109" s="180">
        <f>SUM(X8:X108)</f>
        <v>0</v>
      </c>
    </row>
    <row r="110" spans="2:25" ht="18" x14ac:dyDescent="0.25">
      <c r="B110" s="1161" t="s">
        <v>292</v>
      </c>
      <c r="C110" s="1162"/>
      <c r="D110" s="1162"/>
      <c r="E110" s="1162"/>
      <c r="F110" s="1162"/>
      <c r="G110" s="1162"/>
      <c r="H110" s="1162"/>
      <c r="I110" s="1162"/>
      <c r="J110" s="1162"/>
      <c r="K110" s="1162"/>
      <c r="L110" s="1162"/>
      <c r="M110" s="1162"/>
      <c r="N110" s="1163"/>
      <c r="O110" s="410"/>
      <c r="P110" s="1170" t="s">
        <v>825</v>
      </c>
      <c r="Q110" s="1171"/>
      <c r="R110" s="1171"/>
      <c r="S110" s="1171"/>
      <c r="T110" s="1171"/>
      <c r="U110" s="1171"/>
      <c r="V110" s="1172"/>
      <c r="W110" s="179" t="s">
        <v>827</v>
      </c>
      <c r="X110" s="180">
        <f>IFERROR(X109*($L$146/$K$146),0)</f>
        <v>0</v>
      </c>
    </row>
    <row r="111" spans="2:25" ht="18" customHeight="1" x14ac:dyDescent="0.25">
      <c r="B111" s="1169" t="s">
        <v>798</v>
      </c>
      <c r="C111" s="1166"/>
      <c r="D111" s="1166"/>
      <c r="E111" s="1166"/>
      <c r="F111" s="1166"/>
      <c r="G111" s="1166"/>
      <c r="H111" s="330"/>
      <c r="I111" s="330"/>
      <c r="J111" s="331"/>
      <c r="K111" s="172" t="s">
        <v>286</v>
      </c>
      <c r="L111" s="328" t="s">
        <v>796</v>
      </c>
      <c r="M111" s="127" t="s">
        <v>240</v>
      </c>
      <c r="N111" s="127" t="s">
        <v>241</v>
      </c>
      <c r="O111" s="410"/>
      <c r="P111" s="411"/>
      <c r="Q111" s="411"/>
      <c r="R111" s="412"/>
      <c r="S111" s="413"/>
      <c r="T111" s="413"/>
      <c r="U111" s="413"/>
      <c r="V111" s="414"/>
    </row>
    <row r="112" spans="2:25" ht="18" customHeight="1" x14ac:dyDescent="0.35">
      <c r="B112" s="181"/>
      <c r="C112" s="1174" t="s">
        <v>293</v>
      </c>
      <c r="D112" s="1174"/>
      <c r="E112" s="1174"/>
      <c r="F112" s="1174"/>
      <c r="G112" s="1174"/>
      <c r="H112" s="330"/>
      <c r="I112" s="330"/>
      <c r="J112" s="331"/>
      <c r="K112" s="344">
        <f>SUM(L112:N112)</f>
        <v>0</v>
      </c>
      <c r="L112" s="344">
        <f>'Custo Contábil'!F39</f>
        <v>0</v>
      </c>
      <c r="M112" s="344">
        <v>0</v>
      </c>
      <c r="N112" s="344">
        <v>0</v>
      </c>
      <c r="O112" s="410"/>
      <c r="P112" s="471" t="s">
        <v>456</v>
      </c>
      <c r="Q112" s="339"/>
      <c r="R112" s="184">
        <f>RCB!G7</f>
        <v>0</v>
      </c>
      <c r="T112" s="1212" t="s">
        <v>709</v>
      </c>
      <c r="U112" s="1213"/>
      <c r="V112" s="352">
        <f>IFERROR(SUM(Y8:Y108)/X109,0)</f>
        <v>0</v>
      </c>
    </row>
    <row r="113" spans="2:18" ht="15" customHeight="1" x14ac:dyDescent="0.35">
      <c r="B113" s="181"/>
      <c r="C113" s="1174" t="s">
        <v>176</v>
      </c>
      <c r="D113" s="1174"/>
      <c r="E113" s="1174"/>
      <c r="F113" s="1174"/>
      <c r="G113" s="1174"/>
      <c r="H113" s="330"/>
      <c r="I113" s="330"/>
      <c r="J113" s="331"/>
      <c r="K113" s="344">
        <f>SUM(L113:N113)</f>
        <v>0</v>
      </c>
      <c r="L113" s="344">
        <f>Diagnóstico!M15</f>
        <v>0</v>
      </c>
      <c r="M113" s="344">
        <f>Diagnóstico!N15</f>
        <v>0</v>
      </c>
      <c r="N113" s="344">
        <f>Diagnóstico!O15</f>
        <v>0</v>
      </c>
      <c r="O113" s="410"/>
      <c r="P113" s="338" t="s">
        <v>297</v>
      </c>
      <c r="Q113" s="339"/>
      <c r="R113" s="184">
        <f>RCB!J7</f>
        <v>0</v>
      </c>
    </row>
    <row r="114" spans="2:18" x14ac:dyDescent="0.25">
      <c r="B114" s="332"/>
      <c r="C114" s="1150" t="s">
        <v>294</v>
      </c>
      <c r="D114" s="1150"/>
      <c r="E114" s="1150"/>
      <c r="F114" s="1150"/>
      <c r="G114" s="1151"/>
      <c r="H114" s="127" t="s">
        <v>16</v>
      </c>
      <c r="I114" s="317" t="s">
        <v>295</v>
      </c>
      <c r="J114" s="317" t="s">
        <v>296</v>
      </c>
      <c r="K114" s="172" t="s">
        <v>286</v>
      </c>
      <c r="L114" s="328" t="s">
        <v>796</v>
      </c>
      <c r="M114" s="127" t="s">
        <v>240</v>
      </c>
      <c r="N114" s="127" t="s">
        <v>241</v>
      </c>
      <c r="O114" s="410"/>
    </row>
    <row r="115" spans="2:18" x14ac:dyDescent="0.25">
      <c r="B115" s="173">
        <v>1</v>
      </c>
      <c r="C115" s="1175" t="str">
        <f>IF(ISBLANK('MotorCusto (ORÇ)'!C120)," ",'MotorCusto (ORÇ)'!C120)</f>
        <v xml:space="preserve"> </v>
      </c>
      <c r="D115" s="1176"/>
      <c r="E115" s="1176"/>
      <c r="F115" s="1176"/>
      <c r="G115" s="1176"/>
      <c r="H115" s="581">
        <f>'MotorCusto (ORÇ)'!H120</f>
        <v>0</v>
      </c>
      <c r="I115" s="582">
        <f>'MotorCusto (ORÇ)'!I120</f>
        <v>0</v>
      </c>
      <c r="J115" s="574">
        <f>'MotorCusto (ORÇ)'!J120</f>
        <v>0</v>
      </c>
      <c r="K115" s="344">
        <f>H115*I115*J115</f>
        <v>0</v>
      </c>
      <c r="L115" s="344">
        <f>K115-M115-N115</f>
        <v>0</v>
      </c>
      <c r="M115" s="343"/>
      <c r="N115" s="343"/>
      <c r="O115" s="410"/>
    </row>
    <row r="116" spans="2:18" x14ac:dyDescent="0.25">
      <c r="B116" s="175">
        <v>2</v>
      </c>
      <c r="C116" s="1175" t="str">
        <f>IF(ISBLANK('MotorCusto (ORÇ)'!C121)," ",'MotorCusto (ORÇ)'!C121)</f>
        <v xml:space="preserve"> </v>
      </c>
      <c r="D116" s="1176"/>
      <c r="E116" s="1176"/>
      <c r="F116" s="1176"/>
      <c r="G116" s="1176"/>
      <c r="H116" s="581">
        <f>'MotorCusto (ORÇ)'!H121</f>
        <v>0</v>
      </c>
      <c r="I116" s="582">
        <f>'MotorCusto (ORÇ)'!I121</f>
        <v>0</v>
      </c>
      <c r="J116" s="574">
        <f>'MotorCusto (ORÇ)'!J121</f>
        <v>0</v>
      </c>
      <c r="K116" s="344">
        <f>H116*I116*J116</f>
        <v>0</v>
      </c>
      <c r="L116" s="344">
        <f>K116-M116-N116</f>
        <v>0</v>
      </c>
      <c r="M116" s="343"/>
      <c r="N116" s="343"/>
      <c r="O116" s="410"/>
    </row>
    <row r="117" spans="2:18" x14ac:dyDescent="0.25">
      <c r="B117" s="173">
        <v>3</v>
      </c>
      <c r="C117" s="1175" t="str">
        <f>IF(ISBLANK('MotorCusto (ORÇ)'!C122)," ",'MotorCusto (ORÇ)'!C122)</f>
        <v xml:space="preserve"> </v>
      </c>
      <c r="D117" s="1176"/>
      <c r="E117" s="1176"/>
      <c r="F117" s="1176"/>
      <c r="G117" s="1176"/>
      <c r="H117" s="581">
        <f>'MotorCusto (ORÇ)'!H122</f>
        <v>0</v>
      </c>
      <c r="I117" s="582">
        <f>'MotorCusto (ORÇ)'!I122</f>
        <v>0</v>
      </c>
      <c r="J117" s="574">
        <f>'MotorCusto (ORÇ)'!J122</f>
        <v>0</v>
      </c>
      <c r="K117" s="344">
        <f>H117*I117*J117</f>
        <v>0</v>
      </c>
      <c r="L117" s="344">
        <f>K117-M117-N117</f>
        <v>0</v>
      </c>
      <c r="M117" s="343"/>
      <c r="N117" s="343"/>
      <c r="O117" s="410"/>
    </row>
    <row r="118" spans="2:18" x14ac:dyDescent="0.25">
      <c r="B118" s="175">
        <v>4</v>
      </c>
      <c r="C118" s="1175" t="str">
        <f>IF(ISBLANK('MotorCusto (ORÇ)'!C123)," ",'MotorCusto (ORÇ)'!C123)</f>
        <v xml:space="preserve"> </v>
      </c>
      <c r="D118" s="1176"/>
      <c r="E118" s="1176"/>
      <c r="F118" s="1176"/>
      <c r="G118" s="1176"/>
      <c r="H118" s="581">
        <f>'MotorCusto (ORÇ)'!H123</f>
        <v>0</v>
      </c>
      <c r="I118" s="582">
        <f>'MotorCusto (ORÇ)'!I123</f>
        <v>0</v>
      </c>
      <c r="J118" s="574">
        <f>'MotorCusto (ORÇ)'!J123</f>
        <v>0</v>
      </c>
      <c r="K118" s="344">
        <f>H118*I118*J118</f>
        <v>0</v>
      </c>
      <c r="L118" s="344">
        <f>K118-M118-N118</f>
        <v>0</v>
      </c>
      <c r="M118" s="343"/>
      <c r="N118" s="343"/>
      <c r="O118" s="410"/>
    </row>
    <row r="119" spans="2:18" ht="15" customHeight="1" x14ac:dyDescent="0.25">
      <c r="B119" s="173">
        <v>5</v>
      </c>
      <c r="C119" s="1175" t="str">
        <f>IF(ISBLANK('MotorCusto (ORÇ)'!C124)," ",'MotorCusto (ORÇ)'!C124)</f>
        <v xml:space="preserve"> </v>
      </c>
      <c r="D119" s="1176"/>
      <c r="E119" s="1176"/>
      <c r="F119" s="1176"/>
      <c r="G119" s="1176"/>
      <c r="H119" s="581">
        <f>'MotorCusto (ORÇ)'!H124</f>
        <v>0</v>
      </c>
      <c r="I119" s="582">
        <f>'MotorCusto (ORÇ)'!I124</f>
        <v>0</v>
      </c>
      <c r="J119" s="574">
        <f>'MotorCusto (ORÇ)'!J124</f>
        <v>0</v>
      </c>
      <c r="K119" s="344">
        <f>H119*I119*J119</f>
        <v>0</v>
      </c>
      <c r="L119" s="344">
        <f>K119-M119-N119</f>
        <v>0</v>
      </c>
      <c r="M119" s="343"/>
      <c r="N119" s="343"/>
      <c r="O119" s="410"/>
    </row>
    <row r="120" spans="2:18" x14ac:dyDescent="0.25">
      <c r="B120" s="181"/>
      <c r="C120" s="1184" t="s">
        <v>725</v>
      </c>
      <c r="D120" s="1184"/>
      <c r="E120" s="1184"/>
      <c r="F120" s="1184"/>
      <c r="G120" s="1184"/>
      <c r="H120" s="1184"/>
      <c r="I120" s="1184"/>
      <c r="J120" s="1185"/>
      <c r="K120" s="344">
        <f>SUM(K115:K119)</f>
        <v>0</v>
      </c>
      <c r="L120" s="344">
        <f>SUM(L115:L119)</f>
        <v>0</v>
      </c>
      <c r="M120" s="344">
        <f>SUM(M115:M119)</f>
        <v>0</v>
      </c>
      <c r="N120" s="344">
        <f>SUM(N115:N119)</f>
        <v>0</v>
      </c>
      <c r="O120" s="410"/>
    </row>
    <row r="121" spans="2:18" x14ac:dyDescent="0.25">
      <c r="B121" s="337"/>
      <c r="C121" s="1186" t="s">
        <v>726</v>
      </c>
      <c r="D121" s="1186"/>
      <c r="E121" s="1186"/>
      <c r="F121" s="1186"/>
      <c r="G121" s="1186"/>
      <c r="H121" s="1186"/>
      <c r="I121" s="1186"/>
      <c r="J121" s="1187"/>
      <c r="K121" s="178">
        <f>SUM(K120,K112:K113)</f>
        <v>0</v>
      </c>
      <c r="L121" s="293">
        <f>SUM(L120,L112:L113)</f>
        <v>0</v>
      </c>
      <c r="M121" s="293">
        <f>SUM(M120,M112:M113)</f>
        <v>0</v>
      </c>
      <c r="N121" s="293">
        <f>SUM(N120,N112:N113)</f>
        <v>0</v>
      </c>
      <c r="O121" s="410"/>
    </row>
    <row r="122" spans="2:18" x14ac:dyDescent="0.25">
      <c r="B122" s="1161" t="s">
        <v>300</v>
      </c>
      <c r="C122" s="1162"/>
      <c r="D122" s="1162"/>
      <c r="E122" s="1162"/>
      <c r="F122" s="1162"/>
      <c r="G122" s="1162"/>
      <c r="H122" s="1162"/>
      <c r="I122" s="1162"/>
      <c r="J122" s="1162"/>
      <c r="K122" s="1162"/>
      <c r="L122" s="1162"/>
      <c r="M122" s="1162"/>
      <c r="N122" s="1163"/>
      <c r="O122" s="410"/>
    </row>
    <row r="123" spans="2:18" ht="15" customHeight="1" x14ac:dyDescent="0.25">
      <c r="B123" s="1169" t="s">
        <v>798</v>
      </c>
      <c r="C123" s="1166"/>
      <c r="D123" s="1166"/>
      <c r="E123" s="1166"/>
      <c r="F123" s="1166"/>
      <c r="G123" s="1166"/>
      <c r="H123" s="330"/>
      <c r="I123" s="330"/>
      <c r="J123" s="331"/>
      <c r="K123" s="172" t="s">
        <v>286</v>
      </c>
      <c r="L123" s="328" t="s">
        <v>796</v>
      </c>
      <c r="M123" s="127" t="s">
        <v>240</v>
      </c>
      <c r="N123" s="127" t="s">
        <v>241</v>
      </c>
      <c r="O123" s="410"/>
      <c r="P123" s="415"/>
    </row>
    <row r="124" spans="2:18" x14ac:dyDescent="0.25">
      <c r="B124" s="181"/>
      <c r="C124" s="1174" t="s">
        <v>9</v>
      </c>
      <c r="D124" s="1174"/>
      <c r="E124" s="1174"/>
      <c r="F124" s="1174"/>
      <c r="G124" s="1174"/>
      <c r="H124" s="1174"/>
      <c r="I124" s="1174"/>
      <c r="J124" s="1183"/>
      <c r="K124" s="344">
        <f>SUM(L124:N124)</f>
        <v>0</v>
      </c>
      <c r="L124" s="347">
        <f>'Custo Contábil'!F41</f>
        <v>0</v>
      </c>
      <c r="M124" s="344">
        <v>0</v>
      </c>
      <c r="N124" s="344">
        <v>0</v>
      </c>
      <c r="O124" s="410"/>
    </row>
    <row r="125" spans="2:18" x14ac:dyDescent="0.25">
      <c r="B125" s="332"/>
      <c r="C125" s="1166" t="s">
        <v>178</v>
      </c>
      <c r="D125" s="1166"/>
      <c r="E125" s="1166"/>
      <c r="F125" s="1166"/>
      <c r="G125" s="1166"/>
      <c r="H125" s="1167"/>
      <c r="I125" s="317" t="s">
        <v>16</v>
      </c>
      <c r="J125" s="317" t="s">
        <v>301</v>
      </c>
      <c r="K125" s="172" t="s">
        <v>286</v>
      </c>
      <c r="L125" s="328" t="s">
        <v>796</v>
      </c>
      <c r="M125" s="127" t="s">
        <v>240</v>
      </c>
      <c r="N125" s="127" t="s">
        <v>241</v>
      </c>
      <c r="O125" s="410"/>
    </row>
    <row r="126" spans="2:18" x14ac:dyDescent="0.25">
      <c r="B126" s="186">
        <v>1</v>
      </c>
      <c r="C126" s="1174" t="str">
        <f>IF(ISBLANK('MotorCusto (ORÇ)'!C136)," ",'MotorCusto (ORÇ)'!C136)</f>
        <v xml:space="preserve"> </v>
      </c>
      <c r="D126" s="1174"/>
      <c r="E126" s="1174"/>
      <c r="F126" s="1174"/>
      <c r="G126" s="1174"/>
      <c r="H126" s="1183"/>
      <c r="I126" s="582">
        <f>'MotorCusto (ORÇ)'!I136</f>
        <v>0</v>
      </c>
      <c r="J126" s="574">
        <f>'MotorCusto (ORÇ)'!J136</f>
        <v>0</v>
      </c>
      <c r="K126" s="344">
        <f>I126*J126</f>
        <v>0</v>
      </c>
      <c r="L126" s="344">
        <f>K126-M126-N126</f>
        <v>0</v>
      </c>
      <c r="M126" s="343"/>
      <c r="N126" s="343"/>
      <c r="O126" s="410"/>
    </row>
    <row r="127" spans="2:18" ht="15" customHeight="1" x14ac:dyDescent="0.25">
      <c r="B127" s="186">
        <v>2</v>
      </c>
      <c r="C127" s="1174" t="str">
        <f>IF(ISBLANK('MotorCusto (ORÇ)'!C137)," ",'MotorCusto (ORÇ)'!C137)</f>
        <v xml:space="preserve"> </v>
      </c>
      <c r="D127" s="1174"/>
      <c r="E127" s="1174"/>
      <c r="F127" s="1174"/>
      <c r="G127" s="1174"/>
      <c r="H127" s="1183"/>
      <c r="I127" s="582">
        <f>'MotorCusto (ORÇ)'!I137</f>
        <v>0</v>
      </c>
      <c r="J127" s="574">
        <f>'MotorCusto (ORÇ)'!J137</f>
        <v>0</v>
      </c>
      <c r="K127" s="344">
        <f>I127*J127</f>
        <v>0</v>
      </c>
      <c r="L127" s="344">
        <f>K127-M127-N127</f>
        <v>0</v>
      </c>
      <c r="M127" s="343"/>
      <c r="N127" s="343"/>
      <c r="O127" s="410"/>
    </row>
    <row r="128" spans="2:18" x14ac:dyDescent="0.25">
      <c r="B128" s="186">
        <v>3</v>
      </c>
      <c r="C128" s="1174" t="str">
        <f>IF(ISBLANK('MotorCusto (ORÇ)'!C138)," ",'MotorCusto (ORÇ)'!C138)</f>
        <v xml:space="preserve"> </v>
      </c>
      <c r="D128" s="1174"/>
      <c r="E128" s="1174"/>
      <c r="F128" s="1174"/>
      <c r="G128" s="1174"/>
      <c r="H128" s="1183"/>
      <c r="I128" s="582">
        <f>'MotorCusto (ORÇ)'!I138</f>
        <v>0</v>
      </c>
      <c r="J128" s="574">
        <f>'MotorCusto (ORÇ)'!J138</f>
        <v>0</v>
      </c>
      <c r="K128" s="344">
        <f>I128*J128</f>
        <v>0</v>
      </c>
      <c r="L128" s="344">
        <f>K128-M128-N128</f>
        <v>0</v>
      </c>
      <c r="M128" s="343"/>
      <c r="N128" s="343"/>
      <c r="O128" s="410"/>
    </row>
    <row r="129" spans="2:16" x14ac:dyDescent="0.25">
      <c r="B129" s="181"/>
      <c r="C129" s="1184" t="s">
        <v>819</v>
      </c>
      <c r="D129" s="1184"/>
      <c r="E129" s="1184"/>
      <c r="F129" s="1184"/>
      <c r="G129" s="1184"/>
      <c r="H129" s="1184"/>
      <c r="I129" s="1184"/>
      <c r="J129" s="1185"/>
      <c r="K129" s="344">
        <f>SUM(K126:K128)</f>
        <v>0</v>
      </c>
      <c r="L129" s="344">
        <f>SUM(L126:L128)</f>
        <v>0</v>
      </c>
      <c r="M129" s="344">
        <f>SUM(M126:M128)</f>
        <v>0</v>
      </c>
      <c r="N129" s="344">
        <f>SUM(N126:N128)</f>
        <v>0</v>
      </c>
    </row>
    <row r="130" spans="2:16" x14ac:dyDescent="0.25">
      <c r="B130" s="337"/>
      <c r="C130" s="1186" t="s">
        <v>727</v>
      </c>
      <c r="D130" s="1186"/>
      <c r="E130" s="1186"/>
      <c r="F130" s="1186"/>
      <c r="G130" s="1186"/>
      <c r="H130" s="1186"/>
      <c r="I130" s="1186"/>
      <c r="J130" s="1187"/>
      <c r="K130" s="178">
        <f>SUM(K124,K129)</f>
        <v>0</v>
      </c>
      <c r="L130" s="178">
        <f>SUM(L124,L129)</f>
        <v>0</v>
      </c>
      <c r="M130" s="178">
        <f>SUM(M124,M129)</f>
        <v>0</v>
      </c>
      <c r="N130" s="178">
        <f>SUM(N124,N129)</f>
        <v>0</v>
      </c>
      <c r="O130" s="410"/>
    </row>
    <row r="131" spans="2:16" ht="15" customHeight="1" x14ac:dyDescent="0.25">
      <c r="B131" s="341"/>
      <c r="C131" s="1179" t="s">
        <v>728</v>
      </c>
      <c r="D131" s="1179"/>
      <c r="E131" s="1179"/>
      <c r="F131" s="1179"/>
      <c r="G131" s="1179"/>
      <c r="H131" s="1179"/>
      <c r="I131" s="1179"/>
      <c r="J131" s="1180"/>
      <c r="K131" s="139">
        <f>SUM(K109,K121,K130)</f>
        <v>0</v>
      </c>
      <c r="L131" s="139">
        <f>SUM(L109,L121,L130)</f>
        <v>0</v>
      </c>
      <c r="M131" s="139">
        <f>SUM(M109,M121,M130)</f>
        <v>0</v>
      </c>
      <c r="N131" s="139">
        <f>SUM(N109,N121,N130)</f>
        <v>0</v>
      </c>
      <c r="O131" s="410"/>
    </row>
    <row r="132" spans="2:16" ht="15" customHeight="1" x14ac:dyDescent="0.25">
      <c r="B132" s="1159" t="s">
        <v>707</v>
      </c>
      <c r="C132" s="1160"/>
      <c r="D132" s="1160"/>
      <c r="E132" s="1160"/>
      <c r="F132" s="1160"/>
      <c r="G132" s="1160"/>
      <c r="H132" s="1160"/>
      <c r="I132" s="1160"/>
      <c r="J132" s="1160"/>
      <c r="K132" s="1160"/>
      <c r="L132" s="1160"/>
      <c r="M132" s="1160"/>
      <c r="N132" s="1168"/>
      <c r="O132" s="410"/>
    </row>
    <row r="133" spans="2:16" x14ac:dyDescent="0.25">
      <c r="B133" s="1169" t="s">
        <v>798</v>
      </c>
      <c r="C133" s="1166"/>
      <c r="D133" s="1166"/>
      <c r="E133" s="1166"/>
      <c r="F133" s="1166"/>
      <c r="G133" s="1166"/>
      <c r="H133" s="330"/>
      <c r="I133" s="330"/>
      <c r="J133" s="331"/>
      <c r="K133" s="172" t="s">
        <v>286</v>
      </c>
      <c r="L133" s="328" t="s">
        <v>796</v>
      </c>
      <c r="M133" s="127" t="s">
        <v>240</v>
      </c>
      <c r="N133" s="127" t="s">
        <v>241</v>
      </c>
      <c r="O133" s="410"/>
    </row>
    <row r="134" spans="2:16" ht="15" customHeight="1" x14ac:dyDescent="0.25">
      <c r="B134" s="181"/>
      <c r="C134" s="1174" t="s">
        <v>304</v>
      </c>
      <c r="D134" s="1174"/>
      <c r="E134" s="1174"/>
      <c r="F134" s="1174"/>
      <c r="G134" s="1174"/>
      <c r="H134" s="1174"/>
      <c r="I134" s="1174"/>
      <c r="J134" s="1183"/>
      <c r="K134" s="344">
        <f t="shared" ref="K134:K139" si="13">SUM(L134:N134)</f>
        <v>0</v>
      </c>
      <c r="L134" s="344">
        <f>'Custo Contábil'!$F$37*'Custo Contábil'!F13</f>
        <v>0</v>
      </c>
      <c r="M134" s="344">
        <v>0</v>
      </c>
      <c r="N134" s="344">
        <v>0</v>
      </c>
      <c r="O134" s="410"/>
    </row>
    <row r="135" spans="2:16" ht="15" customHeight="1" x14ac:dyDescent="0.25">
      <c r="B135" s="181"/>
      <c r="C135" s="1174" t="s">
        <v>12</v>
      </c>
      <c r="D135" s="1174"/>
      <c r="E135" s="1174"/>
      <c r="F135" s="1174"/>
      <c r="G135" s="1174"/>
      <c r="H135" s="1174"/>
      <c r="I135" s="1174"/>
      <c r="J135" s="1183"/>
      <c r="K135" s="344">
        <f t="shared" si="13"/>
        <v>0</v>
      </c>
      <c r="L135" s="344">
        <f>'Custo Contábil'!F45</f>
        <v>0</v>
      </c>
      <c r="M135" s="344">
        <v>0</v>
      </c>
      <c r="N135" s="344">
        <v>0</v>
      </c>
      <c r="O135" s="410"/>
    </row>
    <row r="136" spans="2:16" ht="15" customHeight="1" x14ac:dyDescent="0.25">
      <c r="B136" s="181"/>
      <c r="C136" s="1174" t="s">
        <v>175</v>
      </c>
      <c r="D136" s="1174"/>
      <c r="E136" s="1174"/>
      <c r="F136" s="1174"/>
      <c r="G136" s="1174"/>
      <c r="H136" s="1174"/>
      <c r="I136" s="1174"/>
      <c r="J136" s="1183"/>
      <c r="K136" s="344">
        <f t="shared" si="13"/>
        <v>0</v>
      </c>
      <c r="L136" s="344">
        <f>Marketing!L20</f>
        <v>0</v>
      </c>
      <c r="M136" s="344">
        <f>Marketing!M20</f>
        <v>0</v>
      </c>
      <c r="N136" s="344">
        <f>Marketing!N20</f>
        <v>0</v>
      </c>
      <c r="O136" s="410"/>
    </row>
    <row r="137" spans="2:16" ht="15" customHeight="1" x14ac:dyDescent="0.25">
      <c r="B137" s="181"/>
      <c r="C137" s="1174" t="s">
        <v>305</v>
      </c>
      <c r="D137" s="1174"/>
      <c r="E137" s="1174"/>
      <c r="F137" s="1174"/>
      <c r="G137" s="1174"/>
      <c r="H137" s="1174"/>
      <c r="I137" s="1174"/>
      <c r="J137" s="1183"/>
      <c r="K137" s="344">
        <f t="shared" si="13"/>
        <v>0</v>
      </c>
      <c r="L137" s="344">
        <f>Treinamento!L34</f>
        <v>0</v>
      </c>
      <c r="M137" s="344">
        <f>Treinamento!M34</f>
        <v>0</v>
      </c>
      <c r="N137" s="344">
        <f>Treinamento!N34</f>
        <v>0</v>
      </c>
      <c r="O137" s="410"/>
      <c r="P137" s="415"/>
    </row>
    <row r="138" spans="2:16" x14ac:dyDescent="0.25">
      <c r="B138" s="181"/>
      <c r="C138" s="1174" t="s">
        <v>306</v>
      </c>
      <c r="D138" s="1174"/>
      <c r="E138" s="1174"/>
      <c r="F138" s="1174"/>
      <c r="G138" s="1174"/>
      <c r="H138" s="1174"/>
      <c r="I138" s="1174"/>
      <c r="J138" s="1183"/>
      <c r="K138" s="344">
        <f t="shared" si="13"/>
        <v>0</v>
      </c>
      <c r="L138" s="344">
        <f>Descarte!L43</f>
        <v>0</v>
      </c>
      <c r="M138" s="344">
        <f>Descarte!M43</f>
        <v>0</v>
      </c>
      <c r="N138" s="344">
        <f>Descarte!N43</f>
        <v>0</v>
      </c>
      <c r="O138" s="410"/>
    </row>
    <row r="139" spans="2:16" x14ac:dyDescent="0.25">
      <c r="B139" s="181"/>
      <c r="C139" s="1174" t="s">
        <v>307</v>
      </c>
      <c r="D139" s="1174"/>
      <c r="E139" s="1174"/>
      <c r="F139" s="1174"/>
      <c r="G139" s="1174"/>
      <c r="H139" s="1174"/>
      <c r="I139" s="1174"/>
      <c r="J139" s="1183"/>
      <c r="K139" s="344">
        <f t="shared" si="13"/>
        <v>0</v>
      </c>
      <c r="L139" s="344">
        <f>'M&amp;V'!N270</f>
        <v>0</v>
      </c>
      <c r="M139" s="344">
        <f>'M&amp;V'!O270</f>
        <v>0</v>
      </c>
      <c r="N139" s="344">
        <f>'M&amp;V'!P270</f>
        <v>0</v>
      </c>
      <c r="O139" s="410"/>
    </row>
    <row r="140" spans="2:16" x14ac:dyDescent="0.25">
      <c r="B140" s="1169" t="s">
        <v>15</v>
      </c>
      <c r="C140" s="1166"/>
      <c r="D140" s="1166"/>
      <c r="E140" s="1166"/>
      <c r="F140" s="1166"/>
      <c r="G140" s="1166"/>
      <c r="H140" s="1167"/>
      <c r="I140" s="317" t="s">
        <v>16</v>
      </c>
      <c r="J140" s="317" t="s">
        <v>301</v>
      </c>
      <c r="K140" s="172" t="s">
        <v>286</v>
      </c>
      <c r="L140" s="317" t="s">
        <v>796</v>
      </c>
      <c r="M140" s="127" t="s">
        <v>240</v>
      </c>
      <c r="N140" s="127" t="s">
        <v>241</v>
      </c>
      <c r="O140" s="410"/>
    </row>
    <row r="141" spans="2:16" ht="15" customHeight="1" x14ac:dyDescent="0.25">
      <c r="B141" s="186">
        <v>1</v>
      </c>
      <c r="C141" s="1174" t="str">
        <f>IF(ISBLANK('MotorCusto (ORÇ)'!C150)," ",'MotorCusto (ORÇ)'!C150)</f>
        <v xml:space="preserve"> </v>
      </c>
      <c r="D141" s="1174"/>
      <c r="E141" s="1174"/>
      <c r="F141" s="1174"/>
      <c r="G141" s="1174"/>
      <c r="H141" s="1183"/>
      <c r="I141" s="582">
        <f>'MotorCusto (ORÇ)'!I150</f>
        <v>0</v>
      </c>
      <c r="J141" s="574">
        <f>'MotorCusto (ORÇ)'!J150</f>
        <v>0</v>
      </c>
      <c r="K141" s="344">
        <f>I141*J141</f>
        <v>0</v>
      </c>
      <c r="L141" s="344">
        <f>K141-M141-N141</f>
        <v>0</v>
      </c>
      <c r="M141" s="343"/>
      <c r="N141" s="343"/>
      <c r="O141" s="410"/>
    </row>
    <row r="142" spans="2:16" x14ac:dyDescent="0.25">
      <c r="B142" s="186">
        <v>2</v>
      </c>
      <c r="C142" s="1174" t="str">
        <f>IF(ISBLANK('MotorCusto (ORÇ)'!C151)," ",'MotorCusto (ORÇ)'!C151)</f>
        <v xml:space="preserve"> </v>
      </c>
      <c r="D142" s="1174"/>
      <c r="E142" s="1174"/>
      <c r="F142" s="1174"/>
      <c r="G142" s="1174"/>
      <c r="H142" s="1183"/>
      <c r="I142" s="582">
        <f>'MotorCusto (ORÇ)'!I151</f>
        <v>0</v>
      </c>
      <c r="J142" s="574">
        <f>'MotorCusto (ORÇ)'!J151</f>
        <v>0</v>
      </c>
      <c r="K142" s="344">
        <f>I142*J142</f>
        <v>0</v>
      </c>
      <c r="L142" s="344">
        <f>K142-M142-N142</f>
        <v>0</v>
      </c>
      <c r="M142" s="343"/>
      <c r="N142" s="343"/>
    </row>
    <row r="143" spans="2:16" x14ac:dyDescent="0.25">
      <c r="B143" s="186">
        <v>3</v>
      </c>
      <c r="C143" s="1174" t="str">
        <f>IF(ISBLANK('MotorCusto (ORÇ)'!C152)," ",'MotorCusto (ORÇ)'!C152)</f>
        <v xml:space="preserve"> </v>
      </c>
      <c r="D143" s="1174"/>
      <c r="E143" s="1174"/>
      <c r="F143" s="1174"/>
      <c r="G143" s="1174"/>
      <c r="H143" s="1183"/>
      <c r="I143" s="582">
        <f>'MotorCusto (ORÇ)'!I152</f>
        <v>0</v>
      </c>
      <c r="J143" s="574">
        <f>'MotorCusto (ORÇ)'!J152</f>
        <v>0</v>
      </c>
      <c r="K143" s="344">
        <f>I143*J143</f>
        <v>0</v>
      </c>
      <c r="L143" s="344">
        <f>K143-M143-N143</f>
        <v>0</v>
      </c>
      <c r="M143" s="343"/>
      <c r="N143" s="343"/>
      <c r="O143" s="410"/>
    </row>
    <row r="144" spans="2:16" x14ac:dyDescent="0.25">
      <c r="B144" s="181"/>
      <c r="C144" s="1184" t="s">
        <v>822</v>
      </c>
      <c r="D144" s="1184"/>
      <c r="E144" s="1184"/>
      <c r="F144" s="1184"/>
      <c r="G144" s="1184"/>
      <c r="H144" s="1184"/>
      <c r="I144" s="1184"/>
      <c r="J144" s="1185"/>
      <c r="K144" s="344">
        <f>SUM(K141:K143)</f>
        <v>0</v>
      </c>
      <c r="L144" s="344">
        <f>SUM(L141:L143)</f>
        <v>0</v>
      </c>
      <c r="M144" s="344">
        <f>SUM(M141:M143)</f>
        <v>0</v>
      </c>
      <c r="N144" s="344">
        <f>SUM(N141:N143)</f>
        <v>0</v>
      </c>
    </row>
    <row r="145" spans="2:14" x14ac:dyDescent="0.25">
      <c r="B145" s="341"/>
      <c r="C145" s="1179" t="s">
        <v>729</v>
      </c>
      <c r="D145" s="1179"/>
      <c r="E145" s="1179"/>
      <c r="F145" s="1179"/>
      <c r="G145" s="1179"/>
      <c r="H145" s="1179"/>
      <c r="I145" s="1179"/>
      <c r="J145" s="1180"/>
      <c r="K145" s="139">
        <f>SUM(K134:K139,K144)</f>
        <v>0</v>
      </c>
      <c r="L145" s="139">
        <f>SUM(L134:L139,L144)</f>
        <v>0</v>
      </c>
      <c r="M145" s="139">
        <f>SUM(M134:M139,M144)</f>
        <v>0</v>
      </c>
      <c r="N145" s="139">
        <f>SUM(N134:N139,N144)</f>
        <v>0</v>
      </c>
    </row>
    <row r="146" spans="2:14" x14ac:dyDescent="0.25">
      <c r="B146" s="187"/>
      <c r="C146" s="1181" t="s">
        <v>823</v>
      </c>
      <c r="D146" s="1181"/>
      <c r="E146" s="1181"/>
      <c r="F146" s="1181"/>
      <c r="G146" s="1181"/>
      <c r="H146" s="1181"/>
      <c r="I146" s="1181"/>
      <c r="J146" s="1182"/>
      <c r="K146" s="180">
        <f>SUM(K131,K145)</f>
        <v>0</v>
      </c>
      <c r="L146" s="180">
        <f>SUM(L131,L145)</f>
        <v>0</v>
      </c>
      <c r="M146" s="180">
        <f>SUM(M131,M145)</f>
        <v>0</v>
      </c>
      <c r="N146" s="180">
        <f>SUM(N131,N145)</f>
        <v>0</v>
      </c>
    </row>
    <row r="147" spans="2:14" x14ac:dyDescent="0.25">
      <c r="B147" s="410"/>
      <c r="C147" s="410"/>
      <c r="D147" s="410"/>
      <c r="E147" s="410"/>
      <c r="F147" s="410"/>
      <c r="G147" s="410"/>
      <c r="H147" s="410"/>
      <c r="I147" s="421"/>
      <c r="J147" s="410"/>
      <c r="K147" s="422"/>
      <c r="L147" s="410"/>
      <c r="M147" s="410"/>
      <c r="N147" s="410"/>
    </row>
  </sheetData>
  <sheetProtection algorithmName="SHA-512" hashValue="UR49GgDmJYj40EMGkS4IfILkc5GhLS+RfDDZqmtSnvbfRbiPDrcAh23JweavTN87aOlPUyhHPTAFizA0wcfuNg==" saltValue="mNXpKip0HgCBh8svWfxeXA==" spinCount="100000" sheet="1" objects="1" scenarios="1"/>
  <mergeCells count="253">
    <mergeCell ref="C144:J144"/>
    <mergeCell ref="C145:J145"/>
    <mergeCell ref="C146:J146"/>
    <mergeCell ref="C136:J136"/>
    <mergeCell ref="C130:J130"/>
    <mergeCell ref="B132:N132"/>
    <mergeCell ref="B133:G133"/>
    <mergeCell ref="C137:J137"/>
    <mergeCell ref="C138:J138"/>
    <mergeCell ref="C139:J139"/>
    <mergeCell ref="B140:H140"/>
    <mergeCell ref="C141:H141"/>
    <mergeCell ref="C142:H142"/>
    <mergeCell ref="C143:H143"/>
    <mergeCell ref="C131:J131"/>
    <mergeCell ref="C134:J134"/>
    <mergeCell ref="C135:J135"/>
    <mergeCell ref="C125:H125"/>
    <mergeCell ref="C126:H126"/>
    <mergeCell ref="C129:J129"/>
    <mergeCell ref="C127:H127"/>
    <mergeCell ref="C128:H128"/>
    <mergeCell ref="C116:G116"/>
    <mergeCell ref="C117:G117"/>
    <mergeCell ref="C118:G118"/>
    <mergeCell ref="C120:J120"/>
    <mergeCell ref="C119:G119"/>
    <mergeCell ref="C121:J121"/>
    <mergeCell ref="B122:N122"/>
    <mergeCell ref="B123:G123"/>
    <mergeCell ref="C124:J124"/>
    <mergeCell ref="C114:G114"/>
    <mergeCell ref="C115:G115"/>
    <mergeCell ref="C107:G107"/>
    <mergeCell ref="Q107:U107"/>
    <mergeCell ref="C108:G108"/>
    <mergeCell ref="Q108:U108"/>
    <mergeCell ref="C109:J109"/>
    <mergeCell ref="P109:V109"/>
    <mergeCell ref="B110:N110"/>
    <mergeCell ref="P110:V110"/>
    <mergeCell ref="B111:G111"/>
    <mergeCell ref="C112:G112"/>
    <mergeCell ref="T112:U112"/>
    <mergeCell ref="C113:G113"/>
    <mergeCell ref="C104:G104"/>
    <mergeCell ref="Q104:U104"/>
    <mergeCell ref="C105:G105"/>
    <mergeCell ref="Q105:U105"/>
    <mergeCell ref="C106:G106"/>
    <mergeCell ref="Q106:U106"/>
    <mergeCell ref="C101:G101"/>
    <mergeCell ref="Q101:U101"/>
    <mergeCell ref="C102:G102"/>
    <mergeCell ref="Q102:U102"/>
    <mergeCell ref="C103:G103"/>
    <mergeCell ref="Q103:U103"/>
    <mergeCell ref="C98:G98"/>
    <mergeCell ref="Q98:U98"/>
    <mergeCell ref="C99:G99"/>
    <mergeCell ref="Q99:U99"/>
    <mergeCell ref="C100:G100"/>
    <mergeCell ref="Q100:U100"/>
    <mergeCell ref="C45:G45"/>
    <mergeCell ref="Q45:U45"/>
    <mergeCell ref="C46:G46"/>
    <mergeCell ref="Q46:U46"/>
    <mergeCell ref="C97:G97"/>
    <mergeCell ref="Q97:U97"/>
    <mergeCell ref="C50:G50"/>
    <mergeCell ref="C51:G51"/>
    <mergeCell ref="C52:G52"/>
    <mergeCell ref="C53:G53"/>
    <mergeCell ref="C54:G54"/>
    <mergeCell ref="C55:G55"/>
    <mergeCell ref="C56:G56"/>
    <mergeCell ref="C57:G57"/>
    <mergeCell ref="C58:G58"/>
    <mergeCell ref="C59:G59"/>
    <mergeCell ref="C60:G60"/>
    <mergeCell ref="C61:G61"/>
    <mergeCell ref="C42:G42"/>
    <mergeCell ref="Q42:U42"/>
    <mergeCell ref="C43:G43"/>
    <mergeCell ref="Q43:U43"/>
    <mergeCell ref="C44:G44"/>
    <mergeCell ref="Q44:U44"/>
    <mergeCell ref="C47:G47"/>
    <mergeCell ref="C48:G48"/>
    <mergeCell ref="C49:G49"/>
    <mergeCell ref="C39:G39"/>
    <mergeCell ref="Q39:U39"/>
    <mergeCell ref="C40:G40"/>
    <mergeCell ref="Q40:U40"/>
    <mergeCell ref="C41:G41"/>
    <mergeCell ref="Q41:U41"/>
    <mergeCell ref="C36:G36"/>
    <mergeCell ref="Q36:U36"/>
    <mergeCell ref="C37:G37"/>
    <mergeCell ref="Q37:U37"/>
    <mergeCell ref="C38:G38"/>
    <mergeCell ref="Q38:U38"/>
    <mergeCell ref="C33:G33"/>
    <mergeCell ref="Q33:U33"/>
    <mergeCell ref="C34:G34"/>
    <mergeCell ref="Q34:U34"/>
    <mergeCell ref="C35:G35"/>
    <mergeCell ref="Q35:U35"/>
    <mergeCell ref="C30:G30"/>
    <mergeCell ref="Q30:U30"/>
    <mergeCell ref="C31:G31"/>
    <mergeCell ref="Q31:U31"/>
    <mergeCell ref="C32:G32"/>
    <mergeCell ref="Q32:U32"/>
    <mergeCell ref="C27:G27"/>
    <mergeCell ref="Q27:U27"/>
    <mergeCell ref="C28:G28"/>
    <mergeCell ref="Q28:U28"/>
    <mergeCell ref="C29:G29"/>
    <mergeCell ref="Q29:U29"/>
    <mergeCell ref="C24:G24"/>
    <mergeCell ref="Q24:U24"/>
    <mergeCell ref="C25:G25"/>
    <mergeCell ref="Q25:U25"/>
    <mergeCell ref="C26:G26"/>
    <mergeCell ref="Q26:U26"/>
    <mergeCell ref="C21:G21"/>
    <mergeCell ref="Q21:U21"/>
    <mergeCell ref="C22:G22"/>
    <mergeCell ref="Q22:U22"/>
    <mergeCell ref="C23:G23"/>
    <mergeCell ref="Q23:U23"/>
    <mergeCell ref="C18:G18"/>
    <mergeCell ref="Q18:U18"/>
    <mergeCell ref="C19:G19"/>
    <mergeCell ref="Q19:U19"/>
    <mergeCell ref="C20:G20"/>
    <mergeCell ref="Q20:U20"/>
    <mergeCell ref="C15:G15"/>
    <mergeCell ref="Q15:U15"/>
    <mergeCell ref="C16:G16"/>
    <mergeCell ref="Q16:U16"/>
    <mergeCell ref="C17:G17"/>
    <mergeCell ref="Q17:U17"/>
    <mergeCell ref="C12:G12"/>
    <mergeCell ref="Q12:U12"/>
    <mergeCell ref="C13:G13"/>
    <mergeCell ref="Q13:U13"/>
    <mergeCell ref="C14:G14"/>
    <mergeCell ref="Q14:U14"/>
    <mergeCell ref="B2:N2"/>
    <mergeCell ref="C9:G9"/>
    <mergeCell ref="Q9:U9"/>
    <mergeCell ref="C10:G10"/>
    <mergeCell ref="Q10:U10"/>
    <mergeCell ref="C11:G11"/>
    <mergeCell ref="Q11:U11"/>
    <mergeCell ref="P6:X6"/>
    <mergeCell ref="B7:G7"/>
    <mergeCell ref="P7:U7"/>
    <mergeCell ref="C8:G8"/>
    <mergeCell ref="Q8:U8"/>
    <mergeCell ref="P2:X2"/>
    <mergeCell ref="L3:N3"/>
    <mergeCell ref="P3:X4"/>
    <mergeCell ref="B6:N6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Q47:U47"/>
    <mergeCell ref="Q48:U48"/>
    <mergeCell ref="Q49:U49"/>
    <mergeCell ref="Q50:U50"/>
    <mergeCell ref="Q51:U51"/>
    <mergeCell ref="Q52:U52"/>
    <mergeCell ref="Q53:U53"/>
    <mergeCell ref="Q54:U54"/>
    <mergeCell ref="Q55:U55"/>
    <mergeCell ref="Q56:U56"/>
    <mergeCell ref="Q57:U57"/>
    <mergeCell ref="Q58:U58"/>
    <mergeCell ref="Q59:U59"/>
    <mergeCell ref="Q60:U60"/>
    <mergeCell ref="Q61:U61"/>
    <mergeCell ref="Q62:U62"/>
    <mergeCell ref="Q84:U84"/>
    <mergeCell ref="Q85:U85"/>
    <mergeCell ref="Q86:U86"/>
    <mergeCell ref="Q69:U69"/>
    <mergeCell ref="Q70:U70"/>
    <mergeCell ref="Q71:U71"/>
    <mergeCell ref="Q72:U72"/>
    <mergeCell ref="Q73:U73"/>
    <mergeCell ref="Q74:U74"/>
    <mergeCell ref="Q75:U75"/>
    <mergeCell ref="Q76:U76"/>
    <mergeCell ref="Q77:U77"/>
    <mergeCell ref="Q96:U96"/>
    <mergeCell ref="B5:N5"/>
    <mergeCell ref="B3:K4"/>
    <mergeCell ref="Q87:U87"/>
    <mergeCell ref="Q88:U88"/>
    <mergeCell ref="Q89:U89"/>
    <mergeCell ref="Q90:U90"/>
    <mergeCell ref="Q91:U91"/>
    <mergeCell ref="Q92:U92"/>
    <mergeCell ref="Q93:U93"/>
    <mergeCell ref="Q94:U94"/>
    <mergeCell ref="Q95:U95"/>
    <mergeCell ref="Q78:U78"/>
    <mergeCell ref="Q79:U79"/>
    <mergeCell ref="Q80:U80"/>
    <mergeCell ref="Q81:U81"/>
    <mergeCell ref="Q82:U82"/>
    <mergeCell ref="Q83:U83"/>
    <mergeCell ref="Q63:U63"/>
    <mergeCell ref="Q64:U64"/>
    <mergeCell ref="Q65:U65"/>
    <mergeCell ref="Q66:U66"/>
    <mergeCell ref="Q67:U67"/>
    <mergeCell ref="Q68:U68"/>
  </mergeCells>
  <conditionalFormatting sqref="R111:R112">
    <cfRule type="cellIs" dxfId="88" priority="2" operator="lessThan">
      <formula>0</formula>
    </cfRule>
  </conditionalFormatting>
  <conditionalFormatting sqref="R112:R113">
    <cfRule type="cellIs" dxfId="87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>
    <tabColor theme="7"/>
  </sheetPr>
  <dimension ref="B2:BE68"/>
  <sheetViews>
    <sheetView showGridLines="0" zoomScale="90" zoomScaleNormal="90" workbookViewId="0">
      <pane xSplit="7" ySplit="3" topLeftCell="H4" activePane="bottomRight" state="frozen"/>
      <selection activeCell="H20" sqref="H20"/>
      <selection pane="topRight" activeCell="H20" sqref="H20"/>
      <selection pane="bottomLeft" activeCell="H20" sqref="H20"/>
      <selection pane="bottomRight" activeCell="H5" sqref="H5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0.42578125" style="424" customWidth="1"/>
    <col min="4" max="4" width="17.1406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57" width="11.42578125" style="424" customWidth="1"/>
    <col min="58" max="16384" width="9.140625" style="424"/>
  </cols>
  <sheetData>
    <row r="2" spans="2:57" ht="22.5" customHeight="1" x14ac:dyDescent="0.2">
      <c r="B2" s="1190" t="s">
        <v>790</v>
      </c>
      <c r="C2" s="1190"/>
      <c r="D2" s="1190"/>
      <c r="E2" s="1190"/>
      <c r="F2" s="1190"/>
      <c r="G2" s="1190"/>
    </row>
    <row r="3" spans="2:57" x14ac:dyDescent="0.2">
      <c r="B3" s="1191" t="s">
        <v>682</v>
      </c>
      <c r="C3" s="1192"/>
      <c r="D3" s="1192"/>
      <c r="E3" s="1192"/>
      <c r="F3" s="1192"/>
      <c r="G3" s="358" t="s">
        <v>31</v>
      </c>
      <c r="H3" s="428" t="s">
        <v>457</v>
      </c>
      <c r="I3" s="428" t="s">
        <v>458</v>
      </c>
      <c r="J3" s="428" t="s">
        <v>459</v>
      </c>
      <c r="K3" s="428" t="s">
        <v>460</v>
      </c>
      <c r="L3" s="428" t="s">
        <v>461</v>
      </c>
      <c r="M3" s="428" t="s">
        <v>462</v>
      </c>
      <c r="N3" s="428" t="s">
        <v>463</v>
      </c>
      <c r="O3" s="428" t="s">
        <v>464</v>
      </c>
      <c r="P3" s="428" t="s">
        <v>465</v>
      </c>
      <c r="Q3" s="428" t="s">
        <v>466</v>
      </c>
      <c r="R3" s="428" t="s">
        <v>467</v>
      </c>
      <c r="S3" s="428" t="s">
        <v>468</v>
      </c>
      <c r="T3" s="428" t="s">
        <v>469</v>
      </c>
      <c r="U3" s="428" t="s">
        <v>470</v>
      </c>
      <c r="V3" s="428" t="s">
        <v>471</v>
      </c>
      <c r="W3" s="428" t="s">
        <v>472</v>
      </c>
      <c r="X3" s="428" t="s">
        <v>473</v>
      </c>
      <c r="Y3" s="428" t="s">
        <v>474</v>
      </c>
      <c r="Z3" s="428" t="s">
        <v>475</v>
      </c>
      <c r="AA3" s="428" t="s">
        <v>476</v>
      </c>
      <c r="AB3" s="428" t="s">
        <v>477</v>
      </c>
      <c r="AC3" s="428" t="s">
        <v>478</v>
      </c>
      <c r="AD3" s="428" t="s">
        <v>479</v>
      </c>
      <c r="AE3" s="428" t="s">
        <v>480</v>
      </c>
      <c r="AF3" s="428" t="s">
        <v>481</v>
      </c>
      <c r="AG3" s="428" t="s">
        <v>482</v>
      </c>
      <c r="AH3" s="428" t="s">
        <v>483</v>
      </c>
      <c r="AI3" s="428" t="s">
        <v>484</v>
      </c>
      <c r="AJ3" s="428" t="s">
        <v>485</v>
      </c>
      <c r="AK3" s="428" t="s">
        <v>486</v>
      </c>
      <c r="AL3" s="428" t="s">
        <v>487</v>
      </c>
      <c r="AM3" s="428" t="s">
        <v>488</v>
      </c>
      <c r="AN3" s="428" t="s">
        <v>489</v>
      </c>
      <c r="AO3" s="428" t="s">
        <v>490</v>
      </c>
      <c r="AP3" s="428" t="s">
        <v>491</v>
      </c>
      <c r="AQ3" s="428" t="s">
        <v>492</v>
      </c>
      <c r="AR3" s="428" t="s">
        <v>493</v>
      </c>
      <c r="AS3" s="428" t="s">
        <v>494</v>
      </c>
      <c r="AT3" s="428" t="s">
        <v>495</v>
      </c>
      <c r="AU3" s="428" t="s">
        <v>496</v>
      </c>
      <c r="AV3" s="428" t="s">
        <v>497</v>
      </c>
      <c r="AW3" s="428" t="s">
        <v>498</v>
      </c>
      <c r="AX3" s="428" t="s">
        <v>499</v>
      </c>
      <c r="AY3" s="428" t="s">
        <v>500</v>
      </c>
      <c r="AZ3" s="428" t="s">
        <v>501</v>
      </c>
      <c r="BA3" s="428" t="s">
        <v>502</v>
      </c>
      <c r="BB3" s="428" t="s">
        <v>503</v>
      </c>
      <c r="BC3" s="428" t="s">
        <v>504</v>
      </c>
      <c r="BD3" s="428" t="s">
        <v>505</v>
      </c>
      <c r="BE3" s="428" t="s">
        <v>506</v>
      </c>
    </row>
    <row r="4" spans="2:57" s="423" customFormat="1" ht="15" customHeight="1" x14ac:dyDescent="0.2">
      <c r="B4" s="1191" t="s">
        <v>862</v>
      </c>
      <c r="C4" s="1192"/>
      <c r="D4" s="1192"/>
      <c r="E4" s="1192"/>
      <c r="F4" s="1192"/>
      <c r="G4" s="192" t="s">
        <v>31</v>
      </c>
      <c r="H4" s="193" t="s">
        <v>457</v>
      </c>
      <c r="I4" s="193" t="s">
        <v>458</v>
      </c>
      <c r="J4" s="193" t="s">
        <v>459</v>
      </c>
      <c r="K4" s="193" t="s">
        <v>460</v>
      </c>
      <c r="L4" s="193" t="s">
        <v>461</v>
      </c>
      <c r="M4" s="193" t="s">
        <v>462</v>
      </c>
      <c r="N4" s="193" t="s">
        <v>463</v>
      </c>
      <c r="O4" s="193" t="s">
        <v>464</v>
      </c>
      <c r="P4" s="193" t="s">
        <v>465</v>
      </c>
      <c r="Q4" s="193" t="s">
        <v>466</v>
      </c>
      <c r="R4" s="193" t="s">
        <v>467</v>
      </c>
      <c r="S4" s="193" t="s">
        <v>468</v>
      </c>
      <c r="T4" s="193" t="s">
        <v>469</v>
      </c>
      <c r="U4" s="193" t="s">
        <v>470</v>
      </c>
      <c r="V4" s="193" t="s">
        <v>471</v>
      </c>
      <c r="W4" s="193" t="s">
        <v>472</v>
      </c>
      <c r="X4" s="193" t="s">
        <v>473</v>
      </c>
      <c r="Y4" s="193" t="s">
        <v>474</v>
      </c>
      <c r="Z4" s="193" t="s">
        <v>475</v>
      </c>
      <c r="AA4" s="193" t="s">
        <v>476</v>
      </c>
      <c r="AB4" s="193" t="s">
        <v>477</v>
      </c>
      <c r="AC4" s="193" t="s">
        <v>478</v>
      </c>
      <c r="AD4" s="193" t="s">
        <v>479</v>
      </c>
      <c r="AE4" s="193" t="s">
        <v>480</v>
      </c>
      <c r="AF4" s="193" t="s">
        <v>481</v>
      </c>
      <c r="AG4" s="193" t="s">
        <v>482</v>
      </c>
      <c r="AH4" s="193" t="s">
        <v>483</v>
      </c>
      <c r="AI4" s="193" t="s">
        <v>484</v>
      </c>
      <c r="AJ4" s="193" t="s">
        <v>485</v>
      </c>
      <c r="AK4" s="193" t="s">
        <v>486</v>
      </c>
      <c r="AL4" s="193" t="s">
        <v>487</v>
      </c>
      <c r="AM4" s="193" t="s">
        <v>488</v>
      </c>
      <c r="AN4" s="193" t="s">
        <v>489</v>
      </c>
      <c r="AO4" s="193" t="s">
        <v>490</v>
      </c>
      <c r="AP4" s="193" t="s">
        <v>491</v>
      </c>
      <c r="AQ4" s="193" t="s">
        <v>492</v>
      </c>
      <c r="AR4" s="193" t="s">
        <v>493</v>
      </c>
      <c r="AS4" s="193" t="s">
        <v>494</v>
      </c>
      <c r="AT4" s="193" t="s">
        <v>495</v>
      </c>
      <c r="AU4" s="193" t="s">
        <v>496</v>
      </c>
      <c r="AV4" s="193" t="s">
        <v>497</v>
      </c>
      <c r="AW4" s="193" t="s">
        <v>498</v>
      </c>
      <c r="AX4" s="193" t="s">
        <v>499</v>
      </c>
      <c r="AY4" s="193" t="s">
        <v>500</v>
      </c>
      <c r="AZ4" s="193" t="s">
        <v>501</v>
      </c>
      <c r="BA4" s="193" t="s">
        <v>502</v>
      </c>
      <c r="BB4" s="193" t="s">
        <v>503</v>
      </c>
      <c r="BC4" s="193" t="s">
        <v>504</v>
      </c>
      <c r="BD4" s="193" t="s">
        <v>505</v>
      </c>
      <c r="BE4" s="193" t="s">
        <v>506</v>
      </c>
    </row>
    <row r="5" spans="2:57" ht="18" customHeight="1" x14ac:dyDescent="0.2">
      <c r="B5" s="189">
        <v>1</v>
      </c>
      <c r="C5" s="194" t="s">
        <v>507</v>
      </c>
      <c r="D5" s="194"/>
      <c r="E5" s="195" t="s">
        <v>508</v>
      </c>
      <c r="F5" s="200" t="s">
        <v>405</v>
      </c>
      <c r="G5" s="202">
        <f>SUM(H5:BE5)</f>
        <v>0</v>
      </c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736"/>
      <c r="T5" s="736"/>
      <c r="U5" s="736"/>
      <c r="V5" s="736"/>
      <c r="W5" s="736"/>
      <c r="X5" s="736"/>
      <c r="Y5" s="736"/>
      <c r="Z5" s="736"/>
      <c r="AA5" s="736"/>
      <c r="AB5" s="736"/>
      <c r="AC5" s="736"/>
      <c r="AD5" s="736"/>
      <c r="AE5" s="736"/>
      <c r="AF5" s="736"/>
      <c r="AG5" s="736"/>
      <c r="AH5" s="736"/>
      <c r="AI5" s="736"/>
      <c r="AJ5" s="736"/>
      <c r="AK5" s="736"/>
      <c r="AL5" s="736"/>
      <c r="AM5" s="736"/>
      <c r="AN5" s="736"/>
      <c r="AO5" s="736"/>
      <c r="AP5" s="736"/>
      <c r="AQ5" s="736"/>
      <c r="AR5" s="736"/>
      <c r="AS5" s="736"/>
      <c r="AT5" s="736"/>
      <c r="AU5" s="736"/>
      <c r="AV5" s="736"/>
      <c r="AW5" s="736"/>
      <c r="AX5" s="736"/>
      <c r="AY5" s="736"/>
      <c r="AZ5" s="736"/>
      <c r="BA5" s="736"/>
      <c r="BB5" s="736"/>
      <c r="BC5" s="736"/>
      <c r="BD5" s="736"/>
      <c r="BE5" s="736"/>
    </row>
    <row r="6" spans="2:57" ht="18" x14ac:dyDescent="0.2">
      <c r="B6" s="189">
        <f>B5+1</f>
        <v>2</v>
      </c>
      <c r="C6" s="194" t="s">
        <v>509</v>
      </c>
      <c r="D6" s="194"/>
      <c r="E6" s="199"/>
      <c r="F6" s="248" t="s">
        <v>510</v>
      </c>
      <c r="G6" s="204"/>
      <c r="H6" s="740"/>
      <c r="I6" s="740"/>
      <c r="J6" s="740"/>
      <c r="K6" s="740"/>
      <c r="L6" s="740"/>
      <c r="M6" s="740"/>
      <c r="N6" s="740"/>
      <c r="O6" s="740"/>
      <c r="P6" s="740"/>
      <c r="Q6" s="740"/>
      <c r="R6" s="740"/>
      <c r="S6" s="740"/>
      <c r="T6" s="740"/>
      <c r="U6" s="740"/>
      <c r="V6" s="740"/>
      <c r="W6" s="740"/>
      <c r="X6" s="740"/>
      <c r="Y6" s="740"/>
      <c r="Z6" s="740"/>
      <c r="AA6" s="740"/>
      <c r="AB6" s="740"/>
      <c r="AC6" s="740"/>
      <c r="AD6" s="740"/>
      <c r="AE6" s="740"/>
      <c r="AF6" s="740"/>
      <c r="AG6" s="740"/>
      <c r="AH6" s="740"/>
      <c r="AI6" s="740"/>
      <c r="AJ6" s="740"/>
      <c r="AK6" s="740"/>
      <c r="AL6" s="740"/>
      <c r="AM6" s="740"/>
      <c r="AN6" s="740"/>
      <c r="AO6" s="740"/>
      <c r="AP6" s="740"/>
      <c r="AQ6" s="740"/>
      <c r="AR6" s="740"/>
      <c r="AS6" s="740"/>
      <c r="AT6" s="740"/>
      <c r="AU6" s="740"/>
      <c r="AV6" s="740"/>
      <c r="AW6" s="740"/>
      <c r="AX6" s="740"/>
      <c r="AY6" s="740"/>
      <c r="AZ6" s="740"/>
      <c r="BA6" s="740"/>
      <c r="BB6" s="740"/>
      <c r="BC6" s="740"/>
      <c r="BD6" s="740"/>
      <c r="BE6" s="740"/>
    </row>
    <row r="7" spans="2:57" ht="18" x14ac:dyDescent="0.2">
      <c r="B7" s="1195">
        <f>B6+1</f>
        <v>3</v>
      </c>
      <c r="C7" s="194" t="s">
        <v>511</v>
      </c>
      <c r="D7" s="194"/>
      <c r="E7" s="199" t="s">
        <v>3</v>
      </c>
      <c r="F7" s="248" t="s">
        <v>512</v>
      </c>
      <c r="G7" s="202"/>
      <c r="H7" s="761"/>
      <c r="I7" s="761"/>
      <c r="J7" s="761"/>
      <c r="K7" s="761"/>
      <c r="L7" s="761"/>
      <c r="M7" s="761"/>
      <c r="N7" s="761"/>
      <c r="O7" s="761"/>
      <c r="P7" s="761"/>
      <c r="Q7" s="761"/>
      <c r="R7" s="761"/>
      <c r="S7" s="761"/>
      <c r="T7" s="761"/>
      <c r="U7" s="761"/>
      <c r="V7" s="761"/>
      <c r="W7" s="761"/>
      <c r="X7" s="761"/>
      <c r="Y7" s="761"/>
      <c r="Z7" s="761"/>
      <c r="AA7" s="761"/>
      <c r="AB7" s="761"/>
      <c r="AC7" s="761"/>
      <c r="AD7" s="761"/>
      <c r="AE7" s="761"/>
      <c r="AF7" s="761"/>
      <c r="AG7" s="761"/>
      <c r="AH7" s="761"/>
      <c r="AI7" s="761"/>
      <c r="AJ7" s="761"/>
      <c r="AK7" s="761"/>
      <c r="AL7" s="761"/>
      <c r="AM7" s="761"/>
      <c r="AN7" s="761"/>
      <c r="AO7" s="761"/>
      <c r="AP7" s="761"/>
      <c r="AQ7" s="761"/>
      <c r="AR7" s="761"/>
      <c r="AS7" s="761"/>
      <c r="AT7" s="761"/>
      <c r="AU7" s="761"/>
      <c r="AV7" s="761"/>
      <c r="AW7" s="761"/>
      <c r="AX7" s="761"/>
      <c r="AY7" s="761"/>
      <c r="AZ7" s="761"/>
      <c r="BA7" s="761"/>
      <c r="BB7" s="761"/>
      <c r="BC7" s="761"/>
      <c r="BD7" s="761"/>
      <c r="BE7" s="761"/>
    </row>
    <row r="8" spans="2:57" ht="18" x14ac:dyDescent="0.2">
      <c r="B8" s="1197"/>
      <c r="C8" s="194" t="s">
        <v>513</v>
      </c>
      <c r="D8" s="194"/>
      <c r="E8" s="199" t="s">
        <v>3</v>
      </c>
      <c r="F8" s="248" t="s">
        <v>514</v>
      </c>
      <c r="G8" s="202"/>
      <c r="H8" s="761"/>
      <c r="I8" s="761"/>
      <c r="J8" s="761"/>
      <c r="K8" s="761"/>
      <c r="L8" s="761"/>
      <c r="M8" s="761"/>
      <c r="N8" s="761"/>
      <c r="O8" s="761"/>
      <c r="P8" s="761"/>
      <c r="Q8" s="761"/>
      <c r="R8" s="761"/>
      <c r="S8" s="761"/>
      <c r="T8" s="761"/>
      <c r="U8" s="761"/>
      <c r="V8" s="761"/>
      <c r="W8" s="761"/>
      <c r="X8" s="761"/>
      <c r="Y8" s="761"/>
      <c r="Z8" s="761"/>
      <c r="AA8" s="761"/>
      <c r="AB8" s="761"/>
      <c r="AC8" s="761"/>
      <c r="AD8" s="761"/>
      <c r="AE8" s="761"/>
      <c r="AF8" s="761"/>
      <c r="AG8" s="761"/>
      <c r="AH8" s="761"/>
      <c r="AI8" s="761"/>
      <c r="AJ8" s="761"/>
      <c r="AK8" s="761"/>
      <c r="AL8" s="761"/>
      <c r="AM8" s="761"/>
      <c r="AN8" s="761"/>
      <c r="AO8" s="761"/>
      <c r="AP8" s="761"/>
      <c r="AQ8" s="761"/>
      <c r="AR8" s="761"/>
      <c r="AS8" s="761"/>
      <c r="AT8" s="761"/>
      <c r="AU8" s="761"/>
      <c r="AV8" s="761"/>
      <c r="AW8" s="761"/>
      <c r="AX8" s="761"/>
      <c r="AY8" s="761"/>
      <c r="AZ8" s="761"/>
      <c r="BA8" s="761"/>
      <c r="BB8" s="761"/>
      <c r="BC8" s="761"/>
      <c r="BD8" s="761"/>
      <c r="BE8" s="761"/>
    </row>
    <row r="9" spans="2:57" ht="18" x14ac:dyDescent="0.2">
      <c r="B9" s="189">
        <f>B7+1</f>
        <v>4</v>
      </c>
      <c r="C9" s="194" t="s">
        <v>16</v>
      </c>
      <c r="D9" s="194"/>
      <c r="E9" s="199"/>
      <c r="F9" s="200" t="s">
        <v>404</v>
      </c>
      <c r="G9" s="202">
        <f>SUM(H9:BE9)</f>
        <v>0</v>
      </c>
      <c r="H9" s="739"/>
      <c r="I9" s="739"/>
      <c r="J9" s="739"/>
      <c r="K9" s="739"/>
      <c r="L9" s="739"/>
      <c r="M9" s="739"/>
      <c r="N9" s="739"/>
      <c r="O9" s="739"/>
      <c r="P9" s="739"/>
      <c r="Q9" s="739"/>
      <c r="R9" s="739"/>
      <c r="S9" s="739"/>
      <c r="T9" s="739"/>
      <c r="U9" s="739"/>
      <c r="V9" s="739"/>
      <c r="W9" s="739"/>
      <c r="X9" s="739"/>
      <c r="Y9" s="739"/>
      <c r="Z9" s="739"/>
      <c r="AA9" s="739"/>
      <c r="AB9" s="739"/>
      <c r="AC9" s="739"/>
      <c r="AD9" s="739"/>
      <c r="AE9" s="739"/>
      <c r="AF9" s="739"/>
      <c r="AG9" s="739"/>
      <c r="AH9" s="739"/>
      <c r="AI9" s="739"/>
      <c r="AJ9" s="739"/>
      <c r="AK9" s="739"/>
      <c r="AL9" s="739"/>
      <c r="AM9" s="739"/>
      <c r="AN9" s="739"/>
      <c r="AO9" s="739"/>
      <c r="AP9" s="739"/>
      <c r="AQ9" s="739"/>
      <c r="AR9" s="739"/>
      <c r="AS9" s="739"/>
      <c r="AT9" s="739"/>
      <c r="AU9" s="739"/>
      <c r="AV9" s="739"/>
      <c r="AW9" s="739"/>
      <c r="AX9" s="739"/>
      <c r="AY9" s="739"/>
      <c r="AZ9" s="739"/>
      <c r="BA9" s="739"/>
      <c r="BB9" s="739"/>
      <c r="BC9" s="739"/>
      <c r="BD9" s="739"/>
      <c r="BE9" s="739"/>
    </row>
    <row r="10" spans="2:57" ht="18" x14ac:dyDescent="0.2">
      <c r="B10" s="189">
        <f>B9+1</f>
        <v>5</v>
      </c>
      <c r="C10" s="194" t="s">
        <v>368</v>
      </c>
      <c r="D10" s="194"/>
      <c r="E10" s="199" t="s">
        <v>369</v>
      </c>
      <c r="F10" s="200" t="s">
        <v>370</v>
      </c>
      <c r="G10" s="209">
        <f>SUM(H10:BE10)</f>
        <v>0</v>
      </c>
      <c r="H10" s="207">
        <f>IFERROR((H5*0.736*H9)/H7,0)</f>
        <v>0</v>
      </c>
      <c r="I10" s="207">
        <f t="shared" ref="I10:BE10" si="0">IFERROR((I5*0.736*I9)/I7,0)</f>
        <v>0</v>
      </c>
      <c r="J10" s="207">
        <f t="shared" si="0"/>
        <v>0</v>
      </c>
      <c r="K10" s="207">
        <f t="shared" si="0"/>
        <v>0</v>
      </c>
      <c r="L10" s="207">
        <f t="shared" si="0"/>
        <v>0</v>
      </c>
      <c r="M10" s="207">
        <f t="shared" si="0"/>
        <v>0</v>
      </c>
      <c r="N10" s="207">
        <f t="shared" si="0"/>
        <v>0</v>
      </c>
      <c r="O10" s="207">
        <f t="shared" si="0"/>
        <v>0</v>
      </c>
      <c r="P10" s="207">
        <f t="shared" si="0"/>
        <v>0</v>
      </c>
      <c r="Q10" s="207">
        <f t="shared" si="0"/>
        <v>0</v>
      </c>
      <c r="R10" s="207">
        <f t="shared" si="0"/>
        <v>0</v>
      </c>
      <c r="S10" s="207">
        <f t="shared" si="0"/>
        <v>0</v>
      </c>
      <c r="T10" s="207">
        <f t="shared" si="0"/>
        <v>0</v>
      </c>
      <c r="U10" s="207">
        <f t="shared" si="0"/>
        <v>0</v>
      </c>
      <c r="V10" s="207">
        <f t="shared" si="0"/>
        <v>0</v>
      </c>
      <c r="W10" s="207">
        <f t="shared" si="0"/>
        <v>0</v>
      </c>
      <c r="X10" s="207">
        <f t="shared" si="0"/>
        <v>0</v>
      </c>
      <c r="Y10" s="207">
        <f t="shared" si="0"/>
        <v>0</v>
      </c>
      <c r="Z10" s="207">
        <f t="shared" si="0"/>
        <v>0</v>
      </c>
      <c r="AA10" s="207">
        <f t="shared" si="0"/>
        <v>0</v>
      </c>
      <c r="AB10" s="207">
        <f t="shared" si="0"/>
        <v>0</v>
      </c>
      <c r="AC10" s="207">
        <f t="shared" si="0"/>
        <v>0</v>
      </c>
      <c r="AD10" s="207">
        <f t="shared" si="0"/>
        <v>0</v>
      </c>
      <c r="AE10" s="207">
        <f t="shared" si="0"/>
        <v>0</v>
      </c>
      <c r="AF10" s="207">
        <f t="shared" si="0"/>
        <v>0</v>
      </c>
      <c r="AG10" s="207">
        <f t="shared" si="0"/>
        <v>0</v>
      </c>
      <c r="AH10" s="207">
        <f t="shared" si="0"/>
        <v>0</v>
      </c>
      <c r="AI10" s="207">
        <f t="shared" si="0"/>
        <v>0</v>
      </c>
      <c r="AJ10" s="207">
        <f t="shared" si="0"/>
        <v>0</v>
      </c>
      <c r="AK10" s="207">
        <f t="shared" si="0"/>
        <v>0</v>
      </c>
      <c r="AL10" s="207">
        <f t="shared" si="0"/>
        <v>0</v>
      </c>
      <c r="AM10" s="207">
        <f t="shared" si="0"/>
        <v>0</v>
      </c>
      <c r="AN10" s="207">
        <f t="shared" si="0"/>
        <v>0</v>
      </c>
      <c r="AO10" s="207">
        <f t="shared" si="0"/>
        <v>0</v>
      </c>
      <c r="AP10" s="207">
        <f t="shared" si="0"/>
        <v>0</v>
      </c>
      <c r="AQ10" s="207">
        <f t="shared" si="0"/>
        <v>0</v>
      </c>
      <c r="AR10" s="207">
        <f t="shared" si="0"/>
        <v>0</v>
      </c>
      <c r="AS10" s="207">
        <f t="shared" si="0"/>
        <v>0</v>
      </c>
      <c r="AT10" s="207">
        <f t="shared" si="0"/>
        <v>0</v>
      </c>
      <c r="AU10" s="207">
        <f t="shared" si="0"/>
        <v>0</v>
      </c>
      <c r="AV10" s="207">
        <f t="shared" si="0"/>
        <v>0</v>
      </c>
      <c r="AW10" s="207">
        <f t="shared" si="0"/>
        <v>0</v>
      </c>
      <c r="AX10" s="207">
        <f t="shared" si="0"/>
        <v>0</v>
      </c>
      <c r="AY10" s="207">
        <f t="shared" si="0"/>
        <v>0</v>
      </c>
      <c r="AZ10" s="207">
        <f t="shared" si="0"/>
        <v>0</v>
      </c>
      <c r="BA10" s="207">
        <f t="shared" si="0"/>
        <v>0</v>
      </c>
      <c r="BB10" s="207">
        <f t="shared" si="0"/>
        <v>0</v>
      </c>
      <c r="BC10" s="207">
        <f t="shared" si="0"/>
        <v>0</v>
      </c>
      <c r="BD10" s="207">
        <f t="shared" si="0"/>
        <v>0</v>
      </c>
      <c r="BE10" s="207">
        <f t="shared" si="0"/>
        <v>0</v>
      </c>
    </row>
    <row r="11" spans="2:57" ht="18" x14ac:dyDescent="0.2">
      <c r="B11" s="189">
        <f>B10+1</f>
        <v>6</v>
      </c>
      <c r="C11" s="194" t="s">
        <v>450</v>
      </c>
      <c r="D11" s="194"/>
      <c r="E11" s="199" t="s">
        <v>369</v>
      </c>
      <c r="F11" s="200" t="s">
        <v>451</v>
      </c>
      <c r="G11" s="209">
        <f>SUM(H11:BE11)</f>
        <v>0</v>
      </c>
      <c r="H11" s="207">
        <f>IFERROR(H10*H6*(H7/H8),0)</f>
        <v>0</v>
      </c>
      <c r="I11" s="207">
        <f t="shared" ref="I11:BE11" si="1">IFERROR(I10*I6*(I7/I8),0)</f>
        <v>0</v>
      </c>
      <c r="J11" s="207">
        <f t="shared" si="1"/>
        <v>0</v>
      </c>
      <c r="K11" s="207">
        <f t="shared" si="1"/>
        <v>0</v>
      </c>
      <c r="L11" s="207">
        <f t="shared" si="1"/>
        <v>0</v>
      </c>
      <c r="M11" s="207">
        <f t="shared" si="1"/>
        <v>0</v>
      </c>
      <c r="N11" s="207">
        <f t="shared" si="1"/>
        <v>0</v>
      </c>
      <c r="O11" s="207">
        <f t="shared" si="1"/>
        <v>0</v>
      </c>
      <c r="P11" s="207">
        <f t="shared" si="1"/>
        <v>0</v>
      </c>
      <c r="Q11" s="207">
        <f t="shared" si="1"/>
        <v>0</v>
      </c>
      <c r="R11" s="207">
        <f t="shared" si="1"/>
        <v>0</v>
      </c>
      <c r="S11" s="207">
        <f t="shared" si="1"/>
        <v>0</v>
      </c>
      <c r="T11" s="207">
        <f t="shared" si="1"/>
        <v>0</v>
      </c>
      <c r="U11" s="207">
        <f t="shared" si="1"/>
        <v>0</v>
      </c>
      <c r="V11" s="207">
        <f t="shared" si="1"/>
        <v>0</v>
      </c>
      <c r="W11" s="207">
        <f t="shared" si="1"/>
        <v>0</v>
      </c>
      <c r="X11" s="207">
        <f t="shared" si="1"/>
        <v>0</v>
      </c>
      <c r="Y11" s="207">
        <f t="shared" si="1"/>
        <v>0</v>
      </c>
      <c r="Z11" s="207">
        <f t="shared" si="1"/>
        <v>0</v>
      </c>
      <c r="AA11" s="207">
        <f t="shared" si="1"/>
        <v>0</v>
      </c>
      <c r="AB11" s="207">
        <f t="shared" si="1"/>
        <v>0</v>
      </c>
      <c r="AC11" s="207">
        <f t="shared" si="1"/>
        <v>0</v>
      </c>
      <c r="AD11" s="207">
        <f t="shared" si="1"/>
        <v>0</v>
      </c>
      <c r="AE11" s="207">
        <f t="shared" si="1"/>
        <v>0</v>
      </c>
      <c r="AF11" s="207">
        <f t="shared" si="1"/>
        <v>0</v>
      </c>
      <c r="AG11" s="207">
        <f t="shared" si="1"/>
        <v>0</v>
      </c>
      <c r="AH11" s="207">
        <f t="shared" si="1"/>
        <v>0</v>
      </c>
      <c r="AI11" s="207">
        <f t="shared" si="1"/>
        <v>0</v>
      </c>
      <c r="AJ11" s="207">
        <f t="shared" si="1"/>
        <v>0</v>
      </c>
      <c r="AK11" s="207">
        <f t="shared" si="1"/>
        <v>0</v>
      </c>
      <c r="AL11" s="207">
        <f t="shared" si="1"/>
        <v>0</v>
      </c>
      <c r="AM11" s="207">
        <f t="shared" si="1"/>
        <v>0</v>
      </c>
      <c r="AN11" s="207">
        <f t="shared" si="1"/>
        <v>0</v>
      </c>
      <c r="AO11" s="207">
        <f t="shared" si="1"/>
        <v>0</v>
      </c>
      <c r="AP11" s="207">
        <f t="shared" si="1"/>
        <v>0</v>
      </c>
      <c r="AQ11" s="207">
        <f t="shared" si="1"/>
        <v>0</v>
      </c>
      <c r="AR11" s="207">
        <f t="shared" si="1"/>
        <v>0</v>
      </c>
      <c r="AS11" s="207">
        <f t="shared" si="1"/>
        <v>0</v>
      </c>
      <c r="AT11" s="207">
        <f t="shared" si="1"/>
        <v>0</v>
      </c>
      <c r="AU11" s="207">
        <f t="shared" si="1"/>
        <v>0</v>
      </c>
      <c r="AV11" s="207">
        <f t="shared" si="1"/>
        <v>0</v>
      </c>
      <c r="AW11" s="207">
        <f t="shared" si="1"/>
        <v>0</v>
      </c>
      <c r="AX11" s="207">
        <f t="shared" si="1"/>
        <v>0</v>
      </c>
      <c r="AY11" s="207">
        <f t="shared" si="1"/>
        <v>0</v>
      </c>
      <c r="AZ11" s="207">
        <f t="shared" si="1"/>
        <v>0</v>
      </c>
      <c r="BA11" s="207">
        <f t="shared" si="1"/>
        <v>0</v>
      </c>
      <c r="BB11" s="207">
        <f t="shared" si="1"/>
        <v>0</v>
      </c>
      <c r="BC11" s="207">
        <f t="shared" si="1"/>
        <v>0</v>
      </c>
      <c r="BD11" s="207">
        <f t="shared" si="1"/>
        <v>0</v>
      </c>
      <c r="BE11" s="207">
        <f t="shared" si="1"/>
        <v>0</v>
      </c>
    </row>
    <row r="12" spans="2:57" x14ac:dyDescent="0.2">
      <c r="B12" s="1195">
        <f>B11+1</f>
        <v>7</v>
      </c>
      <c r="C12" s="194" t="s">
        <v>371</v>
      </c>
      <c r="D12" s="194"/>
      <c r="E12" s="199" t="s">
        <v>372</v>
      </c>
      <c r="F12" s="200"/>
      <c r="G12" s="204"/>
      <c r="H12" s="740"/>
      <c r="I12" s="740"/>
      <c r="J12" s="740"/>
      <c r="K12" s="740"/>
      <c r="L12" s="740"/>
      <c r="M12" s="740"/>
      <c r="N12" s="740"/>
      <c r="O12" s="740"/>
      <c r="P12" s="740"/>
      <c r="Q12" s="740"/>
      <c r="R12" s="740"/>
      <c r="S12" s="740"/>
      <c r="T12" s="740"/>
      <c r="U12" s="740"/>
      <c r="V12" s="740"/>
      <c r="W12" s="740"/>
      <c r="X12" s="740"/>
      <c r="Y12" s="740"/>
      <c r="Z12" s="740"/>
      <c r="AA12" s="740"/>
      <c r="AB12" s="740"/>
      <c r="AC12" s="740"/>
      <c r="AD12" s="740"/>
      <c r="AE12" s="740"/>
      <c r="AF12" s="740"/>
      <c r="AG12" s="740"/>
      <c r="AH12" s="740"/>
      <c r="AI12" s="740"/>
      <c r="AJ12" s="740"/>
      <c r="AK12" s="740"/>
      <c r="AL12" s="740"/>
      <c r="AM12" s="740"/>
      <c r="AN12" s="740"/>
      <c r="AO12" s="740"/>
      <c r="AP12" s="740"/>
      <c r="AQ12" s="740"/>
      <c r="AR12" s="740"/>
      <c r="AS12" s="740"/>
      <c r="AT12" s="740"/>
      <c r="AU12" s="740"/>
      <c r="AV12" s="740"/>
      <c r="AW12" s="740"/>
      <c r="AX12" s="740"/>
      <c r="AY12" s="740"/>
      <c r="AZ12" s="740"/>
      <c r="BA12" s="740"/>
      <c r="BB12" s="740"/>
      <c r="BC12" s="740"/>
      <c r="BD12" s="740"/>
      <c r="BE12" s="740"/>
    </row>
    <row r="13" spans="2:57" x14ac:dyDescent="0.2">
      <c r="B13" s="1196"/>
      <c r="C13" s="205" t="s">
        <v>373</v>
      </c>
      <c r="D13" s="205"/>
      <c r="E13" s="206" t="s">
        <v>374</v>
      </c>
      <c r="F13" s="200"/>
      <c r="G13" s="204"/>
      <c r="H13" s="741"/>
      <c r="I13" s="741"/>
      <c r="J13" s="741"/>
      <c r="K13" s="741"/>
      <c r="L13" s="741"/>
      <c r="M13" s="741"/>
      <c r="N13" s="741"/>
      <c r="O13" s="741"/>
      <c r="P13" s="741"/>
      <c r="Q13" s="741"/>
      <c r="R13" s="741"/>
      <c r="S13" s="741"/>
      <c r="T13" s="741"/>
      <c r="U13" s="741"/>
      <c r="V13" s="741"/>
      <c r="W13" s="741"/>
      <c r="X13" s="741"/>
      <c r="Y13" s="741"/>
      <c r="Z13" s="741"/>
      <c r="AA13" s="741"/>
      <c r="AB13" s="741"/>
      <c r="AC13" s="741"/>
      <c r="AD13" s="741"/>
      <c r="AE13" s="741"/>
      <c r="AF13" s="741"/>
      <c r="AG13" s="741"/>
      <c r="AH13" s="741"/>
      <c r="AI13" s="741"/>
      <c r="AJ13" s="741"/>
      <c r="AK13" s="741"/>
      <c r="AL13" s="741"/>
      <c r="AM13" s="741"/>
      <c r="AN13" s="741"/>
      <c r="AO13" s="741"/>
      <c r="AP13" s="741"/>
      <c r="AQ13" s="741"/>
      <c r="AR13" s="741"/>
      <c r="AS13" s="741"/>
      <c r="AT13" s="741"/>
      <c r="AU13" s="741"/>
      <c r="AV13" s="741"/>
      <c r="AW13" s="741"/>
      <c r="AX13" s="741"/>
      <c r="AY13" s="741"/>
      <c r="AZ13" s="741"/>
      <c r="BA13" s="741"/>
      <c r="BB13" s="741"/>
      <c r="BC13" s="741"/>
      <c r="BD13" s="741"/>
      <c r="BE13" s="741"/>
    </row>
    <row r="14" spans="2:57" ht="18" x14ac:dyDescent="0.2">
      <c r="B14" s="1197"/>
      <c r="C14" s="194" t="s">
        <v>375</v>
      </c>
      <c r="D14" s="194"/>
      <c r="E14" s="199" t="s">
        <v>376</v>
      </c>
      <c r="F14" s="200" t="s">
        <v>377</v>
      </c>
      <c r="G14" s="204"/>
      <c r="H14" s="207">
        <f>H12*H13</f>
        <v>0</v>
      </c>
      <c r="I14" s="207">
        <f t="shared" ref="I14:BE14" si="2">I12*I13</f>
        <v>0</v>
      </c>
      <c r="J14" s="207">
        <f t="shared" si="2"/>
        <v>0</v>
      </c>
      <c r="K14" s="207">
        <f t="shared" si="2"/>
        <v>0</v>
      </c>
      <c r="L14" s="207">
        <f t="shared" si="2"/>
        <v>0</v>
      </c>
      <c r="M14" s="207">
        <f t="shared" si="2"/>
        <v>0</v>
      </c>
      <c r="N14" s="207">
        <f t="shared" si="2"/>
        <v>0</v>
      </c>
      <c r="O14" s="207">
        <f t="shared" si="2"/>
        <v>0</v>
      </c>
      <c r="P14" s="207">
        <f t="shared" si="2"/>
        <v>0</v>
      </c>
      <c r="Q14" s="207">
        <f t="shared" si="2"/>
        <v>0</v>
      </c>
      <c r="R14" s="207">
        <f t="shared" si="2"/>
        <v>0</v>
      </c>
      <c r="S14" s="207">
        <f t="shared" si="2"/>
        <v>0</v>
      </c>
      <c r="T14" s="207">
        <f t="shared" si="2"/>
        <v>0</v>
      </c>
      <c r="U14" s="207">
        <f t="shared" si="2"/>
        <v>0</v>
      </c>
      <c r="V14" s="207">
        <f t="shared" si="2"/>
        <v>0</v>
      </c>
      <c r="W14" s="207">
        <f t="shared" si="2"/>
        <v>0</v>
      </c>
      <c r="X14" s="207">
        <f t="shared" si="2"/>
        <v>0</v>
      </c>
      <c r="Y14" s="207">
        <f t="shared" si="2"/>
        <v>0</v>
      </c>
      <c r="Z14" s="207">
        <f t="shared" si="2"/>
        <v>0</v>
      </c>
      <c r="AA14" s="207">
        <f t="shared" si="2"/>
        <v>0</v>
      </c>
      <c r="AB14" s="207">
        <f t="shared" si="2"/>
        <v>0</v>
      </c>
      <c r="AC14" s="207">
        <f t="shared" si="2"/>
        <v>0</v>
      </c>
      <c r="AD14" s="207">
        <f t="shared" si="2"/>
        <v>0</v>
      </c>
      <c r="AE14" s="207">
        <f t="shared" si="2"/>
        <v>0</v>
      </c>
      <c r="AF14" s="207">
        <f t="shared" si="2"/>
        <v>0</v>
      </c>
      <c r="AG14" s="207">
        <f t="shared" si="2"/>
        <v>0</v>
      </c>
      <c r="AH14" s="207">
        <f t="shared" si="2"/>
        <v>0</v>
      </c>
      <c r="AI14" s="207">
        <f t="shared" si="2"/>
        <v>0</v>
      </c>
      <c r="AJ14" s="207">
        <f t="shared" si="2"/>
        <v>0</v>
      </c>
      <c r="AK14" s="207">
        <f t="shared" si="2"/>
        <v>0</v>
      </c>
      <c r="AL14" s="207">
        <f t="shared" si="2"/>
        <v>0</v>
      </c>
      <c r="AM14" s="207">
        <f t="shared" si="2"/>
        <v>0</v>
      </c>
      <c r="AN14" s="207">
        <f t="shared" si="2"/>
        <v>0</v>
      </c>
      <c r="AO14" s="207">
        <f t="shared" si="2"/>
        <v>0</v>
      </c>
      <c r="AP14" s="207">
        <f t="shared" si="2"/>
        <v>0</v>
      </c>
      <c r="AQ14" s="207">
        <f t="shared" si="2"/>
        <v>0</v>
      </c>
      <c r="AR14" s="207">
        <f t="shared" si="2"/>
        <v>0</v>
      </c>
      <c r="AS14" s="207">
        <f t="shared" si="2"/>
        <v>0</v>
      </c>
      <c r="AT14" s="207">
        <f t="shared" si="2"/>
        <v>0</v>
      </c>
      <c r="AU14" s="207">
        <f t="shared" si="2"/>
        <v>0</v>
      </c>
      <c r="AV14" s="207">
        <f t="shared" si="2"/>
        <v>0</v>
      </c>
      <c r="AW14" s="207">
        <f t="shared" si="2"/>
        <v>0</v>
      </c>
      <c r="AX14" s="207">
        <f t="shared" si="2"/>
        <v>0</v>
      </c>
      <c r="AY14" s="207">
        <f t="shared" si="2"/>
        <v>0</v>
      </c>
      <c r="AZ14" s="207">
        <f t="shared" si="2"/>
        <v>0</v>
      </c>
      <c r="BA14" s="207">
        <f t="shared" si="2"/>
        <v>0</v>
      </c>
      <c r="BB14" s="207">
        <f t="shared" si="2"/>
        <v>0</v>
      </c>
      <c r="BC14" s="207">
        <f t="shared" si="2"/>
        <v>0</v>
      </c>
      <c r="BD14" s="207">
        <f t="shared" si="2"/>
        <v>0</v>
      </c>
      <c r="BE14" s="207">
        <f t="shared" si="2"/>
        <v>0</v>
      </c>
    </row>
    <row r="15" spans="2:57" x14ac:dyDescent="0.2">
      <c r="B15" s="1195">
        <f>B12+1</f>
        <v>8</v>
      </c>
      <c r="C15" s="194" t="s">
        <v>702</v>
      </c>
      <c r="D15" s="194"/>
      <c r="E15" s="199" t="s">
        <v>279</v>
      </c>
      <c r="F15" s="200" t="s">
        <v>697</v>
      </c>
      <c r="G15" s="299">
        <v>12</v>
      </c>
      <c r="H15" s="739"/>
      <c r="I15" s="739"/>
      <c r="J15" s="739"/>
      <c r="K15" s="739"/>
      <c r="L15" s="739"/>
      <c r="M15" s="739"/>
      <c r="N15" s="739"/>
      <c r="O15" s="739"/>
      <c r="P15" s="739"/>
      <c r="Q15" s="739"/>
      <c r="R15" s="739"/>
      <c r="S15" s="739"/>
      <c r="T15" s="739"/>
      <c r="U15" s="739"/>
      <c r="V15" s="739"/>
      <c r="W15" s="739"/>
      <c r="X15" s="739"/>
      <c r="Y15" s="739"/>
      <c r="Z15" s="739"/>
      <c r="AA15" s="739"/>
      <c r="AB15" s="739"/>
      <c r="AC15" s="739"/>
      <c r="AD15" s="739"/>
      <c r="AE15" s="739"/>
      <c r="AF15" s="739"/>
      <c r="AG15" s="739"/>
      <c r="AH15" s="739"/>
      <c r="AI15" s="739"/>
      <c r="AJ15" s="739"/>
      <c r="AK15" s="739"/>
      <c r="AL15" s="739"/>
      <c r="AM15" s="739"/>
      <c r="AN15" s="739"/>
      <c r="AO15" s="739"/>
      <c r="AP15" s="739"/>
      <c r="AQ15" s="739"/>
      <c r="AR15" s="739"/>
      <c r="AS15" s="739"/>
      <c r="AT15" s="739"/>
      <c r="AU15" s="739"/>
      <c r="AV15" s="739"/>
      <c r="AW15" s="739"/>
      <c r="AX15" s="739"/>
      <c r="AY15" s="739"/>
      <c r="AZ15" s="739"/>
      <c r="BA15" s="739"/>
      <c r="BB15" s="739"/>
      <c r="BC15" s="739"/>
      <c r="BD15" s="739"/>
      <c r="BE15" s="739"/>
    </row>
    <row r="16" spans="2:57" x14ac:dyDescent="0.2">
      <c r="B16" s="1196"/>
      <c r="C16" s="194" t="s">
        <v>703</v>
      </c>
      <c r="D16" s="194"/>
      <c r="E16" s="195" t="s">
        <v>700</v>
      </c>
      <c r="F16" s="200" t="s">
        <v>698</v>
      </c>
      <c r="G16" s="299">
        <v>22</v>
      </c>
      <c r="H16" s="739"/>
      <c r="I16" s="739"/>
      <c r="J16" s="739"/>
      <c r="K16" s="739"/>
      <c r="L16" s="739"/>
      <c r="M16" s="739"/>
      <c r="N16" s="739"/>
      <c r="O16" s="739"/>
      <c r="P16" s="739"/>
      <c r="Q16" s="739"/>
      <c r="R16" s="739"/>
      <c r="S16" s="739"/>
      <c r="T16" s="739"/>
      <c r="U16" s="739"/>
      <c r="V16" s="739"/>
      <c r="W16" s="739"/>
      <c r="X16" s="739"/>
      <c r="Y16" s="739"/>
      <c r="Z16" s="739"/>
      <c r="AA16" s="739"/>
      <c r="AB16" s="739"/>
      <c r="AC16" s="739"/>
      <c r="AD16" s="739"/>
      <c r="AE16" s="739"/>
      <c r="AF16" s="739"/>
      <c r="AG16" s="739"/>
      <c r="AH16" s="739"/>
      <c r="AI16" s="739"/>
      <c r="AJ16" s="739"/>
      <c r="AK16" s="739"/>
      <c r="AL16" s="739"/>
      <c r="AM16" s="739"/>
      <c r="AN16" s="739"/>
      <c r="AO16" s="739"/>
      <c r="AP16" s="739"/>
      <c r="AQ16" s="739"/>
      <c r="AR16" s="739"/>
      <c r="AS16" s="739"/>
      <c r="AT16" s="739"/>
      <c r="AU16" s="739"/>
      <c r="AV16" s="739"/>
      <c r="AW16" s="739"/>
      <c r="AX16" s="739"/>
      <c r="AY16" s="739"/>
      <c r="AZ16" s="739"/>
      <c r="BA16" s="739"/>
      <c r="BB16" s="739"/>
      <c r="BC16" s="739"/>
      <c r="BD16" s="739"/>
      <c r="BE16" s="739"/>
    </row>
    <row r="17" spans="2:57" x14ac:dyDescent="0.2">
      <c r="B17" s="1196"/>
      <c r="C17" s="194" t="s">
        <v>704</v>
      </c>
      <c r="D17" s="194"/>
      <c r="E17" s="195" t="s">
        <v>701</v>
      </c>
      <c r="F17" s="200" t="s">
        <v>699</v>
      </c>
      <c r="G17" s="299">
        <v>3</v>
      </c>
      <c r="H17" s="739"/>
      <c r="I17" s="739"/>
      <c r="J17" s="739"/>
      <c r="K17" s="739"/>
      <c r="L17" s="739"/>
      <c r="M17" s="739"/>
      <c r="N17" s="739"/>
      <c r="O17" s="739"/>
      <c r="P17" s="739"/>
      <c r="Q17" s="739"/>
      <c r="R17" s="739"/>
      <c r="S17" s="739"/>
      <c r="T17" s="739"/>
      <c r="U17" s="739"/>
      <c r="V17" s="739"/>
      <c r="W17" s="739"/>
      <c r="X17" s="739"/>
      <c r="Y17" s="739"/>
      <c r="Z17" s="739"/>
      <c r="AA17" s="739"/>
      <c r="AB17" s="739"/>
      <c r="AC17" s="739"/>
      <c r="AD17" s="739"/>
      <c r="AE17" s="739"/>
      <c r="AF17" s="739"/>
      <c r="AG17" s="739"/>
      <c r="AH17" s="739"/>
      <c r="AI17" s="739"/>
      <c r="AJ17" s="739"/>
      <c r="AK17" s="739"/>
      <c r="AL17" s="739"/>
      <c r="AM17" s="739"/>
      <c r="AN17" s="739"/>
      <c r="AO17" s="739"/>
      <c r="AP17" s="739"/>
      <c r="AQ17" s="739"/>
      <c r="AR17" s="739"/>
      <c r="AS17" s="739"/>
      <c r="AT17" s="739"/>
      <c r="AU17" s="739"/>
      <c r="AV17" s="739"/>
      <c r="AW17" s="739"/>
      <c r="AX17" s="739"/>
      <c r="AY17" s="739"/>
      <c r="AZ17" s="739"/>
      <c r="BA17" s="739"/>
      <c r="BB17" s="739"/>
      <c r="BC17" s="739"/>
      <c r="BD17" s="739"/>
      <c r="BE17" s="739"/>
    </row>
    <row r="18" spans="2:57" ht="18" x14ac:dyDescent="0.2">
      <c r="B18" s="1196"/>
      <c r="C18" s="194" t="s">
        <v>378</v>
      </c>
      <c r="D18" s="194"/>
      <c r="E18" s="199" t="s">
        <v>369</v>
      </c>
      <c r="F18" s="200" t="s">
        <v>379</v>
      </c>
      <c r="G18" s="201">
        <f>SUM(H18:BE18)</f>
        <v>0</v>
      </c>
      <c r="H18" s="208">
        <f>H11*((H15*H16*H17)/($G$15*$G$16*$G$17))</f>
        <v>0</v>
      </c>
      <c r="I18" s="208">
        <f t="shared" ref="I18:BE18" si="3">I11*((I15*I16*I17)/($G$15*$G$16*$G$17))</f>
        <v>0</v>
      </c>
      <c r="J18" s="208">
        <f t="shared" si="3"/>
        <v>0</v>
      </c>
      <c r="K18" s="208">
        <f t="shared" si="3"/>
        <v>0</v>
      </c>
      <c r="L18" s="208">
        <f t="shared" si="3"/>
        <v>0</v>
      </c>
      <c r="M18" s="208">
        <f t="shared" si="3"/>
        <v>0</v>
      </c>
      <c r="N18" s="208">
        <f t="shared" si="3"/>
        <v>0</v>
      </c>
      <c r="O18" s="208">
        <f t="shared" si="3"/>
        <v>0</v>
      </c>
      <c r="P18" s="208">
        <f t="shared" si="3"/>
        <v>0</v>
      </c>
      <c r="Q18" s="208">
        <f t="shared" si="3"/>
        <v>0</v>
      </c>
      <c r="R18" s="208">
        <f t="shared" si="3"/>
        <v>0</v>
      </c>
      <c r="S18" s="208">
        <f t="shared" si="3"/>
        <v>0</v>
      </c>
      <c r="T18" s="208">
        <f t="shared" si="3"/>
        <v>0</v>
      </c>
      <c r="U18" s="208">
        <f t="shared" si="3"/>
        <v>0</v>
      </c>
      <c r="V18" s="208">
        <f t="shared" si="3"/>
        <v>0</v>
      </c>
      <c r="W18" s="208">
        <f t="shared" si="3"/>
        <v>0</v>
      </c>
      <c r="X18" s="208">
        <f t="shared" si="3"/>
        <v>0</v>
      </c>
      <c r="Y18" s="208">
        <f t="shared" si="3"/>
        <v>0</v>
      </c>
      <c r="Z18" s="208">
        <f t="shared" si="3"/>
        <v>0</v>
      </c>
      <c r="AA18" s="208">
        <f t="shared" si="3"/>
        <v>0</v>
      </c>
      <c r="AB18" s="208">
        <f t="shared" si="3"/>
        <v>0</v>
      </c>
      <c r="AC18" s="208">
        <f t="shared" si="3"/>
        <v>0</v>
      </c>
      <c r="AD18" s="208">
        <f t="shared" si="3"/>
        <v>0</v>
      </c>
      <c r="AE18" s="208">
        <f t="shared" si="3"/>
        <v>0</v>
      </c>
      <c r="AF18" s="208">
        <f t="shared" si="3"/>
        <v>0</v>
      </c>
      <c r="AG18" s="208">
        <f t="shared" si="3"/>
        <v>0</v>
      </c>
      <c r="AH18" s="208">
        <f t="shared" si="3"/>
        <v>0</v>
      </c>
      <c r="AI18" s="208">
        <f t="shared" si="3"/>
        <v>0</v>
      </c>
      <c r="AJ18" s="208">
        <f t="shared" si="3"/>
        <v>0</v>
      </c>
      <c r="AK18" s="208">
        <f t="shared" si="3"/>
        <v>0</v>
      </c>
      <c r="AL18" s="208">
        <f t="shared" si="3"/>
        <v>0</v>
      </c>
      <c r="AM18" s="208">
        <f t="shared" si="3"/>
        <v>0</v>
      </c>
      <c r="AN18" s="208">
        <f t="shared" si="3"/>
        <v>0</v>
      </c>
      <c r="AO18" s="208">
        <f t="shared" si="3"/>
        <v>0</v>
      </c>
      <c r="AP18" s="208">
        <f t="shared" si="3"/>
        <v>0</v>
      </c>
      <c r="AQ18" s="208">
        <f t="shared" si="3"/>
        <v>0</v>
      </c>
      <c r="AR18" s="208">
        <f t="shared" si="3"/>
        <v>0</v>
      </c>
      <c r="AS18" s="208">
        <f t="shared" si="3"/>
        <v>0</v>
      </c>
      <c r="AT18" s="208">
        <f t="shared" si="3"/>
        <v>0</v>
      </c>
      <c r="AU18" s="208">
        <f t="shared" si="3"/>
        <v>0</v>
      </c>
      <c r="AV18" s="208">
        <f t="shared" si="3"/>
        <v>0</v>
      </c>
      <c r="AW18" s="208">
        <f t="shared" si="3"/>
        <v>0</v>
      </c>
      <c r="AX18" s="208">
        <f t="shared" si="3"/>
        <v>0</v>
      </c>
      <c r="AY18" s="208">
        <f t="shared" si="3"/>
        <v>0</v>
      </c>
      <c r="AZ18" s="208">
        <f t="shared" si="3"/>
        <v>0</v>
      </c>
      <c r="BA18" s="208">
        <f t="shared" si="3"/>
        <v>0</v>
      </c>
      <c r="BB18" s="208">
        <f t="shared" si="3"/>
        <v>0</v>
      </c>
      <c r="BC18" s="208">
        <f t="shared" si="3"/>
        <v>0</v>
      </c>
      <c r="BD18" s="208">
        <f t="shared" si="3"/>
        <v>0</v>
      </c>
      <c r="BE18" s="208">
        <f t="shared" si="3"/>
        <v>0</v>
      </c>
    </row>
    <row r="19" spans="2:57" ht="18" x14ac:dyDescent="0.2">
      <c r="B19" s="1197"/>
      <c r="C19" s="194" t="s">
        <v>380</v>
      </c>
      <c r="D19" s="194"/>
      <c r="E19" s="194"/>
      <c r="F19" s="200" t="s">
        <v>381</v>
      </c>
      <c r="G19" s="204" t="str">
        <f>IF(LARGE(H19:BE19,1)&gt;1,"ERRO","")</f>
        <v/>
      </c>
      <c r="H19" s="208">
        <f>IFERROR(H18/H11,0)</f>
        <v>0</v>
      </c>
      <c r="I19" s="208">
        <f t="shared" ref="I19:BE19" si="4">IFERROR(I18/I11,0)</f>
        <v>0</v>
      </c>
      <c r="J19" s="208">
        <f t="shared" si="4"/>
        <v>0</v>
      </c>
      <c r="K19" s="208">
        <f t="shared" si="4"/>
        <v>0</v>
      </c>
      <c r="L19" s="208">
        <f t="shared" si="4"/>
        <v>0</v>
      </c>
      <c r="M19" s="208">
        <f t="shared" si="4"/>
        <v>0</v>
      </c>
      <c r="N19" s="208">
        <f t="shared" si="4"/>
        <v>0</v>
      </c>
      <c r="O19" s="208">
        <f t="shared" si="4"/>
        <v>0</v>
      </c>
      <c r="P19" s="208">
        <f t="shared" si="4"/>
        <v>0</v>
      </c>
      <c r="Q19" s="208">
        <f t="shared" si="4"/>
        <v>0</v>
      </c>
      <c r="R19" s="208">
        <f t="shared" si="4"/>
        <v>0</v>
      </c>
      <c r="S19" s="208">
        <f t="shared" si="4"/>
        <v>0</v>
      </c>
      <c r="T19" s="208">
        <f t="shared" si="4"/>
        <v>0</v>
      </c>
      <c r="U19" s="208">
        <f t="shared" si="4"/>
        <v>0</v>
      </c>
      <c r="V19" s="208">
        <f t="shared" si="4"/>
        <v>0</v>
      </c>
      <c r="W19" s="208">
        <f t="shared" si="4"/>
        <v>0</v>
      </c>
      <c r="X19" s="208">
        <f t="shared" si="4"/>
        <v>0</v>
      </c>
      <c r="Y19" s="208">
        <f t="shared" si="4"/>
        <v>0</v>
      </c>
      <c r="Z19" s="208">
        <f t="shared" si="4"/>
        <v>0</v>
      </c>
      <c r="AA19" s="208">
        <f t="shared" si="4"/>
        <v>0</v>
      </c>
      <c r="AB19" s="208">
        <f t="shared" si="4"/>
        <v>0</v>
      </c>
      <c r="AC19" s="208">
        <f t="shared" si="4"/>
        <v>0</v>
      </c>
      <c r="AD19" s="208">
        <f t="shared" si="4"/>
        <v>0</v>
      </c>
      <c r="AE19" s="208">
        <f t="shared" si="4"/>
        <v>0</v>
      </c>
      <c r="AF19" s="208">
        <f t="shared" si="4"/>
        <v>0</v>
      </c>
      <c r="AG19" s="208">
        <f t="shared" si="4"/>
        <v>0</v>
      </c>
      <c r="AH19" s="208">
        <f t="shared" si="4"/>
        <v>0</v>
      </c>
      <c r="AI19" s="208">
        <f t="shared" si="4"/>
        <v>0</v>
      </c>
      <c r="AJ19" s="208">
        <f t="shared" si="4"/>
        <v>0</v>
      </c>
      <c r="AK19" s="208">
        <f t="shared" si="4"/>
        <v>0</v>
      </c>
      <c r="AL19" s="208">
        <f t="shared" si="4"/>
        <v>0</v>
      </c>
      <c r="AM19" s="208">
        <f t="shared" si="4"/>
        <v>0</v>
      </c>
      <c r="AN19" s="208">
        <f t="shared" si="4"/>
        <v>0</v>
      </c>
      <c r="AO19" s="208">
        <f t="shared" si="4"/>
        <v>0</v>
      </c>
      <c r="AP19" s="208">
        <f t="shared" si="4"/>
        <v>0</v>
      </c>
      <c r="AQ19" s="208">
        <f t="shared" si="4"/>
        <v>0</v>
      </c>
      <c r="AR19" s="208">
        <f t="shared" si="4"/>
        <v>0</v>
      </c>
      <c r="AS19" s="208">
        <f t="shared" si="4"/>
        <v>0</v>
      </c>
      <c r="AT19" s="208">
        <f t="shared" si="4"/>
        <v>0</v>
      </c>
      <c r="AU19" s="208">
        <f t="shared" si="4"/>
        <v>0</v>
      </c>
      <c r="AV19" s="208">
        <f t="shared" si="4"/>
        <v>0</v>
      </c>
      <c r="AW19" s="208">
        <f t="shared" si="4"/>
        <v>0</v>
      </c>
      <c r="AX19" s="208">
        <f t="shared" si="4"/>
        <v>0</v>
      </c>
      <c r="AY19" s="208">
        <f t="shared" si="4"/>
        <v>0</v>
      </c>
      <c r="AZ19" s="208">
        <f t="shared" si="4"/>
        <v>0</v>
      </c>
      <c r="BA19" s="208">
        <f t="shared" si="4"/>
        <v>0</v>
      </c>
      <c r="BB19" s="208">
        <f t="shared" si="4"/>
        <v>0</v>
      </c>
      <c r="BC19" s="208">
        <f t="shared" si="4"/>
        <v>0</v>
      </c>
      <c r="BD19" s="208">
        <f t="shared" si="4"/>
        <v>0</v>
      </c>
      <c r="BE19" s="208">
        <f t="shared" si="4"/>
        <v>0</v>
      </c>
    </row>
    <row r="20" spans="2:57" ht="18" x14ac:dyDescent="0.2">
      <c r="B20" s="189">
        <f>B15+1</f>
        <v>9</v>
      </c>
      <c r="C20" s="194" t="s">
        <v>382</v>
      </c>
      <c r="D20" s="194"/>
      <c r="E20" s="199" t="s">
        <v>383</v>
      </c>
      <c r="F20" s="200" t="s">
        <v>384</v>
      </c>
      <c r="G20" s="209">
        <f>SUM(H20:BE20)</f>
        <v>0</v>
      </c>
      <c r="H20" s="207">
        <f>H11*H14/1000</f>
        <v>0</v>
      </c>
      <c r="I20" s="207">
        <f t="shared" ref="I20:BE20" si="5">I11*I14/1000</f>
        <v>0</v>
      </c>
      <c r="J20" s="207">
        <f t="shared" si="5"/>
        <v>0</v>
      </c>
      <c r="K20" s="207">
        <f t="shared" si="5"/>
        <v>0</v>
      </c>
      <c r="L20" s="207">
        <f t="shared" si="5"/>
        <v>0</v>
      </c>
      <c r="M20" s="207">
        <f t="shared" si="5"/>
        <v>0</v>
      </c>
      <c r="N20" s="207">
        <f t="shared" si="5"/>
        <v>0</v>
      </c>
      <c r="O20" s="207">
        <f t="shared" si="5"/>
        <v>0</v>
      </c>
      <c r="P20" s="207">
        <f t="shared" si="5"/>
        <v>0</v>
      </c>
      <c r="Q20" s="207">
        <f t="shared" si="5"/>
        <v>0</v>
      </c>
      <c r="R20" s="207">
        <f t="shared" si="5"/>
        <v>0</v>
      </c>
      <c r="S20" s="207">
        <f t="shared" si="5"/>
        <v>0</v>
      </c>
      <c r="T20" s="207">
        <f t="shared" si="5"/>
        <v>0</v>
      </c>
      <c r="U20" s="207">
        <f t="shared" si="5"/>
        <v>0</v>
      </c>
      <c r="V20" s="207">
        <f t="shared" si="5"/>
        <v>0</v>
      </c>
      <c r="W20" s="207">
        <f t="shared" si="5"/>
        <v>0</v>
      </c>
      <c r="X20" s="207">
        <f t="shared" si="5"/>
        <v>0</v>
      </c>
      <c r="Y20" s="207">
        <f t="shared" si="5"/>
        <v>0</v>
      </c>
      <c r="Z20" s="207">
        <f t="shared" si="5"/>
        <v>0</v>
      </c>
      <c r="AA20" s="207">
        <f t="shared" si="5"/>
        <v>0</v>
      </c>
      <c r="AB20" s="207">
        <f t="shared" si="5"/>
        <v>0</v>
      </c>
      <c r="AC20" s="207">
        <f t="shared" si="5"/>
        <v>0</v>
      </c>
      <c r="AD20" s="207">
        <f t="shared" si="5"/>
        <v>0</v>
      </c>
      <c r="AE20" s="207">
        <f t="shared" si="5"/>
        <v>0</v>
      </c>
      <c r="AF20" s="207">
        <f t="shared" si="5"/>
        <v>0</v>
      </c>
      <c r="AG20" s="207">
        <f t="shared" si="5"/>
        <v>0</v>
      </c>
      <c r="AH20" s="207">
        <f t="shared" si="5"/>
        <v>0</v>
      </c>
      <c r="AI20" s="207">
        <f t="shared" si="5"/>
        <v>0</v>
      </c>
      <c r="AJ20" s="207">
        <f t="shared" si="5"/>
        <v>0</v>
      </c>
      <c r="AK20" s="207">
        <f t="shared" si="5"/>
        <v>0</v>
      </c>
      <c r="AL20" s="207">
        <f t="shared" si="5"/>
        <v>0</v>
      </c>
      <c r="AM20" s="207">
        <f t="shared" si="5"/>
        <v>0</v>
      </c>
      <c r="AN20" s="207">
        <f t="shared" si="5"/>
        <v>0</v>
      </c>
      <c r="AO20" s="207">
        <f t="shared" si="5"/>
        <v>0</v>
      </c>
      <c r="AP20" s="207">
        <f t="shared" si="5"/>
        <v>0</v>
      </c>
      <c r="AQ20" s="207">
        <f t="shared" si="5"/>
        <v>0</v>
      </c>
      <c r="AR20" s="207">
        <f t="shared" si="5"/>
        <v>0</v>
      </c>
      <c r="AS20" s="207">
        <f t="shared" si="5"/>
        <v>0</v>
      </c>
      <c r="AT20" s="207">
        <f t="shared" si="5"/>
        <v>0</v>
      </c>
      <c r="AU20" s="207">
        <f t="shared" si="5"/>
        <v>0</v>
      </c>
      <c r="AV20" s="207">
        <f t="shared" si="5"/>
        <v>0</v>
      </c>
      <c r="AW20" s="207">
        <f t="shared" si="5"/>
        <v>0</v>
      </c>
      <c r="AX20" s="207">
        <f t="shared" si="5"/>
        <v>0</v>
      </c>
      <c r="AY20" s="207">
        <f t="shared" si="5"/>
        <v>0</v>
      </c>
      <c r="AZ20" s="207">
        <f t="shared" si="5"/>
        <v>0</v>
      </c>
      <c r="BA20" s="207">
        <f t="shared" si="5"/>
        <v>0</v>
      </c>
      <c r="BB20" s="207">
        <f t="shared" si="5"/>
        <v>0</v>
      </c>
      <c r="BC20" s="207">
        <f t="shared" si="5"/>
        <v>0</v>
      </c>
      <c r="BD20" s="207">
        <f t="shared" si="5"/>
        <v>0</v>
      </c>
      <c r="BE20" s="207">
        <f t="shared" si="5"/>
        <v>0</v>
      </c>
    </row>
    <row r="21" spans="2:57" ht="18" x14ac:dyDescent="0.2">
      <c r="B21" s="189">
        <f>B20+1</f>
        <v>10</v>
      </c>
      <c r="C21" s="194" t="s">
        <v>385</v>
      </c>
      <c r="D21" s="194"/>
      <c r="E21" s="195" t="s">
        <v>369</v>
      </c>
      <c r="F21" s="200" t="s">
        <v>386</v>
      </c>
      <c r="G21" s="210">
        <f>SUM(H21:BE21)</f>
        <v>0</v>
      </c>
      <c r="H21" s="211">
        <f>H11*H19</f>
        <v>0</v>
      </c>
      <c r="I21" s="211">
        <f t="shared" ref="I21:BE21" si="6">I11*I19</f>
        <v>0</v>
      </c>
      <c r="J21" s="211">
        <f t="shared" si="6"/>
        <v>0</v>
      </c>
      <c r="K21" s="211">
        <f t="shared" si="6"/>
        <v>0</v>
      </c>
      <c r="L21" s="211">
        <f t="shared" si="6"/>
        <v>0</v>
      </c>
      <c r="M21" s="211">
        <f t="shared" si="6"/>
        <v>0</v>
      </c>
      <c r="N21" s="211">
        <f t="shared" si="6"/>
        <v>0</v>
      </c>
      <c r="O21" s="211">
        <f t="shared" si="6"/>
        <v>0</v>
      </c>
      <c r="P21" s="211">
        <f t="shared" si="6"/>
        <v>0</v>
      </c>
      <c r="Q21" s="211">
        <f t="shared" si="6"/>
        <v>0</v>
      </c>
      <c r="R21" s="211">
        <f t="shared" si="6"/>
        <v>0</v>
      </c>
      <c r="S21" s="211">
        <f t="shared" si="6"/>
        <v>0</v>
      </c>
      <c r="T21" s="211">
        <f t="shared" si="6"/>
        <v>0</v>
      </c>
      <c r="U21" s="211">
        <f t="shared" si="6"/>
        <v>0</v>
      </c>
      <c r="V21" s="211">
        <f t="shared" si="6"/>
        <v>0</v>
      </c>
      <c r="W21" s="211">
        <f t="shared" si="6"/>
        <v>0</v>
      </c>
      <c r="X21" s="211">
        <f t="shared" si="6"/>
        <v>0</v>
      </c>
      <c r="Y21" s="211">
        <f t="shared" si="6"/>
        <v>0</v>
      </c>
      <c r="Z21" s="211">
        <f t="shared" si="6"/>
        <v>0</v>
      </c>
      <c r="AA21" s="211">
        <f t="shared" si="6"/>
        <v>0</v>
      </c>
      <c r="AB21" s="211">
        <f t="shared" si="6"/>
        <v>0</v>
      </c>
      <c r="AC21" s="211">
        <f t="shared" si="6"/>
        <v>0</v>
      </c>
      <c r="AD21" s="211">
        <f t="shared" si="6"/>
        <v>0</v>
      </c>
      <c r="AE21" s="211">
        <f t="shared" si="6"/>
        <v>0</v>
      </c>
      <c r="AF21" s="211">
        <f t="shared" si="6"/>
        <v>0</v>
      </c>
      <c r="AG21" s="211">
        <f t="shared" si="6"/>
        <v>0</v>
      </c>
      <c r="AH21" s="211">
        <f t="shared" si="6"/>
        <v>0</v>
      </c>
      <c r="AI21" s="211">
        <f t="shared" si="6"/>
        <v>0</v>
      </c>
      <c r="AJ21" s="211">
        <f t="shared" si="6"/>
        <v>0</v>
      </c>
      <c r="AK21" s="211">
        <f t="shared" si="6"/>
        <v>0</v>
      </c>
      <c r="AL21" s="211">
        <f t="shared" si="6"/>
        <v>0</v>
      </c>
      <c r="AM21" s="211">
        <f t="shared" si="6"/>
        <v>0</v>
      </c>
      <c r="AN21" s="211">
        <f t="shared" si="6"/>
        <v>0</v>
      </c>
      <c r="AO21" s="211">
        <f t="shared" si="6"/>
        <v>0</v>
      </c>
      <c r="AP21" s="211">
        <f t="shared" si="6"/>
        <v>0</v>
      </c>
      <c r="AQ21" s="211">
        <f t="shared" si="6"/>
        <v>0</v>
      </c>
      <c r="AR21" s="211">
        <f t="shared" si="6"/>
        <v>0</v>
      </c>
      <c r="AS21" s="211">
        <f t="shared" si="6"/>
        <v>0</v>
      </c>
      <c r="AT21" s="211">
        <f t="shared" si="6"/>
        <v>0</v>
      </c>
      <c r="AU21" s="211">
        <f t="shared" si="6"/>
        <v>0</v>
      </c>
      <c r="AV21" s="211">
        <f t="shared" si="6"/>
        <v>0</v>
      </c>
      <c r="AW21" s="211">
        <f t="shared" si="6"/>
        <v>0</v>
      </c>
      <c r="AX21" s="211">
        <f t="shared" si="6"/>
        <v>0</v>
      </c>
      <c r="AY21" s="211">
        <f t="shared" si="6"/>
        <v>0</v>
      </c>
      <c r="AZ21" s="211">
        <f t="shared" si="6"/>
        <v>0</v>
      </c>
      <c r="BA21" s="211">
        <f t="shared" si="6"/>
        <v>0</v>
      </c>
      <c r="BB21" s="211">
        <f t="shared" si="6"/>
        <v>0</v>
      </c>
      <c r="BC21" s="211">
        <f t="shared" si="6"/>
        <v>0</v>
      </c>
      <c r="BD21" s="211">
        <f t="shared" si="6"/>
        <v>0</v>
      </c>
      <c r="BE21" s="211">
        <f t="shared" si="6"/>
        <v>0</v>
      </c>
    </row>
    <row r="23" spans="2:57" x14ac:dyDescent="0.2">
      <c r="B23" s="1191" t="s">
        <v>864</v>
      </c>
      <c r="C23" s="1192"/>
      <c r="D23" s="1192"/>
      <c r="E23" s="1192"/>
      <c r="F23" s="1200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</row>
    <row r="24" spans="2:57" s="423" customFormat="1" x14ac:dyDescent="0.2">
      <c r="B24" s="189"/>
      <c r="C24" s="190"/>
      <c r="D24" s="190"/>
      <c r="E24" s="190"/>
      <c r="F24" s="212"/>
      <c r="G24" s="192" t="s">
        <v>267</v>
      </c>
      <c r="H24" s="193" t="s">
        <v>457</v>
      </c>
      <c r="I24" s="193" t="s">
        <v>458</v>
      </c>
      <c r="J24" s="193" t="s">
        <v>459</v>
      </c>
      <c r="K24" s="193" t="s">
        <v>460</v>
      </c>
      <c r="L24" s="193" t="s">
        <v>461</v>
      </c>
      <c r="M24" s="193" t="s">
        <v>462</v>
      </c>
      <c r="N24" s="193" t="s">
        <v>463</v>
      </c>
      <c r="O24" s="193" t="s">
        <v>464</v>
      </c>
      <c r="P24" s="193" t="s">
        <v>465</v>
      </c>
      <c r="Q24" s="193" t="s">
        <v>466</v>
      </c>
      <c r="R24" s="193" t="s">
        <v>467</v>
      </c>
      <c r="S24" s="193" t="s">
        <v>468</v>
      </c>
      <c r="T24" s="193" t="s">
        <v>469</v>
      </c>
      <c r="U24" s="193" t="s">
        <v>470</v>
      </c>
      <c r="V24" s="193" t="s">
        <v>471</v>
      </c>
      <c r="W24" s="193" t="s">
        <v>472</v>
      </c>
      <c r="X24" s="193" t="s">
        <v>473</v>
      </c>
      <c r="Y24" s="193" t="s">
        <v>474</v>
      </c>
      <c r="Z24" s="193" t="s">
        <v>475</v>
      </c>
      <c r="AA24" s="193" t="s">
        <v>476</v>
      </c>
      <c r="AB24" s="193" t="s">
        <v>477</v>
      </c>
      <c r="AC24" s="193" t="s">
        <v>478</v>
      </c>
      <c r="AD24" s="193" t="s">
        <v>479</v>
      </c>
      <c r="AE24" s="193" t="s">
        <v>480</v>
      </c>
      <c r="AF24" s="193" t="s">
        <v>481</v>
      </c>
      <c r="AG24" s="193" t="s">
        <v>482</v>
      </c>
      <c r="AH24" s="193" t="s">
        <v>483</v>
      </c>
      <c r="AI24" s="193" t="s">
        <v>484</v>
      </c>
      <c r="AJ24" s="193" t="s">
        <v>485</v>
      </c>
      <c r="AK24" s="193" t="s">
        <v>486</v>
      </c>
      <c r="AL24" s="193" t="s">
        <v>487</v>
      </c>
      <c r="AM24" s="193" t="s">
        <v>488</v>
      </c>
      <c r="AN24" s="193" t="s">
        <v>489</v>
      </c>
      <c r="AO24" s="193" t="s">
        <v>490</v>
      </c>
      <c r="AP24" s="193" t="s">
        <v>491</v>
      </c>
      <c r="AQ24" s="193" t="s">
        <v>492</v>
      </c>
      <c r="AR24" s="193" t="s">
        <v>493</v>
      </c>
      <c r="AS24" s="193" t="s">
        <v>494</v>
      </c>
      <c r="AT24" s="193" t="s">
        <v>495</v>
      </c>
      <c r="AU24" s="193" t="s">
        <v>496</v>
      </c>
      <c r="AV24" s="193" t="s">
        <v>497</v>
      </c>
      <c r="AW24" s="193" t="s">
        <v>498</v>
      </c>
      <c r="AX24" s="193" t="s">
        <v>499</v>
      </c>
      <c r="AY24" s="193" t="s">
        <v>500</v>
      </c>
      <c r="AZ24" s="193" t="s">
        <v>501</v>
      </c>
      <c r="BA24" s="193" t="s">
        <v>502</v>
      </c>
      <c r="BB24" s="193" t="s">
        <v>503</v>
      </c>
      <c r="BC24" s="193" t="s">
        <v>504</v>
      </c>
      <c r="BD24" s="193" t="s">
        <v>505</v>
      </c>
      <c r="BE24" s="193" t="s">
        <v>506</v>
      </c>
    </row>
    <row r="25" spans="2:57" ht="18" x14ac:dyDescent="0.2">
      <c r="B25" s="189">
        <f>B21+1</f>
        <v>11</v>
      </c>
      <c r="C25" s="194" t="s">
        <v>507</v>
      </c>
      <c r="D25" s="194"/>
      <c r="E25" s="195" t="s">
        <v>508</v>
      </c>
      <c r="F25" s="200" t="s">
        <v>407</v>
      </c>
      <c r="G25" s="202">
        <f>SUM(H25:BE25)</f>
        <v>0</v>
      </c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36"/>
      <c r="AB25" s="736"/>
      <c r="AC25" s="736"/>
      <c r="AD25" s="736"/>
      <c r="AE25" s="736"/>
      <c r="AF25" s="736"/>
      <c r="AG25" s="736"/>
      <c r="AH25" s="736"/>
      <c r="AI25" s="736"/>
      <c r="AJ25" s="736"/>
      <c r="AK25" s="736"/>
      <c r="AL25" s="736"/>
      <c r="AM25" s="736"/>
      <c r="AN25" s="736"/>
      <c r="AO25" s="736"/>
      <c r="AP25" s="736"/>
      <c r="AQ25" s="736"/>
      <c r="AR25" s="736"/>
      <c r="AS25" s="736"/>
      <c r="AT25" s="736"/>
      <c r="AU25" s="736"/>
      <c r="AV25" s="736"/>
      <c r="AW25" s="736"/>
      <c r="AX25" s="736"/>
      <c r="AY25" s="736"/>
      <c r="AZ25" s="736"/>
      <c r="BA25" s="736"/>
      <c r="BB25" s="736"/>
      <c r="BC25" s="736"/>
      <c r="BD25" s="736"/>
      <c r="BE25" s="736"/>
    </row>
    <row r="26" spans="2:57" ht="18" x14ac:dyDescent="0.2">
      <c r="B26" s="1195">
        <f>B25+1</f>
        <v>12</v>
      </c>
      <c r="C26" s="194" t="s">
        <v>509</v>
      </c>
      <c r="D26" s="194"/>
      <c r="E26" s="199"/>
      <c r="F26" s="248" t="s">
        <v>515</v>
      </c>
      <c r="G26" s="204"/>
      <c r="H26" s="740"/>
      <c r="I26" s="740"/>
      <c r="J26" s="740"/>
      <c r="K26" s="740"/>
      <c r="L26" s="740"/>
      <c r="M26" s="740"/>
      <c r="N26" s="740"/>
      <c r="O26" s="740"/>
      <c r="P26" s="740"/>
      <c r="Q26" s="740"/>
      <c r="R26" s="740"/>
      <c r="S26" s="740"/>
      <c r="T26" s="740"/>
      <c r="U26" s="740"/>
      <c r="V26" s="740"/>
      <c r="W26" s="740"/>
      <c r="X26" s="740"/>
      <c r="Y26" s="740"/>
      <c r="Z26" s="740"/>
      <c r="AA26" s="740"/>
      <c r="AB26" s="740"/>
      <c r="AC26" s="740"/>
      <c r="AD26" s="740"/>
      <c r="AE26" s="740"/>
      <c r="AF26" s="740"/>
      <c r="AG26" s="740"/>
      <c r="AH26" s="740"/>
      <c r="AI26" s="740"/>
      <c r="AJ26" s="740"/>
      <c r="AK26" s="740"/>
      <c r="AL26" s="740"/>
      <c r="AM26" s="740"/>
      <c r="AN26" s="740"/>
      <c r="AO26" s="740"/>
      <c r="AP26" s="740"/>
      <c r="AQ26" s="740"/>
      <c r="AR26" s="740"/>
      <c r="AS26" s="740"/>
      <c r="AT26" s="740"/>
      <c r="AU26" s="740"/>
      <c r="AV26" s="740"/>
      <c r="AW26" s="740"/>
      <c r="AX26" s="740"/>
      <c r="AY26" s="740"/>
      <c r="AZ26" s="740"/>
      <c r="BA26" s="740"/>
      <c r="BB26" s="740"/>
      <c r="BC26" s="740"/>
      <c r="BD26" s="740"/>
      <c r="BE26" s="740"/>
    </row>
    <row r="27" spans="2:57" ht="18" x14ac:dyDescent="0.2">
      <c r="B27" s="1197"/>
      <c r="C27" s="194" t="s">
        <v>511</v>
      </c>
      <c r="D27" s="194"/>
      <c r="E27" s="199" t="s">
        <v>3</v>
      </c>
      <c r="F27" s="248" t="s">
        <v>516</v>
      </c>
      <c r="G27" s="202"/>
      <c r="H27" s="761"/>
      <c r="I27" s="761"/>
      <c r="J27" s="761"/>
      <c r="K27" s="761"/>
      <c r="L27" s="761"/>
      <c r="M27" s="761"/>
      <c r="N27" s="761"/>
      <c r="O27" s="761"/>
      <c r="P27" s="761"/>
      <c r="Q27" s="761"/>
      <c r="R27" s="761"/>
      <c r="S27" s="761"/>
      <c r="T27" s="761"/>
      <c r="U27" s="761"/>
      <c r="V27" s="761"/>
      <c r="W27" s="761"/>
      <c r="X27" s="761"/>
      <c r="Y27" s="761"/>
      <c r="Z27" s="761"/>
      <c r="AA27" s="761"/>
      <c r="AB27" s="761"/>
      <c r="AC27" s="761"/>
      <c r="AD27" s="761"/>
      <c r="AE27" s="761"/>
      <c r="AF27" s="761"/>
      <c r="AG27" s="761"/>
      <c r="AH27" s="761"/>
      <c r="AI27" s="761"/>
      <c r="AJ27" s="761"/>
      <c r="AK27" s="761"/>
      <c r="AL27" s="761"/>
      <c r="AM27" s="761"/>
      <c r="AN27" s="761"/>
      <c r="AO27" s="761"/>
      <c r="AP27" s="761"/>
      <c r="AQ27" s="761"/>
      <c r="AR27" s="761"/>
      <c r="AS27" s="761"/>
      <c r="AT27" s="761"/>
      <c r="AU27" s="761"/>
      <c r="AV27" s="761"/>
      <c r="AW27" s="761"/>
      <c r="AX27" s="761"/>
      <c r="AY27" s="761"/>
      <c r="AZ27" s="761"/>
      <c r="BA27" s="761"/>
      <c r="BB27" s="761"/>
      <c r="BC27" s="761"/>
      <c r="BD27" s="761"/>
      <c r="BE27" s="761"/>
    </row>
    <row r="28" spans="2:57" ht="18" x14ac:dyDescent="0.2">
      <c r="B28" s="189">
        <f>B26+1</f>
        <v>13</v>
      </c>
      <c r="C28" s="194" t="s">
        <v>513</v>
      </c>
      <c r="D28" s="194"/>
      <c r="E28" s="199" t="s">
        <v>3</v>
      </c>
      <c r="F28" s="248" t="s">
        <v>517</v>
      </c>
      <c r="G28" s="202"/>
      <c r="H28" s="761"/>
      <c r="I28" s="761"/>
      <c r="J28" s="761"/>
      <c r="K28" s="761"/>
      <c r="L28" s="761"/>
      <c r="M28" s="761"/>
      <c r="N28" s="761"/>
      <c r="O28" s="761"/>
      <c r="P28" s="761"/>
      <c r="Q28" s="761"/>
      <c r="R28" s="761"/>
      <c r="S28" s="761"/>
      <c r="T28" s="761"/>
      <c r="U28" s="761"/>
      <c r="V28" s="761"/>
      <c r="W28" s="761"/>
      <c r="X28" s="761"/>
      <c r="Y28" s="761"/>
      <c r="Z28" s="761"/>
      <c r="AA28" s="761"/>
      <c r="AB28" s="761"/>
      <c r="AC28" s="761"/>
      <c r="AD28" s="761"/>
      <c r="AE28" s="761"/>
      <c r="AF28" s="761"/>
      <c r="AG28" s="761"/>
      <c r="AH28" s="761"/>
      <c r="AI28" s="761"/>
      <c r="AJ28" s="761"/>
      <c r="AK28" s="761"/>
      <c r="AL28" s="761"/>
      <c r="AM28" s="761"/>
      <c r="AN28" s="761"/>
      <c r="AO28" s="761"/>
      <c r="AP28" s="761"/>
      <c r="AQ28" s="761"/>
      <c r="AR28" s="761"/>
      <c r="AS28" s="761"/>
      <c r="AT28" s="761"/>
      <c r="AU28" s="761"/>
      <c r="AV28" s="761"/>
      <c r="AW28" s="761"/>
      <c r="AX28" s="761"/>
      <c r="AY28" s="761"/>
      <c r="AZ28" s="761"/>
      <c r="BA28" s="761"/>
      <c r="BB28" s="761"/>
      <c r="BC28" s="761"/>
      <c r="BD28" s="761"/>
      <c r="BE28" s="761"/>
    </row>
    <row r="29" spans="2:57" ht="18" x14ac:dyDescent="0.2">
      <c r="B29" s="189">
        <f>B28+1</f>
        <v>14</v>
      </c>
      <c r="C29" s="194" t="s">
        <v>16</v>
      </c>
      <c r="D29" s="194"/>
      <c r="E29" s="199"/>
      <c r="F29" s="200" t="s">
        <v>406</v>
      </c>
      <c r="G29" s="202">
        <f>SUM(H29:BE29)</f>
        <v>0</v>
      </c>
      <c r="H29" s="739"/>
      <c r="I29" s="739"/>
      <c r="J29" s="739"/>
      <c r="K29" s="739"/>
      <c r="L29" s="739"/>
      <c r="M29" s="739"/>
      <c r="N29" s="739"/>
      <c r="O29" s="739"/>
      <c r="P29" s="739"/>
      <c r="Q29" s="739"/>
      <c r="R29" s="739"/>
      <c r="S29" s="739"/>
      <c r="T29" s="739"/>
      <c r="U29" s="739"/>
      <c r="V29" s="739"/>
      <c r="W29" s="739"/>
      <c r="X29" s="739"/>
      <c r="Y29" s="739"/>
      <c r="Z29" s="739"/>
      <c r="AA29" s="739"/>
      <c r="AB29" s="739"/>
      <c r="AC29" s="739"/>
      <c r="AD29" s="739"/>
      <c r="AE29" s="739"/>
      <c r="AF29" s="739"/>
      <c r="AG29" s="739"/>
      <c r="AH29" s="739"/>
      <c r="AI29" s="739"/>
      <c r="AJ29" s="739"/>
      <c r="AK29" s="739"/>
      <c r="AL29" s="739"/>
      <c r="AM29" s="739"/>
      <c r="AN29" s="739"/>
      <c r="AO29" s="739"/>
      <c r="AP29" s="739"/>
      <c r="AQ29" s="739"/>
      <c r="AR29" s="739"/>
      <c r="AS29" s="739"/>
      <c r="AT29" s="739"/>
      <c r="AU29" s="739"/>
      <c r="AV29" s="739"/>
      <c r="AW29" s="739"/>
      <c r="AX29" s="739"/>
      <c r="AY29" s="739"/>
      <c r="AZ29" s="739"/>
      <c r="BA29" s="739"/>
      <c r="BB29" s="739"/>
      <c r="BC29" s="739"/>
      <c r="BD29" s="739"/>
      <c r="BE29" s="739"/>
    </row>
    <row r="30" spans="2:57" ht="18" x14ac:dyDescent="0.2">
      <c r="B30" s="189">
        <f>B29+1</f>
        <v>15</v>
      </c>
      <c r="C30" s="194" t="s">
        <v>368</v>
      </c>
      <c r="D30" s="194"/>
      <c r="E30" s="199" t="s">
        <v>369</v>
      </c>
      <c r="F30" s="200" t="s">
        <v>391</v>
      </c>
      <c r="G30" s="209">
        <f>SUM(H30:BE30)</f>
        <v>0</v>
      </c>
      <c r="H30" s="207">
        <f>IFERROR((H25*0.736*H29)/H27,0)</f>
        <v>0</v>
      </c>
      <c r="I30" s="207">
        <f t="shared" ref="I30:BE30" si="7">IFERROR((I25*0.736*I29)/I27,0)</f>
        <v>0</v>
      </c>
      <c r="J30" s="207">
        <f t="shared" si="7"/>
        <v>0</v>
      </c>
      <c r="K30" s="207">
        <f t="shared" si="7"/>
        <v>0</v>
      </c>
      <c r="L30" s="207">
        <f t="shared" si="7"/>
        <v>0</v>
      </c>
      <c r="M30" s="207">
        <f t="shared" si="7"/>
        <v>0</v>
      </c>
      <c r="N30" s="207">
        <f t="shared" si="7"/>
        <v>0</v>
      </c>
      <c r="O30" s="207">
        <f t="shared" si="7"/>
        <v>0</v>
      </c>
      <c r="P30" s="207">
        <f t="shared" si="7"/>
        <v>0</v>
      </c>
      <c r="Q30" s="207">
        <f t="shared" si="7"/>
        <v>0</v>
      </c>
      <c r="R30" s="207">
        <f t="shared" si="7"/>
        <v>0</v>
      </c>
      <c r="S30" s="207">
        <f t="shared" si="7"/>
        <v>0</v>
      </c>
      <c r="T30" s="207">
        <f t="shared" si="7"/>
        <v>0</v>
      </c>
      <c r="U30" s="207">
        <f t="shared" si="7"/>
        <v>0</v>
      </c>
      <c r="V30" s="207">
        <f t="shared" si="7"/>
        <v>0</v>
      </c>
      <c r="W30" s="207">
        <f t="shared" si="7"/>
        <v>0</v>
      </c>
      <c r="X30" s="207">
        <f t="shared" si="7"/>
        <v>0</v>
      </c>
      <c r="Y30" s="207">
        <f t="shared" si="7"/>
        <v>0</v>
      </c>
      <c r="Z30" s="207">
        <f t="shared" si="7"/>
        <v>0</v>
      </c>
      <c r="AA30" s="207">
        <f t="shared" si="7"/>
        <v>0</v>
      </c>
      <c r="AB30" s="207">
        <f t="shared" si="7"/>
        <v>0</v>
      </c>
      <c r="AC30" s="207">
        <f t="shared" si="7"/>
        <v>0</v>
      </c>
      <c r="AD30" s="207">
        <f t="shared" si="7"/>
        <v>0</v>
      </c>
      <c r="AE30" s="207">
        <f t="shared" si="7"/>
        <v>0</v>
      </c>
      <c r="AF30" s="207">
        <f t="shared" si="7"/>
        <v>0</v>
      </c>
      <c r="AG30" s="207">
        <f t="shared" si="7"/>
        <v>0</v>
      </c>
      <c r="AH30" s="207">
        <f t="shared" si="7"/>
        <v>0</v>
      </c>
      <c r="AI30" s="207">
        <f t="shared" si="7"/>
        <v>0</v>
      </c>
      <c r="AJ30" s="207">
        <f t="shared" si="7"/>
        <v>0</v>
      </c>
      <c r="AK30" s="207">
        <f t="shared" si="7"/>
        <v>0</v>
      </c>
      <c r="AL30" s="207">
        <f t="shared" si="7"/>
        <v>0</v>
      </c>
      <c r="AM30" s="207">
        <f t="shared" si="7"/>
        <v>0</v>
      </c>
      <c r="AN30" s="207">
        <f t="shared" si="7"/>
        <v>0</v>
      </c>
      <c r="AO30" s="207">
        <f t="shared" si="7"/>
        <v>0</v>
      </c>
      <c r="AP30" s="207">
        <f t="shared" si="7"/>
        <v>0</v>
      </c>
      <c r="AQ30" s="207">
        <f t="shared" si="7"/>
        <v>0</v>
      </c>
      <c r="AR30" s="207">
        <f t="shared" si="7"/>
        <v>0</v>
      </c>
      <c r="AS30" s="207">
        <f t="shared" si="7"/>
        <v>0</v>
      </c>
      <c r="AT30" s="207">
        <f t="shared" si="7"/>
        <v>0</v>
      </c>
      <c r="AU30" s="207">
        <f t="shared" si="7"/>
        <v>0</v>
      </c>
      <c r="AV30" s="207">
        <f t="shared" si="7"/>
        <v>0</v>
      </c>
      <c r="AW30" s="207">
        <f t="shared" si="7"/>
        <v>0</v>
      </c>
      <c r="AX30" s="207">
        <f t="shared" si="7"/>
        <v>0</v>
      </c>
      <c r="AY30" s="207">
        <f t="shared" si="7"/>
        <v>0</v>
      </c>
      <c r="AZ30" s="207">
        <f t="shared" si="7"/>
        <v>0</v>
      </c>
      <c r="BA30" s="207">
        <f t="shared" si="7"/>
        <v>0</v>
      </c>
      <c r="BB30" s="207">
        <f t="shared" si="7"/>
        <v>0</v>
      </c>
      <c r="BC30" s="207">
        <f t="shared" si="7"/>
        <v>0</v>
      </c>
      <c r="BD30" s="207">
        <f t="shared" si="7"/>
        <v>0</v>
      </c>
      <c r="BE30" s="207">
        <f t="shared" si="7"/>
        <v>0</v>
      </c>
    </row>
    <row r="31" spans="2:57" ht="18" x14ac:dyDescent="0.2">
      <c r="B31" s="1195">
        <f>B30+1</f>
        <v>16</v>
      </c>
      <c r="C31" s="194" t="s">
        <v>450</v>
      </c>
      <c r="D31" s="194"/>
      <c r="E31" s="199" t="s">
        <v>369</v>
      </c>
      <c r="F31" s="200" t="s">
        <v>454</v>
      </c>
      <c r="G31" s="209">
        <f>SUM(H31:BE31)</f>
        <v>0</v>
      </c>
      <c r="H31" s="207">
        <f>IFERROR(H30*H26*(H27/H28),0)</f>
        <v>0</v>
      </c>
      <c r="I31" s="207">
        <f t="shared" ref="I31:BE31" si="8">IFERROR(I30*I26*(I27/I28),0)</f>
        <v>0</v>
      </c>
      <c r="J31" s="207">
        <f t="shared" si="8"/>
        <v>0</v>
      </c>
      <c r="K31" s="207">
        <f t="shared" si="8"/>
        <v>0</v>
      </c>
      <c r="L31" s="207">
        <f t="shared" si="8"/>
        <v>0</v>
      </c>
      <c r="M31" s="207">
        <f t="shared" si="8"/>
        <v>0</v>
      </c>
      <c r="N31" s="207">
        <f t="shared" si="8"/>
        <v>0</v>
      </c>
      <c r="O31" s="207">
        <f t="shared" si="8"/>
        <v>0</v>
      </c>
      <c r="P31" s="207">
        <f t="shared" si="8"/>
        <v>0</v>
      </c>
      <c r="Q31" s="207">
        <f t="shared" si="8"/>
        <v>0</v>
      </c>
      <c r="R31" s="207">
        <f t="shared" si="8"/>
        <v>0</v>
      </c>
      <c r="S31" s="207">
        <f t="shared" si="8"/>
        <v>0</v>
      </c>
      <c r="T31" s="207">
        <f t="shared" si="8"/>
        <v>0</v>
      </c>
      <c r="U31" s="207">
        <f t="shared" si="8"/>
        <v>0</v>
      </c>
      <c r="V31" s="207">
        <f t="shared" si="8"/>
        <v>0</v>
      </c>
      <c r="W31" s="207">
        <f t="shared" si="8"/>
        <v>0</v>
      </c>
      <c r="X31" s="207">
        <f t="shared" si="8"/>
        <v>0</v>
      </c>
      <c r="Y31" s="207">
        <f t="shared" si="8"/>
        <v>0</v>
      </c>
      <c r="Z31" s="207">
        <f t="shared" si="8"/>
        <v>0</v>
      </c>
      <c r="AA31" s="207">
        <f t="shared" si="8"/>
        <v>0</v>
      </c>
      <c r="AB31" s="207">
        <f t="shared" si="8"/>
        <v>0</v>
      </c>
      <c r="AC31" s="207">
        <f t="shared" si="8"/>
        <v>0</v>
      </c>
      <c r="AD31" s="207">
        <f t="shared" si="8"/>
        <v>0</v>
      </c>
      <c r="AE31" s="207">
        <f t="shared" si="8"/>
        <v>0</v>
      </c>
      <c r="AF31" s="207">
        <f t="shared" si="8"/>
        <v>0</v>
      </c>
      <c r="AG31" s="207">
        <f t="shared" si="8"/>
        <v>0</v>
      </c>
      <c r="AH31" s="207">
        <f t="shared" si="8"/>
        <v>0</v>
      </c>
      <c r="AI31" s="207">
        <f t="shared" si="8"/>
        <v>0</v>
      </c>
      <c r="AJ31" s="207">
        <f t="shared" si="8"/>
        <v>0</v>
      </c>
      <c r="AK31" s="207">
        <f t="shared" si="8"/>
        <v>0</v>
      </c>
      <c r="AL31" s="207">
        <f t="shared" si="8"/>
        <v>0</v>
      </c>
      <c r="AM31" s="207">
        <f t="shared" si="8"/>
        <v>0</v>
      </c>
      <c r="AN31" s="207">
        <f t="shared" si="8"/>
        <v>0</v>
      </c>
      <c r="AO31" s="207">
        <f t="shared" si="8"/>
        <v>0</v>
      </c>
      <c r="AP31" s="207">
        <f t="shared" si="8"/>
        <v>0</v>
      </c>
      <c r="AQ31" s="207">
        <f t="shared" si="8"/>
        <v>0</v>
      </c>
      <c r="AR31" s="207">
        <f t="shared" si="8"/>
        <v>0</v>
      </c>
      <c r="AS31" s="207">
        <f t="shared" si="8"/>
        <v>0</v>
      </c>
      <c r="AT31" s="207">
        <f t="shared" si="8"/>
        <v>0</v>
      </c>
      <c r="AU31" s="207">
        <f t="shared" si="8"/>
        <v>0</v>
      </c>
      <c r="AV31" s="207">
        <f t="shared" si="8"/>
        <v>0</v>
      </c>
      <c r="AW31" s="207">
        <f t="shared" si="8"/>
        <v>0</v>
      </c>
      <c r="AX31" s="207">
        <f t="shared" si="8"/>
        <v>0</v>
      </c>
      <c r="AY31" s="207">
        <f t="shared" si="8"/>
        <v>0</v>
      </c>
      <c r="AZ31" s="207">
        <f t="shared" si="8"/>
        <v>0</v>
      </c>
      <c r="BA31" s="207">
        <f t="shared" si="8"/>
        <v>0</v>
      </c>
      <c r="BB31" s="207">
        <f t="shared" si="8"/>
        <v>0</v>
      </c>
      <c r="BC31" s="207">
        <f t="shared" si="8"/>
        <v>0</v>
      </c>
      <c r="BD31" s="207">
        <f t="shared" si="8"/>
        <v>0</v>
      </c>
      <c r="BE31" s="207">
        <f t="shared" si="8"/>
        <v>0</v>
      </c>
    </row>
    <row r="32" spans="2:57" x14ac:dyDescent="0.2">
      <c r="B32" s="1196"/>
      <c r="C32" s="194" t="s">
        <v>371</v>
      </c>
      <c r="D32" s="194"/>
      <c r="E32" s="199" t="s">
        <v>372</v>
      </c>
      <c r="F32" s="200"/>
      <c r="G32" s="204"/>
      <c r="H32" s="740"/>
      <c r="I32" s="740"/>
      <c r="J32" s="740"/>
      <c r="K32" s="740"/>
      <c r="L32" s="740"/>
      <c r="M32" s="740"/>
      <c r="N32" s="740"/>
      <c r="O32" s="740"/>
      <c r="P32" s="740"/>
      <c r="Q32" s="740"/>
      <c r="R32" s="740"/>
      <c r="S32" s="740"/>
      <c r="T32" s="740"/>
      <c r="U32" s="740"/>
      <c r="V32" s="740"/>
      <c r="W32" s="740"/>
      <c r="X32" s="740"/>
      <c r="Y32" s="740"/>
      <c r="Z32" s="740"/>
      <c r="AA32" s="740"/>
      <c r="AB32" s="740"/>
      <c r="AC32" s="740"/>
      <c r="AD32" s="740"/>
      <c r="AE32" s="740"/>
      <c r="AF32" s="740"/>
      <c r="AG32" s="740"/>
      <c r="AH32" s="740"/>
      <c r="AI32" s="740"/>
      <c r="AJ32" s="740"/>
      <c r="AK32" s="740"/>
      <c r="AL32" s="740"/>
      <c r="AM32" s="740"/>
      <c r="AN32" s="740"/>
      <c r="AO32" s="740"/>
      <c r="AP32" s="740"/>
      <c r="AQ32" s="740"/>
      <c r="AR32" s="740"/>
      <c r="AS32" s="740"/>
      <c r="AT32" s="740"/>
      <c r="AU32" s="740"/>
      <c r="AV32" s="740"/>
      <c r="AW32" s="740"/>
      <c r="AX32" s="740"/>
      <c r="AY32" s="740"/>
      <c r="AZ32" s="740"/>
      <c r="BA32" s="740"/>
      <c r="BB32" s="740"/>
      <c r="BC32" s="740"/>
      <c r="BD32" s="740"/>
      <c r="BE32" s="740"/>
    </row>
    <row r="33" spans="2:57" x14ac:dyDescent="0.2">
      <c r="B33" s="1196"/>
      <c r="C33" s="205" t="s">
        <v>373</v>
      </c>
      <c r="D33" s="205"/>
      <c r="E33" s="206" t="s">
        <v>374</v>
      </c>
      <c r="F33" s="200"/>
      <c r="G33" s="204"/>
      <c r="H33" s="741"/>
      <c r="I33" s="741"/>
      <c r="J33" s="741"/>
      <c r="K33" s="741"/>
      <c r="L33" s="741"/>
      <c r="M33" s="741"/>
      <c r="N33" s="741"/>
      <c r="O33" s="741"/>
      <c r="P33" s="741"/>
      <c r="Q33" s="741"/>
      <c r="R33" s="741"/>
      <c r="S33" s="741"/>
      <c r="T33" s="741"/>
      <c r="U33" s="741"/>
      <c r="V33" s="741"/>
      <c r="W33" s="741"/>
      <c r="X33" s="741"/>
      <c r="Y33" s="741"/>
      <c r="Z33" s="741"/>
      <c r="AA33" s="741"/>
      <c r="AB33" s="741"/>
      <c r="AC33" s="741"/>
      <c r="AD33" s="741"/>
      <c r="AE33" s="741"/>
      <c r="AF33" s="741"/>
      <c r="AG33" s="741"/>
      <c r="AH33" s="741"/>
      <c r="AI33" s="741"/>
      <c r="AJ33" s="741"/>
      <c r="AK33" s="741"/>
      <c r="AL33" s="741"/>
      <c r="AM33" s="741"/>
      <c r="AN33" s="741"/>
      <c r="AO33" s="741"/>
      <c r="AP33" s="741"/>
      <c r="AQ33" s="741"/>
      <c r="AR33" s="741"/>
      <c r="AS33" s="741"/>
      <c r="AT33" s="741"/>
      <c r="AU33" s="741"/>
      <c r="AV33" s="741"/>
      <c r="AW33" s="741"/>
      <c r="AX33" s="741"/>
      <c r="AY33" s="741"/>
      <c r="AZ33" s="741"/>
      <c r="BA33" s="741"/>
      <c r="BB33" s="741"/>
      <c r="BC33" s="741"/>
      <c r="BD33" s="741"/>
      <c r="BE33" s="741"/>
    </row>
    <row r="34" spans="2:57" ht="18" x14ac:dyDescent="0.2">
      <c r="B34" s="1197"/>
      <c r="C34" s="194" t="s">
        <v>375</v>
      </c>
      <c r="D34" s="194"/>
      <c r="E34" s="199" t="s">
        <v>376</v>
      </c>
      <c r="F34" s="200" t="s">
        <v>392</v>
      </c>
      <c r="G34" s="204"/>
      <c r="H34" s="207">
        <f>H32*H33</f>
        <v>0</v>
      </c>
      <c r="I34" s="207">
        <f t="shared" ref="I34:BE34" si="9">I32*I33</f>
        <v>0</v>
      </c>
      <c r="J34" s="207">
        <f t="shared" si="9"/>
        <v>0</v>
      </c>
      <c r="K34" s="207">
        <f t="shared" si="9"/>
        <v>0</v>
      </c>
      <c r="L34" s="207">
        <f t="shared" si="9"/>
        <v>0</v>
      </c>
      <c r="M34" s="207">
        <f t="shared" si="9"/>
        <v>0</v>
      </c>
      <c r="N34" s="207">
        <f t="shared" si="9"/>
        <v>0</v>
      </c>
      <c r="O34" s="207">
        <f t="shared" si="9"/>
        <v>0</v>
      </c>
      <c r="P34" s="207">
        <f t="shared" si="9"/>
        <v>0</v>
      </c>
      <c r="Q34" s="207">
        <f t="shared" si="9"/>
        <v>0</v>
      </c>
      <c r="R34" s="207">
        <f t="shared" si="9"/>
        <v>0</v>
      </c>
      <c r="S34" s="207">
        <f t="shared" si="9"/>
        <v>0</v>
      </c>
      <c r="T34" s="207">
        <f t="shared" si="9"/>
        <v>0</v>
      </c>
      <c r="U34" s="207">
        <f t="shared" si="9"/>
        <v>0</v>
      </c>
      <c r="V34" s="207">
        <f t="shared" si="9"/>
        <v>0</v>
      </c>
      <c r="W34" s="207">
        <f t="shared" si="9"/>
        <v>0</v>
      </c>
      <c r="X34" s="207">
        <f t="shared" si="9"/>
        <v>0</v>
      </c>
      <c r="Y34" s="207">
        <f t="shared" si="9"/>
        <v>0</v>
      </c>
      <c r="Z34" s="207">
        <f t="shared" si="9"/>
        <v>0</v>
      </c>
      <c r="AA34" s="207">
        <f t="shared" si="9"/>
        <v>0</v>
      </c>
      <c r="AB34" s="207">
        <f t="shared" si="9"/>
        <v>0</v>
      </c>
      <c r="AC34" s="207">
        <f t="shared" si="9"/>
        <v>0</v>
      </c>
      <c r="AD34" s="207">
        <f t="shared" si="9"/>
        <v>0</v>
      </c>
      <c r="AE34" s="207">
        <f t="shared" si="9"/>
        <v>0</v>
      </c>
      <c r="AF34" s="207">
        <f t="shared" si="9"/>
        <v>0</v>
      </c>
      <c r="AG34" s="207">
        <f t="shared" si="9"/>
        <v>0</v>
      </c>
      <c r="AH34" s="207">
        <f t="shared" si="9"/>
        <v>0</v>
      </c>
      <c r="AI34" s="207">
        <f t="shared" si="9"/>
        <v>0</v>
      </c>
      <c r="AJ34" s="207">
        <f t="shared" si="9"/>
        <v>0</v>
      </c>
      <c r="AK34" s="207">
        <f t="shared" si="9"/>
        <v>0</v>
      </c>
      <c r="AL34" s="207">
        <f t="shared" si="9"/>
        <v>0</v>
      </c>
      <c r="AM34" s="207">
        <f t="shared" si="9"/>
        <v>0</v>
      </c>
      <c r="AN34" s="207">
        <f t="shared" si="9"/>
        <v>0</v>
      </c>
      <c r="AO34" s="207">
        <f t="shared" si="9"/>
        <v>0</v>
      </c>
      <c r="AP34" s="207">
        <f t="shared" si="9"/>
        <v>0</v>
      </c>
      <c r="AQ34" s="207">
        <f t="shared" si="9"/>
        <v>0</v>
      </c>
      <c r="AR34" s="207">
        <f t="shared" si="9"/>
        <v>0</v>
      </c>
      <c r="AS34" s="207">
        <f t="shared" si="9"/>
        <v>0</v>
      </c>
      <c r="AT34" s="207">
        <f t="shared" si="9"/>
        <v>0</v>
      </c>
      <c r="AU34" s="207">
        <f t="shared" si="9"/>
        <v>0</v>
      </c>
      <c r="AV34" s="207">
        <f t="shared" si="9"/>
        <v>0</v>
      </c>
      <c r="AW34" s="207">
        <f t="shared" si="9"/>
        <v>0</v>
      </c>
      <c r="AX34" s="207">
        <f t="shared" si="9"/>
        <v>0</v>
      </c>
      <c r="AY34" s="207">
        <f t="shared" si="9"/>
        <v>0</v>
      </c>
      <c r="AZ34" s="207">
        <f t="shared" si="9"/>
        <v>0</v>
      </c>
      <c r="BA34" s="207">
        <f t="shared" si="9"/>
        <v>0</v>
      </c>
      <c r="BB34" s="207">
        <f t="shared" si="9"/>
        <v>0</v>
      </c>
      <c r="BC34" s="207">
        <f t="shared" si="9"/>
        <v>0</v>
      </c>
      <c r="BD34" s="207">
        <f t="shared" si="9"/>
        <v>0</v>
      </c>
      <c r="BE34" s="207">
        <f t="shared" si="9"/>
        <v>0</v>
      </c>
    </row>
    <row r="35" spans="2:57" x14ac:dyDescent="0.2">
      <c r="B35" s="1195">
        <f>B31+1</f>
        <v>17</v>
      </c>
      <c r="C35" s="194" t="s">
        <v>702</v>
      </c>
      <c r="D35" s="194"/>
      <c r="E35" s="199" t="s">
        <v>279</v>
      </c>
      <c r="F35" s="200" t="s">
        <v>697</v>
      </c>
      <c r="G35" s="299">
        <v>12</v>
      </c>
      <c r="H35" s="739"/>
      <c r="I35" s="739"/>
      <c r="J35" s="739"/>
      <c r="K35" s="739"/>
      <c r="L35" s="739"/>
      <c r="M35" s="739"/>
      <c r="N35" s="739"/>
      <c r="O35" s="739"/>
      <c r="P35" s="739"/>
      <c r="Q35" s="739"/>
      <c r="R35" s="739"/>
      <c r="S35" s="739"/>
      <c r="T35" s="739"/>
      <c r="U35" s="739"/>
      <c r="V35" s="739"/>
      <c r="W35" s="739"/>
      <c r="X35" s="739"/>
      <c r="Y35" s="739"/>
      <c r="Z35" s="739"/>
      <c r="AA35" s="739"/>
      <c r="AB35" s="739"/>
      <c r="AC35" s="739"/>
      <c r="AD35" s="739"/>
      <c r="AE35" s="739"/>
      <c r="AF35" s="739"/>
      <c r="AG35" s="739"/>
      <c r="AH35" s="739"/>
      <c r="AI35" s="739"/>
      <c r="AJ35" s="739"/>
      <c r="AK35" s="739"/>
      <c r="AL35" s="739"/>
      <c r="AM35" s="739"/>
      <c r="AN35" s="739"/>
      <c r="AO35" s="739"/>
      <c r="AP35" s="739"/>
      <c r="AQ35" s="739"/>
      <c r="AR35" s="739"/>
      <c r="AS35" s="739"/>
      <c r="AT35" s="739"/>
      <c r="AU35" s="739"/>
      <c r="AV35" s="739"/>
      <c r="AW35" s="739"/>
      <c r="AX35" s="739"/>
      <c r="AY35" s="739"/>
      <c r="AZ35" s="739"/>
      <c r="BA35" s="739"/>
      <c r="BB35" s="739"/>
      <c r="BC35" s="739"/>
      <c r="BD35" s="739"/>
      <c r="BE35" s="739"/>
    </row>
    <row r="36" spans="2:57" x14ac:dyDescent="0.2">
      <c r="B36" s="1196"/>
      <c r="C36" s="194" t="s">
        <v>703</v>
      </c>
      <c r="D36" s="194"/>
      <c r="E36" s="195" t="s">
        <v>700</v>
      </c>
      <c r="F36" s="200" t="s">
        <v>698</v>
      </c>
      <c r="G36" s="299">
        <v>22</v>
      </c>
      <c r="H36" s="739"/>
      <c r="I36" s="739"/>
      <c r="J36" s="739"/>
      <c r="K36" s="739"/>
      <c r="L36" s="739"/>
      <c r="M36" s="739"/>
      <c r="N36" s="739"/>
      <c r="O36" s="739"/>
      <c r="P36" s="739"/>
      <c r="Q36" s="739"/>
      <c r="R36" s="739"/>
      <c r="S36" s="739"/>
      <c r="T36" s="739"/>
      <c r="U36" s="739"/>
      <c r="V36" s="739"/>
      <c r="W36" s="739"/>
      <c r="X36" s="739"/>
      <c r="Y36" s="739"/>
      <c r="Z36" s="739"/>
      <c r="AA36" s="739"/>
      <c r="AB36" s="739"/>
      <c r="AC36" s="739"/>
      <c r="AD36" s="739"/>
      <c r="AE36" s="739"/>
      <c r="AF36" s="739"/>
      <c r="AG36" s="739"/>
      <c r="AH36" s="739"/>
      <c r="AI36" s="739"/>
      <c r="AJ36" s="739"/>
      <c r="AK36" s="739"/>
      <c r="AL36" s="739"/>
      <c r="AM36" s="739"/>
      <c r="AN36" s="739"/>
      <c r="AO36" s="739"/>
      <c r="AP36" s="739"/>
      <c r="AQ36" s="739"/>
      <c r="AR36" s="739"/>
      <c r="AS36" s="739"/>
      <c r="AT36" s="739"/>
      <c r="AU36" s="739"/>
      <c r="AV36" s="739"/>
      <c r="AW36" s="739"/>
      <c r="AX36" s="739"/>
      <c r="AY36" s="739"/>
      <c r="AZ36" s="739"/>
      <c r="BA36" s="739"/>
      <c r="BB36" s="739"/>
      <c r="BC36" s="739"/>
      <c r="BD36" s="739"/>
      <c r="BE36" s="739"/>
    </row>
    <row r="37" spans="2:57" x14ac:dyDescent="0.2">
      <c r="B37" s="1196"/>
      <c r="C37" s="194" t="s">
        <v>704</v>
      </c>
      <c r="D37" s="194"/>
      <c r="E37" s="195" t="s">
        <v>701</v>
      </c>
      <c r="F37" s="200" t="s">
        <v>699</v>
      </c>
      <c r="G37" s="299">
        <v>3</v>
      </c>
      <c r="H37" s="739"/>
      <c r="I37" s="739"/>
      <c r="J37" s="739"/>
      <c r="K37" s="739"/>
      <c r="L37" s="739"/>
      <c r="M37" s="739"/>
      <c r="N37" s="739"/>
      <c r="O37" s="739"/>
      <c r="P37" s="739"/>
      <c r="Q37" s="739"/>
      <c r="R37" s="739"/>
      <c r="S37" s="739"/>
      <c r="T37" s="739"/>
      <c r="U37" s="739"/>
      <c r="V37" s="739"/>
      <c r="W37" s="739"/>
      <c r="X37" s="739"/>
      <c r="Y37" s="739"/>
      <c r="Z37" s="739"/>
      <c r="AA37" s="739"/>
      <c r="AB37" s="739"/>
      <c r="AC37" s="739"/>
      <c r="AD37" s="739"/>
      <c r="AE37" s="739"/>
      <c r="AF37" s="739"/>
      <c r="AG37" s="739"/>
      <c r="AH37" s="739"/>
      <c r="AI37" s="739"/>
      <c r="AJ37" s="739"/>
      <c r="AK37" s="739"/>
      <c r="AL37" s="739"/>
      <c r="AM37" s="739"/>
      <c r="AN37" s="739"/>
      <c r="AO37" s="739"/>
      <c r="AP37" s="739"/>
      <c r="AQ37" s="739"/>
      <c r="AR37" s="739"/>
      <c r="AS37" s="739"/>
      <c r="AT37" s="739"/>
      <c r="AU37" s="739"/>
      <c r="AV37" s="739"/>
      <c r="AW37" s="739"/>
      <c r="AX37" s="739"/>
      <c r="AY37" s="739"/>
      <c r="AZ37" s="739"/>
      <c r="BA37" s="739"/>
      <c r="BB37" s="739"/>
      <c r="BC37" s="739"/>
      <c r="BD37" s="739"/>
      <c r="BE37" s="739"/>
    </row>
    <row r="38" spans="2:57" ht="18" x14ac:dyDescent="0.2">
      <c r="B38" s="1197"/>
      <c r="C38" s="194" t="s">
        <v>378</v>
      </c>
      <c r="D38" s="194"/>
      <c r="E38" s="199" t="s">
        <v>369</v>
      </c>
      <c r="F38" s="200" t="s">
        <v>393</v>
      </c>
      <c r="G38" s="201">
        <f>SUM(H38:BE38)</f>
        <v>0</v>
      </c>
      <c r="H38" s="208">
        <f>H31*((H35*H36*H37)/($G$35*$G$36*$G$37))</f>
        <v>0</v>
      </c>
      <c r="I38" s="208">
        <f t="shared" ref="I38:BE38" si="10">I31*((I35*I36*I37)/($G$35*$G$36*$G$37))</f>
        <v>0</v>
      </c>
      <c r="J38" s="208">
        <f t="shared" si="10"/>
        <v>0</v>
      </c>
      <c r="K38" s="208">
        <f t="shared" si="10"/>
        <v>0</v>
      </c>
      <c r="L38" s="208">
        <f t="shared" si="10"/>
        <v>0</v>
      </c>
      <c r="M38" s="208">
        <f t="shared" si="10"/>
        <v>0</v>
      </c>
      <c r="N38" s="208">
        <f t="shared" si="10"/>
        <v>0</v>
      </c>
      <c r="O38" s="208">
        <f t="shared" si="10"/>
        <v>0</v>
      </c>
      <c r="P38" s="208">
        <f t="shared" si="10"/>
        <v>0</v>
      </c>
      <c r="Q38" s="208">
        <f t="shared" si="10"/>
        <v>0</v>
      </c>
      <c r="R38" s="208">
        <f t="shared" si="10"/>
        <v>0</v>
      </c>
      <c r="S38" s="208">
        <f t="shared" si="10"/>
        <v>0</v>
      </c>
      <c r="T38" s="208">
        <f t="shared" si="10"/>
        <v>0</v>
      </c>
      <c r="U38" s="208">
        <f t="shared" si="10"/>
        <v>0</v>
      </c>
      <c r="V38" s="208">
        <f t="shared" si="10"/>
        <v>0</v>
      </c>
      <c r="W38" s="208">
        <f t="shared" si="10"/>
        <v>0</v>
      </c>
      <c r="X38" s="208">
        <f t="shared" si="10"/>
        <v>0</v>
      </c>
      <c r="Y38" s="208">
        <f t="shared" si="10"/>
        <v>0</v>
      </c>
      <c r="Z38" s="208">
        <f t="shared" si="10"/>
        <v>0</v>
      </c>
      <c r="AA38" s="208">
        <f t="shared" si="10"/>
        <v>0</v>
      </c>
      <c r="AB38" s="208">
        <f t="shared" si="10"/>
        <v>0</v>
      </c>
      <c r="AC38" s="208">
        <f t="shared" si="10"/>
        <v>0</v>
      </c>
      <c r="AD38" s="208">
        <f t="shared" si="10"/>
        <v>0</v>
      </c>
      <c r="AE38" s="208">
        <f t="shared" si="10"/>
        <v>0</v>
      </c>
      <c r="AF38" s="208">
        <f t="shared" si="10"/>
        <v>0</v>
      </c>
      <c r="AG38" s="208">
        <f t="shared" si="10"/>
        <v>0</v>
      </c>
      <c r="AH38" s="208">
        <f t="shared" si="10"/>
        <v>0</v>
      </c>
      <c r="AI38" s="208">
        <f t="shared" si="10"/>
        <v>0</v>
      </c>
      <c r="AJ38" s="208">
        <f t="shared" si="10"/>
        <v>0</v>
      </c>
      <c r="AK38" s="208">
        <f t="shared" si="10"/>
        <v>0</v>
      </c>
      <c r="AL38" s="208">
        <f t="shared" si="10"/>
        <v>0</v>
      </c>
      <c r="AM38" s="208">
        <f t="shared" si="10"/>
        <v>0</v>
      </c>
      <c r="AN38" s="208">
        <f t="shared" si="10"/>
        <v>0</v>
      </c>
      <c r="AO38" s="208">
        <f t="shared" si="10"/>
        <v>0</v>
      </c>
      <c r="AP38" s="208">
        <f t="shared" si="10"/>
        <v>0</v>
      </c>
      <c r="AQ38" s="208">
        <f t="shared" si="10"/>
        <v>0</v>
      </c>
      <c r="AR38" s="208">
        <f t="shared" si="10"/>
        <v>0</v>
      </c>
      <c r="AS38" s="208">
        <f t="shared" si="10"/>
        <v>0</v>
      </c>
      <c r="AT38" s="208">
        <f t="shared" si="10"/>
        <v>0</v>
      </c>
      <c r="AU38" s="208">
        <f t="shared" si="10"/>
        <v>0</v>
      </c>
      <c r="AV38" s="208">
        <f t="shared" si="10"/>
        <v>0</v>
      </c>
      <c r="AW38" s="208">
        <f t="shared" si="10"/>
        <v>0</v>
      </c>
      <c r="AX38" s="208">
        <f t="shared" si="10"/>
        <v>0</v>
      </c>
      <c r="AY38" s="208">
        <f t="shared" si="10"/>
        <v>0</v>
      </c>
      <c r="AZ38" s="208">
        <f t="shared" si="10"/>
        <v>0</v>
      </c>
      <c r="BA38" s="208">
        <f t="shared" si="10"/>
        <v>0</v>
      </c>
      <c r="BB38" s="208">
        <f t="shared" si="10"/>
        <v>0</v>
      </c>
      <c r="BC38" s="208">
        <f t="shared" si="10"/>
        <v>0</v>
      </c>
      <c r="BD38" s="208">
        <f t="shared" si="10"/>
        <v>0</v>
      </c>
      <c r="BE38" s="208">
        <f t="shared" si="10"/>
        <v>0</v>
      </c>
    </row>
    <row r="39" spans="2:57" ht="18" x14ac:dyDescent="0.2">
      <c r="B39" s="189">
        <f>B34+1</f>
        <v>1</v>
      </c>
      <c r="C39" s="194" t="s">
        <v>380</v>
      </c>
      <c r="D39" s="194"/>
      <c r="E39" s="194"/>
      <c r="F39" s="200" t="s">
        <v>394</v>
      </c>
      <c r="G39" s="204" t="str">
        <f>IF(LARGE(H39:BE39,1)&gt;1,"ERRO","")</f>
        <v/>
      </c>
      <c r="H39" s="208">
        <f>IFERROR(H38/H31,0)</f>
        <v>0</v>
      </c>
      <c r="I39" s="208">
        <f t="shared" ref="I39:BE39" si="11">IFERROR(I38/I31,0)</f>
        <v>0</v>
      </c>
      <c r="J39" s="208">
        <f t="shared" si="11"/>
        <v>0</v>
      </c>
      <c r="K39" s="208">
        <f t="shared" si="11"/>
        <v>0</v>
      </c>
      <c r="L39" s="208">
        <f t="shared" si="11"/>
        <v>0</v>
      </c>
      <c r="M39" s="208">
        <f t="shared" si="11"/>
        <v>0</v>
      </c>
      <c r="N39" s="208">
        <f t="shared" si="11"/>
        <v>0</v>
      </c>
      <c r="O39" s="208">
        <f t="shared" si="11"/>
        <v>0</v>
      </c>
      <c r="P39" s="208">
        <f t="shared" si="11"/>
        <v>0</v>
      </c>
      <c r="Q39" s="208">
        <f t="shared" si="11"/>
        <v>0</v>
      </c>
      <c r="R39" s="208">
        <f t="shared" si="11"/>
        <v>0</v>
      </c>
      <c r="S39" s="208">
        <f t="shared" si="11"/>
        <v>0</v>
      </c>
      <c r="T39" s="208">
        <f t="shared" si="11"/>
        <v>0</v>
      </c>
      <c r="U39" s="208">
        <f t="shared" si="11"/>
        <v>0</v>
      </c>
      <c r="V39" s="208">
        <f t="shared" si="11"/>
        <v>0</v>
      </c>
      <c r="W39" s="208">
        <f t="shared" si="11"/>
        <v>0</v>
      </c>
      <c r="X39" s="208">
        <f t="shared" si="11"/>
        <v>0</v>
      </c>
      <c r="Y39" s="208">
        <f t="shared" si="11"/>
        <v>0</v>
      </c>
      <c r="Z39" s="208">
        <f t="shared" si="11"/>
        <v>0</v>
      </c>
      <c r="AA39" s="208">
        <f t="shared" si="11"/>
        <v>0</v>
      </c>
      <c r="AB39" s="208">
        <f t="shared" si="11"/>
        <v>0</v>
      </c>
      <c r="AC39" s="208">
        <f t="shared" si="11"/>
        <v>0</v>
      </c>
      <c r="AD39" s="208">
        <f t="shared" si="11"/>
        <v>0</v>
      </c>
      <c r="AE39" s="208">
        <f t="shared" si="11"/>
        <v>0</v>
      </c>
      <c r="AF39" s="208">
        <f t="shared" si="11"/>
        <v>0</v>
      </c>
      <c r="AG39" s="208">
        <f t="shared" si="11"/>
        <v>0</v>
      </c>
      <c r="AH39" s="208">
        <f t="shared" si="11"/>
        <v>0</v>
      </c>
      <c r="AI39" s="208">
        <f t="shared" si="11"/>
        <v>0</v>
      </c>
      <c r="AJ39" s="208">
        <f t="shared" si="11"/>
        <v>0</v>
      </c>
      <c r="AK39" s="208">
        <f t="shared" si="11"/>
        <v>0</v>
      </c>
      <c r="AL39" s="208">
        <f t="shared" si="11"/>
        <v>0</v>
      </c>
      <c r="AM39" s="208">
        <f t="shared" si="11"/>
        <v>0</v>
      </c>
      <c r="AN39" s="208">
        <f t="shared" si="11"/>
        <v>0</v>
      </c>
      <c r="AO39" s="208">
        <f t="shared" si="11"/>
        <v>0</v>
      </c>
      <c r="AP39" s="208">
        <f t="shared" si="11"/>
        <v>0</v>
      </c>
      <c r="AQ39" s="208">
        <f t="shared" si="11"/>
        <v>0</v>
      </c>
      <c r="AR39" s="208">
        <f t="shared" si="11"/>
        <v>0</v>
      </c>
      <c r="AS39" s="208">
        <f t="shared" si="11"/>
        <v>0</v>
      </c>
      <c r="AT39" s="208">
        <f t="shared" si="11"/>
        <v>0</v>
      </c>
      <c r="AU39" s="208">
        <f t="shared" si="11"/>
        <v>0</v>
      </c>
      <c r="AV39" s="208">
        <f t="shared" si="11"/>
        <v>0</v>
      </c>
      <c r="AW39" s="208">
        <f t="shared" si="11"/>
        <v>0</v>
      </c>
      <c r="AX39" s="208">
        <f t="shared" si="11"/>
        <v>0</v>
      </c>
      <c r="AY39" s="208">
        <f t="shared" si="11"/>
        <v>0</v>
      </c>
      <c r="AZ39" s="208">
        <f t="shared" si="11"/>
        <v>0</v>
      </c>
      <c r="BA39" s="208">
        <f t="shared" si="11"/>
        <v>0</v>
      </c>
      <c r="BB39" s="208">
        <f t="shared" si="11"/>
        <v>0</v>
      </c>
      <c r="BC39" s="208">
        <f t="shared" si="11"/>
        <v>0</v>
      </c>
      <c r="BD39" s="208">
        <f t="shared" si="11"/>
        <v>0</v>
      </c>
      <c r="BE39" s="208">
        <f t="shared" si="11"/>
        <v>0</v>
      </c>
    </row>
    <row r="40" spans="2:57" ht="18" x14ac:dyDescent="0.2">
      <c r="B40" s="189">
        <f>B39+1</f>
        <v>2</v>
      </c>
      <c r="C40" s="194" t="s">
        <v>382</v>
      </c>
      <c r="D40" s="194"/>
      <c r="E40" s="199" t="s">
        <v>383</v>
      </c>
      <c r="F40" s="200" t="s">
        <v>395</v>
      </c>
      <c r="G40" s="209">
        <f>SUM(H40:BE40)</f>
        <v>0</v>
      </c>
      <c r="H40" s="207">
        <f>H31*H34/1000</f>
        <v>0</v>
      </c>
      <c r="I40" s="207">
        <f t="shared" ref="I40:BE40" si="12">I31*I34/1000</f>
        <v>0</v>
      </c>
      <c r="J40" s="207">
        <f t="shared" si="12"/>
        <v>0</v>
      </c>
      <c r="K40" s="207">
        <f t="shared" si="12"/>
        <v>0</v>
      </c>
      <c r="L40" s="207">
        <f t="shared" si="12"/>
        <v>0</v>
      </c>
      <c r="M40" s="207">
        <f t="shared" si="12"/>
        <v>0</v>
      </c>
      <c r="N40" s="207">
        <f t="shared" si="12"/>
        <v>0</v>
      </c>
      <c r="O40" s="207">
        <f t="shared" si="12"/>
        <v>0</v>
      </c>
      <c r="P40" s="207">
        <f t="shared" si="12"/>
        <v>0</v>
      </c>
      <c r="Q40" s="207">
        <f t="shared" si="12"/>
        <v>0</v>
      </c>
      <c r="R40" s="207">
        <f t="shared" si="12"/>
        <v>0</v>
      </c>
      <c r="S40" s="207">
        <f t="shared" si="12"/>
        <v>0</v>
      </c>
      <c r="T40" s="207">
        <f t="shared" si="12"/>
        <v>0</v>
      </c>
      <c r="U40" s="207">
        <f t="shared" si="12"/>
        <v>0</v>
      </c>
      <c r="V40" s="207">
        <f t="shared" si="12"/>
        <v>0</v>
      </c>
      <c r="W40" s="207">
        <f t="shared" si="12"/>
        <v>0</v>
      </c>
      <c r="X40" s="207">
        <f t="shared" si="12"/>
        <v>0</v>
      </c>
      <c r="Y40" s="207">
        <f t="shared" si="12"/>
        <v>0</v>
      </c>
      <c r="Z40" s="207">
        <f t="shared" si="12"/>
        <v>0</v>
      </c>
      <c r="AA40" s="207">
        <f t="shared" si="12"/>
        <v>0</v>
      </c>
      <c r="AB40" s="207">
        <f t="shared" si="12"/>
        <v>0</v>
      </c>
      <c r="AC40" s="207">
        <f t="shared" si="12"/>
        <v>0</v>
      </c>
      <c r="AD40" s="207">
        <f t="shared" si="12"/>
        <v>0</v>
      </c>
      <c r="AE40" s="207">
        <f t="shared" si="12"/>
        <v>0</v>
      </c>
      <c r="AF40" s="207">
        <f t="shared" si="12"/>
        <v>0</v>
      </c>
      <c r="AG40" s="207">
        <f t="shared" si="12"/>
        <v>0</v>
      </c>
      <c r="AH40" s="207">
        <f t="shared" si="12"/>
        <v>0</v>
      </c>
      <c r="AI40" s="207">
        <f t="shared" si="12"/>
        <v>0</v>
      </c>
      <c r="AJ40" s="207">
        <f t="shared" si="12"/>
        <v>0</v>
      </c>
      <c r="AK40" s="207">
        <f t="shared" si="12"/>
        <v>0</v>
      </c>
      <c r="AL40" s="207">
        <f t="shared" si="12"/>
        <v>0</v>
      </c>
      <c r="AM40" s="207">
        <f t="shared" si="12"/>
        <v>0</v>
      </c>
      <c r="AN40" s="207">
        <f t="shared" si="12"/>
        <v>0</v>
      </c>
      <c r="AO40" s="207">
        <f t="shared" si="12"/>
        <v>0</v>
      </c>
      <c r="AP40" s="207">
        <f t="shared" si="12"/>
        <v>0</v>
      </c>
      <c r="AQ40" s="207">
        <f t="shared" si="12"/>
        <v>0</v>
      </c>
      <c r="AR40" s="207">
        <f t="shared" si="12"/>
        <v>0</v>
      </c>
      <c r="AS40" s="207">
        <f t="shared" si="12"/>
        <v>0</v>
      </c>
      <c r="AT40" s="207">
        <f t="shared" si="12"/>
        <v>0</v>
      </c>
      <c r="AU40" s="207">
        <f t="shared" si="12"/>
        <v>0</v>
      </c>
      <c r="AV40" s="207">
        <f t="shared" si="12"/>
        <v>0</v>
      </c>
      <c r="AW40" s="207">
        <f t="shared" si="12"/>
        <v>0</v>
      </c>
      <c r="AX40" s="207">
        <f t="shared" si="12"/>
        <v>0</v>
      </c>
      <c r="AY40" s="207">
        <f t="shared" si="12"/>
        <v>0</v>
      </c>
      <c r="AZ40" s="207">
        <f t="shared" si="12"/>
        <v>0</v>
      </c>
      <c r="BA40" s="207">
        <f t="shared" si="12"/>
        <v>0</v>
      </c>
      <c r="BB40" s="207">
        <f t="shared" si="12"/>
        <v>0</v>
      </c>
      <c r="BC40" s="207">
        <f t="shared" si="12"/>
        <v>0</v>
      </c>
      <c r="BD40" s="207">
        <f t="shared" si="12"/>
        <v>0</v>
      </c>
      <c r="BE40" s="207">
        <f t="shared" si="12"/>
        <v>0</v>
      </c>
    </row>
    <row r="41" spans="2:57" ht="18" x14ac:dyDescent="0.2">
      <c r="B41" s="189">
        <f>B40+1</f>
        <v>3</v>
      </c>
      <c r="C41" s="194" t="s">
        <v>385</v>
      </c>
      <c r="D41" s="194"/>
      <c r="E41" s="195" t="s">
        <v>369</v>
      </c>
      <c r="F41" s="200" t="s">
        <v>396</v>
      </c>
      <c r="G41" s="210">
        <f>SUM(H41:BE41)</f>
        <v>0</v>
      </c>
      <c r="H41" s="211">
        <f>H31*H39</f>
        <v>0</v>
      </c>
      <c r="I41" s="211">
        <f t="shared" ref="I41:BE41" si="13">I31*I39</f>
        <v>0</v>
      </c>
      <c r="J41" s="211">
        <f t="shared" si="13"/>
        <v>0</v>
      </c>
      <c r="K41" s="211">
        <f t="shared" si="13"/>
        <v>0</v>
      </c>
      <c r="L41" s="211">
        <f t="shared" si="13"/>
        <v>0</v>
      </c>
      <c r="M41" s="211">
        <f t="shared" si="13"/>
        <v>0</v>
      </c>
      <c r="N41" s="211">
        <f t="shared" si="13"/>
        <v>0</v>
      </c>
      <c r="O41" s="211">
        <f t="shared" si="13"/>
        <v>0</v>
      </c>
      <c r="P41" s="211">
        <f t="shared" si="13"/>
        <v>0</v>
      </c>
      <c r="Q41" s="211">
        <f t="shared" si="13"/>
        <v>0</v>
      </c>
      <c r="R41" s="211">
        <f t="shared" si="13"/>
        <v>0</v>
      </c>
      <c r="S41" s="211">
        <f t="shared" si="13"/>
        <v>0</v>
      </c>
      <c r="T41" s="211">
        <f t="shared" si="13"/>
        <v>0</v>
      </c>
      <c r="U41" s="211">
        <f t="shared" si="13"/>
        <v>0</v>
      </c>
      <c r="V41" s="211">
        <f t="shared" si="13"/>
        <v>0</v>
      </c>
      <c r="W41" s="211">
        <f t="shared" si="13"/>
        <v>0</v>
      </c>
      <c r="X41" s="211">
        <f t="shared" si="13"/>
        <v>0</v>
      </c>
      <c r="Y41" s="211">
        <f t="shared" si="13"/>
        <v>0</v>
      </c>
      <c r="Z41" s="211">
        <f t="shared" si="13"/>
        <v>0</v>
      </c>
      <c r="AA41" s="211">
        <f t="shared" si="13"/>
        <v>0</v>
      </c>
      <c r="AB41" s="211">
        <f t="shared" si="13"/>
        <v>0</v>
      </c>
      <c r="AC41" s="211">
        <f t="shared" si="13"/>
        <v>0</v>
      </c>
      <c r="AD41" s="211">
        <f t="shared" si="13"/>
        <v>0</v>
      </c>
      <c r="AE41" s="211">
        <f t="shared" si="13"/>
        <v>0</v>
      </c>
      <c r="AF41" s="211">
        <f t="shared" si="13"/>
        <v>0</v>
      </c>
      <c r="AG41" s="211">
        <f t="shared" si="13"/>
        <v>0</v>
      </c>
      <c r="AH41" s="211">
        <f t="shared" si="13"/>
        <v>0</v>
      </c>
      <c r="AI41" s="211">
        <f t="shared" si="13"/>
        <v>0</v>
      </c>
      <c r="AJ41" s="211">
        <f t="shared" si="13"/>
        <v>0</v>
      </c>
      <c r="AK41" s="211">
        <f t="shared" si="13"/>
        <v>0</v>
      </c>
      <c r="AL41" s="211">
        <f t="shared" si="13"/>
        <v>0</v>
      </c>
      <c r="AM41" s="211">
        <f t="shared" si="13"/>
        <v>0</v>
      </c>
      <c r="AN41" s="211">
        <f t="shared" si="13"/>
        <v>0</v>
      </c>
      <c r="AO41" s="211">
        <f t="shared" si="13"/>
        <v>0</v>
      </c>
      <c r="AP41" s="211">
        <f t="shared" si="13"/>
        <v>0</v>
      </c>
      <c r="AQ41" s="211">
        <f t="shared" si="13"/>
        <v>0</v>
      </c>
      <c r="AR41" s="211">
        <f t="shared" si="13"/>
        <v>0</v>
      </c>
      <c r="AS41" s="211">
        <f t="shared" si="13"/>
        <v>0</v>
      </c>
      <c r="AT41" s="211">
        <f t="shared" si="13"/>
        <v>0</v>
      </c>
      <c r="AU41" s="211">
        <f t="shared" si="13"/>
        <v>0</v>
      </c>
      <c r="AV41" s="211">
        <f t="shared" si="13"/>
        <v>0</v>
      </c>
      <c r="AW41" s="211">
        <f t="shared" si="13"/>
        <v>0</v>
      </c>
      <c r="AX41" s="211">
        <f t="shared" si="13"/>
        <v>0</v>
      </c>
      <c r="AY41" s="211">
        <f t="shared" si="13"/>
        <v>0</v>
      </c>
      <c r="AZ41" s="211">
        <f t="shared" si="13"/>
        <v>0</v>
      </c>
      <c r="BA41" s="211">
        <f t="shared" si="13"/>
        <v>0</v>
      </c>
      <c r="BB41" s="211">
        <f t="shared" si="13"/>
        <v>0</v>
      </c>
      <c r="BC41" s="211">
        <f t="shared" si="13"/>
        <v>0</v>
      </c>
      <c r="BD41" s="211">
        <f t="shared" si="13"/>
        <v>0</v>
      </c>
      <c r="BE41" s="211">
        <f t="shared" si="13"/>
        <v>0</v>
      </c>
    </row>
    <row r="43" spans="2:57" x14ac:dyDescent="0.2">
      <c r="B43" s="1199" t="s">
        <v>867</v>
      </c>
      <c r="C43" s="1199"/>
      <c r="D43" s="1199"/>
      <c r="E43" s="1199"/>
      <c r="F43" s="1199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8"/>
      <c r="AT43" s="188"/>
      <c r="AU43" s="188"/>
      <c r="AV43" s="188"/>
      <c r="AW43" s="188"/>
      <c r="AX43" s="188"/>
      <c r="AY43" s="188"/>
      <c r="AZ43" s="188"/>
      <c r="BA43" s="188"/>
      <c r="BB43" s="188"/>
      <c r="BC43" s="188"/>
      <c r="BD43" s="188"/>
      <c r="BE43" s="188"/>
    </row>
    <row r="44" spans="2:57" s="423" customFormat="1" x14ac:dyDescent="0.2">
      <c r="B44" s="189"/>
      <c r="C44" s="214"/>
      <c r="D44" s="214"/>
      <c r="E44" s="214"/>
      <c r="F44" s="212"/>
      <c r="G44" s="192" t="s">
        <v>31</v>
      </c>
      <c r="H44" s="193" t="s">
        <v>457</v>
      </c>
      <c r="I44" s="193" t="s">
        <v>458</v>
      </c>
      <c r="J44" s="193" t="s">
        <v>459</v>
      </c>
      <c r="K44" s="193" t="s">
        <v>460</v>
      </c>
      <c r="L44" s="193" t="s">
        <v>461</v>
      </c>
      <c r="M44" s="193" t="s">
        <v>462</v>
      </c>
      <c r="N44" s="193" t="s">
        <v>463</v>
      </c>
      <c r="O44" s="193" t="s">
        <v>464</v>
      </c>
      <c r="P44" s="193" t="s">
        <v>465</v>
      </c>
      <c r="Q44" s="193" t="s">
        <v>466</v>
      </c>
      <c r="R44" s="193" t="s">
        <v>467</v>
      </c>
      <c r="S44" s="193" t="s">
        <v>468</v>
      </c>
      <c r="T44" s="193" t="s">
        <v>469</v>
      </c>
      <c r="U44" s="193" t="s">
        <v>470</v>
      </c>
      <c r="V44" s="193" t="s">
        <v>471</v>
      </c>
      <c r="W44" s="193" t="s">
        <v>472</v>
      </c>
      <c r="X44" s="193" t="s">
        <v>473</v>
      </c>
      <c r="Y44" s="193" t="s">
        <v>474</v>
      </c>
      <c r="Z44" s="193" t="s">
        <v>475</v>
      </c>
      <c r="AA44" s="193" t="s">
        <v>476</v>
      </c>
      <c r="AB44" s="193" t="s">
        <v>477</v>
      </c>
      <c r="AC44" s="193" t="s">
        <v>478</v>
      </c>
      <c r="AD44" s="193" t="s">
        <v>479</v>
      </c>
      <c r="AE44" s="193" t="s">
        <v>480</v>
      </c>
      <c r="AF44" s="193" t="s">
        <v>481</v>
      </c>
      <c r="AG44" s="193" t="s">
        <v>482</v>
      </c>
      <c r="AH44" s="193" t="s">
        <v>483</v>
      </c>
      <c r="AI44" s="193" t="s">
        <v>484</v>
      </c>
      <c r="AJ44" s="193" t="s">
        <v>485</v>
      </c>
      <c r="AK44" s="193" t="s">
        <v>486</v>
      </c>
      <c r="AL44" s="193" t="s">
        <v>487</v>
      </c>
      <c r="AM44" s="193" t="s">
        <v>488</v>
      </c>
      <c r="AN44" s="193" t="s">
        <v>489</v>
      </c>
      <c r="AO44" s="193" t="s">
        <v>490</v>
      </c>
      <c r="AP44" s="193" t="s">
        <v>491</v>
      </c>
      <c r="AQ44" s="193" t="s">
        <v>492</v>
      </c>
      <c r="AR44" s="193" t="s">
        <v>493</v>
      </c>
      <c r="AS44" s="193" t="s">
        <v>494</v>
      </c>
      <c r="AT44" s="193" t="s">
        <v>495</v>
      </c>
      <c r="AU44" s="193" t="s">
        <v>496</v>
      </c>
      <c r="AV44" s="193" t="s">
        <v>497</v>
      </c>
      <c r="AW44" s="193" t="s">
        <v>498</v>
      </c>
      <c r="AX44" s="193" t="s">
        <v>499</v>
      </c>
      <c r="AY44" s="193" t="s">
        <v>500</v>
      </c>
      <c r="AZ44" s="193" t="s">
        <v>501</v>
      </c>
      <c r="BA44" s="193" t="s">
        <v>502</v>
      </c>
      <c r="BB44" s="193" t="s">
        <v>503</v>
      </c>
      <c r="BC44" s="193" t="s">
        <v>504</v>
      </c>
      <c r="BD44" s="193" t="s">
        <v>505</v>
      </c>
      <c r="BE44" s="193" t="s">
        <v>506</v>
      </c>
    </row>
    <row r="45" spans="2:57" ht="18" x14ac:dyDescent="0.2">
      <c r="B45" s="189">
        <f>B41+1</f>
        <v>4</v>
      </c>
      <c r="C45" s="215" t="s">
        <v>218</v>
      </c>
      <c r="D45" s="215"/>
      <c r="E45" s="216" t="s">
        <v>369</v>
      </c>
      <c r="F45" s="200" t="s">
        <v>397</v>
      </c>
      <c r="G45" s="210">
        <f>SUM(H45:BE45)</f>
        <v>0</v>
      </c>
      <c r="H45" s="207">
        <f>H21-H41</f>
        <v>0</v>
      </c>
      <c r="I45" s="207">
        <f t="shared" ref="I45:BE45" si="14">I21-I41</f>
        <v>0</v>
      </c>
      <c r="J45" s="207">
        <f t="shared" si="14"/>
        <v>0</v>
      </c>
      <c r="K45" s="207">
        <f t="shared" si="14"/>
        <v>0</v>
      </c>
      <c r="L45" s="207">
        <f t="shared" si="14"/>
        <v>0</v>
      </c>
      <c r="M45" s="207">
        <f t="shared" si="14"/>
        <v>0</v>
      </c>
      <c r="N45" s="207">
        <f t="shared" si="14"/>
        <v>0</v>
      </c>
      <c r="O45" s="207">
        <f t="shared" si="14"/>
        <v>0</v>
      </c>
      <c r="P45" s="207">
        <f t="shared" si="14"/>
        <v>0</v>
      </c>
      <c r="Q45" s="207">
        <f t="shared" si="14"/>
        <v>0</v>
      </c>
      <c r="R45" s="207">
        <f t="shared" si="14"/>
        <v>0</v>
      </c>
      <c r="S45" s="207">
        <f t="shared" si="14"/>
        <v>0</v>
      </c>
      <c r="T45" s="207">
        <f t="shared" si="14"/>
        <v>0</v>
      </c>
      <c r="U45" s="207">
        <f t="shared" si="14"/>
        <v>0</v>
      </c>
      <c r="V45" s="207">
        <f t="shared" si="14"/>
        <v>0</v>
      </c>
      <c r="W45" s="207">
        <f t="shared" si="14"/>
        <v>0</v>
      </c>
      <c r="X45" s="207">
        <f t="shared" si="14"/>
        <v>0</v>
      </c>
      <c r="Y45" s="207">
        <f t="shared" si="14"/>
        <v>0</v>
      </c>
      <c r="Z45" s="207">
        <f t="shared" si="14"/>
        <v>0</v>
      </c>
      <c r="AA45" s="207">
        <f t="shared" si="14"/>
        <v>0</v>
      </c>
      <c r="AB45" s="207">
        <f t="shared" si="14"/>
        <v>0</v>
      </c>
      <c r="AC45" s="207">
        <f t="shared" si="14"/>
        <v>0</v>
      </c>
      <c r="AD45" s="207">
        <f t="shared" si="14"/>
        <v>0</v>
      </c>
      <c r="AE45" s="207">
        <f t="shared" si="14"/>
        <v>0</v>
      </c>
      <c r="AF45" s="207">
        <f t="shared" si="14"/>
        <v>0</v>
      </c>
      <c r="AG45" s="207">
        <f t="shared" si="14"/>
        <v>0</v>
      </c>
      <c r="AH45" s="207">
        <f t="shared" si="14"/>
        <v>0</v>
      </c>
      <c r="AI45" s="207">
        <f t="shared" si="14"/>
        <v>0</v>
      </c>
      <c r="AJ45" s="207">
        <f t="shared" si="14"/>
        <v>0</v>
      </c>
      <c r="AK45" s="207">
        <f t="shared" si="14"/>
        <v>0</v>
      </c>
      <c r="AL45" s="207">
        <f t="shared" si="14"/>
        <v>0</v>
      </c>
      <c r="AM45" s="207">
        <f t="shared" si="14"/>
        <v>0</v>
      </c>
      <c r="AN45" s="207">
        <f t="shared" si="14"/>
        <v>0</v>
      </c>
      <c r="AO45" s="207">
        <f t="shared" si="14"/>
        <v>0</v>
      </c>
      <c r="AP45" s="207">
        <f t="shared" si="14"/>
        <v>0</v>
      </c>
      <c r="AQ45" s="207">
        <f t="shared" si="14"/>
        <v>0</v>
      </c>
      <c r="AR45" s="207">
        <f t="shared" si="14"/>
        <v>0</v>
      </c>
      <c r="AS45" s="207">
        <f t="shared" si="14"/>
        <v>0</v>
      </c>
      <c r="AT45" s="207">
        <f t="shared" si="14"/>
        <v>0</v>
      </c>
      <c r="AU45" s="207">
        <f t="shared" si="14"/>
        <v>0</v>
      </c>
      <c r="AV45" s="207">
        <f t="shared" si="14"/>
        <v>0</v>
      </c>
      <c r="AW45" s="207">
        <f t="shared" si="14"/>
        <v>0</v>
      </c>
      <c r="AX45" s="207">
        <f t="shared" si="14"/>
        <v>0</v>
      </c>
      <c r="AY45" s="207">
        <f t="shared" si="14"/>
        <v>0</v>
      </c>
      <c r="AZ45" s="207">
        <f t="shared" si="14"/>
        <v>0</v>
      </c>
      <c r="BA45" s="207">
        <f t="shared" si="14"/>
        <v>0</v>
      </c>
      <c r="BB45" s="207">
        <f t="shared" si="14"/>
        <v>0</v>
      </c>
      <c r="BC45" s="207">
        <f t="shared" si="14"/>
        <v>0</v>
      </c>
      <c r="BD45" s="207">
        <f t="shared" si="14"/>
        <v>0</v>
      </c>
      <c r="BE45" s="207">
        <f t="shared" si="14"/>
        <v>0</v>
      </c>
    </row>
    <row r="46" spans="2:57" ht="18" x14ac:dyDescent="0.2">
      <c r="B46" s="189">
        <f>B45+1</f>
        <v>5</v>
      </c>
      <c r="C46" s="217" t="s">
        <v>398</v>
      </c>
      <c r="D46" s="218">
        <f>CED</f>
        <v>972.17356799999993</v>
      </c>
      <c r="E46" s="206" t="s">
        <v>3</v>
      </c>
      <c r="F46" s="200" t="s">
        <v>399</v>
      </c>
      <c r="G46" s="219">
        <f>IF(G21=0,0,G45/G21)</f>
        <v>0</v>
      </c>
      <c r="H46" s="220">
        <f>IFERROR(H45/H21,0)</f>
        <v>0</v>
      </c>
      <c r="I46" s="220">
        <f t="shared" ref="I46:BE46" si="15">IFERROR(I45/I21,0)</f>
        <v>0</v>
      </c>
      <c r="J46" s="220">
        <f t="shared" si="15"/>
        <v>0</v>
      </c>
      <c r="K46" s="220">
        <f t="shared" si="15"/>
        <v>0</v>
      </c>
      <c r="L46" s="220">
        <f t="shared" si="15"/>
        <v>0</v>
      </c>
      <c r="M46" s="220">
        <f t="shared" si="15"/>
        <v>0</v>
      </c>
      <c r="N46" s="220">
        <f t="shared" si="15"/>
        <v>0</v>
      </c>
      <c r="O46" s="220">
        <f t="shared" si="15"/>
        <v>0</v>
      </c>
      <c r="P46" s="220">
        <f t="shared" si="15"/>
        <v>0</v>
      </c>
      <c r="Q46" s="220">
        <f t="shared" si="15"/>
        <v>0</v>
      </c>
      <c r="R46" s="220">
        <f t="shared" si="15"/>
        <v>0</v>
      </c>
      <c r="S46" s="220">
        <f t="shared" si="15"/>
        <v>0</v>
      </c>
      <c r="T46" s="220">
        <f t="shared" si="15"/>
        <v>0</v>
      </c>
      <c r="U46" s="220">
        <f t="shared" si="15"/>
        <v>0</v>
      </c>
      <c r="V46" s="220">
        <f t="shared" si="15"/>
        <v>0</v>
      </c>
      <c r="W46" s="220">
        <f t="shared" si="15"/>
        <v>0</v>
      </c>
      <c r="X46" s="220">
        <f t="shared" si="15"/>
        <v>0</v>
      </c>
      <c r="Y46" s="220">
        <f t="shared" si="15"/>
        <v>0</v>
      </c>
      <c r="Z46" s="220">
        <f t="shared" si="15"/>
        <v>0</v>
      </c>
      <c r="AA46" s="220">
        <f t="shared" si="15"/>
        <v>0</v>
      </c>
      <c r="AB46" s="220">
        <f t="shared" si="15"/>
        <v>0</v>
      </c>
      <c r="AC46" s="220">
        <f t="shared" si="15"/>
        <v>0</v>
      </c>
      <c r="AD46" s="220">
        <f t="shared" si="15"/>
        <v>0</v>
      </c>
      <c r="AE46" s="220">
        <f t="shared" si="15"/>
        <v>0</v>
      </c>
      <c r="AF46" s="220">
        <f t="shared" si="15"/>
        <v>0</v>
      </c>
      <c r="AG46" s="220">
        <f t="shared" si="15"/>
        <v>0</v>
      </c>
      <c r="AH46" s="220">
        <f t="shared" si="15"/>
        <v>0</v>
      </c>
      <c r="AI46" s="220">
        <f t="shared" si="15"/>
        <v>0</v>
      </c>
      <c r="AJ46" s="220">
        <f t="shared" si="15"/>
        <v>0</v>
      </c>
      <c r="AK46" s="220">
        <f t="shared" si="15"/>
        <v>0</v>
      </c>
      <c r="AL46" s="220">
        <f t="shared" si="15"/>
        <v>0</v>
      </c>
      <c r="AM46" s="220">
        <f t="shared" si="15"/>
        <v>0</v>
      </c>
      <c r="AN46" s="220">
        <f t="shared" si="15"/>
        <v>0</v>
      </c>
      <c r="AO46" s="220">
        <f t="shared" si="15"/>
        <v>0</v>
      </c>
      <c r="AP46" s="220">
        <f t="shared" si="15"/>
        <v>0</v>
      </c>
      <c r="AQ46" s="220">
        <f t="shared" si="15"/>
        <v>0</v>
      </c>
      <c r="AR46" s="220">
        <f t="shared" si="15"/>
        <v>0</v>
      </c>
      <c r="AS46" s="220">
        <f t="shared" si="15"/>
        <v>0</v>
      </c>
      <c r="AT46" s="220">
        <f t="shared" si="15"/>
        <v>0</v>
      </c>
      <c r="AU46" s="220">
        <f t="shared" si="15"/>
        <v>0</v>
      </c>
      <c r="AV46" s="220">
        <f t="shared" si="15"/>
        <v>0</v>
      </c>
      <c r="AW46" s="220">
        <f t="shared" si="15"/>
        <v>0</v>
      </c>
      <c r="AX46" s="220">
        <f t="shared" si="15"/>
        <v>0</v>
      </c>
      <c r="AY46" s="220">
        <f t="shared" si="15"/>
        <v>0</v>
      </c>
      <c r="AZ46" s="220">
        <f t="shared" si="15"/>
        <v>0</v>
      </c>
      <c r="BA46" s="220">
        <f t="shared" si="15"/>
        <v>0</v>
      </c>
      <c r="BB46" s="220">
        <f t="shared" si="15"/>
        <v>0</v>
      </c>
      <c r="BC46" s="220">
        <f t="shared" si="15"/>
        <v>0</v>
      </c>
      <c r="BD46" s="220">
        <f t="shared" si="15"/>
        <v>0</v>
      </c>
      <c r="BE46" s="220">
        <f t="shared" si="15"/>
        <v>0</v>
      </c>
    </row>
    <row r="47" spans="2:57" ht="18" x14ac:dyDescent="0.2">
      <c r="B47" s="189">
        <f>B46+1</f>
        <v>6</v>
      </c>
      <c r="C47" s="215" t="s">
        <v>217</v>
      </c>
      <c r="D47" s="215"/>
      <c r="E47" s="216" t="s">
        <v>383</v>
      </c>
      <c r="F47" s="200" t="s">
        <v>400</v>
      </c>
      <c r="G47" s="210">
        <f>SUM(H47:BE47)</f>
        <v>0</v>
      </c>
      <c r="H47" s="207">
        <f>H20-H40</f>
        <v>0</v>
      </c>
      <c r="I47" s="207">
        <f t="shared" ref="I47:BE47" si="16">I20-I40</f>
        <v>0</v>
      </c>
      <c r="J47" s="207">
        <f t="shared" si="16"/>
        <v>0</v>
      </c>
      <c r="K47" s="207">
        <f t="shared" si="16"/>
        <v>0</v>
      </c>
      <c r="L47" s="207">
        <f t="shared" si="16"/>
        <v>0</v>
      </c>
      <c r="M47" s="207">
        <f t="shared" si="16"/>
        <v>0</v>
      </c>
      <c r="N47" s="207">
        <f t="shared" si="16"/>
        <v>0</v>
      </c>
      <c r="O47" s="207">
        <f t="shared" si="16"/>
        <v>0</v>
      </c>
      <c r="P47" s="207">
        <f t="shared" si="16"/>
        <v>0</v>
      </c>
      <c r="Q47" s="207">
        <f t="shared" si="16"/>
        <v>0</v>
      </c>
      <c r="R47" s="207">
        <f t="shared" si="16"/>
        <v>0</v>
      </c>
      <c r="S47" s="207">
        <f t="shared" si="16"/>
        <v>0</v>
      </c>
      <c r="T47" s="207">
        <f t="shared" si="16"/>
        <v>0</v>
      </c>
      <c r="U47" s="207">
        <f t="shared" si="16"/>
        <v>0</v>
      </c>
      <c r="V47" s="207">
        <f t="shared" si="16"/>
        <v>0</v>
      </c>
      <c r="W47" s="207">
        <f t="shared" si="16"/>
        <v>0</v>
      </c>
      <c r="X47" s="207">
        <f t="shared" si="16"/>
        <v>0</v>
      </c>
      <c r="Y47" s="207">
        <f t="shared" si="16"/>
        <v>0</v>
      </c>
      <c r="Z47" s="207">
        <f t="shared" si="16"/>
        <v>0</v>
      </c>
      <c r="AA47" s="207">
        <f t="shared" si="16"/>
        <v>0</v>
      </c>
      <c r="AB47" s="207">
        <f t="shared" si="16"/>
        <v>0</v>
      </c>
      <c r="AC47" s="207">
        <f t="shared" si="16"/>
        <v>0</v>
      </c>
      <c r="AD47" s="207">
        <f t="shared" si="16"/>
        <v>0</v>
      </c>
      <c r="AE47" s="207">
        <f t="shared" si="16"/>
        <v>0</v>
      </c>
      <c r="AF47" s="207">
        <f t="shared" si="16"/>
        <v>0</v>
      </c>
      <c r="AG47" s="207">
        <f t="shared" si="16"/>
        <v>0</v>
      </c>
      <c r="AH47" s="207">
        <f t="shared" si="16"/>
        <v>0</v>
      </c>
      <c r="AI47" s="207">
        <f t="shared" si="16"/>
        <v>0</v>
      </c>
      <c r="AJ47" s="207">
        <f t="shared" si="16"/>
        <v>0</v>
      </c>
      <c r="AK47" s="207">
        <f t="shared" si="16"/>
        <v>0</v>
      </c>
      <c r="AL47" s="207">
        <f t="shared" si="16"/>
        <v>0</v>
      </c>
      <c r="AM47" s="207">
        <f t="shared" si="16"/>
        <v>0</v>
      </c>
      <c r="AN47" s="207">
        <f t="shared" si="16"/>
        <v>0</v>
      </c>
      <c r="AO47" s="207">
        <f t="shared" si="16"/>
        <v>0</v>
      </c>
      <c r="AP47" s="207">
        <f t="shared" si="16"/>
        <v>0</v>
      </c>
      <c r="AQ47" s="207">
        <f t="shared" si="16"/>
        <v>0</v>
      </c>
      <c r="AR47" s="207">
        <f t="shared" si="16"/>
        <v>0</v>
      </c>
      <c r="AS47" s="207">
        <f t="shared" si="16"/>
        <v>0</v>
      </c>
      <c r="AT47" s="207">
        <f t="shared" si="16"/>
        <v>0</v>
      </c>
      <c r="AU47" s="207">
        <f t="shared" si="16"/>
        <v>0</v>
      </c>
      <c r="AV47" s="207">
        <f t="shared" si="16"/>
        <v>0</v>
      </c>
      <c r="AW47" s="207">
        <f t="shared" si="16"/>
        <v>0</v>
      </c>
      <c r="AX47" s="207">
        <f t="shared" si="16"/>
        <v>0</v>
      </c>
      <c r="AY47" s="207">
        <f t="shared" si="16"/>
        <v>0</v>
      </c>
      <c r="AZ47" s="207">
        <f t="shared" si="16"/>
        <v>0</v>
      </c>
      <c r="BA47" s="207">
        <f t="shared" si="16"/>
        <v>0</v>
      </c>
      <c r="BB47" s="207">
        <f t="shared" si="16"/>
        <v>0</v>
      </c>
      <c r="BC47" s="207">
        <f t="shared" si="16"/>
        <v>0</v>
      </c>
      <c r="BD47" s="207">
        <f t="shared" si="16"/>
        <v>0</v>
      </c>
      <c r="BE47" s="207">
        <f t="shared" si="16"/>
        <v>0</v>
      </c>
    </row>
    <row r="48" spans="2:57" ht="18" x14ac:dyDescent="0.2">
      <c r="B48" s="189">
        <f>B47+1</f>
        <v>7</v>
      </c>
      <c r="C48" s="217" t="s">
        <v>401</v>
      </c>
      <c r="D48" s="218">
        <f>CEE</f>
        <v>308.04024884085311</v>
      </c>
      <c r="E48" s="206" t="s">
        <v>3</v>
      </c>
      <c r="F48" s="200" t="s">
        <v>402</v>
      </c>
      <c r="G48" s="219">
        <f>IF(G20=0,0,G47/G20)</f>
        <v>0</v>
      </c>
      <c r="H48" s="220">
        <f>IFERROR(H47/H20,0)</f>
        <v>0</v>
      </c>
      <c r="I48" s="220">
        <f t="shared" ref="I48:BE48" si="17">IFERROR(I47/I20,0)</f>
        <v>0</v>
      </c>
      <c r="J48" s="220">
        <f t="shared" si="17"/>
        <v>0</v>
      </c>
      <c r="K48" s="220">
        <f t="shared" si="17"/>
        <v>0</v>
      </c>
      <c r="L48" s="220">
        <f t="shared" si="17"/>
        <v>0</v>
      </c>
      <c r="M48" s="220">
        <f t="shared" si="17"/>
        <v>0</v>
      </c>
      <c r="N48" s="220">
        <f t="shared" si="17"/>
        <v>0</v>
      </c>
      <c r="O48" s="220">
        <f t="shared" si="17"/>
        <v>0</v>
      </c>
      <c r="P48" s="220">
        <f t="shared" si="17"/>
        <v>0</v>
      </c>
      <c r="Q48" s="220">
        <f t="shared" si="17"/>
        <v>0</v>
      </c>
      <c r="R48" s="220">
        <f t="shared" si="17"/>
        <v>0</v>
      </c>
      <c r="S48" s="220">
        <f t="shared" si="17"/>
        <v>0</v>
      </c>
      <c r="T48" s="220">
        <f t="shared" si="17"/>
        <v>0</v>
      </c>
      <c r="U48" s="220">
        <f t="shared" si="17"/>
        <v>0</v>
      </c>
      <c r="V48" s="220">
        <f t="shared" si="17"/>
        <v>0</v>
      </c>
      <c r="W48" s="220">
        <f t="shared" si="17"/>
        <v>0</v>
      </c>
      <c r="X48" s="220">
        <f t="shared" si="17"/>
        <v>0</v>
      </c>
      <c r="Y48" s="220">
        <f t="shared" si="17"/>
        <v>0</v>
      </c>
      <c r="Z48" s="220">
        <f t="shared" si="17"/>
        <v>0</v>
      </c>
      <c r="AA48" s="220">
        <f t="shared" si="17"/>
        <v>0</v>
      </c>
      <c r="AB48" s="220">
        <f t="shared" si="17"/>
        <v>0</v>
      </c>
      <c r="AC48" s="220">
        <f t="shared" si="17"/>
        <v>0</v>
      </c>
      <c r="AD48" s="220">
        <f t="shared" si="17"/>
        <v>0</v>
      </c>
      <c r="AE48" s="220">
        <f t="shared" si="17"/>
        <v>0</v>
      </c>
      <c r="AF48" s="220">
        <f t="shared" si="17"/>
        <v>0</v>
      </c>
      <c r="AG48" s="220">
        <f t="shared" si="17"/>
        <v>0</v>
      </c>
      <c r="AH48" s="220">
        <f t="shared" si="17"/>
        <v>0</v>
      </c>
      <c r="AI48" s="220">
        <f t="shared" si="17"/>
        <v>0</v>
      </c>
      <c r="AJ48" s="220">
        <f t="shared" si="17"/>
        <v>0</v>
      </c>
      <c r="AK48" s="220">
        <f t="shared" si="17"/>
        <v>0</v>
      </c>
      <c r="AL48" s="220">
        <f t="shared" si="17"/>
        <v>0</v>
      </c>
      <c r="AM48" s="220">
        <f t="shared" si="17"/>
        <v>0</v>
      </c>
      <c r="AN48" s="220">
        <f t="shared" si="17"/>
        <v>0</v>
      </c>
      <c r="AO48" s="220">
        <f t="shared" si="17"/>
        <v>0</v>
      </c>
      <c r="AP48" s="220">
        <f t="shared" si="17"/>
        <v>0</v>
      </c>
      <c r="AQ48" s="220">
        <f t="shared" si="17"/>
        <v>0</v>
      </c>
      <c r="AR48" s="220">
        <f t="shared" si="17"/>
        <v>0</v>
      </c>
      <c r="AS48" s="220">
        <f t="shared" si="17"/>
        <v>0</v>
      </c>
      <c r="AT48" s="220">
        <f t="shared" si="17"/>
        <v>0</v>
      </c>
      <c r="AU48" s="220">
        <f t="shared" si="17"/>
        <v>0</v>
      </c>
      <c r="AV48" s="220">
        <f t="shared" si="17"/>
        <v>0</v>
      </c>
      <c r="AW48" s="220">
        <f t="shared" si="17"/>
        <v>0</v>
      </c>
      <c r="AX48" s="220">
        <f t="shared" si="17"/>
        <v>0</v>
      </c>
      <c r="AY48" s="220">
        <f t="shared" si="17"/>
        <v>0</v>
      </c>
      <c r="AZ48" s="220">
        <f t="shared" si="17"/>
        <v>0</v>
      </c>
      <c r="BA48" s="220">
        <f t="shared" si="17"/>
        <v>0</v>
      </c>
      <c r="BB48" s="220">
        <f t="shared" si="17"/>
        <v>0</v>
      </c>
      <c r="BC48" s="220">
        <f t="shared" si="17"/>
        <v>0</v>
      </c>
      <c r="BD48" s="220">
        <f t="shared" si="17"/>
        <v>0</v>
      </c>
      <c r="BE48" s="220">
        <f t="shared" si="17"/>
        <v>0</v>
      </c>
    </row>
    <row r="49" spans="2:57" ht="18" x14ac:dyDescent="0.2">
      <c r="B49" s="221"/>
      <c r="C49" s="222" t="s">
        <v>731</v>
      </c>
      <c r="D49" s="222"/>
      <c r="E49" s="223" t="s">
        <v>2</v>
      </c>
      <c r="F49" s="224" t="s">
        <v>518</v>
      </c>
      <c r="G49" s="225">
        <f>SUM(H49:BE49)</f>
        <v>0</v>
      </c>
      <c r="H49" s="226">
        <f>H45*$D$46+H47*$D$48</f>
        <v>0</v>
      </c>
      <c r="I49" s="226">
        <f t="shared" ref="I49:BE49" si="18">I45*$D$46+I47*$D$48</f>
        <v>0</v>
      </c>
      <c r="J49" s="226">
        <f t="shared" si="18"/>
        <v>0</v>
      </c>
      <c r="K49" s="226">
        <f t="shared" si="18"/>
        <v>0</v>
      </c>
      <c r="L49" s="226">
        <f t="shared" si="18"/>
        <v>0</v>
      </c>
      <c r="M49" s="226">
        <f t="shared" si="18"/>
        <v>0</v>
      </c>
      <c r="N49" s="226">
        <f t="shared" si="18"/>
        <v>0</v>
      </c>
      <c r="O49" s="226">
        <f t="shared" si="18"/>
        <v>0</v>
      </c>
      <c r="P49" s="226">
        <f t="shared" si="18"/>
        <v>0</v>
      </c>
      <c r="Q49" s="226">
        <f t="shared" si="18"/>
        <v>0</v>
      </c>
      <c r="R49" s="226">
        <f t="shared" si="18"/>
        <v>0</v>
      </c>
      <c r="S49" s="226">
        <f t="shared" si="18"/>
        <v>0</v>
      </c>
      <c r="T49" s="226">
        <f t="shared" si="18"/>
        <v>0</v>
      </c>
      <c r="U49" s="226">
        <f t="shared" si="18"/>
        <v>0</v>
      </c>
      <c r="V49" s="226">
        <f t="shared" si="18"/>
        <v>0</v>
      </c>
      <c r="W49" s="226">
        <f t="shared" si="18"/>
        <v>0</v>
      </c>
      <c r="X49" s="226">
        <f t="shared" si="18"/>
        <v>0</v>
      </c>
      <c r="Y49" s="226">
        <f t="shared" si="18"/>
        <v>0</v>
      </c>
      <c r="Z49" s="226">
        <f t="shared" si="18"/>
        <v>0</v>
      </c>
      <c r="AA49" s="226">
        <f t="shared" si="18"/>
        <v>0</v>
      </c>
      <c r="AB49" s="226">
        <f t="shared" si="18"/>
        <v>0</v>
      </c>
      <c r="AC49" s="226">
        <f t="shared" si="18"/>
        <v>0</v>
      </c>
      <c r="AD49" s="226">
        <f t="shared" si="18"/>
        <v>0</v>
      </c>
      <c r="AE49" s="226">
        <f t="shared" si="18"/>
        <v>0</v>
      </c>
      <c r="AF49" s="226">
        <f t="shared" si="18"/>
        <v>0</v>
      </c>
      <c r="AG49" s="226">
        <f t="shared" si="18"/>
        <v>0</v>
      </c>
      <c r="AH49" s="226">
        <f t="shared" si="18"/>
        <v>0</v>
      </c>
      <c r="AI49" s="226">
        <f t="shared" si="18"/>
        <v>0</v>
      </c>
      <c r="AJ49" s="226">
        <f t="shared" si="18"/>
        <v>0</v>
      </c>
      <c r="AK49" s="226">
        <f t="shared" si="18"/>
        <v>0</v>
      </c>
      <c r="AL49" s="226">
        <f t="shared" si="18"/>
        <v>0</v>
      </c>
      <c r="AM49" s="226">
        <f t="shared" si="18"/>
        <v>0</v>
      </c>
      <c r="AN49" s="226">
        <f t="shared" si="18"/>
        <v>0</v>
      </c>
      <c r="AO49" s="226">
        <f t="shared" si="18"/>
        <v>0</v>
      </c>
      <c r="AP49" s="226">
        <f t="shared" si="18"/>
        <v>0</v>
      </c>
      <c r="AQ49" s="226">
        <f t="shared" si="18"/>
        <v>0</v>
      </c>
      <c r="AR49" s="226">
        <f t="shared" si="18"/>
        <v>0</v>
      </c>
      <c r="AS49" s="226">
        <f t="shared" si="18"/>
        <v>0</v>
      </c>
      <c r="AT49" s="226">
        <f t="shared" si="18"/>
        <v>0</v>
      </c>
      <c r="AU49" s="226">
        <f t="shared" si="18"/>
        <v>0</v>
      </c>
      <c r="AV49" s="226">
        <f t="shared" si="18"/>
        <v>0</v>
      </c>
      <c r="AW49" s="226">
        <f t="shared" si="18"/>
        <v>0</v>
      </c>
      <c r="AX49" s="226">
        <f t="shared" si="18"/>
        <v>0</v>
      </c>
      <c r="AY49" s="226">
        <f t="shared" si="18"/>
        <v>0</v>
      </c>
      <c r="AZ49" s="226">
        <f t="shared" si="18"/>
        <v>0</v>
      </c>
      <c r="BA49" s="226">
        <f t="shared" si="18"/>
        <v>0</v>
      </c>
      <c r="BB49" s="226">
        <f t="shared" si="18"/>
        <v>0</v>
      </c>
      <c r="BC49" s="226">
        <f t="shared" si="18"/>
        <v>0</v>
      </c>
      <c r="BD49" s="226">
        <f t="shared" si="18"/>
        <v>0</v>
      </c>
      <c r="BE49" s="226">
        <f t="shared" si="18"/>
        <v>0</v>
      </c>
    </row>
    <row r="51" spans="2:57" ht="18" x14ac:dyDescent="0.35">
      <c r="E51" s="182" t="s">
        <v>456</v>
      </c>
      <c r="F51" s="183"/>
      <c r="G51" s="184">
        <f>RCB!G7</f>
        <v>0</v>
      </c>
    </row>
    <row r="52" spans="2:57" ht="18" x14ac:dyDescent="0.35">
      <c r="E52" s="182" t="s">
        <v>297</v>
      </c>
      <c r="F52" s="183"/>
      <c r="G52" s="184">
        <f>RCB!J7</f>
        <v>0</v>
      </c>
    </row>
    <row r="53" spans="2:57" x14ac:dyDescent="0.2">
      <c r="E53" s="424"/>
      <c r="F53" s="424"/>
    </row>
    <row r="54" spans="2:57" x14ac:dyDescent="0.2">
      <c r="H54" s="427"/>
      <c r="I54" s="427"/>
    </row>
    <row r="55" spans="2:57" x14ac:dyDescent="0.2">
      <c r="B55" s="1198" t="s">
        <v>783</v>
      </c>
      <c r="C55" s="1198"/>
      <c r="D55" s="1198"/>
      <c r="E55" s="1198"/>
      <c r="F55" s="1198"/>
      <c r="G55" s="227"/>
      <c r="H55" s="228"/>
      <c r="I55" s="228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227"/>
      <c r="BC55" s="227"/>
      <c r="BD55" s="227"/>
      <c r="BE55" s="227"/>
    </row>
    <row r="56" spans="2:57" x14ac:dyDescent="0.2">
      <c r="B56" s="229"/>
      <c r="C56" s="230"/>
      <c r="D56" s="231"/>
      <c r="E56" s="232"/>
      <c r="F56" s="233"/>
      <c r="G56" s="234" t="s">
        <v>31</v>
      </c>
      <c r="H56" s="235" t="s">
        <v>457</v>
      </c>
      <c r="I56" s="235" t="s">
        <v>458</v>
      </c>
      <c r="J56" s="235" t="s">
        <v>459</v>
      </c>
      <c r="K56" s="235" t="s">
        <v>460</v>
      </c>
      <c r="L56" s="235" t="s">
        <v>461</v>
      </c>
      <c r="M56" s="235" t="s">
        <v>462</v>
      </c>
      <c r="N56" s="235" t="s">
        <v>463</v>
      </c>
      <c r="O56" s="235" t="s">
        <v>464</v>
      </c>
      <c r="P56" s="235" t="s">
        <v>465</v>
      </c>
      <c r="Q56" s="235" t="s">
        <v>466</v>
      </c>
      <c r="R56" s="235" t="s">
        <v>467</v>
      </c>
      <c r="S56" s="235" t="s">
        <v>468</v>
      </c>
      <c r="T56" s="235" t="s">
        <v>469</v>
      </c>
      <c r="U56" s="235" t="s">
        <v>470</v>
      </c>
      <c r="V56" s="235" t="s">
        <v>471</v>
      </c>
      <c r="W56" s="235" t="s">
        <v>472</v>
      </c>
      <c r="X56" s="235" t="s">
        <v>473</v>
      </c>
      <c r="Y56" s="235" t="s">
        <v>474</v>
      </c>
      <c r="Z56" s="235" t="s">
        <v>475</v>
      </c>
      <c r="AA56" s="235" t="s">
        <v>476</v>
      </c>
      <c r="AB56" s="235" t="s">
        <v>477</v>
      </c>
      <c r="AC56" s="235" t="s">
        <v>478</v>
      </c>
      <c r="AD56" s="235" t="s">
        <v>479</v>
      </c>
      <c r="AE56" s="235" t="s">
        <v>480</v>
      </c>
      <c r="AF56" s="235" t="s">
        <v>481</v>
      </c>
      <c r="AG56" s="235" t="s">
        <v>482</v>
      </c>
      <c r="AH56" s="235" t="s">
        <v>483</v>
      </c>
      <c r="AI56" s="235" t="s">
        <v>484</v>
      </c>
      <c r="AJ56" s="235" t="s">
        <v>485</v>
      </c>
      <c r="AK56" s="235" t="s">
        <v>486</v>
      </c>
      <c r="AL56" s="235" t="s">
        <v>487</v>
      </c>
      <c r="AM56" s="235" t="s">
        <v>488</v>
      </c>
      <c r="AN56" s="235" t="s">
        <v>489</v>
      </c>
      <c r="AO56" s="235" t="s">
        <v>490</v>
      </c>
      <c r="AP56" s="235" t="s">
        <v>491</v>
      </c>
      <c r="AQ56" s="235" t="s">
        <v>492</v>
      </c>
      <c r="AR56" s="235" t="s">
        <v>493</v>
      </c>
      <c r="AS56" s="235" t="s">
        <v>494</v>
      </c>
      <c r="AT56" s="235" t="s">
        <v>495</v>
      </c>
      <c r="AU56" s="235" t="s">
        <v>496</v>
      </c>
      <c r="AV56" s="235" t="s">
        <v>497</v>
      </c>
      <c r="AW56" s="235" t="s">
        <v>498</v>
      </c>
      <c r="AX56" s="235" t="s">
        <v>499</v>
      </c>
      <c r="AY56" s="235" t="s">
        <v>500</v>
      </c>
      <c r="AZ56" s="235" t="s">
        <v>501</v>
      </c>
      <c r="BA56" s="235" t="s">
        <v>502</v>
      </c>
      <c r="BB56" s="235" t="s">
        <v>503</v>
      </c>
      <c r="BC56" s="235" t="s">
        <v>504</v>
      </c>
      <c r="BD56" s="235" t="s">
        <v>505</v>
      </c>
      <c r="BE56" s="235" t="s">
        <v>506</v>
      </c>
    </row>
    <row r="57" spans="2:57" x14ac:dyDescent="0.2">
      <c r="B57" s="229">
        <f>B48+1</f>
        <v>8</v>
      </c>
      <c r="C57" s="236" t="s">
        <v>371</v>
      </c>
      <c r="D57" s="236"/>
      <c r="E57" s="237" t="s">
        <v>372</v>
      </c>
      <c r="F57" s="238"/>
      <c r="G57" s="239"/>
      <c r="H57" s="240">
        <f>H32</f>
        <v>0</v>
      </c>
      <c r="I57" s="240">
        <f t="shared" ref="I57:BE57" si="19">I32</f>
        <v>0</v>
      </c>
      <c r="J57" s="240">
        <f t="shared" si="19"/>
        <v>0</v>
      </c>
      <c r="K57" s="240">
        <f t="shared" si="19"/>
        <v>0</v>
      </c>
      <c r="L57" s="240">
        <f t="shared" si="19"/>
        <v>0</v>
      </c>
      <c r="M57" s="240">
        <f t="shared" si="19"/>
        <v>0</v>
      </c>
      <c r="N57" s="240">
        <f t="shared" si="19"/>
        <v>0</v>
      </c>
      <c r="O57" s="240">
        <f t="shared" si="19"/>
        <v>0</v>
      </c>
      <c r="P57" s="240">
        <f t="shared" si="19"/>
        <v>0</v>
      </c>
      <c r="Q57" s="240">
        <f t="shared" si="19"/>
        <v>0</v>
      </c>
      <c r="R57" s="240">
        <f t="shared" si="19"/>
        <v>0</v>
      </c>
      <c r="S57" s="240">
        <f t="shared" si="19"/>
        <v>0</v>
      </c>
      <c r="T57" s="240">
        <f t="shared" si="19"/>
        <v>0</v>
      </c>
      <c r="U57" s="240">
        <f t="shared" si="19"/>
        <v>0</v>
      </c>
      <c r="V57" s="240">
        <f t="shared" si="19"/>
        <v>0</v>
      </c>
      <c r="W57" s="240">
        <f t="shared" si="19"/>
        <v>0</v>
      </c>
      <c r="X57" s="240">
        <f t="shared" si="19"/>
        <v>0</v>
      </c>
      <c r="Y57" s="240">
        <f t="shared" si="19"/>
        <v>0</v>
      </c>
      <c r="Z57" s="240">
        <f t="shared" si="19"/>
        <v>0</v>
      </c>
      <c r="AA57" s="240">
        <f t="shared" si="19"/>
        <v>0</v>
      </c>
      <c r="AB57" s="240">
        <f t="shared" si="19"/>
        <v>0</v>
      </c>
      <c r="AC57" s="240">
        <f t="shared" si="19"/>
        <v>0</v>
      </c>
      <c r="AD57" s="240">
        <f t="shared" si="19"/>
        <v>0</v>
      </c>
      <c r="AE57" s="240">
        <f t="shared" si="19"/>
        <v>0</v>
      </c>
      <c r="AF57" s="240">
        <f t="shared" si="19"/>
        <v>0</v>
      </c>
      <c r="AG57" s="240">
        <f t="shared" si="19"/>
        <v>0</v>
      </c>
      <c r="AH57" s="240">
        <f t="shared" si="19"/>
        <v>0</v>
      </c>
      <c r="AI57" s="240">
        <f t="shared" si="19"/>
        <v>0</v>
      </c>
      <c r="AJ57" s="240">
        <f t="shared" si="19"/>
        <v>0</v>
      </c>
      <c r="AK57" s="240">
        <f t="shared" si="19"/>
        <v>0</v>
      </c>
      <c r="AL57" s="240">
        <f t="shared" si="19"/>
        <v>0</v>
      </c>
      <c r="AM57" s="240">
        <f t="shared" si="19"/>
        <v>0</v>
      </c>
      <c r="AN57" s="240">
        <f t="shared" si="19"/>
        <v>0</v>
      </c>
      <c r="AO57" s="240">
        <f t="shared" si="19"/>
        <v>0</v>
      </c>
      <c r="AP57" s="240">
        <f t="shared" si="19"/>
        <v>0</v>
      </c>
      <c r="AQ57" s="240">
        <f t="shared" si="19"/>
        <v>0</v>
      </c>
      <c r="AR57" s="240">
        <f t="shared" si="19"/>
        <v>0</v>
      </c>
      <c r="AS57" s="240">
        <f t="shared" si="19"/>
        <v>0</v>
      </c>
      <c r="AT57" s="240">
        <f t="shared" si="19"/>
        <v>0</v>
      </c>
      <c r="AU57" s="240">
        <f t="shared" si="19"/>
        <v>0</v>
      </c>
      <c r="AV57" s="240">
        <f t="shared" si="19"/>
        <v>0</v>
      </c>
      <c r="AW57" s="240">
        <f t="shared" si="19"/>
        <v>0</v>
      </c>
      <c r="AX57" s="240">
        <f t="shared" si="19"/>
        <v>0</v>
      </c>
      <c r="AY57" s="240">
        <f t="shared" si="19"/>
        <v>0</v>
      </c>
      <c r="AZ57" s="240">
        <f t="shared" si="19"/>
        <v>0</v>
      </c>
      <c r="BA57" s="240">
        <f t="shared" si="19"/>
        <v>0</v>
      </c>
      <c r="BB57" s="240">
        <f t="shared" si="19"/>
        <v>0</v>
      </c>
      <c r="BC57" s="240">
        <f t="shared" si="19"/>
        <v>0</v>
      </c>
      <c r="BD57" s="240">
        <f t="shared" si="19"/>
        <v>0</v>
      </c>
      <c r="BE57" s="240">
        <f t="shared" si="19"/>
        <v>0</v>
      </c>
    </row>
    <row r="58" spans="2:57" x14ac:dyDescent="0.2">
      <c r="B58" s="229">
        <f>B57+1</f>
        <v>9</v>
      </c>
      <c r="C58" s="236" t="s">
        <v>408</v>
      </c>
      <c r="D58" s="236"/>
      <c r="E58" s="241">
        <v>22</v>
      </c>
      <c r="F58" s="242"/>
      <c r="G58" s="239"/>
      <c r="H58" s="240">
        <f>H36</f>
        <v>0</v>
      </c>
      <c r="I58" s="240">
        <f t="shared" ref="I58:BE58" si="20">I36</f>
        <v>0</v>
      </c>
      <c r="J58" s="240">
        <f t="shared" si="20"/>
        <v>0</v>
      </c>
      <c r="K58" s="240">
        <f t="shared" si="20"/>
        <v>0</v>
      </c>
      <c r="L58" s="240">
        <f t="shared" si="20"/>
        <v>0</v>
      </c>
      <c r="M58" s="240">
        <f t="shared" si="20"/>
        <v>0</v>
      </c>
      <c r="N58" s="240">
        <f t="shared" si="20"/>
        <v>0</v>
      </c>
      <c r="O58" s="240">
        <f t="shared" si="20"/>
        <v>0</v>
      </c>
      <c r="P58" s="240">
        <f t="shared" si="20"/>
        <v>0</v>
      </c>
      <c r="Q58" s="240">
        <f t="shared" si="20"/>
        <v>0</v>
      </c>
      <c r="R58" s="240">
        <f t="shared" si="20"/>
        <v>0</v>
      </c>
      <c r="S58" s="240">
        <f t="shared" si="20"/>
        <v>0</v>
      </c>
      <c r="T58" s="240">
        <f t="shared" si="20"/>
        <v>0</v>
      </c>
      <c r="U58" s="240">
        <f t="shared" si="20"/>
        <v>0</v>
      </c>
      <c r="V58" s="240">
        <f t="shared" si="20"/>
        <v>0</v>
      </c>
      <c r="W58" s="240">
        <f t="shared" si="20"/>
        <v>0</v>
      </c>
      <c r="X58" s="240">
        <f t="shared" si="20"/>
        <v>0</v>
      </c>
      <c r="Y58" s="240">
        <f t="shared" si="20"/>
        <v>0</v>
      </c>
      <c r="Z58" s="240">
        <f t="shared" si="20"/>
        <v>0</v>
      </c>
      <c r="AA58" s="240">
        <f t="shared" si="20"/>
        <v>0</v>
      </c>
      <c r="AB58" s="240">
        <f t="shared" si="20"/>
        <v>0</v>
      </c>
      <c r="AC58" s="240">
        <f t="shared" si="20"/>
        <v>0</v>
      </c>
      <c r="AD58" s="240">
        <f t="shared" si="20"/>
        <v>0</v>
      </c>
      <c r="AE58" s="240">
        <f t="shared" si="20"/>
        <v>0</v>
      </c>
      <c r="AF58" s="240">
        <f t="shared" si="20"/>
        <v>0</v>
      </c>
      <c r="AG58" s="240">
        <f t="shared" si="20"/>
        <v>0</v>
      </c>
      <c r="AH58" s="240">
        <f t="shared" si="20"/>
        <v>0</v>
      </c>
      <c r="AI58" s="240">
        <f t="shared" si="20"/>
        <v>0</v>
      </c>
      <c r="AJ58" s="240">
        <f t="shared" si="20"/>
        <v>0</v>
      </c>
      <c r="AK58" s="240">
        <f t="shared" si="20"/>
        <v>0</v>
      </c>
      <c r="AL58" s="240">
        <f t="shared" si="20"/>
        <v>0</v>
      </c>
      <c r="AM58" s="240">
        <f t="shared" si="20"/>
        <v>0</v>
      </c>
      <c r="AN58" s="240">
        <f t="shared" si="20"/>
        <v>0</v>
      </c>
      <c r="AO58" s="240">
        <f t="shared" si="20"/>
        <v>0</v>
      </c>
      <c r="AP58" s="240">
        <f t="shared" si="20"/>
        <v>0</v>
      </c>
      <c r="AQ58" s="240">
        <f t="shared" si="20"/>
        <v>0</v>
      </c>
      <c r="AR58" s="240">
        <f t="shared" si="20"/>
        <v>0</v>
      </c>
      <c r="AS58" s="240">
        <f t="shared" si="20"/>
        <v>0</v>
      </c>
      <c r="AT58" s="240">
        <f t="shared" si="20"/>
        <v>0</v>
      </c>
      <c r="AU58" s="240">
        <f t="shared" si="20"/>
        <v>0</v>
      </c>
      <c r="AV58" s="240">
        <f t="shared" si="20"/>
        <v>0</v>
      </c>
      <c r="AW58" s="240">
        <f t="shared" si="20"/>
        <v>0</v>
      </c>
      <c r="AX58" s="240">
        <f t="shared" si="20"/>
        <v>0</v>
      </c>
      <c r="AY58" s="240">
        <f t="shared" si="20"/>
        <v>0</v>
      </c>
      <c r="AZ58" s="240">
        <f t="shared" si="20"/>
        <v>0</v>
      </c>
      <c r="BA58" s="240">
        <f t="shared" si="20"/>
        <v>0</v>
      </c>
      <c r="BB58" s="240">
        <f t="shared" si="20"/>
        <v>0</v>
      </c>
      <c r="BC58" s="240">
        <f t="shared" si="20"/>
        <v>0</v>
      </c>
      <c r="BD58" s="240">
        <f t="shared" si="20"/>
        <v>0</v>
      </c>
      <c r="BE58" s="240">
        <f t="shared" si="20"/>
        <v>0</v>
      </c>
    </row>
    <row r="59" spans="2:57" x14ac:dyDescent="0.2">
      <c r="B59" s="229">
        <f t="shared" ref="B59:B68" si="21">B58+1</f>
        <v>10</v>
      </c>
      <c r="C59" s="236" t="s">
        <v>409</v>
      </c>
      <c r="D59" s="236"/>
      <c r="E59" s="241">
        <v>3</v>
      </c>
      <c r="F59" s="242"/>
      <c r="G59" s="239"/>
      <c r="H59" s="240">
        <f>H37</f>
        <v>0</v>
      </c>
      <c r="I59" s="240">
        <f t="shared" ref="I59:BE59" si="22">I37</f>
        <v>0</v>
      </c>
      <c r="J59" s="240">
        <f t="shared" si="22"/>
        <v>0</v>
      </c>
      <c r="K59" s="240">
        <f t="shared" si="22"/>
        <v>0</v>
      </c>
      <c r="L59" s="240">
        <f t="shared" si="22"/>
        <v>0</v>
      </c>
      <c r="M59" s="240">
        <f t="shared" si="22"/>
        <v>0</v>
      </c>
      <c r="N59" s="240">
        <f t="shared" si="22"/>
        <v>0</v>
      </c>
      <c r="O59" s="240">
        <f t="shared" si="22"/>
        <v>0</v>
      </c>
      <c r="P59" s="240">
        <f t="shared" si="22"/>
        <v>0</v>
      </c>
      <c r="Q59" s="240">
        <f t="shared" si="22"/>
        <v>0</v>
      </c>
      <c r="R59" s="240">
        <f t="shared" si="22"/>
        <v>0</v>
      </c>
      <c r="S59" s="240">
        <f t="shared" si="22"/>
        <v>0</v>
      </c>
      <c r="T59" s="240">
        <f t="shared" si="22"/>
        <v>0</v>
      </c>
      <c r="U59" s="240">
        <f t="shared" si="22"/>
        <v>0</v>
      </c>
      <c r="V59" s="240">
        <f t="shared" si="22"/>
        <v>0</v>
      </c>
      <c r="W59" s="240">
        <f t="shared" si="22"/>
        <v>0</v>
      </c>
      <c r="X59" s="240">
        <f t="shared" si="22"/>
        <v>0</v>
      </c>
      <c r="Y59" s="240">
        <f t="shared" si="22"/>
        <v>0</v>
      </c>
      <c r="Z59" s="240">
        <f t="shared" si="22"/>
        <v>0</v>
      </c>
      <c r="AA59" s="240">
        <f t="shared" si="22"/>
        <v>0</v>
      </c>
      <c r="AB59" s="240">
        <f t="shared" si="22"/>
        <v>0</v>
      </c>
      <c r="AC59" s="240">
        <f t="shared" si="22"/>
        <v>0</v>
      </c>
      <c r="AD59" s="240">
        <f t="shared" si="22"/>
        <v>0</v>
      </c>
      <c r="AE59" s="240">
        <f t="shared" si="22"/>
        <v>0</v>
      </c>
      <c r="AF59" s="240">
        <f t="shared" si="22"/>
        <v>0</v>
      </c>
      <c r="AG59" s="240">
        <f t="shared" si="22"/>
        <v>0</v>
      </c>
      <c r="AH59" s="240">
        <f t="shared" si="22"/>
        <v>0</v>
      </c>
      <c r="AI59" s="240">
        <f t="shared" si="22"/>
        <v>0</v>
      </c>
      <c r="AJ59" s="240">
        <f t="shared" si="22"/>
        <v>0</v>
      </c>
      <c r="AK59" s="240">
        <f t="shared" si="22"/>
        <v>0</v>
      </c>
      <c r="AL59" s="240">
        <f t="shared" si="22"/>
        <v>0</v>
      </c>
      <c r="AM59" s="240">
        <f t="shared" si="22"/>
        <v>0</v>
      </c>
      <c r="AN59" s="240">
        <f t="shared" si="22"/>
        <v>0</v>
      </c>
      <c r="AO59" s="240">
        <f t="shared" si="22"/>
        <v>0</v>
      </c>
      <c r="AP59" s="240">
        <f t="shared" si="22"/>
        <v>0</v>
      </c>
      <c r="AQ59" s="240">
        <f t="shared" si="22"/>
        <v>0</v>
      </c>
      <c r="AR59" s="240">
        <f t="shared" si="22"/>
        <v>0</v>
      </c>
      <c r="AS59" s="240">
        <f t="shared" si="22"/>
        <v>0</v>
      </c>
      <c r="AT59" s="240">
        <f t="shared" si="22"/>
        <v>0</v>
      </c>
      <c r="AU59" s="240">
        <f t="shared" si="22"/>
        <v>0</v>
      </c>
      <c r="AV59" s="240">
        <f t="shared" si="22"/>
        <v>0</v>
      </c>
      <c r="AW59" s="240">
        <f t="shared" si="22"/>
        <v>0</v>
      </c>
      <c r="AX59" s="240">
        <f t="shared" si="22"/>
        <v>0</v>
      </c>
      <c r="AY59" s="240">
        <f t="shared" si="22"/>
        <v>0</v>
      </c>
      <c r="AZ59" s="240">
        <f t="shared" si="22"/>
        <v>0</v>
      </c>
      <c r="BA59" s="240">
        <f t="shared" si="22"/>
        <v>0</v>
      </c>
      <c r="BB59" s="240">
        <f t="shared" si="22"/>
        <v>0</v>
      </c>
      <c r="BC59" s="240">
        <f t="shared" si="22"/>
        <v>0</v>
      </c>
      <c r="BD59" s="240">
        <f t="shared" si="22"/>
        <v>0</v>
      </c>
      <c r="BE59" s="240">
        <f t="shared" si="22"/>
        <v>0</v>
      </c>
    </row>
    <row r="60" spans="2:57" x14ac:dyDescent="0.2">
      <c r="B60" s="229">
        <f t="shared" si="21"/>
        <v>11</v>
      </c>
      <c r="C60" s="236" t="s">
        <v>410</v>
      </c>
      <c r="D60" s="236"/>
      <c r="E60" s="237" t="s">
        <v>3</v>
      </c>
      <c r="F60" s="238"/>
      <c r="G60" s="243"/>
      <c r="H60" s="244">
        <f>H58/30</f>
        <v>0</v>
      </c>
      <c r="I60" s="244">
        <f t="shared" ref="I60:BE60" si="23">I58/30</f>
        <v>0</v>
      </c>
      <c r="J60" s="244">
        <f t="shared" si="23"/>
        <v>0</v>
      </c>
      <c r="K60" s="244">
        <f t="shared" si="23"/>
        <v>0</v>
      </c>
      <c r="L60" s="244">
        <f t="shared" si="23"/>
        <v>0</v>
      </c>
      <c r="M60" s="244">
        <f t="shared" si="23"/>
        <v>0</v>
      </c>
      <c r="N60" s="244">
        <f t="shared" si="23"/>
        <v>0</v>
      </c>
      <c r="O60" s="244">
        <f t="shared" si="23"/>
        <v>0</v>
      </c>
      <c r="P60" s="244">
        <f t="shared" si="23"/>
        <v>0</v>
      </c>
      <c r="Q60" s="244">
        <f t="shared" si="23"/>
        <v>0</v>
      </c>
      <c r="R60" s="244">
        <f t="shared" si="23"/>
        <v>0</v>
      </c>
      <c r="S60" s="244">
        <f t="shared" si="23"/>
        <v>0</v>
      </c>
      <c r="T60" s="244">
        <f t="shared" si="23"/>
        <v>0</v>
      </c>
      <c r="U60" s="244">
        <f t="shared" si="23"/>
        <v>0</v>
      </c>
      <c r="V60" s="244">
        <f t="shared" si="23"/>
        <v>0</v>
      </c>
      <c r="W60" s="244">
        <f t="shared" si="23"/>
        <v>0</v>
      </c>
      <c r="X60" s="244">
        <f t="shared" si="23"/>
        <v>0</v>
      </c>
      <c r="Y60" s="244">
        <f t="shared" si="23"/>
        <v>0</v>
      </c>
      <c r="Z60" s="244">
        <f t="shared" si="23"/>
        <v>0</v>
      </c>
      <c r="AA60" s="244">
        <f t="shared" si="23"/>
        <v>0</v>
      </c>
      <c r="AB60" s="244">
        <f t="shared" si="23"/>
        <v>0</v>
      </c>
      <c r="AC60" s="244">
        <f t="shared" si="23"/>
        <v>0</v>
      </c>
      <c r="AD60" s="244">
        <f t="shared" si="23"/>
        <v>0</v>
      </c>
      <c r="AE60" s="244">
        <f t="shared" si="23"/>
        <v>0</v>
      </c>
      <c r="AF60" s="244">
        <f t="shared" si="23"/>
        <v>0</v>
      </c>
      <c r="AG60" s="244">
        <f t="shared" si="23"/>
        <v>0</v>
      </c>
      <c r="AH60" s="244">
        <f t="shared" si="23"/>
        <v>0</v>
      </c>
      <c r="AI60" s="244">
        <f t="shared" si="23"/>
        <v>0</v>
      </c>
      <c r="AJ60" s="244">
        <f t="shared" si="23"/>
        <v>0</v>
      </c>
      <c r="AK60" s="244">
        <f t="shared" si="23"/>
        <v>0</v>
      </c>
      <c r="AL60" s="244">
        <f t="shared" si="23"/>
        <v>0</v>
      </c>
      <c r="AM60" s="244">
        <f t="shared" si="23"/>
        <v>0</v>
      </c>
      <c r="AN60" s="244">
        <f t="shared" si="23"/>
        <v>0</v>
      </c>
      <c r="AO60" s="244">
        <f t="shared" si="23"/>
        <v>0</v>
      </c>
      <c r="AP60" s="244">
        <f t="shared" si="23"/>
        <v>0</v>
      </c>
      <c r="AQ60" s="244">
        <f t="shared" si="23"/>
        <v>0</v>
      </c>
      <c r="AR60" s="244">
        <f t="shared" si="23"/>
        <v>0</v>
      </c>
      <c r="AS60" s="244">
        <f t="shared" si="23"/>
        <v>0</v>
      </c>
      <c r="AT60" s="244">
        <f t="shared" si="23"/>
        <v>0</v>
      </c>
      <c r="AU60" s="244">
        <f t="shared" si="23"/>
        <v>0</v>
      </c>
      <c r="AV60" s="244">
        <f t="shared" si="23"/>
        <v>0</v>
      </c>
      <c r="AW60" s="244">
        <f t="shared" si="23"/>
        <v>0</v>
      </c>
      <c r="AX60" s="244">
        <f t="shared" si="23"/>
        <v>0</v>
      </c>
      <c r="AY60" s="244">
        <f t="shared" si="23"/>
        <v>0</v>
      </c>
      <c r="AZ60" s="244">
        <f t="shared" si="23"/>
        <v>0</v>
      </c>
      <c r="BA60" s="244">
        <f t="shared" si="23"/>
        <v>0</v>
      </c>
      <c r="BB60" s="244">
        <f t="shared" si="23"/>
        <v>0</v>
      </c>
      <c r="BC60" s="244">
        <f t="shared" si="23"/>
        <v>0</v>
      </c>
      <c r="BD60" s="244">
        <f t="shared" si="23"/>
        <v>0</v>
      </c>
      <c r="BE60" s="244">
        <f t="shared" si="23"/>
        <v>0</v>
      </c>
    </row>
    <row r="61" spans="2:57" x14ac:dyDescent="0.2">
      <c r="B61" s="229">
        <f t="shared" si="21"/>
        <v>12</v>
      </c>
      <c r="C61" s="236" t="s">
        <v>411</v>
      </c>
      <c r="D61" s="236"/>
      <c r="E61" s="237" t="s">
        <v>3</v>
      </c>
      <c r="F61" s="238"/>
      <c r="G61" s="243"/>
      <c r="H61" s="244">
        <f>IFERROR(H59/H57,0)</f>
        <v>0</v>
      </c>
      <c r="I61" s="244">
        <f t="shared" ref="I61:BE61" si="24">IFERROR(I59/I57,0)</f>
        <v>0</v>
      </c>
      <c r="J61" s="244">
        <f t="shared" si="24"/>
        <v>0</v>
      </c>
      <c r="K61" s="244">
        <f t="shared" si="24"/>
        <v>0</v>
      </c>
      <c r="L61" s="244">
        <f t="shared" si="24"/>
        <v>0</v>
      </c>
      <c r="M61" s="244">
        <f t="shared" si="24"/>
        <v>0</v>
      </c>
      <c r="N61" s="244">
        <f t="shared" si="24"/>
        <v>0</v>
      </c>
      <c r="O61" s="244">
        <f t="shared" si="24"/>
        <v>0</v>
      </c>
      <c r="P61" s="244">
        <f t="shared" si="24"/>
        <v>0</v>
      </c>
      <c r="Q61" s="244">
        <f t="shared" si="24"/>
        <v>0</v>
      </c>
      <c r="R61" s="244">
        <f t="shared" si="24"/>
        <v>0</v>
      </c>
      <c r="S61" s="244">
        <f t="shared" si="24"/>
        <v>0</v>
      </c>
      <c r="T61" s="244">
        <f t="shared" si="24"/>
        <v>0</v>
      </c>
      <c r="U61" s="244">
        <f t="shared" si="24"/>
        <v>0</v>
      </c>
      <c r="V61" s="244">
        <f t="shared" si="24"/>
        <v>0</v>
      </c>
      <c r="W61" s="244">
        <f t="shared" si="24"/>
        <v>0</v>
      </c>
      <c r="X61" s="244">
        <f t="shared" si="24"/>
        <v>0</v>
      </c>
      <c r="Y61" s="244">
        <f t="shared" si="24"/>
        <v>0</v>
      </c>
      <c r="Z61" s="244">
        <f t="shared" si="24"/>
        <v>0</v>
      </c>
      <c r="AA61" s="244">
        <f t="shared" si="24"/>
        <v>0</v>
      </c>
      <c r="AB61" s="244">
        <f t="shared" si="24"/>
        <v>0</v>
      </c>
      <c r="AC61" s="244">
        <f t="shared" si="24"/>
        <v>0</v>
      </c>
      <c r="AD61" s="244">
        <f t="shared" si="24"/>
        <v>0</v>
      </c>
      <c r="AE61" s="244">
        <f t="shared" si="24"/>
        <v>0</v>
      </c>
      <c r="AF61" s="244">
        <f t="shared" si="24"/>
        <v>0</v>
      </c>
      <c r="AG61" s="244">
        <f t="shared" si="24"/>
        <v>0</v>
      </c>
      <c r="AH61" s="244">
        <f t="shared" si="24"/>
        <v>0</v>
      </c>
      <c r="AI61" s="244">
        <f t="shared" si="24"/>
        <v>0</v>
      </c>
      <c r="AJ61" s="244">
        <f t="shared" si="24"/>
        <v>0</v>
      </c>
      <c r="AK61" s="244">
        <f t="shared" si="24"/>
        <v>0</v>
      </c>
      <c r="AL61" s="244">
        <f t="shared" si="24"/>
        <v>0</v>
      </c>
      <c r="AM61" s="244">
        <f t="shared" si="24"/>
        <v>0</v>
      </c>
      <c r="AN61" s="244">
        <f t="shared" si="24"/>
        <v>0</v>
      </c>
      <c r="AO61" s="244">
        <f t="shared" si="24"/>
        <v>0</v>
      </c>
      <c r="AP61" s="244">
        <f t="shared" si="24"/>
        <v>0</v>
      </c>
      <c r="AQ61" s="244">
        <f t="shared" si="24"/>
        <v>0</v>
      </c>
      <c r="AR61" s="244">
        <f t="shared" si="24"/>
        <v>0</v>
      </c>
      <c r="AS61" s="244">
        <f t="shared" si="24"/>
        <v>0</v>
      </c>
      <c r="AT61" s="244">
        <f t="shared" si="24"/>
        <v>0</v>
      </c>
      <c r="AU61" s="244">
        <f t="shared" si="24"/>
        <v>0</v>
      </c>
      <c r="AV61" s="244">
        <f t="shared" si="24"/>
        <v>0</v>
      </c>
      <c r="AW61" s="244">
        <f t="shared" si="24"/>
        <v>0</v>
      </c>
      <c r="AX61" s="244">
        <f t="shared" si="24"/>
        <v>0</v>
      </c>
      <c r="AY61" s="244">
        <f t="shared" si="24"/>
        <v>0</v>
      </c>
      <c r="AZ61" s="244">
        <f t="shared" si="24"/>
        <v>0</v>
      </c>
      <c r="BA61" s="244">
        <f t="shared" si="24"/>
        <v>0</v>
      </c>
      <c r="BB61" s="244">
        <f t="shared" si="24"/>
        <v>0</v>
      </c>
      <c r="BC61" s="244">
        <f t="shared" si="24"/>
        <v>0</v>
      </c>
      <c r="BD61" s="244">
        <f t="shared" si="24"/>
        <v>0</v>
      </c>
      <c r="BE61" s="244">
        <f t="shared" si="24"/>
        <v>0</v>
      </c>
    </row>
    <row r="62" spans="2:57" x14ac:dyDescent="0.2">
      <c r="B62" s="229">
        <f t="shared" si="21"/>
        <v>13</v>
      </c>
      <c r="C62" s="236" t="s">
        <v>412</v>
      </c>
      <c r="D62" s="236"/>
      <c r="E62" s="237" t="s">
        <v>3</v>
      </c>
      <c r="F62" s="238"/>
      <c r="G62" s="243"/>
      <c r="H62" s="244">
        <f>H60*H61</f>
        <v>0</v>
      </c>
      <c r="I62" s="244">
        <f t="shared" ref="I62:BE62" si="25">I60*I61</f>
        <v>0</v>
      </c>
      <c r="J62" s="244">
        <f t="shared" si="25"/>
        <v>0</v>
      </c>
      <c r="K62" s="244">
        <f t="shared" si="25"/>
        <v>0</v>
      </c>
      <c r="L62" s="244">
        <f t="shared" si="25"/>
        <v>0</v>
      </c>
      <c r="M62" s="244">
        <f t="shared" si="25"/>
        <v>0</v>
      </c>
      <c r="N62" s="244">
        <f t="shared" si="25"/>
        <v>0</v>
      </c>
      <c r="O62" s="244">
        <f t="shared" si="25"/>
        <v>0</v>
      </c>
      <c r="P62" s="244">
        <f t="shared" si="25"/>
        <v>0</v>
      </c>
      <c r="Q62" s="244">
        <f t="shared" si="25"/>
        <v>0</v>
      </c>
      <c r="R62" s="244">
        <f t="shared" si="25"/>
        <v>0</v>
      </c>
      <c r="S62" s="244">
        <f t="shared" si="25"/>
        <v>0</v>
      </c>
      <c r="T62" s="244">
        <f t="shared" si="25"/>
        <v>0</v>
      </c>
      <c r="U62" s="244">
        <f t="shared" si="25"/>
        <v>0</v>
      </c>
      <c r="V62" s="244">
        <f t="shared" si="25"/>
        <v>0</v>
      </c>
      <c r="W62" s="244">
        <f t="shared" si="25"/>
        <v>0</v>
      </c>
      <c r="X62" s="244">
        <f t="shared" si="25"/>
        <v>0</v>
      </c>
      <c r="Y62" s="244">
        <f t="shared" si="25"/>
        <v>0</v>
      </c>
      <c r="Z62" s="244">
        <f t="shared" si="25"/>
        <v>0</v>
      </c>
      <c r="AA62" s="244">
        <f t="shared" si="25"/>
        <v>0</v>
      </c>
      <c r="AB62" s="244">
        <f t="shared" si="25"/>
        <v>0</v>
      </c>
      <c r="AC62" s="244">
        <f t="shared" si="25"/>
        <v>0</v>
      </c>
      <c r="AD62" s="244">
        <f t="shared" si="25"/>
        <v>0</v>
      </c>
      <c r="AE62" s="244">
        <f t="shared" si="25"/>
        <v>0</v>
      </c>
      <c r="AF62" s="244">
        <f t="shared" si="25"/>
        <v>0</v>
      </c>
      <c r="AG62" s="244">
        <f t="shared" si="25"/>
        <v>0</v>
      </c>
      <c r="AH62" s="244">
        <f t="shared" si="25"/>
        <v>0</v>
      </c>
      <c r="AI62" s="244">
        <f t="shared" si="25"/>
        <v>0</v>
      </c>
      <c r="AJ62" s="244">
        <f t="shared" si="25"/>
        <v>0</v>
      </c>
      <c r="AK62" s="244">
        <f t="shared" si="25"/>
        <v>0</v>
      </c>
      <c r="AL62" s="244">
        <f t="shared" si="25"/>
        <v>0</v>
      </c>
      <c r="AM62" s="244">
        <f t="shared" si="25"/>
        <v>0</v>
      </c>
      <c r="AN62" s="244">
        <f t="shared" si="25"/>
        <v>0</v>
      </c>
      <c r="AO62" s="244">
        <f t="shared" si="25"/>
        <v>0</v>
      </c>
      <c r="AP62" s="244">
        <f t="shared" si="25"/>
        <v>0</v>
      </c>
      <c r="AQ62" s="244">
        <f t="shared" si="25"/>
        <v>0</v>
      </c>
      <c r="AR62" s="244">
        <f t="shared" si="25"/>
        <v>0</v>
      </c>
      <c r="AS62" s="244">
        <f t="shared" si="25"/>
        <v>0</v>
      </c>
      <c r="AT62" s="244">
        <f t="shared" si="25"/>
        <v>0</v>
      </c>
      <c r="AU62" s="244">
        <f t="shared" si="25"/>
        <v>0</v>
      </c>
      <c r="AV62" s="244">
        <f t="shared" si="25"/>
        <v>0</v>
      </c>
      <c r="AW62" s="244">
        <f t="shared" si="25"/>
        <v>0</v>
      </c>
      <c r="AX62" s="244">
        <f t="shared" si="25"/>
        <v>0</v>
      </c>
      <c r="AY62" s="244">
        <f t="shared" si="25"/>
        <v>0</v>
      </c>
      <c r="AZ62" s="244">
        <f t="shared" si="25"/>
        <v>0</v>
      </c>
      <c r="BA62" s="244">
        <f t="shared" si="25"/>
        <v>0</v>
      </c>
      <c r="BB62" s="244">
        <f t="shared" si="25"/>
        <v>0</v>
      </c>
      <c r="BC62" s="244">
        <f t="shared" si="25"/>
        <v>0</v>
      </c>
      <c r="BD62" s="244">
        <f t="shared" si="25"/>
        <v>0</v>
      </c>
      <c r="BE62" s="244">
        <f t="shared" si="25"/>
        <v>0</v>
      </c>
    </row>
    <row r="63" spans="2:57" x14ac:dyDescent="0.2">
      <c r="B63" s="229">
        <f t="shared" si="21"/>
        <v>14</v>
      </c>
      <c r="C63" s="236" t="s">
        <v>413</v>
      </c>
      <c r="D63" s="236"/>
      <c r="E63" s="301" t="s">
        <v>718</v>
      </c>
      <c r="F63" s="238"/>
      <c r="G63" s="245">
        <f t="shared" ref="G63:G68" si="26">ROUND(SUM(H63:BE63),2)</f>
        <v>0</v>
      </c>
      <c r="H63" s="246">
        <f>H47/12</f>
        <v>0</v>
      </c>
      <c r="I63" s="246">
        <f t="shared" ref="I63:BE63" si="27">I47/12</f>
        <v>0</v>
      </c>
      <c r="J63" s="246">
        <f t="shared" si="27"/>
        <v>0</v>
      </c>
      <c r="K63" s="246">
        <f t="shared" si="27"/>
        <v>0</v>
      </c>
      <c r="L63" s="246">
        <f t="shared" si="27"/>
        <v>0</v>
      </c>
      <c r="M63" s="246">
        <f t="shared" si="27"/>
        <v>0</v>
      </c>
      <c r="N63" s="246">
        <f t="shared" si="27"/>
        <v>0</v>
      </c>
      <c r="O63" s="246">
        <f t="shared" si="27"/>
        <v>0</v>
      </c>
      <c r="P63" s="246">
        <f t="shared" si="27"/>
        <v>0</v>
      </c>
      <c r="Q63" s="246">
        <f t="shared" si="27"/>
        <v>0</v>
      </c>
      <c r="R63" s="246">
        <f t="shared" si="27"/>
        <v>0</v>
      </c>
      <c r="S63" s="246">
        <f t="shared" si="27"/>
        <v>0</v>
      </c>
      <c r="T63" s="246">
        <f t="shared" si="27"/>
        <v>0</v>
      </c>
      <c r="U63" s="246">
        <f t="shared" si="27"/>
        <v>0</v>
      </c>
      <c r="V63" s="246">
        <f t="shared" si="27"/>
        <v>0</v>
      </c>
      <c r="W63" s="246">
        <f t="shared" si="27"/>
        <v>0</v>
      </c>
      <c r="X63" s="246">
        <f t="shared" si="27"/>
        <v>0</v>
      </c>
      <c r="Y63" s="246">
        <f t="shared" si="27"/>
        <v>0</v>
      </c>
      <c r="Z63" s="246">
        <f t="shared" si="27"/>
        <v>0</v>
      </c>
      <c r="AA63" s="246">
        <f t="shared" si="27"/>
        <v>0</v>
      </c>
      <c r="AB63" s="246">
        <f t="shared" si="27"/>
        <v>0</v>
      </c>
      <c r="AC63" s="246">
        <f t="shared" si="27"/>
        <v>0</v>
      </c>
      <c r="AD63" s="246">
        <f t="shared" si="27"/>
        <v>0</v>
      </c>
      <c r="AE63" s="246">
        <f t="shared" si="27"/>
        <v>0</v>
      </c>
      <c r="AF63" s="246">
        <f t="shared" si="27"/>
        <v>0</v>
      </c>
      <c r="AG63" s="246">
        <f t="shared" si="27"/>
        <v>0</v>
      </c>
      <c r="AH63" s="246">
        <f t="shared" si="27"/>
        <v>0</v>
      </c>
      <c r="AI63" s="246">
        <f t="shared" si="27"/>
        <v>0</v>
      </c>
      <c r="AJ63" s="246">
        <f t="shared" si="27"/>
        <v>0</v>
      </c>
      <c r="AK63" s="246">
        <f t="shared" si="27"/>
        <v>0</v>
      </c>
      <c r="AL63" s="246">
        <f t="shared" si="27"/>
        <v>0</v>
      </c>
      <c r="AM63" s="246">
        <f t="shared" si="27"/>
        <v>0</v>
      </c>
      <c r="AN63" s="246">
        <f t="shared" si="27"/>
        <v>0</v>
      </c>
      <c r="AO63" s="246">
        <f t="shared" si="27"/>
        <v>0</v>
      </c>
      <c r="AP63" s="246">
        <f t="shared" si="27"/>
        <v>0</v>
      </c>
      <c r="AQ63" s="246">
        <f t="shared" si="27"/>
        <v>0</v>
      </c>
      <c r="AR63" s="246">
        <f t="shared" si="27"/>
        <v>0</v>
      </c>
      <c r="AS63" s="246">
        <f t="shared" si="27"/>
        <v>0</v>
      </c>
      <c r="AT63" s="246">
        <f t="shared" si="27"/>
        <v>0</v>
      </c>
      <c r="AU63" s="246">
        <f t="shared" si="27"/>
        <v>0</v>
      </c>
      <c r="AV63" s="246">
        <f t="shared" si="27"/>
        <v>0</v>
      </c>
      <c r="AW63" s="246">
        <f t="shared" si="27"/>
        <v>0</v>
      </c>
      <c r="AX63" s="246">
        <f t="shared" si="27"/>
        <v>0</v>
      </c>
      <c r="AY63" s="246">
        <f t="shared" si="27"/>
        <v>0</v>
      </c>
      <c r="AZ63" s="246">
        <f t="shared" si="27"/>
        <v>0</v>
      </c>
      <c r="BA63" s="246">
        <f t="shared" si="27"/>
        <v>0</v>
      </c>
      <c r="BB63" s="246">
        <f t="shared" si="27"/>
        <v>0</v>
      </c>
      <c r="BC63" s="246">
        <f t="shared" si="27"/>
        <v>0</v>
      </c>
      <c r="BD63" s="246">
        <f t="shared" si="27"/>
        <v>0</v>
      </c>
      <c r="BE63" s="246">
        <f t="shared" si="27"/>
        <v>0</v>
      </c>
    </row>
    <row r="64" spans="2:57" x14ac:dyDescent="0.2">
      <c r="B64" s="229">
        <f t="shared" si="21"/>
        <v>15</v>
      </c>
      <c r="C64" s="236" t="s">
        <v>414</v>
      </c>
      <c r="D64" s="236"/>
      <c r="E64" s="301" t="s">
        <v>718</v>
      </c>
      <c r="F64" s="238"/>
      <c r="G64" s="245">
        <f t="shared" si="26"/>
        <v>0</v>
      </c>
      <c r="H64" s="246">
        <f>H63*H62</f>
        <v>0</v>
      </c>
      <c r="I64" s="246">
        <f t="shared" ref="I64:BE64" si="28">I63*I62</f>
        <v>0</v>
      </c>
      <c r="J64" s="246">
        <f t="shared" si="28"/>
        <v>0</v>
      </c>
      <c r="K64" s="246">
        <f t="shared" si="28"/>
        <v>0</v>
      </c>
      <c r="L64" s="246">
        <f t="shared" si="28"/>
        <v>0</v>
      </c>
      <c r="M64" s="246">
        <f t="shared" si="28"/>
        <v>0</v>
      </c>
      <c r="N64" s="246">
        <f t="shared" si="28"/>
        <v>0</v>
      </c>
      <c r="O64" s="246">
        <f t="shared" si="28"/>
        <v>0</v>
      </c>
      <c r="P64" s="246">
        <f t="shared" si="28"/>
        <v>0</v>
      </c>
      <c r="Q64" s="246">
        <f t="shared" si="28"/>
        <v>0</v>
      </c>
      <c r="R64" s="246">
        <f t="shared" si="28"/>
        <v>0</v>
      </c>
      <c r="S64" s="246">
        <f t="shared" si="28"/>
        <v>0</v>
      </c>
      <c r="T64" s="246">
        <f t="shared" si="28"/>
        <v>0</v>
      </c>
      <c r="U64" s="246">
        <f t="shared" si="28"/>
        <v>0</v>
      </c>
      <c r="V64" s="246">
        <f t="shared" si="28"/>
        <v>0</v>
      </c>
      <c r="W64" s="246">
        <f t="shared" si="28"/>
        <v>0</v>
      </c>
      <c r="X64" s="246">
        <f t="shared" si="28"/>
        <v>0</v>
      </c>
      <c r="Y64" s="246">
        <f t="shared" si="28"/>
        <v>0</v>
      </c>
      <c r="Z64" s="246">
        <f t="shared" si="28"/>
        <v>0</v>
      </c>
      <c r="AA64" s="246">
        <f t="shared" si="28"/>
        <v>0</v>
      </c>
      <c r="AB64" s="246">
        <f t="shared" si="28"/>
        <v>0</v>
      </c>
      <c r="AC64" s="246">
        <f t="shared" si="28"/>
        <v>0</v>
      </c>
      <c r="AD64" s="246">
        <f t="shared" si="28"/>
        <v>0</v>
      </c>
      <c r="AE64" s="246">
        <f t="shared" si="28"/>
        <v>0</v>
      </c>
      <c r="AF64" s="246">
        <f t="shared" si="28"/>
        <v>0</v>
      </c>
      <c r="AG64" s="246">
        <f t="shared" si="28"/>
        <v>0</v>
      </c>
      <c r="AH64" s="246">
        <f t="shared" si="28"/>
        <v>0</v>
      </c>
      <c r="AI64" s="246">
        <f t="shared" si="28"/>
        <v>0</v>
      </c>
      <c r="AJ64" s="246">
        <f t="shared" si="28"/>
        <v>0</v>
      </c>
      <c r="AK64" s="246">
        <f t="shared" si="28"/>
        <v>0</v>
      </c>
      <c r="AL64" s="246">
        <f t="shared" si="28"/>
        <v>0</v>
      </c>
      <c r="AM64" s="246">
        <f t="shared" si="28"/>
        <v>0</v>
      </c>
      <c r="AN64" s="246">
        <f t="shared" si="28"/>
        <v>0</v>
      </c>
      <c r="AO64" s="246">
        <f t="shared" si="28"/>
        <v>0</v>
      </c>
      <c r="AP64" s="246">
        <f t="shared" si="28"/>
        <v>0</v>
      </c>
      <c r="AQ64" s="246">
        <f t="shared" si="28"/>
        <v>0</v>
      </c>
      <c r="AR64" s="246">
        <f t="shared" si="28"/>
        <v>0</v>
      </c>
      <c r="AS64" s="246">
        <f t="shared" si="28"/>
        <v>0</v>
      </c>
      <c r="AT64" s="246">
        <f t="shared" si="28"/>
        <v>0</v>
      </c>
      <c r="AU64" s="246">
        <f t="shared" si="28"/>
        <v>0</v>
      </c>
      <c r="AV64" s="246">
        <f t="shared" si="28"/>
        <v>0</v>
      </c>
      <c r="AW64" s="246">
        <f t="shared" si="28"/>
        <v>0</v>
      </c>
      <c r="AX64" s="246">
        <f t="shared" si="28"/>
        <v>0</v>
      </c>
      <c r="AY64" s="246">
        <f t="shared" si="28"/>
        <v>0</v>
      </c>
      <c r="AZ64" s="246">
        <f t="shared" si="28"/>
        <v>0</v>
      </c>
      <c r="BA64" s="246">
        <f t="shared" si="28"/>
        <v>0</v>
      </c>
      <c r="BB64" s="246">
        <f t="shared" si="28"/>
        <v>0</v>
      </c>
      <c r="BC64" s="246">
        <f t="shared" si="28"/>
        <v>0</v>
      </c>
      <c r="BD64" s="246">
        <f t="shared" si="28"/>
        <v>0</v>
      </c>
      <c r="BE64" s="246">
        <f t="shared" si="28"/>
        <v>0</v>
      </c>
    </row>
    <row r="65" spans="2:57" x14ac:dyDescent="0.2">
      <c r="B65" s="229">
        <f t="shared" si="21"/>
        <v>16</v>
      </c>
      <c r="C65" s="236" t="s">
        <v>415</v>
      </c>
      <c r="D65" s="236"/>
      <c r="E65" s="301" t="s">
        <v>718</v>
      </c>
      <c r="F65" s="238"/>
      <c r="G65" s="245">
        <f t="shared" si="26"/>
        <v>0</v>
      </c>
      <c r="H65" s="246">
        <f>H63-H64</f>
        <v>0</v>
      </c>
      <c r="I65" s="246">
        <f t="shared" ref="I65:BE65" si="29">I63-I64</f>
        <v>0</v>
      </c>
      <c r="J65" s="246">
        <f t="shared" si="29"/>
        <v>0</v>
      </c>
      <c r="K65" s="246">
        <f t="shared" si="29"/>
        <v>0</v>
      </c>
      <c r="L65" s="246">
        <f t="shared" si="29"/>
        <v>0</v>
      </c>
      <c r="M65" s="246">
        <f t="shared" si="29"/>
        <v>0</v>
      </c>
      <c r="N65" s="246">
        <f t="shared" si="29"/>
        <v>0</v>
      </c>
      <c r="O65" s="246">
        <f t="shared" si="29"/>
        <v>0</v>
      </c>
      <c r="P65" s="246">
        <f t="shared" si="29"/>
        <v>0</v>
      </c>
      <c r="Q65" s="246">
        <f t="shared" si="29"/>
        <v>0</v>
      </c>
      <c r="R65" s="246">
        <f t="shared" si="29"/>
        <v>0</v>
      </c>
      <c r="S65" s="246">
        <f t="shared" si="29"/>
        <v>0</v>
      </c>
      <c r="T65" s="246">
        <f t="shared" si="29"/>
        <v>0</v>
      </c>
      <c r="U65" s="246">
        <f t="shared" si="29"/>
        <v>0</v>
      </c>
      <c r="V65" s="246">
        <f t="shared" si="29"/>
        <v>0</v>
      </c>
      <c r="W65" s="246">
        <f t="shared" si="29"/>
        <v>0</v>
      </c>
      <c r="X65" s="246">
        <f t="shared" si="29"/>
        <v>0</v>
      </c>
      <c r="Y65" s="246">
        <f t="shared" si="29"/>
        <v>0</v>
      </c>
      <c r="Z65" s="246">
        <f t="shared" si="29"/>
        <v>0</v>
      </c>
      <c r="AA65" s="246">
        <f t="shared" si="29"/>
        <v>0</v>
      </c>
      <c r="AB65" s="246">
        <f t="shared" si="29"/>
        <v>0</v>
      </c>
      <c r="AC65" s="246">
        <f t="shared" si="29"/>
        <v>0</v>
      </c>
      <c r="AD65" s="246">
        <f t="shared" si="29"/>
        <v>0</v>
      </c>
      <c r="AE65" s="246">
        <f t="shared" si="29"/>
        <v>0</v>
      </c>
      <c r="AF65" s="246">
        <f t="shared" si="29"/>
        <v>0</v>
      </c>
      <c r="AG65" s="246">
        <f t="shared" si="29"/>
        <v>0</v>
      </c>
      <c r="AH65" s="246">
        <f t="shared" si="29"/>
        <v>0</v>
      </c>
      <c r="AI65" s="246">
        <f t="shared" si="29"/>
        <v>0</v>
      </c>
      <c r="AJ65" s="246">
        <f t="shared" si="29"/>
        <v>0</v>
      </c>
      <c r="AK65" s="246">
        <f t="shared" si="29"/>
        <v>0</v>
      </c>
      <c r="AL65" s="246">
        <f t="shared" si="29"/>
        <v>0</v>
      </c>
      <c r="AM65" s="246">
        <f t="shared" si="29"/>
        <v>0</v>
      </c>
      <c r="AN65" s="246">
        <f t="shared" si="29"/>
        <v>0</v>
      </c>
      <c r="AO65" s="246">
        <f t="shared" si="29"/>
        <v>0</v>
      </c>
      <c r="AP65" s="246">
        <f t="shared" si="29"/>
        <v>0</v>
      </c>
      <c r="AQ65" s="246">
        <f t="shared" si="29"/>
        <v>0</v>
      </c>
      <c r="AR65" s="246">
        <f t="shared" si="29"/>
        <v>0</v>
      </c>
      <c r="AS65" s="246">
        <f t="shared" si="29"/>
        <v>0</v>
      </c>
      <c r="AT65" s="246">
        <f t="shared" si="29"/>
        <v>0</v>
      </c>
      <c r="AU65" s="246">
        <f t="shared" si="29"/>
        <v>0</v>
      </c>
      <c r="AV65" s="246">
        <f t="shared" si="29"/>
        <v>0</v>
      </c>
      <c r="AW65" s="246">
        <f t="shared" si="29"/>
        <v>0</v>
      </c>
      <c r="AX65" s="246">
        <f t="shared" si="29"/>
        <v>0</v>
      </c>
      <c r="AY65" s="246">
        <f t="shared" si="29"/>
        <v>0</v>
      </c>
      <c r="AZ65" s="246">
        <f t="shared" si="29"/>
        <v>0</v>
      </c>
      <c r="BA65" s="246">
        <f t="shared" si="29"/>
        <v>0</v>
      </c>
      <c r="BB65" s="246">
        <f t="shared" si="29"/>
        <v>0</v>
      </c>
      <c r="BC65" s="246">
        <f t="shared" si="29"/>
        <v>0</v>
      </c>
      <c r="BD65" s="246">
        <f t="shared" si="29"/>
        <v>0</v>
      </c>
      <c r="BE65" s="246">
        <f t="shared" si="29"/>
        <v>0</v>
      </c>
    </row>
    <row r="66" spans="2:57" x14ac:dyDescent="0.2">
      <c r="B66" s="229">
        <f t="shared" si="21"/>
        <v>17</v>
      </c>
      <c r="C66" s="236" t="s">
        <v>711</v>
      </c>
      <c r="D66" s="236"/>
      <c r="E66" s="237" t="s">
        <v>712</v>
      </c>
      <c r="F66" s="238"/>
      <c r="G66" s="245">
        <f t="shared" si="26"/>
        <v>0</v>
      </c>
      <c r="H66" s="246">
        <f>H11-H31</f>
        <v>0</v>
      </c>
      <c r="I66" s="246">
        <f t="shared" ref="I66:BE66" si="30">I11-I31</f>
        <v>0</v>
      </c>
      <c r="J66" s="246">
        <f t="shared" si="30"/>
        <v>0</v>
      </c>
      <c r="K66" s="246">
        <f t="shared" si="30"/>
        <v>0</v>
      </c>
      <c r="L66" s="246">
        <f t="shared" si="30"/>
        <v>0</v>
      </c>
      <c r="M66" s="246">
        <f t="shared" si="30"/>
        <v>0</v>
      </c>
      <c r="N66" s="246">
        <f t="shared" si="30"/>
        <v>0</v>
      </c>
      <c r="O66" s="246">
        <f t="shared" si="30"/>
        <v>0</v>
      </c>
      <c r="P66" s="246">
        <f t="shared" si="30"/>
        <v>0</v>
      </c>
      <c r="Q66" s="246">
        <f t="shared" si="30"/>
        <v>0</v>
      </c>
      <c r="R66" s="246">
        <f t="shared" si="30"/>
        <v>0</v>
      </c>
      <c r="S66" s="246">
        <f t="shared" si="30"/>
        <v>0</v>
      </c>
      <c r="T66" s="246">
        <f t="shared" si="30"/>
        <v>0</v>
      </c>
      <c r="U66" s="246">
        <f t="shared" si="30"/>
        <v>0</v>
      </c>
      <c r="V66" s="246">
        <f t="shared" si="30"/>
        <v>0</v>
      </c>
      <c r="W66" s="246">
        <f t="shared" si="30"/>
        <v>0</v>
      </c>
      <c r="X66" s="246">
        <f t="shared" si="30"/>
        <v>0</v>
      </c>
      <c r="Y66" s="246">
        <f t="shared" si="30"/>
        <v>0</v>
      </c>
      <c r="Z66" s="246">
        <f t="shared" si="30"/>
        <v>0</v>
      </c>
      <c r="AA66" s="246">
        <f t="shared" si="30"/>
        <v>0</v>
      </c>
      <c r="AB66" s="246">
        <f t="shared" si="30"/>
        <v>0</v>
      </c>
      <c r="AC66" s="246">
        <f t="shared" si="30"/>
        <v>0</v>
      </c>
      <c r="AD66" s="246">
        <f t="shared" si="30"/>
        <v>0</v>
      </c>
      <c r="AE66" s="246">
        <f t="shared" si="30"/>
        <v>0</v>
      </c>
      <c r="AF66" s="246">
        <f t="shared" si="30"/>
        <v>0</v>
      </c>
      <c r="AG66" s="246">
        <f t="shared" si="30"/>
        <v>0</v>
      </c>
      <c r="AH66" s="246">
        <f t="shared" si="30"/>
        <v>0</v>
      </c>
      <c r="AI66" s="246">
        <f t="shared" si="30"/>
        <v>0</v>
      </c>
      <c r="AJ66" s="246">
        <f t="shared" si="30"/>
        <v>0</v>
      </c>
      <c r="AK66" s="246">
        <f t="shared" si="30"/>
        <v>0</v>
      </c>
      <c r="AL66" s="246">
        <f t="shared" si="30"/>
        <v>0</v>
      </c>
      <c r="AM66" s="246">
        <f t="shared" si="30"/>
        <v>0</v>
      </c>
      <c r="AN66" s="246">
        <f t="shared" si="30"/>
        <v>0</v>
      </c>
      <c r="AO66" s="246">
        <f t="shared" si="30"/>
        <v>0</v>
      </c>
      <c r="AP66" s="246">
        <f t="shared" si="30"/>
        <v>0</v>
      </c>
      <c r="AQ66" s="246">
        <f t="shared" si="30"/>
        <v>0</v>
      </c>
      <c r="AR66" s="246">
        <f t="shared" si="30"/>
        <v>0</v>
      </c>
      <c r="AS66" s="246">
        <f t="shared" si="30"/>
        <v>0</v>
      </c>
      <c r="AT66" s="246">
        <f t="shared" si="30"/>
        <v>0</v>
      </c>
      <c r="AU66" s="246">
        <f t="shared" si="30"/>
        <v>0</v>
      </c>
      <c r="AV66" s="246">
        <f t="shared" si="30"/>
        <v>0</v>
      </c>
      <c r="AW66" s="246">
        <f t="shared" si="30"/>
        <v>0</v>
      </c>
      <c r="AX66" s="246">
        <f t="shared" si="30"/>
        <v>0</v>
      </c>
      <c r="AY66" s="246">
        <f t="shared" si="30"/>
        <v>0</v>
      </c>
      <c r="AZ66" s="246">
        <f t="shared" si="30"/>
        <v>0</v>
      </c>
      <c r="BA66" s="246">
        <f t="shared" si="30"/>
        <v>0</v>
      </c>
      <c r="BB66" s="246">
        <f t="shared" si="30"/>
        <v>0</v>
      </c>
      <c r="BC66" s="246">
        <f t="shared" si="30"/>
        <v>0</v>
      </c>
      <c r="BD66" s="246">
        <f t="shared" si="30"/>
        <v>0</v>
      </c>
      <c r="BE66" s="246">
        <f t="shared" si="30"/>
        <v>0</v>
      </c>
    </row>
    <row r="67" spans="2:57" x14ac:dyDescent="0.2">
      <c r="B67" s="229">
        <f t="shared" si="21"/>
        <v>18</v>
      </c>
      <c r="C67" s="236" t="s">
        <v>715</v>
      </c>
      <c r="D67" s="236"/>
      <c r="E67" s="237" t="s">
        <v>712</v>
      </c>
      <c r="F67" s="238"/>
      <c r="G67" s="245">
        <f t="shared" si="26"/>
        <v>0</v>
      </c>
      <c r="H67" s="246">
        <f>H45</f>
        <v>0</v>
      </c>
      <c r="I67" s="246">
        <f t="shared" ref="I67:BE67" si="31">I45</f>
        <v>0</v>
      </c>
      <c r="J67" s="246">
        <f t="shared" si="31"/>
        <v>0</v>
      </c>
      <c r="K67" s="246">
        <f t="shared" si="31"/>
        <v>0</v>
      </c>
      <c r="L67" s="246">
        <f t="shared" si="31"/>
        <v>0</v>
      </c>
      <c r="M67" s="246">
        <f t="shared" si="31"/>
        <v>0</v>
      </c>
      <c r="N67" s="246">
        <f t="shared" si="31"/>
        <v>0</v>
      </c>
      <c r="O67" s="246">
        <f t="shared" si="31"/>
        <v>0</v>
      </c>
      <c r="P67" s="246">
        <f t="shared" si="31"/>
        <v>0</v>
      </c>
      <c r="Q67" s="246">
        <f t="shared" si="31"/>
        <v>0</v>
      </c>
      <c r="R67" s="246">
        <f t="shared" si="31"/>
        <v>0</v>
      </c>
      <c r="S67" s="246">
        <f t="shared" si="31"/>
        <v>0</v>
      </c>
      <c r="T67" s="246">
        <f t="shared" si="31"/>
        <v>0</v>
      </c>
      <c r="U67" s="246">
        <f t="shared" si="31"/>
        <v>0</v>
      </c>
      <c r="V67" s="246">
        <f t="shared" si="31"/>
        <v>0</v>
      </c>
      <c r="W67" s="246">
        <f t="shared" si="31"/>
        <v>0</v>
      </c>
      <c r="X67" s="246">
        <f t="shared" si="31"/>
        <v>0</v>
      </c>
      <c r="Y67" s="246">
        <f t="shared" si="31"/>
        <v>0</v>
      </c>
      <c r="Z67" s="246">
        <f t="shared" si="31"/>
        <v>0</v>
      </c>
      <c r="AA67" s="246">
        <f t="shared" si="31"/>
        <v>0</v>
      </c>
      <c r="AB67" s="246">
        <f t="shared" si="31"/>
        <v>0</v>
      </c>
      <c r="AC67" s="246">
        <f t="shared" si="31"/>
        <v>0</v>
      </c>
      <c r="AD67" s="246">
        <f t="shared" si="31"/>
        <v>0</v>
      </c>
      <c r="AE67" s="246">
        <f t="shared" si="31"/>
        <v>0</v>
      </c>
      <c r="AF67" s="246">
        <f t="shared" si="31"/>
        <v>0</v>
      </c>
      <c r="AG67" s="246">
        <f t="shared" si="31"/>
        <v>0</v>
      </c>
      <c r="AH67" s="246">
        <f t="shared" si="31"/>
        <v>0</v>
      </c>
      <c r="AI67" s="246">
        <f t="shared" si="31"/>
        <v>0</v>
      </c>
      <c r="AJ67" s="246">
        <f t="shared" si="31"/>
        <v>0</v>
      </c>
      <c r="AK67" s="246">
        <f t="shared" si="31"/>
        <v>0</v>
      </c>
      <c r="AL67" s="246">
        <f t="shared" si="31"/>
        <v>0</v>
      </c>
      <c r="AM67" s="246">
        <f t="shared" si="31"/>
        <v>0</v>
      </c>
      <c r="AN67" s="246">
        <f t="shared" si="31"/>
        <v>0</v>
      </c>
      <c r="AO67" s="246">
        <f t="shared" si="31"/>
        <v>0</v>
      </c>
      <c r="AP67" s="246">
        <f t="shared" si="31"/>
        <v>0</v>
      </c>
      <c r="AQ67" s="246">
        <f t="shared" si="31"/>
        <v>0</v>
      </c>
      <c r="AR67" s="246">
        <f t="shared" si="31"/>
        <v>0</v>
      </c>
      <c r="AS67" s="246">
        <f t="shared" si="31"/>
        <v>0</v>
      </c>
      <c r="AT67" s="246">
        <f t="shared" si="31"/>
        <v>0</v>
      </c>
      <c r="AU67" s="246">
        <f t="shared" si="31"/>
        <v>0</v>
      </c>
      <c r="AV67" s="246">
        <f t="shared" si="31"/>
        <v>0</v>
      </c>
      <c r="AW67" s="246">
        <f t="shared" si="31"/>
        <v>0</v>
      </c>
      <c r="AX67" s="246">
        <f t="shared" si="31"/>
        <v>0</v>
      </c>
      <c r="AY67" s="246">
        <f t="shared" si="31"/>
        <v>0</v>
      </c>
      <c r="AZ67" s="246">
        <f t="shared" si="31"/>
        <v>0</v>
      </c>
      <c r="BA67" s="246">
        <f t="shared" si="31"/>
        <v>0</v>
      </c>
      <c r="BB67" s="246">
        <f t="shared" si="31"/>
        <v>0</v>
      </c>
      <c r="BC67" s="246">
        <f t="shared" si="31"/>
        <v>0</v>
      </c>
      <c r="BD67" s="246">
        <f t="shared" si="31"/>
        <v>0</v>
      </c>
      <c r="BE67" s="246">
        <f t="shared" si="31"/>
        <v>0</v>
      </c>
    </row>
    <row r="68" spans="2:57" x14ac:dyDescent="0.2">
      <c r="B68" s="229">
        <f t="shared" si="21"/>
        <v>19</v>
      </c>
      <c r="C68" s="236" t="s">
        <v>716</v>
      </c>
      <c r="D68" s="236"/>
      <c r="E68" s="237" t="s">
        <v>712</v>
      </c>
      <c r="F68" s="238"/>
      <c r="G68" s="245">
        <f t="shared" si="26"/>
        <v>0</v>
      </c>
      <c r="H68" s="246">
        <f>H66</f>
        <v>0</v>
      </c>
      <c r="I68" s="246">
        <f t="shared" ref="I68:BE68" si="32">I66</f>
        <v>0</v>
      </c>
      <c r="J68" s="246">
        <f t="shared" si="32"/>
        <v>0</v>
      </c>
      <c r="K68" s="246">
        <f t="shared" si="32"/>
        <v>0</v>
      </c>
      <c r="L68" s="246">
        <f t="shared" si="32"/>
        <v>0</v>
      </c>
      <c r="M68" s="246">
        <f t="shared" si="32"/>
        <v>0</v>
      </c>
      <c r="N68" s="246">
        <f t="shared" si="32"/>
        <v>0</v>
      </c>
      <c r="O68" s="246">
        <f t="shared" si="32"/>
        <v>0</v>
      </c>
      <c r="P68" s="246">
        <f t="shared" si="32"/>
        <v>0</v>
      </c>
      <c r="Q68" s="246">
        <f t="shared" si="32"/>
        <v>0</v>
      </c>
      <c r="R68" s="246">
        <f t="shared" si="32"/>
        <v>0</v>
      </c>
      <c r="S68" s="246">
        <f t="shared" si="32"/>
        <v>0</v>
      </c>
      <c r="T68" s="246">
        <f t="shared" si="32"/>
        <v>0</v>
      </c>
      <c r="U68" s="246">
        <f t="shared" si="32"/>
        <v>0</v>
      </c>
      <c r="V68" s="246">
        <f t="shared" si="32"/>
        <v>0</v>
      </c>
      <c r="W68" s="246">
        <f t="shared" si="32"/>
        <v>0</v>
      </c>
      <c r="X68" s="246">
        <f t="shared" si="32"/>
        <v>0</v>
      </c>
      <c r="Y68" s="246">
        <f t="shared" si="32"/>
        <v>0</v>
      </c>
      <c r="Z68" s="246">
        <f t="shared" si="32"/>
        <v>0</v>
      </c>
      <c r="AA68" s="246">
        <f t="shared" si="32"/>
        <v>0</v>
      </c>
      <c r="AB68" s="246">
        <f t="shared" si="32"/>
        <v>0</v>
      </c>
      <c r="AC68" s="246">
        <f t="shared" si="32"/>
        <v>0</v>
      </c>
      <c r="AD68" s="246">
        <f t="shared" si="32"/>
        <v>0</v>
      </c>
      <c r="AE68" s="246">
        <f t="shared" si="32"/>
        <v>0</v>
      </c>
      <c r="AF68" s="246">
        <f t="shared" si="32"/>
        <v>0</v>
      </c>
      <c r="AG68" s="246">
        <f t="shared" si="32"/>
        <v>0</v>
      </c>
      <c r="AH68" s="246">
        <f t="shared" si="32"/>
        <v>0</v>
      </c>
      <c r="AI68" s="246">
        <f t="shared" si="32"/>
        <v>0</v>
      </c>
      <c r="AJ68" s="246">
        <f t="shared" si="32"/>
        <v>0</v>
      </c>
      <c r="AK68" s="246">
        <f t="shared" si="32"/>
        <v>0</v>
      </c>
      <c r="AL68" s="246">
        <f t="shared" si="32"/>
        <v>0</v>
      </c>
      <c r="AM68" s="246">
        <f t="shared" si="32"/>
        <v>0</v>
      </c>
      <c r="AN68" s="246">
        <f t="shared" si="32"/>
        <v>0</v>
      </c>
      <c r="AO68" s="246">
        <f t="shared" si="32"/>
        <v>0</v>
      </c>
      <c r="AP68" s="246">
        <f t="shared" si="32"/>
        <v>0</v>
      </c>
      <c r="AQ68" s="246">
        <f t="shared" si="32"/>
        <v>0</v>
      </c>
      <c r="AR68" s="246">
        <f t="shared" si="32"/>
        <v>0</v>
      </c>
      <c r="AS68" s="246">
        <f t="shared" si="32"/>
        <v>0</v>
      </c>
      <c r="AT68" s="246">
        <f t="shared" si="32"/>
        <v>0</v>
      </c>
      <c r="AU68" s="246">
        <f t="shared" si="32"/>
        <v>0</v>
      </c>
      <c r="AV68" s="246">
        <f t="shared" si="32"/>
        <v>0</v>
      </c>
      <c r="AW68" s="246">
        <f t="shared" si="32"/>
        <v>0</v>
      </c>
      <c r="AX68" s="246">
        <f t="shared" si="32"/>
        <v>0</v>
      </c>
      <c r="AY68" s="246">
        <f t="shared" si="32"/>
        <v>0</v>
      </c>
      <c r="AZ68" s="246">
        <f t="shared" si="32"/>
        <v>0</v>
      </c>
      <c r="BA68" s="246">
        <f t="shared" si="32"/>
        <v>0</v>
      </c>
      <c r="BB68" s="246">
        <f t="shared" si="32"/>
        <v>0</v>
      </c>
      <c r="BC68" s="246">
        <f t="shared" si="32"/>
        <v>0</v>
      </c>
      <c r="BD68" s="246">
        <f t="shared" si="32"/>
        <v>0</v>
      </c>
      <c r="BE68" s="246">
        <f t="shared" si="32"/>
        <v>0</v>
      </c>
    </row>
  </sheetData>
  <sheetProtection password="C9A4" sheet="1" objects="1" scenarios="1"/>
  <mergeCells count="12">
    <mergeCell ref="B26:B27"/>
    <mergeCell ref="B31:B34"/>
    <mergeCell ref="B35:B38"/>
    <mergeCell ref="B43:F43"/>
    <mergeCell ref="B55:F55"/>
    <mergeCell ref="B2:G2"/>
    <mergeCell ref="B3:F3"/>
    <mergeCell ref="B7:B8"/>
    <mergeCell ref="B12:B14"/>
    <mergeCell ref="B23:F23"/>
    <mergeCell ref="B15:B19"/>
    <mergeCell ref="B4:F4"/>
  </mergeCells>
  <conditionalFormatting sqref="H12:BE12 H32:BE32 H57:BE57">
    <cfRule type="cellIs" dxfId="86" priority="27" operator="greaterThan">
      <formula>24</formula>
    </cfRule>
    <cfRule type="cellIs" dxfId="85" priority="28" operator="lessThan">
      <formula>0</formula>
    </cfRule>
  </conditionalFormatting>
  <conditionalFormatting sqref="G51:G52 H58:BE59">
    <cfRule type="cellIs" dxfId="84" priority="24" operator="lessThan">
      <formula>0</formula>
    </cfRule>
  </conditionalFormatting>
  <conditionalFormatting sqref="G19 G39">
    <cfRule type="cellIs" dxfId="83" priority="23" operator="equal">
      <formula>"ERRO"</formula>
    </cfRule>
  </conditionalFormatting>
  <conditionalFormatting sqref="H58:BE58">
    <cfRule type="cellIs" dxfId="82" priority="21" operator="greaterThan">
      <formula>22</formula>
    </cfRule>
  </conditionalFormatting>
  <conditionalFormatting sqref="H59:BE59">
    <cfRule type="cellIs" dxfId="81" priority="20" operator="greaterThan">
      <formula>3</formula>
    </cfRule>
  </conditionalFormatting>
  <conditionalFormatting sqref="H58:BE59">
    <cfRule type="cellIs" dxfId="80" priority="1" operator="greaterThan">
      <formula>24</formula>
    </cfRule>
    <cfRule type="cellIs" dxfId="79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2:P101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C8" sqref="C8:G8"/>
    </sheetView>
  </sheetViews>
  <sheetFormatPr defaultColWidth="9.140625" defaultRowHeight="15" customHeight="1" outlineLevelRow="1" x14ac:dyDescent="0.25"/>
  <cols>
    <col min="1" max="2" width="3.42578125" style="735" customWidth="1"/>
    <col min="3" max="7" width="10.42578125" style="735" customWidth="1"/>
    <col min="8" max="9" width="11.42578125" style="735" customWidth="1"/>
    <col min="10" max="10" width="20.140625" style="735" bestFit="1" customWidth="1"/>
    <col min="11" max="16" width="28.42578125" style="735" customWidth="1"/>
    <col min="17" max="16384" width="9.140625" style="735"/>
  </cols>
  <sheetData>
    <row r="2" spans="2:16" s="410" customFormat="1" ht="22.5" customHeight="1" x14ac:dyDescent="0.25">
      <c r="B2" s="571"/>
      <c r="C2" s="572"/>
      <c r="D2" s="1158" t="s">
        <v>963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s="410" customFormat="1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s="410" customFormat="1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215" t="s">
        <v>693</v>
      </c>
      <c r="C5" s="1216"/>
      <c r="D5" s="1216"/>
      <c r="E5" s="1216"/>
      <c r="F5" s="1216"/>
      <c r="G5" s="1216"/>
      <c r="H5" s="1216"/>
      <c r="I5" s="1216"/>
      <c r="J5" s="1216"/>
      <c r="K5" s="742"/>
      <c r="L5" s="742"/>
      <c r="M5" s="743"/>
      <c r="N5" s="742"/>
      <c r="O5" s="742"/>
      <c r="P5" s="743"/>
    </row>
    <row r="6" spans="2:16" x14ac:dyDescent="0.25">
      <c r="B6" s="1217" t="s">
        <v>283</v>
      </c>
      <c r="C6" s="1218"/>
      <c r="D6" s="1218"/>
      <c r="E6" s="1218"/>
      <c r="F6" s="1218"/>
      <c r="G6" s="1218"/>
      <c r="H6" s="1218"/>
      <c r="I6" s="1218"/>
      <c r="J6" s="1219"/>
      <c r="K6" s="744" t="s">
        <v>917</v>
      </c>
      <c r="L6" s="744" t="s">
        <v>926</v>
      </c>
      <c r="M6" s="744" t="s">
        <v>927</v>
      </c>
      <c r="N6" s="744" t="s">
        <v>943</v>
      </c>
      <c r="O6" s="744" t="s">
        <v>944</v>
      </c>
      <c r="P6" s="744" t="s">
        <v>945</v>
      </c>
    </row>
    <row r="7" spans="2:16" ht="15" customHeight="1" x14ac:dyDescent="0.25">
      <c r="B7" s="1220" t="s">
        <v>284</v>
      </c>
      <c r="C7" s="1220"/>
      <c r="D7" s="1220"/>
      <c r="E7" s="1221"/>
      <c r="F7" s="1221"/>
      <c r="G7" s="1221"/>
      <c r="H7" s="745" t="s">
        <v>285</v>
      </c>
      <c r="I7" s="745" t="s">
        <v>16</v>
      </c>
      <c r="J7" s="745" t="s">
        <v>947</v>
      </c>
      <c r="K7" s="745" t="s">
        <v>929</v>
      </c>
      <c r="L7" s="745" t="s">
        <v>929</v>
      </c>
      <c r="M7" s="745" t="s">
        <v>929</v>
      </c>
      <c r="N7" s="745" t="s">
        <v>929</v>
      </c>
      <c r="O7" s="745" t="s">
        <v>929</v>
      </c>
      <c r="P7" s="745" t="s">
        <v>929</v>
      </c>
    </row>
    <row r="8" spans="2:16" ht="15" customHeight="1" outlineLevel="1" x14ac:dyDescent="0.25">
      <c r="B8" s="746">
        <v>1</v>
      </c>
      <c r="C8" s="1147"/>
      <c r="D8" s="1148"/>
      <c r="E8" s="1148"/>
      <c r="F8" s="1148"/>
      <c r="G8" s="1148"/>
      <c r="H8" s="726"/>
      <c r="I8" s="335"/>
      <c r="J8" s="747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748">
        <v>2</v>
      </c>
      <c r="C9" s="1147"/>
      <c r="D9" s="1148"/>
      <c r="E9" s="1148"/>
      <c r="F9" s="1148"/>
      <c r="G9" s="1148"/>
      <c r="H9" s="176"/>
      <c r="I9" s="336"/>
      <c r="J9" s="747">
        <f t="shared" ref="J9:J48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746">
        <v>3</v>
      </c>
      <c r="C10" s="1147"/>
      <c r="D10" s="1148"/>
      <c r="E10" s="1148"/>
      <c r="F10" s="1148"/>
      <c r="G10" s="1148"/>
      <c r="H10" s="176"/>
      <c r="I10" s="336"/>
      <c r="J10" s="747">
        <f t="shared" si="0"/>
        <v>0</v>
      </c>
      <c r="K10" s="343"/>
      <c r="L10" s="343"/>
      <c r="M10" s="343"/>
      <c r="N10" s="343"/>
      <c r="O10" s="343"/>
      <c r="P10" s="343"/>
    </row>
    <row r="11" spans="2:16" ht="15" customHeight="1" outlineLevel="1" x14ac:dyDescent="0.25">
      <c r="B11" s="748">
        <v>4</v>
      </c>
      <c r="C11" s="1147"/>
      <c r="D11" s="1148"/>
      <c r="E11" s="1148"/>
      <c r="F11" s="1148"/>
      <c r="G11" s="1148"/>
      <c r="H11" s="176"/>
      <c r="I11" s="336"/>
      <c r="J11" s="747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746">
        <v>5</v>
      </c>
      <c r="C12" s="1147"/>
      <c r="D12" s="1148"/>
      <c r="E12" s="1148"/>
      <c r="F12" s="1148"/>
      <c r="G12" s="1148"/>
      <c r="H12" s="176"/>
      <c r="I12" s="336"/>
      <c r="J12" s="747">
        <f t="shared" si="0"/>
        <v>0</v>
      </c>
      <c r="K12" s="343"/>
      <c r="L12" s="343"/>
      <c r="M12" s="343"/>
      <c r="N12" s="343"/>
      <c r="O12" s="343"/>
      <c r="P12" s="343"/>
    </row>
    <row r="13" spans="2:16" ht="15" customHeight="1" outlineLevel="1" x14ac:dyDescent="0.25">
      <c r="B13" s="748">
        <v>6</v>
      </c>
      <c r="C13" s="1147"/>
      <c r="D13" s="1148"/>
      <c r="E13" s="1148"/>
      <c r="F13" s="1148"/>
      <c r="G13" s="1148"/>
      <c r="H13" s="176"/>
      <c r="I13" s="336"/>
      <c r="J13" s="747">
        <f t="shared" si="0"/>
        <v>0</v>
      </c>
      <c r="K13" s="343"/>
      <c r="L13" s="343"/>
      <c r="M13" s="343"/>
      <c r="N13" s="343"/>
      <c r="O13" s="343"/>
      <c r="P13" s="343"/>
    </row>
    <row r="14" spans="2:16" ht="15" customHeight="1" outlineLevel="1" x14ac:dyDescent="0.25">
      <c r="B14" s="746">
        <v>7</v>
      </c>
      <c r="C14" s="1147"/>
      <c r="D14" s="1148"/>
      <c r="E14" s="1148"/>
      <c r="F14" s="1148"/>
      <c r="G14" s="1148"/>
      <c r="H14" s="176"/>
      <c r="I14" s="336"/>
      <c r="J14" s="747">
        <f t="shared" si="0"/>
        <v>0</v>
      </c>
      <c r="K14" s="343"/>
      <c r="L14" s="343"/>
      <c r="M14" s="343"/>
      <c r="N14" s="343"/>
      <c r="O14" s="343"/>
      <c r="P14" s="343"/>
    </row>
    <row r="15" spans="2:16" ht="15" customHeight="1" outlineLevel="1" x14ac:dyDescent="0.25">
      <c r="B15" s="748">
        <v>8</v>
      </c>
      <c r="C15" s="1147"/>
      <c r="D15" s="1148"/>
      <c r="E15" s="1148"/>
      <c r="F15" s="1148"/>
      <c r="G15" s="1148"/>
      <c r="H15" s="176"/>
      <c r="I15" s="336"/>
      <c r="J15" s="747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746">
        <v>9</v>
      </c>
      <c r="C16" s="1147"/>
      <c r="D16" s="1148"/>
      <c r="E16" s="1148"/>
      <c r="F16" s="1148"/>
      <c r="G16" s="1148"/>
      <c r="H16" s="176"/>
      <c r="I16" s="336"/>
      <c r="J16" s="747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748">
        <v>10</v>
      </c>
      <c r="C17" s="1147"/>
      <c r="D17" s="1148"/>
      <c r="E17" s="1148"/>
      <c r="F17" s="1148"/>
      <c r="G17" s="1148"/>
      <c r="H17" s="176"/>
      <c r="I17" s="336"/>
      <c r="J17" s="747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746">
        <v>11</v>
      </c>
      <c r="C18" s="1147"/>
      <c r="D18" s="1148"/>
      <c r="E18" s="1148"/>
      <c r="F18" s="1148"/>
      <c r="G18" s="1148"/>
      <c r="H18" s="176"/>
      <c r="I18" s="336"/>
      <c r="J18" s="747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748">
        <v>12</v>
      </c>
      <c r="C19" s="1147"/>
      <c r="D19" s="1148"/>
      <c r="E19" s="1148"/>
      <c r="F19" s="1148"/>
      <c r="G19" s="1148"/>
      <c r="H19" s="176"/>
      <c r="I19" s="336"/>
      <c r="J19" s="747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746">
        <v>13</v>
      </c>
      <c r="C20" s="1147"/>
      <c r="D20" s="1148"/>
      <c r="E20" s="1148"/>
      <c r="F20" s="1148"/>
      <c r="G20" s="1148"/>
      <c r="H20" s="176"/>
      <c r="I20" s="336"/>
      <c r="J20" s="747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748">
        <v>14</v>
      </c>
      <c r="C21" s="1147"/>
      <c r="D21" s="1148"/>
      <c r="E21" s="1148"/>
      <c r="F21" s="1148"/>
      <c r="G21" s="1148"/>
      <c r="H21" s="176"/>
      <c r="I21" s="336"/>
      <c r="J21" s="747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746">
        <v>15</v>
      </c>
      <c r="C22" s="1147"/>
      <c r="D22" s="1148"/>
      <c r="E22" s="1148"/>
      <c r="F22" s="1148"/>
      <c r="G22" s="1148"/>
      <c r="H22" s="176"/>
      <c r="I22" s="336"/>
      <c r="J22" s="747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748">
        <v>16</v>
      </c>
      <c r="C23" s="1147"/>
      <c r="D23" s="1148"/>
      <c r="E23" s="1148"/>
      <c r="F23" s="1148"/>
      <c r="G23" s="1148"/>
      <c r="H23" s="176"/>
      <c r="I23" s="336"/>
      <c r="J23" s="747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746">
        <v>17</v>
      </c>
      <c r="C24" s="1147"/>
      <c r="D24" s="1148"/>
      <c r="E24" s="1148"/>
      <c r="F24" s="1148"/>
      <c r="G24" s="1148"/>
      <c r="H24" s="176"/>
      <c r="I24" s="336"/>
      <c r="J24" s="747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748">
        <v>18</v>
      </c>
      <c r="C25" s="1147"/>
      <c r="D25" s="1148"/>
      <c r="E25" s="1148"/>
      <c r="F25" s="1148"/>
      <c r="G25" s="1148"/>
      <c r="H25" s="176"/>
      <c r="I25" s="336"/>
      <c r="J25" s="747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746">
        <v>19</v>
      </c>
      <c r="C26" s="1147"/>
      <c r="D26" s="1148"/>
      <c r="E26" s="1148"/>
      <c r="F26" s="1148"/>
      <c r="G26" s="1148"/>
      <c r="H26" s="176"/>
      <c r="I26" s="336"/>
      <c r="J26" s="747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748">
        <v>20</v>
      </c>
      <c r="C27" s="1147"/>
      <c r="D27" s="1148"/>
      <c r="E27" s="1148"/>
      <c r="F27" s="1148"/>
      <c r="G27" s="1148"/>
      <c r="H27" s="176"/>
      <c r="I27" s="336"/>
      <c r="J27" s="747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746">
        <v>21</v>
      </c>
      <c r="C28" s="1147"/>
      <c r="D28" s="1148"/>
      <c r="E28" s="1148"/>
      <c r="F28" s="1148"/>
      <c r="G28" s="1148"/>
      <c r="H28" s="176"/>
      <c r="I28" s="336"/>
      <c r="J28" s="747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748">
        <v>22</v>
      </c>
      <c r="C29" s="1147"/>
      <c r="D29" s="1148"/>
      <c r="E29" s="1148"/>
      <c r="F29" s="1148"/>
      <c r="G29" s="1148"/>
      <c r="H29" s="176"/>
      <c r="I29" s="336"/>
      <c r="J29" s="747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746">
        <v>23</v>
      </c>
      <c r="C30" s="1147"/>
      <c r="D30" s="1148"/>
      <c r="E30" s="1148"/>
      <c r="F30" s="1148"/>
      <c r="G30" s="1148"/>
      <c r="H30" s="176"/>
      <c r="I30" s="336"/>
      <c r="J30" s="747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748">
        <v>24</v>
      </c>
      <c r="C31" s="1147"/>
      <c r="D31" s="1148"/>
      <c r="E31" s="1148"/>
      <c r="F31" s="1148"/>
      <c r="G31" s="1148"/>
      <c r="H31" s="176"/>
      <c r="I31" s="336"/>
      <c r="J31" s="747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746">
        <v>25</v>
      </c>
      <c r="C32" s="1147"/>
      <c r="D32" s="1148"/>
      <c r="E32" s="1148"/>
      <c r="F32" s="1148"/>
      <c r="G32" s="1148"/>
      <c r="H32" s="176"/>
      <c r="I32" s="336"/>
      <c r="J32" s="747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748">
        <v>26</v>
      </c>
      <c r="C33" s="1147"/>
      <c r="D33" s="1148"/>
      <c r="E33" s="1148"/>
      <c r="F33" s="1148"/>
      <c r="G33" s="1148"/>
      <c r="H33" s="176"/>
      <c r="I33" s="336"/>
      <c r="J33" s="747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746">
        <v>27</v>
      </c>
      <c r="C34" s="1147"/>
      <c r="D34" s="1148"/>
      <c r="E34" s="1148"/>
      <c r="F34" s="1148"/>
      <c r="G34" s="1148"/>
      <c r="H34" s="176"/>
      <c r="I34" s="336"/>
      <c r="J34" s="747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748">
        <v>28</v>
      </c>
      <c r="C35" s="1147"/>
      <c r="D35" s="1148"/>
      <c r="E35" s="1148"/>
      <c r="F35" s="1148"/>
      <c r="G35" s="1148"/>
      <c r="H35" s="176"/>
      <c r="I35" s="336"/>
      <c r="J35" s="747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746">
        <v>29</v>
      </c>
      <c r="C36" s="1147"/>
      <c r="D36" s="1148"/>
      <c r="E36" s="1148"/>
      <c r="F36" s="1148"/>
      <c r="G36" s="1148"/>
      <c r="H36" s="176"/>
      <c r="I36" s="336"/>
      <c r="J36" s="747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748">
        <v>30</v>
      </c>
      <c r="C37" s="1147"/>
      <c r="D37" s="1148"/>
      <c r="E37" s="1148"/>
      <c r="F37" s="1148"/>
      <c r="G37" s="1148"/>
      <c r="H37" s="176"/>
      <c r="I37" s="336"/>
      <c r="J37" s="747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746">
        <v>31</v>
      </c>
      <c r="C38" s="1147"/>
      <c r="D38" s="1148"/>
      <c r="E38" s="1148"/>
      <c r="F38" s="1148"/>
      <c r="G38" s="1148"/>
      <c r="H38" s="176"/>
      <c r="I38" s="336"/>
      <c r="J38" s="747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748">
        <v>32</v>
      </c>
      <c r="C39" s="1147"/>
      <c r="D39" s="1148"/>
      <c r="E39" s="1148"/>
      <c r="F39" s="1148"/>
      <c r="G39" s="1148"/>
      <c r="H39" s="176"/>
      <c r="I39" s="336"/>
      <c r="J39" s="747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746">
        <v>33</v>
      </c>
      <c r="C40" s="1147"/>
      <c r="D40" s="1148"/>
      <c r="E40" s="1148"/>
      <c r="F40" s="1148"/>
      <c r="G40" s="1148"/>
      <c r="H40" s="176"/>
      <c r="I40" s="336"/>
      <c r="J40" s="747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748">
        <v>34</v>
      </c>
      <c r="C41" s="1147"/>
      <c r="D41" s="1148"/>
      <c r="E41" s="1148"/>
      <c r="F41" s="1148"/>
      <c r="G41" s="1148"/>
      <c r="H41" s="176"/>
      <c r="I41" s="336"/>
      <c r="J41" s="747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746">
        <v>35</v>
      </c>
      <c r="C42" s="1147"/>
      <c r="D42" s="1148"/>
      <c r="E42" s="1148"/>
      <c r="F42" s="1148"/>
      <c r="G42" s="1148"/>
      <c r="H42" s="176"/>
      <c r="I42" s="336"/>
      <c r="J42" s="747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748">
        <v>36</v>
      </c>
      <c r="C43" s="1147"/>
      <c r="D43" s="1148"/>
      <c r="E43" s="1148"/>
      <c r="F43" s="1148"/>
      <c r="G43" s="1148"/>
      <c r="H43" s="176"/>
      <c r="I43" s="336"/>
      <c r="J43" s="747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746">
        <v>37</v>
      </c>
      <c r="C44" s="1147"/>
      <c r="D44" s="1148"/>
      <c r="E44" s="1148"/>
      <c r="F44" s="1148"/>
      <c r="G44" s="1148"/>
      <c r="H44" s="176"/>
      <c r="I44" s="336"/>
      <c r="J44" s="747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748">
        <v>38</v>
      </c>
      <c r="C45" s="1147"/>
      <c r="D45" s="1148"/>
      <c r="E45" s="1148"/>
      <c r="F45" s="1148"/>
      <c r="G45" s="1148"/>
      <c r="H45" s="176"/>
      <c r="I45" s="336"/>
      <c r="J45" s="747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746">
        <v>39</v>
      </c>
      <c r="C46" s="1147"/>
      <c r="D46" s="1148"/>
      <c r="E46" s="1148"/>
      <c r="F46" s="1148"/>
      <c r="G46" s="1148"/>
      <c r="H46" s="176"/>
      <c r="I46" s="336"/>
      <c r="J46" s="747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748">
        <v>40</v>
      </c>
      <c r="C47" s="1147"/>
      <c r="D47" s="1148"/>
      <c r="E47" s="1148"/>
      <c r="F47" s="1148"/>
      <c r="G47" s="1148"/>
      <c r="H47" s="176"/>
      <c r="I47" s="336"/>
      <c r="J47" s="747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746"/>
      <c r="C48" s="1152" t="s">
        <v>289</v>
      </c>
      <c r="D48" s="1153"/>
      <c r="E48" s="1153"/>
      <c r="F48" s="1153"/>
      <c r="G48" s="1153"/>
      <c r="H48" s="177">
        <v>20</v>
      </c>
      <c r="I48" s="336"/>
      <c r="J48" s="747">
        <f t="shared" si="0"/>
        <v>0</v>
      </c>
      <c r="K48" s="343" t="s">
        <v>267</v>
      </c>
      <c r="L48" s="343"/>
      <c r="M48" s="343"/>
      <c r="N48" s="343"/>
      <c r="O48" s="343"/>
      <c r="P48" s="343"/>
    </row>
    <row r="49" spans="2:16" s="751" customFormat="1" ht="15" customHeight="1" x14ac:dyDescent="0.2">
      <c r="B49" s="749"/>
      <c r="C49" s="1205" t="s">
        <v>928</v>
      </c>
      <c r="D49" s="1205"/>
      <c r="E49" s="1205"/>
      <c r="F49" s="1205"/>
      <c r="G49" s="1205"/>
      <c r="H49" s="1205"/>
      <c r="I49" s="1205"/>
      <c r="J49" s="1205"/>
      <c r="K49" s="750" t="s">
        <v>917</v>
      </c>
      <c r="L49" s="750" t="s">
        <v>926</v>
      </c>
      <c r="M49" s="750" t="s">
        <v>927</v>
      </c>
      <c r="N49" s="750" t="s">
        <v>943</v>
      </c>
      <c r="O49" s="750" t="s">
        <v>944</v>
      </c>
      <c r="P49" s="750" t="s">
        <v>945</v>
      </c>
    </row>
    <row r="50" spans="2:16" s="752" customFormat="1" ht="15" customHeight="1" x14ac:dyDescent="0.2">
      <c r="B50" s="1224" t="s">
        <v>918</v>
      </c>
      <c r="C50" s="1225"/>
      <c r="D50" s="1225"/>
      <c r="E50" s="1225"/>
      <c r="F50" s="1225"/>
      <c r="G50" s="1225"/>
      <c r="H50" s="1225"/>
      <c r="I50" s="1225"/>
      <c r="J50" s="1226"/>
      <c r="K50" s="769"/>
      <c r="L50" s="535"/>
      <c r="M50" s="535"/>
      <c r="N50" s="535"/>
      <c r="O50" s="535"/>
      <c r="P50" s="535"/>
    </row>
    <row r="51" spans="2:16" s="752" customFormat="1" ht="15" customHeight="1" x14ac:dyDescent="0.2">
      <c r="B51" s="1224" t="s">
        <v>919</v>
      </c>
      <c r="C51" s="1225"/>
      <c r="D51" s="1225"/>
      <c r="E51" s="1225"/>
      <c r="F51" s="1225"/>
      <c r="G51" s="1225"/>
      <c r="H51" s="1225"/>
      <c r="I51" s="1225"/>
      <c r="J51" s="1226"/>
      <c r="K51" s="536"/>
      <c r="L51" s="536"/>
      <c r="M51" s="536"/>
      <c r="N51" s="536"/>
      <c r="O51" s="536"/>
      <c r="P51" s="536"/>
    </row>
    <row r="52" spans="2:16" s="752" customFormat="1" ht="15" customHeight="1" x14ac:dyDescent="0.2">
      <c r="B52" s="1224" t="s">
        <v>920</v>
      </c>
      <c r="C52" s="1225"/>
      <c r="D52" s="1225"/>
      <c r="E52" s="1225"/>
      <c r="F52" s="1225"/>
      <c r="G52" s="1225"/>
      <c r="H52" s="1225"/>
      <c r="I52" s="1225"/>
      <c r="J52" s="1226"/>
      <c r="K52" s="537"/>
      <c r="L52" s="537"/>
      <c r="M52" s="537"/>
      <c r="N52" s="537"/>
      <c r="O52" s="537"/>
      <c r="P52" s="537"/>
    </row>
    <row r="53" spans="2:16" s="752" customFormat="1" ht="15" customHeight="1" x14ac:dyDescent="0.2">
      <c r="B53" s="1224" t="s">
        <v>921</v>
      </c>
      <c r="C53" s="1225"/>
      <c r="D53" s="1225"/>
      <c r="E53" s="1225"/>
      <c r="F53" s="1225"/>
      <c r="G53" s="1225"/>
      <c r="H53" s="1225"/>
      <c r="I53" s="1225"/>
      <c r="J53" s="1226"/>
      <c r="K53" s="537"/>
      <c r="L53" s="537"/>
      <c r="M53" s="537"/>
      <c r="N53" s="537"/>
      <c r="O53" s="537"/>
      <c r="P53" s="537"/>
    </row>
    <row r="54" spans="2:16" s="752" customFormat="1" ht="15" customHeight="1" x14ac:dyDescent="0.2">
      <c r="B54" s="1224" t="s">
        <v>922</v>
      </c>
      <c r="C54" s="1225"/>
      <c r="D54" s="1225"/>
      <c r="E54" s="1225"/>
      <c r="F54" s="1225"/>
      <c r="G54" s="1225"/>
      <c r="H54" s="1225"/>
      <c r="I54" s="1225"/>
      <c r="J54" s="1226"/>
      <c r="K54" s="769"/>
      <c r="L54" s="535"/>
      <c r="M54" s="535"/>
      <c r="N54" s="535"/>
      <c r="O54" s="535"/>
      <c r="P54" s="535"/>
    </row>
    <row r="55" spans="2:16" s="752" customFormat="1" x14ac:dyDescent="0.2">
      <c r="B55" s="1224" t="s">
        <v>923</v>
      </c>
      <c r="C55" s="1225"/>
      <c r="D55" s="1225"/>
      <c r="E55" s="1225"/>
      <c r="F55" s="1225"/>
      <c r="G55" s="1225"/>
      <c r="H55" s="1225"/>
      <c r="I55" s="1225"/>
      <c r="J55" s="1226"/>
      <c r="K55" s="538"/>
      <c r="L55" s="538"/>
      <c r="M55" s="538"/>
      <c r="N55" s="538"/>
      <c r="O55" s="538"/>
      <c r="P55" s="538"/>
    </row>
    <row r="56" spans="2:16" s="752" customFormat="1" x14ac:dyDescent="0.2">
      <c r="B56" s="1224" t="s">
        <v>924</v>
      </c>
      <c r="C56" s="1225"/>
      <c r="D56" s="1225"/>
      <c r="E56" s="1225"/>
      <c r="F56" s="1225"/>
      <c r="G56" s="1225"/>
      <c r="H56" s="1225"/>
      <c r="I56" s="1225"/>
      <c r="J56" s="1226"/>
      <c r="K56" s="760"/>
      <c r="L56" s="539"/>
      <c r="M56" s="539"/>
      <c r="N56" s="539"/>
      <c r="O56" s="539"/>
      <c r="P56" s="539"/>
    </row>
    <row r="57" spans="2:16" s="753" customFormat="1" ht="15" customHeight="1" x14ac:dyDescent="0.2">
      <c r="B57" s="1206" t="s">
        <v>925</v>
      </c>
      <c r="C57" s="1207"/>
      <c r="D57" s="1207"/>
      <c r="E57" s="1207"/>
      <c r="F57" s="1207"/>
      <c r="G57" s="1207"/>
      <c r="H57" s="1207"/>
      <c r="I57" s="1207"/>
      <c r="J57" s="1208"/>
      <c r="K57" s="1201" t="s">
        <v>915</v>
      </c>
      <c r="L57" s="1201"/>
      <c r="M57" s="1201"/>
      <c r="N57" s="1201" t="s">
        <v>915</v>
      </c>
      <c r="O57" s="1201"/>
      <c r="P57" s="1201"/>
    </row>
    <row r="58" spans="2:16" x14ac:dyDescent="0.25">
      <c r="B58" s="1217" t="s">
        <v>292</v>
      </c>
      <c r="C58" s="1218"/>
      <c r="D58" s="1218"/>
      <c r="E58" s="1218"/>
      <c r="F58" s="1218"/>
      <c r="G58" s="1218"/>
      <c r="H58" s="1218"/>
      <c r="I58" s="1218"/>
      <c r="J58" s="1219"/>
      <c r="K58" s="744" t="s">
        <v>917</v>
      </c>
      <c r="L58" s="744" t="s">
        <v>926</v>
      </c>
      <c r="M58" s="744" t="s">
        <v>927</v>
      </c>
      <c r="N58" s="744" t="s">
        <v>943</v>
      </c>
      <c r="O58" s="744" t="s">
        <v>944</v>
      </c>
      <c r="P58" s="744" t="s">
        <v>945</v>
      </c>
    </row>
    <row r="59" spans="2:16" ht="45" x14ac:dyDescent="0.25">
      <c r="B59" s="754"/>
      <c r="C59" s="1222" t="s">
        <v>294</v>
      </c>
      <c r="D59" s="1222"/>
      <c r="E59" s="1222"/>
      <c r="F59" s="1222"/>
      <c r="G59" s="1223"/>
      <c r="H59" s="755" t="s">
        <v>16</v>
      </c>
      <c r="I59" s="745" t="s">
        <v>295</v>
      </c>
      <c r="J59" s="745" t="s">
        <v>948</v>
      </c>
      <c r="K59" s="745" t="s">
        <v>949</v>
      </c>
      <c r="L59" s="745" t="s">
        <v>949</v>
      </c>
      <c r="M59" s="745" t="s">
        <v>949</v>
      </c>
      <c r="N59" s="745" t="s">
        <v>949</v>
      </c>
      <c r="O59" s="745" t="s">
        <v>949</v>
      </c>
      <c r="P59" s="745" t="s">
        <v>949</v>
      </c>
    </row>
    <row r="60" spans="2:16" ht="15" customHeight="1" x14ac:dyDescent="0.25">
      <c r="B60" s="746">
        <v>1</v>
      </c>
      <c r="C60" s="1149"/>
      <c r="D60" s="1149"/>
      <c r="E60" s="1149"/>
      <c r="F60" s="1149"/>
      <c r="G60" s="1147"/>
      <c r="H60" s="727"/>
      <c r="I60" s="335"/>
      <c r="J60" s="747">
        <f>IFERROR(SMALL(K60:P60,1),0)</f>
        <v>0</v>
      </c>
      <c r="K60" s="343"/>
      <c r="L60" s="343"/>
      <c r="M60" s="343"/>
      <c r="N60" s="343"/>
      <c r="O60" s="343"/>
      <c r="P60" s="343"/>
    </row>
    <row r="61" spans="2:16" ht="15" customHeight="1" x14ac:dyDescent="0.25">
      <c r="B61" s="748">
        <v>2</v>
      </c>
      <c r="C61" s="1149"/>
      <c r="D61" s="1149"/>
      <c r="E61" s="1149"/>
      <c r="F61" s="1149"/>
      <c r="G61" s="1147"/>
      <c r="H61" s="185"/>
      <c r="I61" s="336"/>
      <c r="J61" s="747">
        <f t="shared" ref="J61:J64" si="1">IFERROR(SMALL(K61:P61,1),0)</f>
        <v>0</v>
      </c>
      <c r="K61" s="343"/>
      <c r="L61" s="343"/>
      <c r="M61" s="343"/>
      <c r="N61" s="343"/>
      <c r="O61" s="343"/>
      <c r="P61" s="343"/>
    </row>
    <row r="62" spans="2:16" ht="15" customHeight="1" x14ac:dyDescent="0.25">
      <c r="B62" s="746">
        <v>3</v>
      </c>
      <c r="C62" s="1149"/>
      <c r="D62" s="1149"/>
      <c r="E62" s="1149"/>
      <c r="F62" s="1149"/>
      <c r="G62" s="1147"/>
      <c r="H62" s="185"/>
      <c r="I62" s="336"/>
      <c r="J62" s="747">
        <f t="shared" si="1"/>
        <v>0</v>
      </c>
      <c r="K62" s="343"/>
      <c r="L62" s="343"/>
      <c r="M62" s="343"/>
      <c r="N62" s="343"/>
      <c r="O62" s="343"/>
      <c r="P62" s="343"/>
    </row>
    <row r="63" spans="2:16" ht="15" customHeight="1" x14ac:dyDescent="0.25">
      <c r="B63" s="748">
        <v>4</v>
      </c>
      <c r="C63" s="1149"/>
      <c r="D63" s="1149"/>
      <c r="E63" s="1149"/>
      <c r="F63" s="1149"/>
      <c r="G63" s="1147"/>
      <c r="H63" s="185"/>
      <c r="I63" s="336"/>
      <c r="J63" s="747">
        <f t="shared" si="1"/>
        <v>0</v>
      </c>
      <c r="K63" s="343"/>
      <c r="L63" s="343"/>
      <c r="M63" s="343"/>
      <c r="N63" s="343"/>
      <c r="O63" s="343"/>
      <c r="P63" s="343"/>
    </row>
    <row r="64" spans="2:16" ht="15" customHeight="1" x14ac:dyDescent="0.25">
      <c r="B64" s="746">
        <v>5</v>
      </c>
      <c r="C64" s="1149"/>
      <c r="D64" s="1149"/>
      <c r="E64" s="1149"/>
      <c r="F64" s="1149"/>
      <c r="G64" s="1147"/>
      <c r="H64" s="185"/>
      <c r="I64" s="336"/>
      <c r="J64" s="747">
        <f t="shared" si="1"/>
        <v>0</v>
      </c>
      <c r="K64" s="343"/>
      <c r="L64" s="343"/>
      <c r="M64" s="343"/>
      <c r="N64" s="343"/>
      <c r="O64" s="343"/>
      <c r="P64" s="343"/>
    </row>
    <row r="65" spans="2:16" s="751" customFormat="1" ht="15" customHeight="1" x14ac:dyDescent="0.2">
      <c r="B65" s="749"/>
      <c r="C65" s="1205" t="s">
        <v>928</v>
      </c>
      <c r="D65" s="1205"/>
      <c r="E65" s="1205"/>
      <c r="F65" s="1205"/>
      <c r="G65" s="1205"/>
      <c r="H65" s="1205"/>
      <c r="I65" s="1205"/>
      <c r="J65" s="1205"/>
      <c r="K65" s="750" t="s">
        <v>917</v>
      </c>
      <c r="L65" s="750" t="s">
        <v>926</v>
      </c>
      <c r="M65" s="750" t="s">
        <v>927</v>
      </c>
      <c r="N65" s="750" t="s">
        <v>943</v>
      </c>
      <c r="O65" s="750" t="s">
        <v>944</v>
      </c>
      <c r="P65" s="750" t="s">
        <v>945</v>
      </c>
    </row>
    <row r="66" spans="2:16" s="752" customFormat="1" ht="15" customHeight="1" x14ac:dyDescent="0.2">
      <c r="B66" s="1224" t="s">
        <v>918</v>
      </c>
      <c r="C66" s="1225"/>
      <c r="D66" s="1225"/>
      <c r="E66" s="1225"/>
      <c r="F66" s="1225"/>
      <c r="G66" s="1225"/>
      <c r="H66" s="1225"/>
      <c r="I66" s="1225"/>
      <c r="J66" s="1226"/>
      <c r="K66" s="535"/>
      <c r="L66" s="535"/>
      <c r="M66" s="535"/>
      <c r="N66" s="535"/>
      <c r="O66" s="535"/>
      <c r="P66" s="535"/>
    </row>
    <row r="67" spans="2:16" s="752" customFormat="1" ht="15" customHeight="1" x14ac:dyDescent="0.2">
      <c r="B67" s="1224" t="s">
        <v>919</v>
      </c>
      <c r="C67" s="1225"/>
      <c r="D67" s="1225"/>
      <c r="E67" s="1225"/>
      <c r="F67" s="1225"/>
      <c r="G67" s="1225"/>
      <c r="H67" s="1225"/>
      <c r="I67" s="1225"/>
      <c r="J67" s="1226"/>
      <c r="K67" s="536"/>
      <c r="L67" s="536"/>
      <c r="M67" s="536"/>
      <c r="N67" s="536"/>
      <c r="O67" s="536"/>
      <c r="P67" s="536"/>
    </row>
    <row r="68" spans="2:16" s="752" customFormat="1" ht="15" customHeight="1" x14ac:dyDescent="0.2">
      <c r="B68" s="1224" t="s">
        <v>920</v>
      </c>
      <c r="C68" s="1225"/>
      <c r="D68" s="1225"/>
      <c r="E68" s="1225"/>
      <c r="F68" s="1225"/>
      <c r="G68" s="1225"/>
      <c r="H68" s="1225"/>
      <c r="I68" s="1225"/>
      <c r="J68" s="1226"/>
      <c r="K68" s="537"/>
      <c r="L68" s="537"/>
      <c r="M68" s="537"/>
      <c r="N68" s="537"/>
      <c r="O68" s="537"/>
      <c r="P68" s="537"/>
    </row>
    <row r="69" spans="2:16" s="752" customFormat="1" ht="15" customHeight="1" x14ac:dyDescent="0.2">
      <c r="B69" s="1202" t="s">
        <v>921</v>
      </c>
      <c r="C69" s="1203"/>
      <c r="D69" s="1203"/>
      <c r="E69" s="1203"/>
      <c r="F69" s="1203"/>
      <c r="G69" s="1203"/>
      <c r="H69" s="1203"/>
      <c r="I69" s="1203"/>
      <c r="J69" s="1204"/>
      <c r="K69" s="537"/>
      <c r="L69" s="537"/>
      <c r="M69" s="537"/>
      <c r="N69" s="537"/>
      <c r="O69" s="537"/>
      <c r="P69" s="537"/>
    </row>
    <row r="70" spans="2:16" s="752" customFormat="1" ht="15" customHeight="1" x14ac:dyDescent="0.2">
      <c r="B70" s="1202" t="s">
        <v>922</v>
      </c>
      <c r="C70" s="1203"/>
      <c r="D70" s="1203"/>
      <c r="E70" s="1203"/>
      <c r="F70" s="1203"/>
      <c r="G70" s="1203"/>
      <c r="H70" s="1203"/>
      <c r="I70" s="1203"/>
      <c r="J70" s="1204"/>
      <c r="K70" s="535"/>
      <c r="L70" s="535"/>
      <c r="M70" s="535"/>
      <c r="N70" s="535"/>
      <c r="O70" s="535"/>
      <c r="P70" s="535"/>
    </row>
    <row r="71" spans="2:16" s="752" customFormat="1" x14ac:dyDescent="0.2">
      <c r="B71" s="1202" t="s">
        <v>923</v>
      </c>
      <c r="C71" s="1203"/>
      <c r="D71" s="1203"/>
      <c r="E71" s="1203"/>
      <c r="F71" s="1203"/>
      <c r="G71" s="1203"/>
      <c r="H71" s="1203"/>
      <c r="I71" s="1203"/>
      <c r="J71" s="1204"/>
      <c r="K71" s="538"/>
      <c r="L71" s="538"/>
      <c r="M71" s="538"/>
      <c r="N71" s="538"/>
      <c r="O71" s="538"/>
      <c r="P71" s="538"/>
    </row>
    <row r="72" spans="2:16" s="752" customFormat="1" x14ac:dyDescent="0.2">
      <c r="B72" s="1202" t="s">
        <v>924</v>
      </c>
      <c r="C72" s="1203"/>
      <c r="D72" s="1203"/>
      <c r="E72" s="1203"/>
      <c r="F72" s="1203"/>
      <c r="G72" s="1203"/>
      <c r="H72" s="1203"/>
      <c r="I72" s="1203"/>
      <c r="J72" s="1204"/>
      <c r="K72" s="539"/>
      <c r="L72" s="539"/>
      <c r="M72" s="539"/>
      <c r="N72" s="539"/>
      <c r="O72" s="539"/>
      <c r="P72" s="539"/>
    </row>
    <row r="73" spans="2:16" s="575" customFormat="1" ht="15" customHeight="1" x14ac:dyDescent="0.2">
      <c r="B73" s="1209" t="s">
        <v>925</v>
      </c>
      <c r="C73" s="1210"/>
      <c r="D73" s="1210"/>
      <c r="E73" s="1210"/>
      <c r="F73" s="1210"/>
      <c r="G73" s="1210"/>
      <c r="H73" s="1210"/>
      <c r="I73" s="1210"/>
      <c r="J73" s="1211"/>
      <c r="K73" s="1097" t="s">
        <v>915</v>
      </c>
      <c r="L73" s="1097"/>
      <c r="M73" s="1097"/>
      <c r="N73" s="1097" t="s">
        <v>915</v>
      </c>
      <c r="O73" s="1097"/>
      <c r="P73" s="1097"/>
    </row>
    <row r="74" spans="2:16" s="410" customFormat="1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550" t="s">
        <v>917</v>
      </c>
      <c r="L74" s="550" t="s">
        <v>926</v>
      </c>
      <c r="M74" s="550" t="s">
        <v>927</v>
      </c>
      <c r="N74" s="550" t="s">
        <v>943</v>
      </c>
      <c r="O74" s="550" t="s">
        <v>944</v>
      </c>
      <c r="P74" s="550" t="s">
        <v>945</v>
      </c>
    </row>
    <row r="75" spans="2:16" s="410" customFormat="1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716" t="s">
        <v>16</v>
      </c>
      <c r="J75" s="716" t="s">
        <v>947</v>
      </c>
      <c r="K75" s="716" t="s">
        <v>929</v>
      </c>
      <c r="L75" s="716" t="s">
        <v>929</v>
      </c>
      <c r="M75" s="716" t="s">
        <v>929</v>
      </c>
      <c r="N75" s="716" t="s">
        <v>929</v>
      </c>
      <c r="O75" s="716" t="s">
        <v>929</v>
      </c>
      <c r="P75" s="716" t="s">
        <v>929</v>
      </c>
    </row>
    <row r="76" spans="2:16" ht="15" customHeight="1" x14ac:dyDescent="0.25">
      <c r="B76" s="75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2">IFERROR(SMALL(K76:P76,1),0)</f>
        <v>0</v>
      </c>
      <c r="K76" s="343"/>
      <c r="L76" s="343"/>
      <c r="M76" s="343"/>
      <c r="N76" s="343"/>
      <c r="O76" s="343"/>
      <c r="P76" s="343"/>
    </row>
    <row r="77" spans="2:16" ht="15" customHeight="1" x14ac:dyDescent="0.25">
      <c r="B77" s="756">
        <v>2</v>
      </c>
      <c r="C77" s="1164"/>
      <c r="D77" s="1164"/>
      <c r="E77" s="1164"/>
      <c r="F77" s="1164"/>
      <c r="G77" s="1164"/>
      <c r="H77" s="1165"/>
      <c r="I77" s="336"/>
      <c r="J77" s="546">
        <f t="shared" si="2"/>
        <v>0</v>
      </c>
      <c r="K77" s="343"/>
      <c r="L77" s="343"/>
      <c r="M77" s="343"/>
      <c r="N77" s="343"/>
      <c r="O77" s="343"/>
      <c r="P77" s="343"/>
    </row>
    <row r="78" spans="2:16" ht="15" customHeight="1" x14ac:dyDescent="0.25">
      <c r="B78" s="756">
        <v>3</v>
      </c>
      <c r="C78" s="1164"/>
      <c r="D78" s="1164"/>
      <c r="E78" s="1164"/>
      <c r="F78" s="1164"/>
      <c r="G78" s="1164"/>
      <c r="H78" s="1165"/>
      <c r="I78" s="336"/>
      <c r="J78" s="546">
        <f t="shared" si="2"/>
        <v>0</v>
      </c>
      <c r="K78" s="343"/>
      <c r="L78" s="343"/>
      <c r="M78" s="343"/>
      <c r="N78" s="343"/>
      <c r="O78" s="343"/>
      <c r="P78" s="343"/>
    </row>
    <row r="79" spans="2:16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521" t="s">
        <v>917</v>
      </c>
      <c r="L79" s="521" t="s">
        <v>926</v>
      </c>
      <c r="M79" s="521" t="s">
        <v>927</v>
      </c>
      <c r="N79" s="521" t="s">
        <v>943</v>
      </c>
      <c r="O79" s="521" t="s">
        <v>944</v>
      </c>
      <c r="P79" s="521" t="s">
        <v>945</v>
      </c>
    </row>
    <row r="80" spans="2:16" s="752" customFormat="1" ht="15" customHeight="1" x14ac:dyDescent="0.2">
      <c r="B80" s="1202" t="s">
        <v>918</v>
      </c>
      <c r="C80" s="1203"/>
      <c r="D80" s="1203"/>
      <c r="E80" s="1203"/>
      <c r="F80" s="1203"/>
      <c r="G80" s="1203"/>
      <c r="H80" s="1203"/>
      <c r="I80" s="1203"/>
      <c r="J80" s="1204"/>
      <c r="K80" s="535"/>
      <c r="L80" s="535"/>
      <c r="M80" s="535"/>
      <c r="N80" s="535"/>
      <c r="O80" s="535"/>
      <c r="P80" s="535"/>
    </row>
    <row r="81" spans="2:16" s="752" customFormat="1" ht="15" customHeight="1" x14ac:dyDescent="0.2">
      <c r="B81" s="1202" t="s">
        <v>919</v>
      </c>
      <c r="C81" s="1203"/>
      <c r="D81" s="1203"/>
      <c r="E81" s="1203"/>
      <c r="F81" s="1203"/>
      <c r="G81" s="1203"/>
      <c r="H81" s="1203"/>
      <c r="I81" s="1203"/>
      <c r="J81" s="1204"/>
      <c r="K81" s="536"/>
      <c r="L81" s="536"/>
      <c r="M81" s="536"/>
      <c r="N81" s="536"/>
      <c r="O81" s="536"/>
      <c r="P81" s="536"/>
    </row>
    <row r="82" spans="2:16" s="752" customFormat="1" ht="15" customHeight="1" x14ac:dyDescent="0.2">
      <c r="B82" s="1202" t="s">
        <v>920</v>
      </c>
      <c r="C82" s="1203"/>
      <c r="D82" s="1203"/>
      <c r="E82" s="1203"/>
      <c r="F82" s="1203"/>
      <c r="G82" s="1203"/>
      <c r="H82" s="1203"/>
      <c r="I82" s="1203"/>
      <c r="J82" s="1204"/>
      <c r="K82" s="537"/>
      <c r="L82" s="537"/>
      <c r="M82" s="537"/>
      <c r="N82" s="537"/>
      <c r="O82" s="537"/>
      <c r="P82" s="537"/>
    </row>
    <row r="83" spans="2:16" s="752" customFormat="1" ht="15" customHeight="1" x14ac:dyDescent="0.2">
      <c r="B83" s="1202" t="s">
        <v>921</v>
      </c>
      <c r="C83" s="1203"/>
      <c r="D83" s="1203"/>
      <c r="E83" s="1203"/>
      <c r="F83" s="1203"/>
      <c r="G83" s="1203"/>
      <c r="H83" s="1203"/>
      <c r="I83" s="1203"/>
      <c r="J83" s="1204"/>
      <c r="K83" s="537"/>
      <c r="L83" s="537"/>
      <c r="M83" s="537"/>
      <c r="N83" s="537"/>
      <c r="O83" s="537"/>
      <c r="P83" s="537"/>
    </row>
    <row r="84" spans="2:16" s="752" customFormat="1" ht="15" customHeight="1" x14ac:dyDescent="0.2">
      <c r="B84" s="1202" t="s">
        <v>922</v>
      </c>
      <c r="C84" s="1203"/>
      <c r="D84" s="1203"/>
      <c r="E84" s="1203"/>
      <c r="F84" s="1203"/>
      <c r="G84" s="1203"/>
      <c r="H84" s="1203"/>
      <c r="I84" s="1203"/>
      <c r="J84" s="1204"/>
      <c r="K84" s="535"/>
      <c r="L84" s="535"/>
      <c r="M84" s="535"/>
      <c r="N84" s="535"/>
      <c r="O84" s="535"/>
      <c r="P84" s="535"/>
    </row>
    <row r="85" spans="2:16" s="752" customFormat="1" x14ac:dyDescent="0.2">
      <c r="B85" s="1202" t="s">
        <v>923</v>
      </c>
      <c r="C85" s="1203"/>
      <c r="D85" s="1203"/>
      <c r="E85" s="1203"/>
      <c r="F85" s="1203"/>
      <c r="G85" s="1203"/>
      <c r="H85" s="1203"/>
      <c r="I85" s="1203"/>
      <c r="J85" s="1204"/>
      <c r="K85" s="538"/>
      <c r="L85" s="538"/>
      <c r="M85" s="538"/>
      <c r="N85" s="538"/>
      <c r="O85" s="538"/>
      <c r="P85" s="538"/>
    </row>
    <row r="86" spans="2:16" s="752" customFormat="1" x14ac:dyDescent="0.2">
      <c r="B86" s="1202" t="s">
        <v>924</v>
      </c>
      <c r="C86" s="1203"/>
      <c r="D86" s="1203"/>
      <c r="E86" s="1203"/>
      <c r="F86" s="1203"/>
      <c r="G86" s="1203"/>
      <c r="H86" s="1203"/>
      <c r="I86" s="1203"/>
      <c r="J86" s="1204"/>
      <c r="K86" s="539"/>
      <c r="L86" s="539"/>
      <c r="M86" s="539"/>
      <c r="N86" s="539"/>
      <c r="O86" s="539"/>
      <c r="P86" s="539"/>
    </row>
    <row r="87" spans="2:16" s="575" customFormat="1" ht="15" customHeight="1" x14ac:dyDescent="0.2">
      <c r="B87" s="1209" t="s">
        <v>925</v>
      </c>
      <c r="C87" s="1210"/>
      <c r="D87" s="1210"/>
      <c r="E87" s="1210"/>
      <c r="F87" s="1210"/>
      <c r="G87" s="1210"/>
      <c r="H87" s="1210"/>
      <c r="I87" s="1210"/>
      <c r="J87" s="1211"/>
      <c r="K87" s="1097" t="s">
        <v>915</v>
      </c>
      <c r="L87" s="1097"/>
      <c r="M87" s="1097"/>
      <c r="N87" s="1097" t="s">
        <v>915</v>
      </c>
      <c r="O87" s="1097"/>
      <c r="P87" s="1097"/>
    </row>
    <row r="88" spans="2:16" s="410" customFormat="1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6" s="410" customFormat="1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716" t="s">
        <v>16</v>
      </c>
      <c r="J89" s="716" t="s">
        <v>947</v>
      </c>
      <c r="K89" s="716" t="s">
        <v>929</v>
      </c>
      <c r="L89" s="716" t="s">
        <v>929</v>
      </c>
      <c r="M89" s="716" t="s">
        <v>929</v>
      </c>
      <c r="N89" s="716" t="s">
        <v>929</v>
      </c>
      <c r="O89" s="716" t="s">
        <v>929</v>
      </c>
      <c r="P89" s="716" t="s">
        <v>929</v>
      </c>
    </row>
    <row r="90" spans="2:16" ht="15" customHeight="1" x14ac:dyDescent="0.25">
      <c r="B90" s="756">
        <v>1</v>
      </c>
      <c r="C90" s="1164"/>
      <c r="D90" s="1164"/>
      <c r="E90" s="1164"/>
      <c r="F90" s="1164"/>
      <c r="G90" s="1164"/>
      <c r="H90" s="1165"/>
      <c r="I90" s="336"/>
      <c r="J90" s="546">
        <f t="shared" ref="J90:J92" si="3">IFERROR(SMALL(K90:P90,1),0)</f>
        <v>0</v>
      </c>
      <c r="K90" s="343"/>
      <c r="L90" s="343"/>
      <c r="M90" s="343"/>
      <c r="N90" s="343"/>
      <c r="O90" s="343"/>
      <c r="P90" s="343"/>
    </row>
    <row r="91" spans="2:16" ht="15" customHeight="1" x14ac:dyDescent="0.25">
      <c r="B91" s="756">
        <v>2</v>
      </c>
      <c r="C91" s="1164"/>
      <c r="D91" s="1164"/>
      <c r="E91" s="1164"/>
      <c r="F91" s="1164"/>
      <c r="G91" s="1164"/>
      <c r="H91" s="1165"/>
      <c r="I91" s="336"/>
      <c r="J91" s="546">
        <f t="shared" si="3"/>
        <v>0</v>
      </c>
      <c r="K91" s="343"/>
      <c r="L91" s="343"/>
      <c r="M91" s="343"/>
      <c r="N91" s="343"/>
      <c r="O91" s="343"/>
      <c r="P91" s="343"/>
    </row>
    <row r="92" spans="2:16" ht="15" customHeight="1" x14ac:dyDescent="0.25">
      <c r="B92" s="756">
        <v>3</v>
      </c>
      <c r="C92" s="1164"/>
      <c r="D92" s="1164"/>
      <c r="E92" s="1164"/>
      <c r="F92" s="1164"/>
      <c r="G92" s="1164"/>
      <c r="H92" s="1165"/>
      <c r="I92" s="336"/>
      <c r="J92" s="546">
        <f t="shared" si="3"/>
        <v>0</v>
      </c>
      <c r="K92" s="343"/>
      <c r="L92" s="343"/>
      <c r="M92" s="343"/>
      <c r="N92" s="343"/>
      <c r="O92" s="343"/>
      <c r="P92" s="343"/>
    </row>
    <row r="93" spans="2:16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521" t="s">
        <v>917</v>
      </c>
      <c r="L93" s="521" t="s">
        <v>926</v>
      </c>
      <c r="M93" s="521" t="s">
        <v>927</v>
      </c>
      <c r="N93" s="521" t="s">
        <v>943</v>
      </c>
      <c r="O93" s="521" t="s">
        <v>944</v>
      </c>
      <c r="P93" s="521" t="s">
        <v>945</v>
      </c>
    </row>
    <row r="94" spans="2:16" s="752" customFormat="1" ht="15" customHeight="1" x14ac:dyDescent="0.2">
      <c r="B94" s="1202" t="s">
        <v>918</v>
      </c>
      <c r="C94" s="1203"/>
      <c r="D94" s="1203"/>
      <c r="E94" s="1203"/>
      <c r="F94" s="1203"/>
      <c r="G94" s="1203"/>
      <c r="H94" s="1203"/>
      <c r="I94" s="1203"/>
      <c r="J94" s="1204"/>
      <c r="K94" s="535"/>
      <c r="L94" s="535"/>
      <c r="M94" s="535"/>
      <c r="N94" s="535"/>
      <c r="O94" s="535"/>
      <c r="P94" s="535"/>
    </row>
    <row r="95" spans="2:16" s="752" customFormat="1" ht="15" customHeight="1" x14ac:dyDescent="0.2">
      <c r="B95" s="1202" t="s">
        <v>919</v>
      </c>
      <c r="C95" s="1203"/>
      <c r="D95" s="1203"/>
      <c r="E95" s="1203"/>
      <c r="F95" s="1203"/>
      <c r="G95" s="1203"/>
      <c r="H95" s="1203"/>
      <c r="I95" s="1203"/>
      <c r="J95" s="1204"/>
      <c r="K95" s="536"/>
      <c r="L95" s="536"/>
      <c r="M95" s="536"/>
      <c r="N95" s="536"/>
      <c r="O95" s="536"/>
      <c r="P95" s="536"/>
    </row>
    <row r="96" spans="2:16" s="752" customFormat="1" ht="15" customHeight="1" x14ac:dyDescent="0.2">
      <c r="B96" s="1202" t="s">
        <v>920</v>
      </c>
      <c r="C96" s="1203"/>
      <c r="D96" s="1203"/>
      <c r="E96" s="1203"/>
      <c r="F96" s="1203"/>
      <c r="G96" s="1203"/>
      <c r="H96" s="1203"/>
      <c r="I96" s="1203"/>
      <c r="J96" s="1204"/>
      <c r="K96" s="537"/>
      <c r="L96" s="537"/>
      <c r="M96" s="537"/>
      <c r="N96" s="537"/>
      <c r="O96" s="537"/>
      <c r="P96" s="537"/>
    </row>
    <row r="97" spans="2:16" s="752" customFormat="1" ht="15" customHeight="1" x14ac:dyDescent="0.2">
      <c r="B97" s="1202" t="s">
        <v>921</v>
      </c>
      <c r="C97" s="1203"/>
      <c r="D97" s="1203"/>
      <c r="E97" s="1203"/>
      <c r="F97" s="1203"/>
      <c r="G97" s="1203"/>
      <c r="H97" s="1203"/>
      <c r="I97" s="1203"/>
      <c r="J97" s="1204"/>
      <c r="K97" s="537"/>
      <c r="L97" s="537"/>
      <c r="M97" s="537"/>
      <c r="N97" s="537"/>
      <c r="O97" s="537"/>
      <c r="P97" s="537"/>
    </row>
    <row r="98" spans="2:16" s="752" customFormat="1" ht="15" customHeight="1" x14ac:dyDescent="0.2">
      <c r="B98" s="1202" t="s">
        <v>922</v>
      </c>
      <c r="C98" s="1203"/>
      <c r="D98" s="1203"/>
      <c r="E98" s="1203"/>
      <c r="F98" s="1203"/>
      <c r="G98" s="1203"/>
      <c r="H98" s="1203"/>
      <c r="I98" s="1203"/>
      <c r="J98" s="1204"/>
      <c r="K98" s="535"/>
      <c r="L98" s="535"/>
      <c r="M98" s="535"/>
      <c r="N98" s="535"/>
      <c r="O98" s="535"/>
      <c r="P98" s="535"/>
    </row>
    <row r="99" spans="2:16" s="752" customFormat="1" x14ac:dyDescent="0.2">
      <c r="B99" s="1202" t="s">
        <v>923</v>
      </c>
      <c r="C99" s="1203"/>
      <c r="D99" s="1203"/>
      <c r="E99" s="1203"/>
      <c r="F99" s="1203"/>
      <c r="G99" s="1203"/>
      <c r="H99" s="1203"/>
      <c r="I99" s="1203"/>
      <c r="J99" s="1204"/>
      <c r="K99" s="538"/>
      <c r="L99" s="538"/>
      <c r="M99" s="538"/>
      <c r="N99" s="538"/>
      <c r="O99" s="538"/>
      <c r="P99" s="538"/>
    </row>
    <row r="100" spans="2:16" s="752" customFormat="1" x14ac:dyDescent="0.2">
      <c r="B100" s="1202" t="s">
        <v>924</v>
      </c>
      <c r="C100" s="1203"/>
      <c r="D100" s="1203"/>
      <c r="E100" s="1203"/>
      <c r="F100" s="1203"/>
      <c r="G100" s="1203"/>
      <c r="H100" s="1203"/>
      <c r="I100" s="1203"/>
      <c r="J100" s="1204"/>
      <c r="K100" s="539"/>
      <c r="L100" s="539"/>
      <c r="M100" s="539"/>
      <c r="N100" s="539"/>
      <c r="O100" s="539"/>
      <c r="P100" s="539"/>
    </row>
    <row r="101" spans="2:16" s="575" customFormat="1" ht="15" customHeight="1" x14ac:dyDescent="0.2">
      <c r="B101" s="1209" t="s">
        <v>925</v>
      </c>
      <c r="C101" s="1210"/>
      <c r="D101" s="1210"/>
      <c r="E101" s="1210"/>
      <c r="F101" s="1210"/>
      <c r="G101" s="1210"/>
      <c r="H101" s="1210"/>
      <c r="I101" s="1210"/>
      <c r="J101" s="1211"/>
      <c r="K101" s="1097" t="s">
        <v>915</v>
      </c>
      <c r="L101" s="1097"/>
      <c r="M101" s="1097"/>
      <c r="N101" s="1097" t="s">
        <v>915</v>
      </c>
      <c r="O101" s="1097"/>
      <c r="P101" s="1097"/>
    </row>
  </sheetData>
  <sheetProtection password="C9A4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4:G44"/>
    <mergeCell ref="C45:G45"/>
    <mergeCell ref="C46:G46"/>
    <mergeCell ref="C47:G47"/>
    <mergeCell ref="C48:G48"/>
    <mergeCell ref="C49:J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D2:I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2">
    <tabColor theme="6"/>
  </sheetPr>
  <dimension ref="B2:Z8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6.85546875" style="409" bestFit="1" customWidth="1"/>
    <col min="15" max="16" width="3.42578125" style="409" customWidth="1"/>
    <col min="17" max="17" width="14.14062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6.85546875" style="418" bestFit="1" customWidth="1"/>
    <col min="26" max="16384" width="9.140625" style="409"/>
  </cols>
  <sheetData>
    <row r="2" spans="2:26" ht="22.5" customHeight="1" x14ac:dyDescent="0.25">
      <c r="B2" s="1157" t="s">
        <v>962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SISTEMAS DE REFRIGERAÇÃO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14"/>
      <c r="Q5" s="315"/>
      <c r="R5" s="315"/>
      <c r="S5" s="315"/>
      <c r="T5" s="315"/>
      <c r="U5" s="315"/>
      <c r="V5" s="315"/>
      <c r="W5" s="315"/>
      <c r="X5" s="316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317" t="s">
        <v>285</v>
      </c>
      <c r="I7" s="317" t="s">
        <v>16</v>
      </c>
      <c r="J7" s="317" t="s">
        <v>239</v>
      </c>
      <c r="K7" s="172" t="s">
        <v>286</v>
      </c>
      <c r="L7" s="317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17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IF(ISBLANK('RefrigCusto (ORÇ)'!C8)," ",'RefrigCusto (ORÇ)'!C8)</f>
        <v xml:space="preserve"> </v>
      </c>
      <c r="D8" s="1214"/>
      <c r="E8" s="1214"/>
      <c r="F8" s="1214"/>
      <c r="G8" s="1175"/>
      <c r="H8" s="581">
        <f>'RefrigCusto (ORÇ)'!H8</f>
        <v>0</v>
      </c>
      <c r="I8" s="583">
        <f>'RefrigCusto (ORÇ)'!I8</f>
        <v>0</v>
      </c>
      <c r="J8" s="584">
        <f>'RefrigCusto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20">
        <f>V8*X8</f>
        <v>0</v>
      </c>
    </row>
    <row r="9" spans="2:26" ht="15" customHeight="1" outlineLevel="1" x14ac:dyDescent="0.25">
      <c r="B9" s="175">
        <v>2</v>
      </c>
      <c r="C9" s="1214" t="str">
        <f>IF(ISBLANK('RefrigCusto (ORÇ)'!C9)," ",'RefrigCusto (ORÇ)'!C9)</f>
        <v xml:space="preserve"> </v>
      </c>
      <c r="D9" s="1214"/>
      <c r="E9" s="1214"/>
      <c r="F9" s="1214"/>
      <c r="G9" s="1175"/>
      <c r="H9" s="581">
        <f>'RefrigCusto (ORÇ)'!H9</f>
        <v>0</v>
      </c>
      <c r="I9" s="583">
        <f>'RefrigCusto (ORÇ)'!I9</f>
        <v>0</v>
      </c>
      <c r="J9" s="584">
        <f>'RefrigCusto (ORÇ)'!J9</f>
        <v>0</v>
      </c>
      <c r="K9" s="344">
        <f t="shared" ref="K9:K48" si="0">I9*J9</f>
        <v>0</v>
      </c>
      <c r="L9" s="344">
        <f t="shared" ref="L9:L48" si="1">K9-M9-N9</f>
        <v>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 xml:space="preserve"> </v>
      </c>
      <c r="R9" s="1177"/>
      <c r="S9" s="1177"/>
      <c r="T9" s="1177"/>
      <c r="U9" s="1178"/>
      <c r="V9" s="174">
        <f t="shared" ref="V9:V47" si="4">IF(H9="",0,H9)</f>
        <v>0</v>
      </c>
      <c r="W9" s="345">
        <f t="shared" ref="W9:W48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20">
        <f t="shared" ref="Y9:Y48" si="6">V9*X9</f>
        <v>0</v>
      </c>
    </row>
    <row r="10" spans="2:26" ht="15" customHeight="1" outlineLevel="1" x14ac:dyDescent="0.25">
      <c r="B10" s="173">
        <v>3</v>
      </c>
      <c r="C10" s="1214" t="str">
        <f>IF(ISBLANK('RefrigCusto (ORÇ)'!C10)," ",'RefrigCusto (ORÇ)'!C10)</f>
        <v xml:space="preserve"> </v>
      </c>
      <c r="D10" s="1214"/>
      <c r="E10" s="1214"/>
      <c r="F10" s="1214"/>
      <c r="G10" s="1175"/>
      <c r="H10" s="581">
        <f>'RefrigCusto (ORÇ)'!H10</f>
        <v>0</v>
      </c>
      <c r="I10" s="583">
        <f>'RefrigCusto (ORÇ)'!I10</f>
        <v>0</v>
      </c>
      <c r="J10" s="584">
        <f>'RefrigCusto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20">
        <f t="shared" si="6"/>
        <v>0</v>
      </c>
    </row>
    <row r="11" spans="2:26" ht="15" customHeight="1" outlineLevel="1" x14ac:dyDescent="0.25">
      <c r="B11" s="175">
        <v>4</v>
      </c>
      <c r="C11" s="1214" t="str">
        <f>IF(ISBLANK('RefrigCusto (ORÇ)'!C11)," ",'RefrigCusto (ORÇ)'!C11)</f>
        <v xml:space="preserve"> </v>
      </c>
      <c r="D11" s="1214"/>
      <c r="E11" s="1214"/>
      <c r="F11" s="1214"/>
      <c r="G11" s="1175"/>
      <c r="H11" s="581">
        <f>'RefrigCusto (ORÇ)'!H11</f>
        <v>0</v>
      </c>
      <c r="I11" s="583">
        <f>'RefrigCusto (ORÇ)'!I11</f>
        <v>0</v>
      </c>
      <c r="J11" s="584">
        <f>'RefrigCusto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ht="15" customHeight="1" outlineLevel="1" x14ac:dyDescent="0.25">
      <c r="B12" s="173">
        <v>5</v>
      </c>
      <c r="C12" s="1214" t="str">
        <f>IF(ISBLANK('RefrigCusto (ORÇ)'!C12)," ",'RefrigCusto (ORÇ)'!C12)</f>
        <v xml:space="preserve"> </v>
      </c>
      <c r="D12" s="1214"/>
      <c r="E12" s="1214"/>
      <c r="F12" s="1214"/>
      <c r="G12" s="1175"/>
      <c r="H12" s="581">
        <f>'RefrigCusto (ORÇ)'!H12</f>
        <v>0</v>
      </c>
      <c r="I12" s="583">
        <f>'RefrigCusto (ORÇ)'!I12</f>
        <v>0</v>
      </c>
      <c r="J12" s="584">
        <f>'RefrigCusto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ht="15" customHeight="1" outlineLevel="1" x14ac:dyDescent="0.25">
      <c r="B13" s="175">
        <v>6</v>
      </c>
      <c r="C13" s="1214" t="str">
        <f>IF(ISBLANK('RefrigCusto (ORÇ)'!C13)," ",'RefrigCusto (ORÇ)'!C13)</f>
        <v xml:space="preserve"> </v>
      </c>
      <c r="D13" s="1214"/>
      <c r="E13" s="1214"/>
      <c r="F13" s="1214"/>
      <c r="G13" s="1175"/>
      <c r="H13" s="581">
        <f>'RefrigCusto (ORÇ)'!H13</f>
        <v>0</v>
      </c>
      <c r="I13" s="583">
        <f>'RefrigCusto (ORÇ)'!I13</f>
        <v>0</v>
      </c>
      <c r="J13" s="584">
        <f>'RefrigCusto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ht="15" customHeight="1" outlineLevel="1" x14ac:dyDescent="0.25">
      <c r="B14" s="173">
        <v>7</v>
      </c>
      <c r="C14" s="1214" t="str">
        <f>IF(ISBLANK('RefrigCusto (ORÇ)'!C14)," ",'RefrigCusto (ORÇ)'!C14)</f>
        <v xml:space="preserve"> </v>
      </c>
      <c r="D14" s="1214"/>
      <c r="E14" s="1214"/>
      <c r="F14" s="1214"/>
      <c r="G14" s="1175"/>
      <c r="H14" s="581">
        <f>'RefrigCusto (ORÇ)'!H14</f>
        <v>0</v>
      </c>
      <c r="I14" s="583">
        <f>'RefrigCusto (ORÇ)'!I14</f>
        <v>0</v>
      </c>
      <c r="J14" s="584">
        <f>'RefrigCusto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ht="15" customHeight="1" outlineLevel="1" x14ac:dyDescent="0.25">
      <c r="B15" s="175">
        <v>8</v>
      </c>
      <c r="C15" s="1214" t="str">
        <f>IF(ISBLANK('RefrigCusto (ORÇ)'!C15)," ",'RefrigCusto (ORÇ)'!C15)</f>
        <v xml:space="preserve"> </v>
      </c>
      <c r="D15" s="1214"/>
      <c r="E15" s="1214"/>
      <c r="F15" s="1214"/>
      <c r="G15" s="1175"/>
      <c r="H15" s="581">
        <f>'RefrigCusto (ORÇ)'!H15</f>
        <v>0</v>
      </c>
      <c r="I15" s="583">
        <f>'RefrigCusto (ORÇ)'!I15</f>
        <v>0</v>
      </c>
      <c r="J15" s="584">
        <f>'RefrigCusto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20">
        <f t="shared" si="6"/>
        <v>0</v>
      </c>
    </row>
    <row r="16" spans="2:26" ht="15" customHeight="1" outlineLevel="1" x14ac:dyDescent="0.25">
      <c r="B16" s="173">
        <v>9</v>
      </c>
      <c r="C16" s="1214" t="str">
        <f>IF(ISBLANK('RefrigCusto (ORÇ)'!C16)," ",'RefrigCusto (ORÇ)'!C16)</f>
        <v xml:space="preserve"> </v>
      </c>
      <c r="D16" s="1214"/>
      <c r="E16" s="1214"/>
      <c r="F16" s="1214"/>
      <c r="G16" s="1175"/>
      <c r="H16" s="581">
        <f>'RefrigCusto (ORÇ)'!H16</f>
        <v>0</v>
      </c>
      <c r="I16" s="583">
        <f>'RefrigCusto (ORÇ)'!I16</f>
        <v>0</v>
      </c>
      <c r="J16" s="584">
        <f>'RefrigCusto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IF(ISBLANK('RefrigCusto (ORÇ)'!C17)," ",'RefrigCusto (ORÇ)'!C17)</f>
        <v xml:space="preserve"> </v>
      </c>
      <c r="D17" s="1214"/>
      <c r="E17" s="1214"/>
      <c r="F17" s="1214"/>
      <c r="G17" s="1175"/>
      <c r="H17" s="581">
        <f>'RefrigCusto (ORÇ)'!H17</f>
        <v>0</v>
      </c>
      <c r="I17" s="583">
        <f>'RefrigCusto (ORÇ)'!I17</f>
        <v>0</v>
      </c>
      <c r="J17" s="584">
        <f>'RefrigCusto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IF(ISBLANK('RefrigCusto (ORÇ)'!C18)," ",'RefrigCusto (ORÇ)'!C18)</f>
        <v xml:space="preserve"> </v>
      </c>
      <c r="D18" s="1214"/>
      <c r="E18" s="1214"/>
      <c r="F18" s="1214"/>
      <c r="G18" s="1175"/>
      <c r="H18" s="581">
        <f>'RefrigCusto (ORÇ)'!H18</f>
        <v>0</v>
      </c>
      <c r="I18" s="583">
        <f>'RefrigCusto (ORÇ)'!I18</f>
        <v>0</v>
      </c>
      <c r="J18" s="584">
        <f>'RefrigCusto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IF(ISBLANK('RefrigCusto (ORÇ)'!C19)," ",'RefrigCusto (ORÇ)'!C19)</f>
        <v xml:space="preserve"> </v>
      </c>
      <c r="D19" s="1214"/>
      <c r="E19" s="1214"/>
      <c r="F19" s="1214"/>
      <c r="G19" s="1175"/>
      <c r="H19" s="581">
        <f>'RefrigCusto (ORÇ)'!H19</f>
        <v>0</v>
      </c>
      <c r="I19" s="583">
        <f>'RefrigCusto (ORÇ)'!I19</f>
        <v>0</v>
      </c>
      <c r="J19" s="584">
        <f>'RefrigCusto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IF(ISBLANK('RefrigCusto (ORÇ)'!C20)," ",'RefrigCusto (ORÇ)'!C20)</f>
        <v xml:space="preserve"> </v>
      </c>
      <c r="D20" s="1214"/>
      <c r="E20" s="1214"/>
      <c r="F20" s="1214"/>
      <c r="G20" s="1175"/>
      <c r="H20" s="581">
        <f>'RefrigCusto (ORÇ)'!H20</f>
        <v>0</v>
      </c>
      <c r="I20" s="583">
        <f>'RefrigCusto (ORÇ)'!I20</f>
        <v>0</v>
      </c>
      <c r="J20" s="584">
        <f>'RefrigCusto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20">
        <f t="shared" si="6"/>
        <v>0</v>
      </c>
    </row>
    <row r="21" spans="2:25" outlineLevel="1" x14ac:dyDescent="0.25">
      <c r="B21" s="175">
        <v>14</v>
      </c>
      <c r="C21" s="1214" t="str">
        <f>IF(ISBLANK('RefrigCusto (ORÇ)'!C21)," ",'RefrigCusto (ORÇ)'!C21)</f>
        <v xml:space="preserve"> </v>
      </c>
      <c r="D21" s="1214"/>
      <c r="E21" s="1214"/>
      <c r="F21" s="1214"/>
      <c r="G21" s="1175"/>
      <c r="H21" s="581">
        <f>'RefrigCusto (ORÇ)'!H21</f>
        <v>0</v>
      </c>
      <c r="I21" s="583">
        <f>'RefrigCusto (ORÇ)'!I21</f>
        <v>0</v>
      </c>
      <c r="J21" s="584">
        <f>'RefrigCusto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IF(ISBLANK('RefrigCusto (ORÇ)'!C22)," ",'RefrigCusto (ORÇ)'!C22)</f>
        <v xml:space="preserve"> </v>
      </c>
      <c r="D22" s="1214"/>
      <c r="E22" s="1214"/>
      <c r="F22" s="1214"/>
      <c r="G22" s="1175"/>
      <c r="H22" s="581">
        <f>'RefrigCusto (ORÇ)'!H22</f>
        <v>0</v>
      </c>
      <c r="I22" s="583">
        <f>'RefrigCusto (ORÇ)'!I22</f>
        <v>0</v>
      </c>
      <c r="J22" s="584">
        <f>'RefrigCusto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IF(ISBLANK('RefrigCusto (ORÇ)'!C23)," ",'RefrigCusto (ORÇ)'!C23)</f>
        <v xml:space="preserve"> </v>
      </c>
      <c r="D23" s="1214"/>
      <c r="E23" s="1214"/>
      <c r="F23" s="1214"/>
      <c r="G23" s="1175"/>
      <c r="H23" s="581">
        <f>'RefrigCusto (ORÇ)'!H23</f>
        <v>0</v>
      </c>
      <c r="I23" s="583">
        <f>'RefrigCusto (ORÇ)'!I23</f>
        <v>0</v>
      </c>
      <c r="J23" s="584">
        <f>'RefrigCusto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IF(ISBLANK('RefrigCusto (ORÇ)'!C24)," ",'RefrigCusto (ORÇ)'!C24)</f>
        <v xml:space="preserve"> </v>
      </c>
      <c r="D24" s="1214"/>
      <c r="E24" s="1214"/>
      <c r="F24" s="1214"/>
      <c r="G24" s="1175"/>
      <c r="H24" s="581">
        <f>'RefrigCusto (ORÇ)'!H24</f>
        <v>0</v>
      </c>
      <c r="I24" s="583">
        <f>'RefrigCusto (ORÇ)'!I24</f>
        <v>0</v>
      </c>
      <c r="J24" s="584">
        <f>'RefrigCusto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IF(ISBLANK('RefrigCusto (ORÇ)'!C25)," ",'RefrigCusto (ORÇ)'!C25)</f>
        <v xml:space="preserve"> </v>
      </c>
      <c r="D25" s="1214"/>
      <c r="E25" s="1214"/>
      <c r="F25" s="1214"/>
      <c r="G25" s="1175"/>
      <c r="H25" s="581">
        <f>'RefrigCusto (ORÇ)'!H25</f>
        <v>0</v>
      </c>
      <c r="I25" s="583">
        <f>'RefrigCusto (ORÇ)'!I25</f>
        <v>0</v>
      </c>
      <c r="J25" s="584">
        <f>'RefrigCusto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IF(ISBLANK('RefrigCusto (ORÇ)'!C26)," ",'RefrigCusto (ORÇ)'!C26)</f>
        <v xml:space="preserve"> </v>
      </c>
      <c r="D26" s="1214"/>
      <c r="E26" s="1214"/>
      <c r="F26" s="1214"/>
      <c r="G26" s="1175"/>
      <c r="H26" s="581">
        <f>'RefrigCusto (ORÇ)'!H26</f>
        <v>0</v>
      </c>
      <c r="I26" s="583">
        <f>'RefrigCusto (ORÇ)'!I26</f>
        <v>0</v>
      </c>
      <c r="J26" s="584">
        <f>'RefrigCusto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IF(ISBLANK('RefrigCusto (ORÇ)'!C27)," ",'RefrigCusto (ORÇ)'!C27)</f>
        <v xml:space="preserve"> </v>
      </c>
      <c r="D27" s="1214"/>
      <c r="E27" s="1214"/>
      <c r="F27" s="1214"/>
      <c r="G27" s="1175"/>
      <c r="H27" s="581">
        <f>'RefrigCusto (ORÇ)'!H27</f>
        <v>0</v>
      </c>
      <c r="I27" s="583">
        <f>'RefrigCusto (ORÇ)'!I27</f>
        <v>0</v>
      </c>
      <c r="J27" s="584">
        <f>'RefrigCusto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IF(ISBLANK('RefrigCusto (ORÇ)'!C28)," ",'RefrigCusto (ORÇ)'!C28)</f>
        <v xml:space="preserve"> </v>
      </c>
      <c r="D28" s="1214"/>
      <c r="E28" s="1214"/>
      <c r="F28" s="1214"/>
      <c r="G28" s="1175"/>
      <c r="H28" s="581">
        <f>'RefrigCusto (ORÇ)'!H28</f>
        <v>0</v>
      </c>
      <c r="I28" s="583">
        <f>'RefrigCusto (ORÇ)'!I28</f>
        <v>0</v>
      </c>
      <c r="J28" s="584">
        <f>'RefrigCusto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IF(ISBLANK('RefrigCusto (ORÇ)'!C29)," ",'RefrigCusto (ORÇ)'!C29)</f>
        <v xml:space="preserve"> </v>
      </c>
      <c r="D29" s="1214"/>
      <c r="E29" s="1214"/>
      <c r="F29" s="1214"/>
      <c r="G29" s="1175"/>
      <c r="H29" s="581">
        <f>'RefrigCusto (ORÇ)'!H29</f>
        <v>0</v>
      </c>
      <c r="I29" s="583">
        <f>'RefrigCusto (ORÇ)'!I29</f>
        <v>0</v>
      </c>
      <c r="J29" s="584">
        <f>'RefrigCusto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IF(ISBLANK('RefrigCusto (ORÇ)'!C30)," ",'RefrigCusto (ORÇ)'!C30)</f>
        <v xml:space="preserve"> </v>
      </c>
      <c r="D30" s="1214"/>
      <c r="E30" s="1214"/>
      <c r="F30" s="1214"/>
      <c r="G30" s="1175"/>
      <c r="H30" s="581">
        <f>'RefrigCusto (ORÇ)'!H30</f>
        <v>0</v>
      </c>
      <c r="I30" s="583">
        <f>'RefrigCusto (ORÇ)'!I30</f>
        <v>0</v>
      </c>
      <c r="J30" s="584">
        <f>'RefrigCusto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ht="18" customHeight="1" outlineLevel="1" x14ac:dyDescent="0.25">
      <c r="B31" s="175">
        <v>24</v>
      </c>
      <c r="C31" s="1214" t="str">
        <f>IF(ISBLANK('RefrigCusto (ORÇ)'!C31)," ",'RefrigCusto (ORÇ)'!C31)</f>
        <v xml:space="preserve"> </v>
      </c>
      <c r="D31" s="1214"/>
      <c r="E31" s="1214"/>
      <c r="F31" s="1214"/>
      <c r="G31" s="1175"/>
      <c r="H31" s="581">
        <f>'RefrigCusto (ORÇ)'!H31</f>
        <v>0</v>
      </c>
      <c r="I31" s="583">
        <f>'RefrigCusto (ORÇ)'!I31</f>
        <v>0</v>
      </c>
      <c r="J31" s="584">
        <f>'RefrigCusto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ht="18" customHeight="1" outlineLevel="1" x14ac:dyDescent="0.25">
      <c r="B32" s="173">
        <v>25</v>
      </c>
      <c r="C32" s="1214" t="str">
        <f>IF(ISBLANK('RefrigCusto (ORÇ)'!C32)," ",'RefrigCusto (ORÇ)'!C32)</f>
        <v xml:space="preserve"> </v>
      </c>
      <c r="D32" s="1214"/>
      <c r="E32" s="1214"/>
      <c r="F32" s="1214"/>
      <c r="G32" s="1175"/>
      <c r="H32" s="581">
        <f>'RefrigCusto (ORÇ)'!H32</f>
        <v>0</v>
      </c>
      <c r="I32" s="583">
        <f>'RefrigCusto (ORÇ)'!I32</f>
        <v>0</v>
      </c>
      <c r="J32" s="584">
        <f>'RefrigCusto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ht="15" customHeight="1" outlineLevel="1" x14ac:dyDescent="0.25">
      <c r="B33" s="175">
        <v>26</v>
      </c>
      <c r="C33" s="1214" t="str">
        <f>IF(ISBLANK('RefrigCusto (ORÇ)'!C33)," ",'RefrigCusto (ORÇ)'!C33)</f>
        <v xml:space="preserve"> </v>
      </c>
      <c r="D33" s="1214"/>
      <c r="E33" s="1214"/>
      <c r="F33" s="1214"/>
      <c r="G33" s="1175"/>
      <c r="H33" s="581">
        <f>'RefrigCusto (ORÇ)'!H33</f>
        <v>0</v>
      </c>
      <c r="I33" s="583">
        <f>'RefrigCusto (ORÇ)'!I33</f>
        <v>0</v>
      </c>
      <c r="J33" s="584">
        <f>'RefrigCusto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outlineLevel="1" x14ac:dyDescent="0.25">
      <c r="B34" s="173">
        <v>27</v>
      </c>
      <c r="C34" s="1214" t="str">
        <f>IF(ISBLANK('RefrigCusto (ORÇ)'!C34)," ",'RefrigCusto (ORÇ)'!C34)</f>
        <v xml:space="preserve"> </v>
      </c>
      <c r="D34" s="1214"/>
      <c r="E34" s="1214"/>
      <c r="F34" s="1214"/>
      <c r="G34" s="1175"/>
      <c r="H34" s="581">
        <f>'RefrigCusto (ORÇ)'!H34</f>
        <v>0</v>
      </c>
      <c r="I34" s="583">
        <f>'RefrigCusto (ORÇ)'!I34</f>
        <v>0</v>
      </c>
      <c r="J34" s="584">
        <f>'RefrigCusto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IF(ISBLANK('RefrigCusto (ORÇ)'!C35)," ",'RefrigCusto (ORÇ)'!C35)</f>
        <v xml:space="preserve"> </v>
      </c>
      <c r="D35" s="1214"/>
      <c r="E35" s="1214"/>
      <c r="F35" s="1214"/>
      <c r="G35" s="1175"/>
      <c r="H35" s="581">
        <f>'RefrigCusto (ORÇ)'!H35</f>
        <v>0</v>
      </c>
      <c r="I35" s="583">
        <f>'RefrigCusto (ORÇ)'!I35</f>
        <v>0</v>
      </c>
      <c r="J35" s="584">
        <f>'RefrigCusto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IF(ISBLANK('RefrigCusto (ORÇ)'!C36)," ",'RefrigCusto (ORÇ)'!C36)</f>
        <v xml:space="preserve"> </v>
      </c>
      <c r="D36" s="1214"/>
      <c r="E36" s="1214"/>
      <c r="F36" s="1214"/>
      <c r="G36" s="1175"/>
      <c r="H36" s="581">
        <f>'RefrigCusto (ORÇ)'!H36</f>
        <v>0</v>
      </c>
      <c r="I36" s="583">
        <f>'RefrigCusto (ORÇ)'!I36</f>
        <v>0</v>
      </c>
      <c r="J36" s="584">
        <f>'RefrigCusto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IF(ISBLANK('RefrigCusto (ORÇ)'!C37)," ",'RefrigCusto (ORÇ)'!C37)</f>
        <v xml:space="preserve"> </v>
      </c>
      <c r="D37" s="1214"/>
      <c r="E37" s="1214"/>
      <c r="F37" s="1214"/>
      <c r="G37" s="1175"/>
      <c r="H37" s="581">
        <f>'RefrigCusto (ORÇ)'!H37</f>
        <v>0</v>
      </c>
      <c r="I37" s="583">
        <f>'RefrigCusto (ORÇ)'!I37</f>
        <v>0</v>
      </c>
      <c r="J37" s="584">
        <f>'RefrigCusto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IF(ISBLANK('RefrigCusto (ORÇ)'!C38)," ",'RefrigCusto (ORÇ)'!C38)</f>
        <v xml:space="preserve"> </v>
      </c>
      <c r="D38" s="1214"/>
      <c r="E38" s="1214"/>
      <c r="F38" s="1214"/>
      <c r="G38" s="1175"/>
      <c r="H38" s="581">
        <f>'RefrigCusto (ORÇ)'!H38</f>
        <v>0</v>
      </c>
      <c r="I38" s="583">
        <f>'RefrigCusto (ORÇ)'!I38</f>
        <v>0</v>
      </c>
      <c r="J38" s="584">
        <f>'RefrigCusto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ht="15" customHeight="1" outlineLevel="1" x14ac:dyDescent="0.25">
      <c r="B39" s="175">
        <v>32</v>
      </c>
      <c r="C39" s="1214" t="str">
        <f>IF(ISBLANK('RefrigCusto (ORÇ)'!C39)," ",'RefrigCusto (ORÇ)'!C39)</f>
        <v xml:space="preserve"> </v>
      </c>
      <c r="D39" s="1214"/>
      <c r="E39" s="1214"/>
      <c r="F39" s="1214"/>
      <c r="G39" s="1175"/>
      <c r="H39" s="581">
        <f>'RefrigCusto (ORÇ)'!H39</f>
        <v>0</v>
      </c>
      <c r="I39" s="583">
        <f>'RefrigCusto (ORÇ)'!I39</f>
        <v>0</v>
      </c>
      <c r="J39" s="584">
        <f>'RefrigCusto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IF(ISBLANK('RefrigCusto (ORÇ)'!C40)," ",'RefrigCusto (ORÇ)'!C40)</f>
        <v xml:space="preserve"> </v>
      </c>
      <c r="D40" s="1214"/>
      <c r="E40" s="1214"/>
      <c r="F40" s="1214"/>
      <c r="G40" s="1175"/>
      <c r="H40" s="581">
        <f>'RefrigCusto (ORÇ)'!H40</f>
        <v>0</v>
      </c>
      <c r="I40" s="583">
        <f>'RefrigCusto (ORÇ)'!I40</f>
        <v>0</v>
      </c>
      <c r="J40" s="584">
        <f>'RefrigCusto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IF(ISBLANK('RefrigCusto (ORÇ)'!C41)," ",'RefrigCusto (ORÇ)'!C41)</f>
        <v xml:space="preserve"> </v>
      </c>
      <c r="D41" s="1214"/>
      <c r="E41" s="1214"/>
      <c r="F41" s="1214"/>
      <c r="G41" s="1175"/>
      <c r="H41" s="581">
        <f>'RefrigCusto (ORÇ)'!H41</f>
        <v>0</v>
      </c>
      <c r="I41" s="583">
        <f>'RefrigCusto (ORÇ)'!I41</f>
        <v>0</v>
      </c>
      <c r="J41" s="584">
        <f>'RefrigCusto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IF(ISBLANK('RefrigCusto (ORÇ)'!C42)," ",'RefrigCusto (ORÇ)'!C42)</f>
        <v xml:space="preserve"> </v>
      </c>
      <c r="D42" s="1214"/>
      <c r="E42" s="1214"/>
      <c r="F42" s="1214"/>
      <c r="G42" s="1175"/>
      <c r="H42" s="581">
        <f>'RefrigCusto (ORÇ)'!H42</f>
        <v>0</v>
      </c>
      <c r="I42" s="583">
        <f>'RefrigCusto (ORÇ)'!I42</f>
        <v>0</v>
      </c>
      <c r="J42" s="584">
        <f>'RefrigCusto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ht="15" customHeight="1" outlineLevel="1" x14ac:dyDescent="0.25">
      <c r="B43" s="175">
        <v>36</v>
      </c>
      <c r="C43" s="1214" t="str">
        <f>IF(ISBLANK('RefrigCusto (ORÇ)'!C43)," ",'RefrigCusto (ORÇ)'!C43)</f>
        <v xml:space="preserve"> </v>
      </c>
      <c r="D43" s="1214"/>
      <c r="E43" s="1214"/>
      <c r="F43" s="1214"/>
      <c r="G43" s="1175"/>
      <c r="H43" s="581">
        <f>'RefrigCusto (ORÇ)'!H43</f>
        <v>0</v>
      </c>
      <c r="I43" s="583">
        <f>'RefrigCusto (ORÇ)'!I43</f>
        <v>0</v>
      </c>
      <c r="J43" s="584">
        <f>'RefrigCusto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IF(ISBLANK('RefrigCusto (ORÇ)'!C44)," ",'RefrigCusto (ORÇ)'!C44)</f>
        <v xml:space="preserve"> </v>
      </c>
      <c r="D44" s="1214"/>
      <c r="E44" s="1214"/>
      <c r="F44" s="1214"/>
      <c r="G44" s="1175"/>
      <c r="H44" s="581">
        <f>'RefrigCusto (ORÇ)'!H44</f>
        <v>0</v>
      </c>
      <c r="I44" s="583">
        <f>'RefrigCusto (ORÇ)'!I44</f>
        <v>0</v>
      </c>
      <c r="J44" s="584">
        <f>'RefrigCusto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IF(ISBLANK('RefrigCusto (ORÇ)'!C45)," ",'RefrigCusto (ORÇ)'!C45)</f>
        <v xml:space="preserve"> </v>
      </c>
      <c r="D45" s="1214"/>
      <c r="E45" s="1214"/>
      <c r="F45" s="1214"/>
      <c r="G45" s="1175"/>
      <c r="H45" s="581">
        <f>'RefrigCusto (ORÇ)'!H45</f>
        <v>0</v>
      </c>
      <c r="I45" s="583">
        <f>'RefrigCusto (ORÇ)'!I45</f>
        <v>0</v>
      </c>
      <c r="J45" s="584">
        <f>'RefrigCusto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IF(ISBLANK('RefrigCusto (ORÇ)'!C46)," ",'RefrigCusto (ORÇ)'!C46)</f>
        <v xml:space="preserve"> </v>
      </c>
      <c r="D46" s="1214"/>
      <c r="E46" s="1214"/>
      <c r="F46" s="1214"/>
      <c r="G46" s="1175"/>
      <c r="H46" s="581">
        <f>'RefrigCusto (ORÇ)'!H46</f>
        <v>0</v>
      </c>
      <c r="I46" s="583">
        <f>'RefrigCusto (ORÇ)'!I46</f>
        <v>0</v>
      </c>
      <c r="J46" s="584">
        <f>'RefrigCusto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ht="15" customHeight="1" outlineLevel="1" x14ac:dyDescent="0.25">
      <c r="B47" s="175">
        <v>40</v>
      </c>
      <c r="C47" s="1214" t="str">
        <f>IF(ISBLANK('RefrigCusto (ORÇ)'!C47)," ",'RefrigCusto (ORÇ)'!C47)</f>
        <v xml:space="preserve"> </v>
      </c>
      <c r="D47" s="1214"/>
      <c r="E47" s="1214"/>
      <c r="F47" s="1214"/>
      <c r="G47" s="1175"/>
      <c r="H47" s="581">
        <f>'RefrigCusto (ORÇ)'!H47</f>
        <v>0</v>
      </c>
      <c r="I47" s="583">
        <f>'RefrigCusto (ORÇ)'!I47</f>
        <v>0</v>
      </c>
      <c r="J47" s="584">
        <f>'RefrigCusto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IF(ISBLANK('RefrigCusto (ORÇ)'!C48)," ",'RefrigCusto (ORÇ)'!C48)</f>
        <v>Acessórios</v>
      </c>
      <c r="D48" s="1214"/>
      <c r="E48" s="1214"/>
      <c r="F48" s="1214"/>
      <c r="G48" s="1175"/>
      <c r="H48" s="581">
        <f>'RefrigCusto (ORÇ)'!H48</f>
        <v>20</v>
      </c>
      <c r="I48" s="583">
        <f>'RefrigCusto (ORÇ)'!I48</f>
        <v>0</v>
      </c>
      <c r="J48" s="584">
        <f>'RefrigCusto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20</v>
      </c>
      <c r="W48" s="345">
        <f t="shared" si="5"/>
        <v>0.10185220882315059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519</v>
      </c>
      <c r="D49" s="1186"/>
      <c r="E49" s="1186"/>
      <c r="F49" s="1186"/>
      <c r="G49" s="1186"/>
      <c r="H49" s="1186"/>
      <c r="I49" s="1186"/>
      <c r="J49" s="1187"/>
      <c r="K49" s="178">
        <f>SUM(K8:K48)</f>
        <v>0</v>
      </c>
      <c r="L49" s="178">
        <f>SUM(L8:L48)</f>
        <v>0</v>
      </c>
      <c r="M49" s="178">
        <f>SUM(M8:M48)</f>
        <v>0</v>
      </c>
      <c r="N49" s="178">
        <f>SUM(N8:N48)</f>
        <v>0</v>
      </c>
      <c r="O49" s="410"/>
      <c r="P49" s="1170" t="s">
        <v>816</v>
      </c>
      <c r="Q49" s="1171"/>
      <c r="R49" s="1171"/>
      <c r="S49" s="1171"/>
      <c r="T49" s="1171"/>
      <c r="U49" s="1171"/>
      <c r="V49" s="1172"/>
      <c r="W49" s="179" t="s">
        <v>814</v>
      </c>
      <c r="X49" s="180">
        <f>SUM(X8:X48)</f>
        <v>0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817</v>
      </c>
      <c r="Q50" s="1171"/>
      <c r="R50" s="1171"/>
      <c r="S50" s="1171"/>
      <c r="T50" s="1171"/>
      <c r="U50" s="1171"/>
      <c r="V50" s="1172"/>
      <c r="W50" s="179" t="s">
        <v>815</v>
      </c>
      <c r="X50" s="180">
        <f>IFERROR(X49*($L$86/$K$86),0)</f>
        <v>0</v>
      </c>
    </row>
    <row r="51" spans="2:24" ht="15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5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0</v>
      </c>
      <c r="L52" s="344">
        <f>'Custo Contábil'!G39</f>
        <v>0</v>
      </c>
      <c r="M52" s="344">
        <v>0</v>
      </c>
      <c r="N52" s="344">
        <v>0</v>
      </c>
      <c r="O52" s="410"/>
      <c r="P52" s="338" t="s">
        <v>812</v>
      </c>
      <c r="Q52" s="339"/>
      <c r="R52" s="184">
        <f>RCB!G8</f>
        <v>0</v>
      </c>
      <c r="T52" s="1212" t="s">
        <v>709</v>
      </c>
      <c r="U52" s="1213"/>
      <c r="V52" s="352">
        <f>IFERROR(SUM(Y8:Y48)/X49,0)</f>
        <v>0</v>
      </c>
    </row>
    <row r="53" spans="2:24" ht="18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0</v>
      </c>
      <c r="L53" s="344">
        <f>Diagnóstico!M16</f>
        <v>0</v>
      </c>
      <c r="M53" s="344">
        <f>Diagnóstico!N16</f>
        <v>0</v>
      </c>
      <c r="N53" s="344">
        <f>Diagnóstico!O16</f>
        <v>0</v>
      </c>
      <c r="O53" s="410"/>
      <c r="P53" s="338" t="s">
        <v>813</v>
      </c>
      <c r="Q53" s="339"/>
      <c r="R53" s="184">
        <f>RCB!J8</f>
        <v>0</v>
      </c>
    </row>
    <row r="54" spans="2:24" ht="15" customHeight="1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317" t="s">
        <v>295</v>
      </c>
      <c r="J54" s="317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ht="15" customHeight="1" x14ac:dyDescent="0.25">
      <c r="B55" s="173">
        <v>1</v>
      </c>
      <c r="C55" s="1214" t="str">
        <f>IF(ISBLANK('RefrigCusto (ORÇ)'!C60)," ",'RefrigCusto (ORÇ)'!C60)</f>
        <v xml:space="preserve"> </v>
      </c>
      <c r="D55" s="1214"/>
      <c r="E55" s="1214"/>
      <c r="F55" s="1214"/>
      <c r="G55" s="1175"/>
      <c r="H55" s="581">
        <f>'RefrigCusto (ORÇ)'!H60</f>
        <v>0</v>
      </c>
      <c r="I55" s="583">
        <f>'RefrigCusto (ORÇ)'!I60</f>
        <v>0</v>
      </c>
      <c r="J55" s="584">
        <f>'RefrigCusto (ORÇ)'!J60</f>
        <v>0</v>
      </c>
      <c r="K55" s="344">
        <f>H55*I55*J55</f>
        <v>0</v>
      </c>
      <c r="L55" s="344">
        <f>K55-M55-N55</f>
        <v>0</v>
      </c>
      <c r="M55" s="343"/>
      <c r="N55" s="343"/>
      <c r="O55" s="410"/>
    </row>
    <row r="56" spans="2:24" ht="15" customHeight="1" x14ac:dyDescent="0.25">
      <c r="B56" s="175">
        <v>2</v>
      </c>
      <c r="C56" s="1214" t="str">
        <f>IF(ISBLANK('RefrigCusto (ORÇ)'!C61)," ",'RefrigCusto (ORÇ)'!C61)</f>
        <v xml:space="preserve"> </v>
      </c>
      <c r="D56" s="1214"/>
      <c r="E56" s="1214"/>
      <c r="F56" s="1214"/>
      <c r="G56" s="1175"/>
      <c r="H56" s="581">
        <f>'RefrigCusto (ORÇ)'!H61</f>
        <v>0</v>
      </c>
      <c r="I56" s="583">
        <f>'RefrigCusto (ORÇ)'!I61</f>
        <v>0</v>
      </c>
      <c r="J56" s="584">
        <f>'RefrigCusto (ORÇ)'!J61</f>
        <v>0</v>
      </c>
      <c r="K56" s="344">
        <f>H56*I56*J56</f>
        <v>0</v>
      </c>
      <c r="L56" s="344">
        <f>K56-M56-N56</f>
        <v>0</v>
      </c>
      <c r="M56" s="343"/>
      <c r="N56" s="343"/>
      <c r="O56" s="410"/>
    </row>
    <row r="57" spans="2:24" ht="15" customHeight="1" x14ac:dyDescent="0.25">
      <c r="B57" s="173">
        <v>3</v>
      </c>
      <c r="C57" s="1214" t="str">
        <f>IF(ISBLANK('RefrigCusto (ORÇ)'!C62)," ",'RefrigCusto (ORÇ)'!C62)</f>
        <v xml:space="preserve"> </v>
      </c>
      <c r="D57" s="1214"/>
      <c r="E57" s="1214"/>
      <c r="F57" s="1214"/>
      <c r="G57" s="1175"/>
      <c r="H57" s="581">
        <f>'RefrigCusto (ORÇ)'!H62</f>
        <v>0</v>
      </c>
      <c r="I57" s="583">
        <f>'RefrigCusto (ORÇ)'!I62</f>
        <v>0</v>
      </c>
      <c r="J57" s="584">
        <f>'RefrigCusto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outlineLevel="1" x14ac:dyDescent="0.25">
      <c r="B58" s="175">
        <v>4</v>
      </c>
      <c r="C58" s="1214" t="str">
        <f>IF(ISBLANK('RefrigCusto (ORÇ)'!C63)," ",'RefrigCusto (ORÇ)'!C63)</f>
        <v xml:space="preserve"> </v>
      </c>
      <c r="D58" s="1214"/>
      <c r="E58" s="1214"/>
      <c r="F58" s="1214"/>
      <c r="G58" s="1175"/>
      <c r="H58" s="581">
        <f>'RefrigCusto (ORÇ)'!H63</f>
        <v>0</v>
      </c>
      <c r="I58" s="583">
        <f>'RefrigCusto (ORÇ)'!I63</f>
        <v>0</v>
      </c>
      <c r="J58" s="584">
        <f>'RefrigCusto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outlineLevel="1" x14ac:dyDescent="0.25">
      <c r="B59" s="173">
        <v>5</v>
      </c>
      <c r="C59" s="1214" t="str">
        <f>IF(ISBLANK('RefrigCusto (ORÇ)'!C64)," ",'RefrigCusto (ORÇ)'!C64)</f>
        <v xml:space="preserve"> </v>
      </c>
      <c r="D59" s="1214"/>
      <c r="E59" s="1214"/>
      <c r="F59" s="1214"/>
      <c r="G59" s="1175"/>
      <c r="H59" s="581">
        <f>'RefrigCusto (ORÇ)'!H64</f>
        <v>0</v>
      </c>
      <c r="I59" s="583">
        <f>'RefrigCusto (ORÇ)'!I64</f>
        <v>0</v>
      </c>
      <c r="J59" s="584">
        <f>'RefrigCusto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outlineLevel="1" x14ac:dyDescent="0.25">
      <c r="B60" s="181"/>
      <c r="C60" s="1184" t="s">
        <v>521</v>
      </c>
      <c r="D60" s="1184"/>
      <c r="E60" s="1184"/>
      <c r="F60" s="1184"/>
      <c r="G60" s="1184"/>
      <c r="H60" s="1184"/>
      <c r="I60" s="1184"/>
      <c r="J60" s="1185"/>
      <c r="K60" s="344">
        <f>SUM(K55:K59)</f>
        <v>0</v>
      </c>
      <c r="L60" s="344">
        <f>SUM(L55:L59)</f>
        <v>0</v>
      </c>
      <c r="M60" s="344">
        <f>SUM(M55:M59)</f>
        <v>0</v>
      </c>
      <c r="N60" s="344">
        <f>SUM(N55:N59)</f>
        <v>0</v>
      </c>
      <c r="O60" s="410"/>
    </row>
    <row r="61" spans="2:24" ht="15" customHeight="1" x14ac:dyDescent="0.25">
      <c r="B61" s="337"/>
      <c r="C61" s="1186" t="s">
        <v>522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0</v>
      </c>
      <c r="L61" s="293">
        <f>SUM(L60,L52:L53)</f>
        <v>0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0</v>
      </c>
      <c r="L64" s="347">
        <f>'Custo Contábil'!G41</f>
        <v>0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317" t="s">
        <v>16</v>
      </c>
      <c r="J65" s="317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IF(ISBLANK('RefrigCusto (ORÇ)'!C76)," ",'RefrigCusto (ORÇ)'!C76)</f>
        <v xml:space="preserve"> </v>
      </c>
      <c r="D66" s="1174"/>
      <c r="E66" s="1174"/>
      <c r="F66" s="1174"/>
      <c r="G66" s="1174"/>
      <c r="H66" s="1183"/>
      <c r="I66" s="583">
        <f>'RefrigCusto (ORÇ)'!I76</f>
        <v>0</v>
      </c>
      <c r="J66" s="584">
        <f>'RefrigCusto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x14ac:dyDescent="0.25">
      <c r="B67" s="186">
        <v>2</v>
      </c>
      <c r="C67" s="1174" t="str">
        <f>IF(ISBLANK('RefrigCusto (ORÇ)'!C77)," ",'RefrigCusto (ORÇ)'!C77)</f>
        <v xml:space="preserve"> </v>
      </c>
      <c r="D67" s="1174"/>
      <c r="E67" s="1174"/>
      <c r="F67" s="1174"/>
      <c r="G67" s="1174"/>
      <c r="H67" s="1183"/>
      <c r="I67" s="583">
        <f>'RefrigCusto (ORÇ)'!I77</f>
        <v>0</v>
      </c>
      <c r="J67" s="584">
        <f>'RefrigCusto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IF(ISBLANK('RefrigCusto (ORÇ)'!C78)," ",'RefrigCusto (ORÇ)'!C78)</f>
        <v xml:space="preserve"> </v>
      </c>
      <c r="D68" s="1174"/>
      <c r="E68" s="1174"/>
      <c r="F68" s="1174"/>
      <c r="G68" s="1174"/>
      <c r="H68" s="1183"/>
      <c r="I68" s="583">
        <f>'RefrigCusto (ORÇ)'!I78</f>
        <v>0</v>
      </c>
      <c r="J68" s="584">
        <f>'RefrigCusto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811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523</v>
      </c>
      <c r="D70" s="1186"/>
      <c r="E70" s="1186"/>
      <c r="F70" s="1186"/>
      <c r="G70" s="1186"/>
      <c r="H70" s="1186"/>
      <c r="I70" s="1186"/>
      <c r="J70" s="1187"/>
      <c r="K70" s="178">
        <f>SUM(K64,K69)</f>
        <v>0</v>
      </c>
      <c r="L70" s="178">
        <f>SUM(L64,L69)</f>
        <v>0</v>
      </c>
      <c r="M70" s="293">
        <f>M69</f>
        <v>0</v>
      </c>
      <c r="N70" s="293">
        <f>N69</f>
        <v>0</v>
      </c>
      <c r="O70" s="410"/>
    </row>
    <row r="71" spans="2:16" x14ac:dyDescent="0.25">
      <c r="B71" s="341"/>
      <c r="C71" s="1179" t="s">
        <v>524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0</v>
      </c>
      <c r="L71" s="139">
        <f>SUM(L49,L61,L70)</f>
        <v>0</v>
      </c>
      <c r="M71" s="139">
        <f>SUM(M49,M61,M70)</f>
        <v>0</v>
      </c>
      <c r="N71" s="139">
        <f>SUM(N49,N61,N70)</f>
        <v>0</v>
      </c>
      <c r="O71" s="410"/>
    </row>
    <row r="72" spans="2:16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7">SUM(L74:N74)</f>
        <v>0</v>
      </c>
      <c r="L74" s="344">
        <f>'Custo Contábil'!$G$37*'Custo Contábil'!F13</f>
        <v>0</v>
      </c>
      <c r="M74" s="344">
        <f>'Custo Contábil'!$G$37*'Custo Contábil'!G13</f>
        <v>0</v>
      </c>
      <c r="N74" s="344">
        <f>'Custo Contábil'!$G$37*'Custo Contábil'!H13</f>
        <v>0</v>
      </c>
      <c r="O74" s="410"/>
    </row>
    <row r="75" spans="2:16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7"/>
        <v>0</v>
      </c>
      <c r="L75" s="344">
        <f>'Custo Contábil'!G45</f>
        <v>0</v>
      </c>
      <c r="M75" s="344">
        <v>0</v>
      </c>
      <c r="N75" s="344">
        <v>0</v>
      </c>
      <c r="O75" s="410"/>
    </row>
    <row r="76" spans="2:16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7"/>
        <v>0</v>
      </c>
      <c r="L76" s="344">
        <f>Marketing!L21</f>
        <v>0</v>
      </c>
      <c r="M76" s="344">
        <f>Marketing!M21</f>
        <v>0</v>
      </c>
      <c r="N76" s="344">
        <f>Marketing!N21</f>
        <v>0</v>
      </c>
      <c r="O76" s="410"/>
    </row>
    <row r="77" spans="2:16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7"/>
        <v>0</v>
      </c>
      <c r="L77" s="344">
        <f>Treinamento!L35</f>
        <v>0</v>
      </c>
      <c r="M77" s="344">
        <f>Treinamento!M35</f>
        <v>0</v>
      </c>
      <c r="N77" s="344">
        <f>Treinamento!N35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7"/>
        <v>0</v>
      </c>
      <c r="L78" s="344">
        <f>Descarte!L56</f>
        <v>0</v>
      </c>
      <c r="M78" s="344">
        <f>Descarte!M56</f>
        <v>0</v>
      </c>
      <c r="N78" s="344">
        <f>Descarte!N56</f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7"/>
        <v>0</v>
      </c>
      <c r="L79" s="344">
        <f>'M&amp;V'!N318</f>
        <v>0</v>
      </c>
      <c r="M79" s="344">
        <f>'M&amp;V'!O318</f>
        <v>0</v>
      </c>
      <c r="N79" s="344">
        <f>'M&amp;V'!P318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317" t="s">
        <v>16</v>
      </c>
      <c r="J80" s="317" t="s">
        <v>301</v>
      </c>
      <c r="K80" s="172" t="s">
        <v>286</v>
      </c>
      <c r="L80" s="317" t="s">
        <v>796</v>
      </c>
      <c r="M80" s="127" t="s">
        <v>240</v>
      </c>
      <c r="N80" s="127" t="s">
        <v>241</v>
      </c>
      <c r="O80" s="410"/>
    </row>
    <row r="81" spans="2:15" x14ac:dyDescent="0.25">
      <c r="B81" s="186">
        <v>1</v>
      </c>
      <c r="C81" s="1174" t="str">
        <f>IF(ISBLANK('RefrigCusto (ORÇ)'!C90)," ",'RefrigCusto (ORÇ)'!C90)</f>
        <v xml:space="preserve"> </v>
      </c>
      <c r="D81" s="1174"/>
      <c r="E81" s="1174"/>
      <c r="F81" s="1174"/>
      <c r="G81" s="1174"/>
      <c r="H81" s="1183"/>
      <c r="I81" s="583">
        <f>'RefrigCusto (ORÇ)'!I90</f>
        <v>0</v>
      </c>
      <c r="J81" s="584">
        <f>'RefrigCusto (ORÇ)'!J90</f>
        <v>0</v>
      </c>
      <c r="K81" s="344">
        <f>I81*J81</f>
        <v>0</v>
      </c>
      <c r="L81" s="344">
        <f>K81-M81-N81</f>
        <v>0</v>
      </c>
      <c r="M81" s="343"/>
      <c r="N81" s="343"/>
      <c r="O81" s="410"/>
    </row>
    <row r="82" spans="2:15" x14ac:dyDescent="0.25">
      <c r="B82" s="186">
        <v>2</v>
      </c>
      <c r="C82" s="1174" t="str">
        <f>IF(ISBLANK('RefrigCusto (ORÇ)'!C91)," ",'RefrigCusto (ORÇ)'!C91)</f>
        <v xml:space="preserve"> </v>
      </c>
      <c r="D82" s="1174"/>
      <c r="E82" s="1174"/>
      <c r="F82" s="1174"/>
      <c r="G82" s="1174"/>
      <c r="H82" s="1183"/>
      <c r="I82" s="583">
        <f>'RefrigCusto (ORÇ)'!I91</f>
        <v>0</v>
      </c>
      <c r="J82" s="584">
        <f>'RefrigCusto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IF(ISBLANK('RefrigCusto (ORÇ)'!C92)," ",'RefrigCusto (ORÇ)'!C92)</f>
        <v xml:space="preserve"> </v>
      </c>
      <c r="D83" s="1174"/>
      <c r="E83" s="1174"/>
      <c r="F83" s="1174"/>
      <c r="G83" s="1174"/>
      <c r="H83" s="1183"/>
      <c r="I83" s="583">
        <f>'RefrigCusto (ORÇ)'!I92</f>
        <v>0</v>
      </c>
      <c r="J83" s="584">
        <f>'RefrigCusto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ht="15" customHeight="1" x14ac:dyDescent="0.25">
      <c r="B84" s="181"/>
      <c r="C84" s="1184" t="s">
        <v>828</v>
      </c>
      <c r="D84" s="1184"/>
      <c r="E84" s="1184"/>
      <c r="F84" s="1184"/>
      <c r="G84" s="1184"/>
      <c r="H84" s="1184"/>
      <c r="I84" s="1184"/>
      <c r="J84" s="1185"/>
      <c r="K84" s="344">
        <f>SUM(K81:K83)</f>
        <v>0</v>
      </c>
      <c r="L84" s="344">
        <f>SUM(L81:L83)</f>
        <v>0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525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0</v>
      </c>
      <c r="L85" s="139">
        <f>SUM(L74:L79,L84)</f>
        <v>0</v>
      </c>
      <c r="M85" s="139">
        <f>SUM(M74:M79,M84)</f>
        <v>0</v>
      </c>
      <c r="N85" s="139">
        <f>SUM(N74:N79,N84)</f>
        <v>0</v>
      </c>
    </row>
    <row r="86" spans="2:15" x14ac:dyDescent="0.25">
      <c r="B86" s="187"/>
      <c r="C86" s="1181" t="s">
        <v>732</v>
      </c>
      <c r="D86" s="1181"/>
      <c r="E86" s="1181"/>
      <c r="F86" s="1181"/>
      <c r="G86" s="1181"/>
      <c r="H86" s="1181"/>
      <c r="I86" s="1181"/>
      <c r="J86" s="1182"/>
      <c r="K86" s="180">
        <f>SUM(K71,K85)</f>
        <v>0</v>
      </c>
      <c r="L86" s="180">
        <f>SUM(L71,L85)</f>
        <v>0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sheetProtection algorithmName="SHA-512" hashValue="pxeMmcO1vths0VvBqWfAOuHKG3IPFXGI65RykNaUJs7Bk0rHrYj0WTDI9YQ0Sol5QkyoSCdK1dYWQmmNaYL25w==" saltValue="U8iJ5yADk9lN/kJb8exYXA==" spinCount="100000" sheet="1" objects="1" scenarios="1"/>
  <mergeCells count="133">
    <mergeCell ref="C83:H83"/>
    <mergeCell ref="C84:J84"/>
    <mergeCell ref="C85:J85"/>
    <mergeCell ref="C86:J86"/>
    <mergeCell ref="C78:J78"/>
    <mergeCell ref="C79:J79"/>
    <mergeCell ref="B80:H80"/>
    <mergeCell ref="C81:H81"/>
    <mergeCell ref="C82:H82"/>
    <mergeCell ref="B73:G73"/>
    <mergeCell ref="C74:J74"/>
    <mergeCell ref="C75:J75"/>
    <mergeCell ref="C76:J76"/>
    <mergeCell ref="C77:J77"/>
    <mergeCell ref="C68:H68"/>
    <mergeCell ref="C69:J69"/>
    <mergeCell ref="C70:J70"/>
    <mergeCell ref="C71:J71"/>
    <mergeCell ref="B72:N72"/>
    <mergeCell ref="B63:G63"/>
    <mergeCell ref="C64:J64"/>
    <mergeCell ref="C65:H65"/>
    <mergeCell ref="C66:H66"/>
    <mergeCell ref="C67:H67"/>
    <mergeCell ref="C57:G57"/>
    <mergeCell ref="C58:G58"/>
    <mergeCell ref="C59:G59"/>
    <mergeCell ref="C60:J60"/>
    <mergeCell ref="B62:N62"/>
    <mergeCell ref="P50:V50"/>
    <mergeCell ref="B51:G51"/>
    <mergeCell ref="C52:G52"/>
    <mergeCell ref="T52:U52"/>
    <mergeCell ref="Q45:U45"/>
    <mergeCell ref="C46:G46"/>
    <mergeCell ref="Q46:U46"/>
    <mergeCell ref="C47:G47"/>
    <mergeCell ref="Q47:U47"/>
    <mergeCell ref="B50:N50"/>
    <mergeCell ref="C44:G44"/>
    <mergeCell ref="Q44:U44"/>
    <mergeCell ref="Q39:U39"/>
    <mergeCell ref="C40:G40"/>
    <mergeCell ref="Q40:U40"/>
    <mergeCell ref="C41:G41"/>
    <mergeCell ref="Q41:U41"/>
    <mergeCell ref="Q48:U48"/>
    <mergeCell ref="P49:V49"/>
    <mergeCell ref="Q38:U38"/>
    <mergeCell ref="Q31:U31"/>
    <mergeCell ref="C32:G32"/>
    <mergeCell ref="Q32:U32"/>
    <mergeCell ref="C33:G33"/>
    <mergeCell ref="Q33:U33"/>
    <mergeCell ref="Q42:U42"/>
    <mergeCell ref="C43:G43"/>
    <mergeCell ref="Q43:U43"/>
    <mergeCell ref="C29:G29"/>
    <mergeCell ref="Q29:U29"/>
    <mergeCell ref="C30:G30"/>
    <mergeCell ref="Q30:U30"/>
    <mergeCell ref="C61:J61"/>
    <mergeCell ref="C53:G53"/>
    <mergeCell ref="C54:G54"/>
    <mergeCell ref="C55:G55"/>
    <mergeCell ref="C56:G56"/>
    <mergeCell ref="C49:J49"/>
    <mergeCell ref="C42:G42"/>
    <mergeCell ref="C45:G45"/>
    <mergeCell ref="C48:G48"/>
    <mergeCell ref="C35:G35"/>
    <mergeCell ref="C36:G36"/>
    <mergeCell ref="C37:G37"/>
    <mergeCell ref="C38:G38"/>
    <mergeCell ref="C39:G39"/>
    <mergeCell ref="C34:G34"/>
    <mergeCell ref="C31:G31"/>
    <mergeCell ref="Q34:U34"/>
    <mergeCell ref="Q35:U35"/>
    <mergeCell ref="Q36:U36"/>
    <mergeCell ref="Q37:U37"/>
    <mergeCell ref="Q25:U25"/>
    <mergeCell ref="C26:G26"/>
    <mergeCell ref="Q26:U26"/>
    <mergeCell ref="C27:G27"/>
    <mergeCell ref="Q27:U27"/>
    <mergeCell ref="C28:G28"/>
    <mergeCell ref="Q28:U28"/>
    <mergeCell ref="C18:G18"/>
    <mergeCell ref="Q18:U18"/>
    <mergeCell ref="C19:G19"/>
    <mergeCell ref="Q19:U19"/>
    <mergeCell ref="C20:G20"/>
    <mergeCell ref="Q20:U20"/>
    <mergeCell ref="C21:G21"/>
    <mergeCell ref="Q21:U21"/>
    <mergeCell ref="C22:G22"/>
    <mergeCell ref="Q22:U22"/>
    <mergeCell ref="C23:G23"/>
    <mergeCell ref="Q23:U23"/>
    <mergeCell ref="C24:G24"/>
    <mergeCell ref="Q24:U24"/>
    <mergeCell ref="C25:G25"/>
    <mergeCell ref="C16:G16"/>
    <mergeCell ref="Q16:U16"/>
    <mergeCell ref="C17:G17"/>
    <mergeCell ref="Q17:U17"/>
    <mergeCell ref="C12:G12"/>
    <mergeCell ref="Q12:U12"/>
    <mergeCell ref="C13:G13"/>
    <mergeCell ref="Q13:U13"/>
    <mergeCell ref="C14:G14"/>
    <mergeCell ref="Q14:U14"/>
    <mergeCell ref="B7:G7"/>
    <mergeCell ref="P7:U7"/>
    <mergeCell ref="C8:G8"/>
    <mergeCell ref="Q8:U8"/>
    <mergeCell ref="C15:G15"/>
    <mergeCell ref="Q15:U15"/>
    <mergeCell ref="B2:N2"/>
    <mergeCell ref="B3:K4"/>
    <mergeCell ref="P2:X2"/>
    <mergeCell ref="L3:N3"/>
    <mergeCell ref="P3:X4"/>
    <mergeCell ref="B5:N5"/>
    <mergeCell ref="C9:G9"/>
    <mergeCell ref="Q9:U9"/>
    <mergeCell ref="C10:G10"/>
    <mergeCell ref="Q10:U10"/>
    <mergeCell ref="C11:G11"/>
    <mergeCell ref="Q11:U11"/>
    <mergeCell ref="P6:X6"/>
    <mergeCell ref="B6:N6"/>
  </mergeCells>
  <conditionalFormatting sqref="R31:R32">
    <cfRule type="cellIs" dxfId="78" priority="2" operator="lessThan">
      <formula>0</formula>
    </cfRule>
  </conditionalFormatting>
  <conditionalFormatting sqref="R52:R53">
    <cfRule type="cellIs" dxfId="77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>
    <tabColor indexed="48"/>
    <pageSetUpPr fitToPage="1"/>
  </sheetPr>
  <dimension ref="B2:Q54"/>
  <sheetViews>
    <sheetView showGridLines="0" tabSelected="1" zoomScaleNormal="100" zoomScaleSheetLayoutView="100" workbookViewId="0">
      <pane ySplit="2" topLeftCell="A6" activePane="bottomLeft" state="frozen"/>
      <selection activeCell="C7" sqref="C7:D7"/>
      <selection pane="bottomLeft" activeCell="G26" sqref="G26"/>
    </sheetView>
  </sheetViews>
  <sheetFormatPr defaultColWidth="9.140625" defaultRowHeight="12.75" x14ac:dyDescent="0.2"/>
  <cols>
    <col min="1" max="1" width="2.85546875" style="375" customWidth="1"/>
    <col min="2" max="2" width="46.42578125" style="375" customWidth="1"/>
    <col min="3" max="3" width="8.42578125" style="375" bestFit="1" customWidth="1"/>
    <col min="4" max="4" width="19.140625" style="375" bestFit="1" customWidth="1"/>
    <col min="5" max="5" width="19.140625" style="375" customWidth="1"/>
    <col min="6" max="7" width="19.140625" style="375" bestFit="1" customWidth="1"/>
    <col min="8" max="8" width="19.42578125" style="375" bestFit="1" customWidth="1"/>
    <col min="9" max="9" width="19.140625" style="375" bestFit="1" customWidth="1"/>
    <col min="10" max="11" width="19.140625" style="375" customWidth="1"/>
    <col min="12" max="12" width="18.42578125" style="375" customWidth="1"/>
    <col min="13" max="13" width="19.140625" style="376" customWidth="1"/>
    <col min="14" max="14" width="15.85546875" style="375" bestFit="1" customWidth="1"/>
    <col min="15" max="19" width="14.42578125" style="375" customWidth="1"/>
    <col min="20" max="16384" width="9.140625" style="375"/>
  </cols>
  <sheetData>
    <row r="2" spans="2:17" ht="22.5" customHeight="1" x14ac:dyDescent="0.2">
      <c r="B2" s="921" t="s">
        <v>787</v>
      </c>
      <c r="C2" s="921"/>
      <c r="D2" s="921"/>
      <c r="E2" s="921"/>
      <c r="F2" s="921"/>
      <c r="G2" s="921"/>
      <c r="H2" s="921"/>
    </row>
    <row r="3" spans="2:17" x14ac:dyDescent="0.2">
      <c r="B3" s="925" t="s">
        <v>1</v>
      </c>
      <c r="C3" s="926"/>
      <c r="D3" s="922" t="s">
        <v>213</v>
      </c>
      <c r="E3" s="923"/>
      <c r="F3" s="924" t="s">
        <v>214</v>
      </c>
      <c r="G3" s="924"/>
      <c r="H3" s="924"/>
      <c r="M3" s="377"/>
    </row>
    <row r="4" spans="2:17" ht="25.5" x14ac:dyDescent="0.2">
      <c r="B4" s="927"/>
      <c r="C4" s="928"/>
      <c r="D4" s="86" t="s">
        <v>2</v>
      </c>
      <c r="E4" s="86" t="s">
        <v>3</v>
      </c>
      <c r="F4" s="86" t="s">
        <v>708</v>
      </c>
      <c r="G4" s="86" t="s">
        <v>4</v>
      </c>
      <c r="H4" s="87" t="s">
        <v>5</v>
      </c>
      <c r="M4" s="378"/>
      <c r="N4" s="378"/>
      <c r="O4" s="378"/>
      <c r="P4" s="378"/>
      <c r="Q4" s="378"/>
    </row>
    <row r="5" spans="2:17" x14ac:dyDescent="0.2">
      <c r="B5" s="929" t="s">
        <v>6</v>
      </c>
      <c r="C5" s="930"/>
      <c r="D5" s="930"/>
      <c r="E5" s="930"/>
      <c r="F5" s="930"/>
      <c r="G5" s="930"/>
      <c r="H5" s="931"/>
      <c r="M5" s="375"/>
    </row>
    <row r="6" spans="2:17" x14ac:dyDescent="0.2">
      <c r="B6" s="70" t="s">
        <v>889</v>
      </c>
      <c r="C6" s="70" t="s">
        <v>7</v>
      </c>
      <c r="D6" s="71">
        <f>SUM(F6:H6)</f>
        <v>6668.0000000000009</v>
      </c>
      <c r="E6" s="72">
        <f t="shared" ref="E6:E11" si="0">IFERROR(D6/$D$20,0)</f>
        <v>3.334033340333404E-2</v>
      </c>
      <c r="F6" s="78">
        <f>Diagnóstico!M10</f>
        <v>6668.0000000000009</v>
      </c>
      <c r="G6" s="78">
        <f>Diagnóstico!N10</f>
        <v>0</v>
      </c>
      <c r="H6" s="78">
        <f>Diagnóstico!O10</f>
        <v>0</v>
      </c>
      <c r="M6" s="375"/>
    </row>
    <row r="7" spans="2:17" x14ac:dyDescent="0.2">
      <c r="B7" s="73" t="s">
        <v>142</v>
      </c>
      <c r="C7" s="73" t="s">
        <v>7</v>
      </c>
      <c r="D7" s="74">
        <f t="shared" ref="D7:D11" si="1">SUM(F7:H7)</f>
        <v>98088.05</v>
      </c>
      <c r="E7" s="75">
        <f t="shared" si="0"/>
        <v>0.49044515445154452</v>
      </c>
      <c r="F7" s="76">
        <f>SUM(IlumCusto!L109,CondAmbCusto!L49,MotorCusto!L109,RefrigCusto!L49,SolarCusto!L49,HospCusto!L49,OutrosCusto!L49,FICusto!L49)</f>
        <v>98088.05</v>
      </c>
      <c r="G7" s="76">
        <f>SUM(IlumCusto!M109,CondAmbCusto!M49,MotorCusto!M109,RefrigCusto!M49,SolarCusto!M49,HospCusto!M49,OutrosCusto!M49,FICusto!M49)</f>
        <v>0</v>
      </c>
      <c r="H7" s="76">
        <f>SUM(IlumCusto!N109,CondAmbCusto!N49,MotorCusto!N109,RefrigCusto!N49,SolarCusto!N49,HospCusto!N49,OutrosCusto!N49,FICusto!N49)</f>
        <v>0</v>
      </c>
      <c r="M7" s="375"/>
    </row>
    <row r="8" spans="2:17" x14ac:dyDescent="0.2">
      <c r="B8" s="70" t="s">
        <v>887</v>
      </c>
      <c r="C8" s="70" t="s">
        <v>7</v>
      </c>
      <c r="D8" s="71">
        <f t="shared" si="1"/>
        <v>3999.9600000000005</v>
      </c>
      <c r="E8" s="72">
        <f t="shared" si="0"/>
        <v>2.0000000000000004E-2</v>
      </c>
      <c r="F8" s="71">
        <f>(F20*2%)</f>
        <v>3999.9600000000005</v>
      </c>
      <c r="G8" s="78">
        <v>0</v>
      </c>
      <c r="H8" s="78">
        <v>0</v>
      </c>
      <c r="M8" s="375"/>
    </row>
    <row r="9" spans="2:17" x14ac:dyDescent="0.2">
      <c r="B9" s="73" t="s">
        <v>886</v>
      </c>
      <c r="C9" s="73" t="s">
        <v>7</v>
      </c>
      <c r="D9" s="74">
        <f t="shared" si="1"/>
        <v>46962.400000000001</v>
      </c>
      <c r="E9" s="75">
        <f>IFERROR(D9/$D$20,0)</f>
        <v>0.23481434814348146</v>
      </c>
      <c r="F9" s="76">
        <f>SUM(IlumCusto!L120,CondAmbCusto!L60,MotorCusto!L120,RefrigCusto!L60,SolarCusto!L60,HospCusto!L60,OutrosCusto!L60,FICusto!L60)</f>
        <v>46962.400000000001</v>
      </c>
      <c r="G9" s="76">
        <f>SUM(IlumCusto!M120,CondAmbCusto!M60,MotorCusto!M120,RefrigCusto!M60,SolarCusto!M60,HospCusto!M60,OutrosCusto!M60,FICusto!M60)</f>
        <v>0</v>
      </c>
      <c r="H9" s="76">
        <f>SUM(IlumCusto!N120,CondAmbCusto!N60,MotorCusto!N120,RefrigCusto!N60,SolarCusto!N60,HospCusto!N60,OutrosCusto!N60,FICusto!N60)</f>
        <v>0</v>
      </c>
      <c r="M9" s="375"/>
    </row>
    <row r="10" spans="2:17" x14ac:dyDescent="0.2">
      <c r="B10" s="70" t="s">
        <v>9</v>
      </c>
      <c r="C10" s="70" t="s">
        <v>7</v>
      </c>
      <c r="D10" s="71">
        <f t="shared" si="1"/>
        <v>999.99000000000012</v>
      </c>
      <c r="E10" s="72">
        <f t="shared" si="0"/>
        <v>5.000000000000001E-3</v>
      </c>
      <c r="F10" s="71">
        <f>F20*0.5%</f>
        <v>999.99000000000012</v>
      </c>
      <c r="G10" s="77">
        <v>0</v>
      </c>
      <c r="H10" s="77">
        <v>0</v>
      </c>
      <c r="M10" s="375"/>
    </row>
    <row r="11" spans="2:17" x14ac:dyDescent="0.2">
      <c r="B11" s="79" t="s">
        <v>178</v>
      </c>
      <c r="C11" s="73" t="s">
        <v>7</v>
      </c>
      <c r="D11" s="74">
        <f t="shared" si="1"/>
        <v>0</v>
      </c>
      <c r="E11" s="75">
        <f t="shared" si="0"/>
        <v>0</v>
      </c>
      <c r="F11" s="76">
        <f>SUM(IlumCusto!L129,CondAmbCusto!L68,MotorCusto!L129,RefrigCusto!L69,SolarCusto!L69,HospCusto!L69,OutrosCusto!L69,FICusto!L69)</f>
        <v>0</v>
      </c>
      <c r="G11" s="76">
        <f>SUM(IlumCusto!M129,CondAmbCusto!M68,MotorCusto!M129,RefrigCusto!M69,SolarCusto!M69,HospCusto!M69,OutrosCusto!M69,FICusto!M69)</f>
        <v>0</v>
      </c>
      <c r="H11" s="76">
        <f>SUM(IlumCusto!N129,CondAmbCusto!N68,MotorCusto!N129,RefrigCusto!N69,SolarCusto!N69,HospCusto!N69,OutrosCusto!N69,FICusto!N69)</f>
        <v>0</v>
      </c>
      <c r="M11" s="375"/>
    </row>
    <row r="12" spans="2:17" x14ac:dyDescent="0.2">
      <c r="B12" s="929" t="s">
        <v>10</v>
      </c>
      <c r="C12" s="930"/>
      <c r="D12" s="930"/>
      <c r="E12" s="930"/>
      <c r="F12" s="930"/>
      <c r="G12" s="930"/>
      <c r="H12" s="931"/>
      <c r="M12" s="375"/>
    </row>
    <row r="13" spans="2:17" x14ac:dyDescent="0.2">
      <c r="B13" s="70" t="s">
        <v>11</v>
      </c>
      <c r="C13" s="70" t="s">
        <v>7</v>
      </c>
      <c r="D13" s="71">
        <f t="shared" ref="D13:D19" si="2">SUM(F13:H13)</f>
        <v>0</v>
      </c>
      <c r="E13" s="72">
        <f t="shared" ref="E13:E20" si="3">IFERROR(D13/$D$20,0)</f>
        <v>0</v>
      </c>
      <c r="F13" s="77">
        <v>0</v>
      </c>
      <c r="G13" s="77">
        <v>0</v>
      </c>
      <c r="H13" s="77">
        <v>0</v>
      </c>
      <c r="M13" s="375"/>
    </row>
    <row r="14" spans="2:17" x14ac:dyDescent="0.2">
      <c r="B14" s="73" t="s">
        <v>175</v>
      </c>
      <c r="C14" s="73" t="s">
        <v>7</v>
      </c>
      <c r="D14" s="74">
        <f>SUM(F14:H14)</f>
        <v>5000</v>
      </c>
      <c r="E14" s="75">
        <f t="shared" si="3"/>
        <v>2.5000250002500026E-2</v>
      </c>
      <c r="F14" s="76">
        <f>Marketing!L15</f>
        <v>5000</v>
      </c>
      <c r="G14" s="76">
        <f>Marketing!M15</f>
        <v>0</v>
      </c>
      <c r="H14" s="76">
        <f>Marketing!N15</f>
        <v>0</v>
      </c>
      <c r="M14" s="375"/>
    </row>
    <row r="15" spans="2:17" x14ac:dyDescent="0.2">
      <c r="B15" s="70" t="s">
        <v>12</v>
      </c>
      <c r="C15" s="70" t="s">
        <v>7</v>
      </c>
      <c r="D15" s="71">
        <f>F15</f>
        <v>5000</v>
      </c>
      <c r="E15" s="72">
        <f t="shared" si="3"/>
        <v>2.5000250002500026E-2</v>
      </c>
      <c r="F15" s="77">
        <v>5000</v>
      </c>
      <c r="G15" s="77">
        <v>0</v>
      </c>
      <c r="H15" s="77">
        <v>0</v>
      </c>
      <c r="M15" s="375"/>
    </row>
    <row r="16" spans="2:17" x14ac:dyDescent="0.2">
      <c r="B16" s="73" t="s">
        <v>13</v>
      </c>
      <c r="C16" s="73" t="s">
        <v>7</v>
      </c>
      <c r="D16" s="74">
        <f t="shared" si="2"/>
        <v>4185.2</v>
      </c>
      <c r="E16" s="75">
        <f t="shared" si="3"/>
        <v>2.092620926209262E-2</v>
      </c>
      <c r="F16" s="76">
        <f>Descarte!L96</f>
        <v>4185.2</v>
      </c>
      <c r="G16" s="76">
        <f>Descarte!M96</f>
        <v>0</v>
      </c>
      <c r="H16" s="76">
        <f>Descarte!N96</f>
        <v>0</v>
      </c>
      <c r="M16" s="375"/>
    </row>
    <row r="17" spans="2:13" x14ac:dyDescent="0.2">
      <c r="B17" s="70" t="s">
        <v>888</v>
      </c>
      <c r="C17" s="70" t="s">
        <v>7</v>
      </c>
      <c r="D17" s="71">
        <f t="shared" si="2"/>
        <v>9364</v>
      </c>
      <c r="E17" s="72">
        <f t="shared" si="3"/>
        <v>4.6820468204682046E-2</v>
      </c>
      <c r="F17" s="77">
        <f>'M&amp;V'!N467</f>
        <v>9364</v>
      </c>
      <c r="G17" s="77">
        <f>'M&amp;V'!O467</f>
        <v>0</v>
      </c>
      <c r="H17" s="77">
        <f>'M&amp;V'!P467</f>
        <v>0</v>
      </c>
      <c r="M17" s="375"/>
    </row>
    <row r="18" spans="2:13" x14ac:dyDescent="0.2">
      <c r="B18" s="73" t="s">
        <v>177</v>
      </c>
      <c r="C18" s="73" t="s">
        <v>7</v>
      </c>
      <c r="D18" s="74">
        <f>SUM(F18:H18)</f>
        <v>9999</v>
      </c>
      <c r="E18" s="75">
        <f t="shared" si="3"/>
        <v>4.999549995499955E-2</v>
      </c>
      <c r="F18" s="76">
        <f>Treinamento!L29</f>
        <v>9999</v>
      </c>
      <c r="G18" s="76">
        <f>Treinamento!M29</f>
        <v>0</v>
      </c>
      <c r="H18" s="76">
        <f>Treinamento!N29</f>
        <v>0</v>
      </c>
      <c r="M18" s="375"/>
    </row>
    <row r="19" spans="2:13" x14ac:dyDescent="0.2">
      <c r="B19" s="70" t="s">
        <v>15</v>
      </c>
      <c r="C19" s="70" t="s">
        <v>7</v>
      </c>
      <c r="D19" s="71">
        <f t="shared" si="2"/>
        <v>9731.4</v>
      </c>
      <c r="E19" s="72">
        <f t="shared" si="3"/>
        <v>4.8657486574865745E-2</v>
      </c>
      <c r="F19" s="77">
        <f>SUM(IlumCusto!L144,CondAmbCusto!L84,MotorCusto!L144,RefrigCusto!L84,SolarCusto!L84,HospCusto!L84,OutrosCusto!L84,FICusto!L84)</f>
        <v>9731.4</v>
      </c>
      <c r="G19" s="77">
        <f>SUM(IlumCusto!M144,CondAmbCusto!M84,MotorCusto!M144,RefrigCusto!M84,SolarCusto!M84,HospCusto!M84,OutrosCusto!M84,FICusto!M84)</f>
        <v>0</v>
      </c>
      <c r="H19" s="77">
        <f>SUM(IlumCusto!N144,CondAmbCusto!N84,MotorCusto!N144,RefrigCusto!N84,SolarCusto!N84,HospCusto!N84,OutrosCusto!N84,FICusto!N84)</f>
        <v>0</v>
      </c>
      <c r="M19" s="375"/>
    </row>
    <row r="20" spans="2:13" x14ac:dyDescent="0.2">
      <c r="B20" s="924" t="s">
        <v>0</v>
      </c>
      <c r="C20" s="924"/>
      <c r="D20" s="333">
        <f>SUM(D6:D11,D13:D19)</f>
        <v>199998</v>
      </c>
      <c r="E20" s="334">
        <f t="shared" si="3"/>
        <v>1</v>
      </c>
      <c r="F20" s="333">
        <f>SUM(F6,F7,F9,F11,F13:F19)/(1-0.025)</f>
        <v>199998.00000000003</v>
      </c>
      <c r="G20" s="333">
        <f>SUM(G13:G19,G6:G11)</f>
        <v>0</v>
      </c>
      <c r="H20" s="333">
        <f>SUM(H13:H19,H6:H11)</f>
        <v>0</v>
      </c>
      <c r="M20" s="375"/>
    </row>
    <row r="21" spans="2:13" ht="6" customHeight="1" x14ac:dyDescent="0.2">
      <c r="L21" s="376"/>
      <c r="M21" s="375"/>
    </row>
    <row r="22" spans="2:13" x14ac:dyDescent="0.2">
      <c r="B22" s="912" t="s">
        <v>43</v>
      </c>
      <c r="C22" s="912"/>
      <c r="D22" s="80">
        <f>D20-D7</f>
        <v>101909.95</v>
      </c>
      <c r="G22" s="376"/>
      <c r="L22" s="376"/>
      <c r="M22" s="375"/>
    </row>
    <row r="23" spans="2:13" x14ac:dyDescent="0.2">
      <c r="B23" s="912" t="s">
        <v>105</v>
      </c>
      <c r="C23" s="912"/>
      <c r="D23" s="80">
        <f>D22-D15</f>
        <v>96909.95</v>
      </c>
      <c r="L23" s="376"/>
      <c r="M23" s="375"/>
    </row>
    <row r="24" spans="2:13" ht="6" customHeight="1" x14ac:dyDescent="0.2"/>
    <row r="25" spans="2:13" x14ac:dyDescent="0.2">
      <c r="B25" s="913" t="s">
        <v>141</v>
      </c>
      <c r="C25" s="914"/>
      <c r="D25" s="914"/>
      <c r="E25" s="915"/>
    </row>
    <row r="26" spans="2:13" x14ac:dyDescent="0.2">
      <c r="B26" s="918" t="s">
        <v>885</v>
      </c>
      <c r="C26" s="919"/>
      <c r="D26" s="920"/>
      <c r="E26" s="88" t="s">
        <v>143</v>
      </c>
      <c r="F26" s="89" t="s">
        <v>144</v>
      </c>
    </row>
    <row r="27" spans="2:13" x14ac:dyDescent="0.2">
      <c r="B27" s="916" t="s">
        <v>879</v>
      </c>
      <c r="C27" s="917"/>
      <c r="D27" s="576">
        <f>SUM(IlumCusto!K108,CondAmbCusto!K48,MotorCusto!K108,RefrigCusto!K48,SolarCusto!K48,HospCusto!K48,OutrosCusto!K48,FICusto!K48)</f>
        <v>0</v>
      </c>
      <c r="E27" s="81">
        <v>0.02</v>
      </c>
      <c r="F27" s="82">
        <f>IFERROR(D27/F7,)</f>
        <v>0</v>
      </c>
      <c r="I27" s="490"/>
    </row>
    <row r="28" spans="2:13" x14ac:dyDescent="0.2">
      <c r="B28" s="944" t="s">
        <v>1087</v>
      </c>
      <c r="C28" s="944"/>
      <c r="D28" s="944"/>
      <c r="E28" s="81">
        <v>0.05</v>
      </c>
      <c r="F28" s="82">
        <f>IFERROR(F14/F20,0)</f>
        <v>2.5000250002500023E-2</v>
      </c>
    </row>
    <row r="29" spans="2:13" x14ac:dyDescent="0.2">
      <c r="B29" s="945" t="s">
        <v>1088</v>
      </c>
      <c r="C29" s="945"/>
      <c r="D29" s="945"/>
      <c r="E29" s="81">
        <v>0.05</v>
      </c>
      <c r="F29" s="82">
        <f>IFERROR(F17/F20,0)</f>
        <v>4.6820468204682039E-2</v>
      </c>
    </row>
    <row r="30" spans="2:13" x14ac:dyDescent="0.2">
      <c r="B30" s="944" t="s">
        <v>1089</v>
      </c>
      <c r="C30" s="944"/>
      <c r="D30" s="944"/>
      <c r="E30" s="81">
        <v>0.05</v>
      </c>
      <c r="F30" s="82">
        <f>IFERROR(F18/F20,0)</f>
        <v>4.9995499954999544E-2</v>
      </c>
    </row>
    <row r="31" spans="2:13" ht="6" customHeight="1" x14ac:dyDescent="0.2"/>
    <row r="32" spans="2:13" x14ac:dyDescent="0.2">
      <c r="B32" s="933" t="s">
        <v>106</v>
      </c>
      <c r="C32" s="933"/>
      <c r="D32" s="933"/>
      <c r="E32" s="933"/>
      <c r="F32" s="933"/>
      <c r="G32" s="933"/>
      <c r="H32" s="933"/>
      <c r="I32" s="933"/>
      <c r="J32" s="933"/>
      <c r="K32" s="933"/>
      <c r="L32" s="933"/>
    </row>
    <row r="33" spans="2:14" ht="15" customHeight="1" x14ac:dyDescent="0.2">
      <c r="B33" s="935" t="s">
        <v>802</v>
      </c>
      <c r="C33" s="936"/>
      <c r="D33" s="939" t="s">
        <v>61</v>
      </c>
      <c r="E33" s="941" t="s">
        <v>721</v>
      </c>
      <c r="F33" s="939" t="s">
        <v>41</v>
      </c>
      <c r="G33" s="941" t="s">
        <v>206</v>
      </c>
      <c r="H33" s="941" t="s">
        <v>207</v>
      </c>
      <c r="I33" s="941" t="s">
        <v>208</v>
      </c>
      <c r="J33" s="939" t="s">
        <v>134</v>
      </c>
      <c r="K33" s="939" t="s">
        <v>994</v>
      </c>
      <c r="L33" s="939" t="s">
        <v>31</v>
      </c>
    </row>
    <row r="34" spans="2:14" ht="14.25" customHeight="1" x14ac:dyDescent="0.2">
      <c r="B34" s="937"/>
      <c r="C34" s="938"/>
      <c r="D34" s="940"/>
      <c r="E34" s="942"/>
      <c r="F34" s="940"/>
      <c r="G34" s="940"/>
      <c r="H34" s="940"/>
      <c r="I34" s="940"/>
      <c r="J34" s="940"/>
      <c r="K34" s="940"/>
      <c r="L34" s="940"/>
    </row>
    <row r="35" spans="2:14" x14ac:dyDescent="0.2">
      <c r="B35" s="929" t="s">
        <v>6</v>
      </c>
      <c r="C35" s="930"/>
      <c r="D35" s="930"/>
      <c r="E35" s="930"/>
      <c r="F35" s="930"/>
      <c r="G35" s="930"/>
      <c r="H35" s="930"/>
      <c r="I35" s="930"/>
      <c r="J35" s="930"/>
      <c r="K35" s="930"/>
      <c r="L35" s="931"/>
    </row>
    <row r="36" spans="2:14" x14ac:dyDescent="0.2">
      <c r="B36" s="934" t="s">
        <v>142</v>
      </c>
      <c r="C36" s="73" t="s">
        <v>7</v>
      </c>
      <c r="D36" s="74">
        <f>IlumCusto!K109</f>
        <v>10038.460000000001</v>
      </c>
      <c r="E36" s="74">
        <f>CondAmbCusto!K49</f>
        <v>0</v>
      </c>
      <c r="F36" s="74">
        <f>MotorCusto!K109</f>
        <v>0</v>
      </c>
      <c r="G36" s="74">
        <f>RefrigCusto!K49</f>
        <v>0</v>
      </c>
      <c r="H36" s="74">
        <f>SolarCusto!K49</f>
        <v>0</v>
      </c>
      <c r="I36" s="74">
        <f>HospCusto!K49</f>
        <v>0</v>
      </c>
      <c r="J36" s="74">
        <f>OutrosCusto!K49</f>
        <v>0</v>
      </c>
      <c r="K36" s="74">
        <f>FICusto!K49</f>
        <v>88049.59</v>
      </c>
      <c r="L36" s="74">
        <f>SUM(D36:K36)</f>
        <v>98088.05</v>
      </c>
      <c r="N36" s="376"/>
    </row>
    <row r="37" spans="2:14" x14ac:dyDescent="0.2">
      <c r="B37" s="934"/>
      <c r="C37" s="73" t="s">
        <v>3</v>
      </c>
      <c r="D37" s="83">
        <f t="shared" ref="D37:L37" si="4">IFERROR(D36/$L$36,0)</f>
        <v>0.10234131476770107</v>
      </c>
      <c r="E37" s="83">
        <f t="shared" si="4"/>
        <v>0</v>
      </c>
      <c r="F37" s="83">
        <f t="shared" si="4"/>
        <v>0</v>
      </c>
      <c r="G37" s="83">
        <f t="shared" si="4"/>
        <v>0</v>
      </c>
      <c r="H37" s="83">
        <f t="shared" si="4"/>
        <v>0</v>
      </c>
      <c r="I37" s="83">
        <f t="shared" si="4"/>
        <v>0</v>
      </c>
      <c r="J37" s="83">
        <f t="shared" si="4"/>
        <v>0</v>
      </c>
      <c r="K37" s="83">
        <f t="shared" si="4"/>
        <v>0.89765868523229886</v>
      </c>
      <c r="L37" s="83">
        <f t="shared" si="4"/>
        <v>1</v>
      </c>
    </row>
    <row r="38" spans="2:14" x14ac:dyDescent="0.2">
      <c r="B38" s="70" t="s">
        <v>176</v>
      </c>
      <c r="C38" s="70" t="s">
        <v>7</v>
      </c>
      <c r="D38" s="71">
        <f>Diagnóstico!L13</f>
        <v>682.41188687103079</v>
      </c>
      <c r="E38" s="71">
        <f>Diagnóstico!L14</f>
        <v>0</v>
      </c>
      <c r="F38" s="71">
        <f>Diagnóstico!L15</f>
        <v>0</v>
      </c>
      <c r="G38" s="71">
        <f>Diagnóstico!L16</f>
        <v>0</v>
      </c>
      <c r="H38" s="71">
        <f>Diagnóstico!L17</f>
        <v>0</v>
      </c>
      <c r="I38" s="71">
        <f>Diagnóstico!L18</f>
        <v>0</v>
      </c>
      <c r="J38" s="71">
        <f>Diagnóstico!L19</f>
        <v>0</v>
      </c>
      <c r="K38" s="71">
        <f>Diagnóstico!L20</f>
        <v>5985.5881131289698</v>
      </c>
      <c r="L38" s="71">
        <f>SUM(D38:K38)</f>
        <v>6668.0000000000009</v>
      </c>
    </row>
    <row r="39" spans="2:14" x14ac:dyDescent="0.2">
      <c r="B39" s="73" t="s">
        <v>140</v>
      </c>
      <c r="C39" s="73" t="s">
        <v>7</v>
      </c>
      <c r="D39" s="74">
        <f>D37*$D$8</f>
        <v>409.3611654182136</v>
      </c>
      <c r="E39" s="74">
        <f t="shared" ref="E39:I39" si="5">E37*$D$8</f>
        <v>0</v>
      </c>
      <c r="F39" s="74">
        <f t="shared" si="5"/>
        <v>0</v>
      </c>
      <c r="G39" s="74">
        <f t="shared" si="5"/>
        <v>0</v>
      </c>
      <c r="H39" s="74">
        <f t="shared" si="5"/>
        <v>0</v>
      </c>
      <c r="I39" s="74">
        <f t="shared" si="5"/>
        <v>0</v>
      </c>
      <c r="J39" s="74">
        <f>J37*$D$8</f>
        <v>0</v>
      </c>
      <c r="K39" s="74">
        <f>K37*$D$8</f>
        <v>3590.5988345817864</v>
      </c>
      <c r="L39" s="74">
        <f t="shared" ref="L39:L41" si="6">SUM(D39:K39)</f>
        <v>3999.96</v>
      </c>
    </row>
    <row r="40" spans="2:14" x14ac:dyDescent="0.2">
      <c r="B40" s="70" t="s">
        <v>8</v>
      </c>
      <c r="C40" s="70" t="s">
        <v>7</v>
      </c>
      <c r="D40" s="71">
        <f>IlumCusto!K120</f>
        <v>3540</v>
      </c>
      <c r="E40" s="71">
        <f>CondAmbCusto!K60</f>
        <v>0</v>
      </c>
      <c r="F40" s="71">
        <f>MotorCusto!K120</f>
        <v>0</v>
      </c>
      <c r="G40" s="71">
        <f>RefrigCusto!K60</f>
        <v>0</v>
      </c>
      <c r="H40" s="71">
        <f>SolarCusto!K60</f>
        <v>0</v>
      </c>
      <c r="I40" s="71">
        <f>HospCusto!K60</f>
        <v>0</v>
      </c>
      <c r="J40" s="71">
        <f>OutrosCusto!K60</f>
        <v>0</v>
      </c>
      <c r="K40" s="71">
        <f>FICusto!K60</f>
        <v>43422.400000000001</v>
      </c>
      <c r="L40" s="71">
        <f t="shared" si="6"/>
        <v>46962.400000000001</v>
      </c>
    </row>
    <row r="41" spans="2:14" x14ac:dyDescent="0.2">
      <c r="B41" s="73" t="s">
        <v>9</v>
      </c>
      <c r="C41" s="73" t="s">
        <v>7</v>
      </c>
      <c r="D41" s="74">
        <f>D37*$D$10</f>
        <v>102.3402913545534</v>
      </c>
      <c r="E41" s="74">
        <f t="shared" ref="E41:K41" si="7">E37*$D$10</f>
        <v>0</v>
      </c>
      <c r="F41" s="74">
        <f t="shared" si="7"/>
        <v>0</v>
      </c>
      <c r="G41" s="74">
        <f t="shared" si="7"/>
        <v>0</v>
      </c>
      <c r="H41" s="74">
        <f t="shared" si="7"/>
        <v>0</v>
      </c>
      <c r="I41" s="74">
        <f t="shared" si="7"/>
        <v>0</v>
      </c>
      <c r="J41" s="74">
        <f t="shared" si="7"/>
        <v>0</v>
      </c>
      <c r="K41" s="74">
        <f t="shared" si="7"/>
        <v>897.64970864544659</v>
      </c>
      <c r="L41" s="74">
        <f t="shared" si="6"/>
        <v>999.99</v>
      </c>
    </row>
    <row r="42" spans="2:14" x14ac:dyDescent="0.2">
      <c r="B42" s="929" t="s">
        <v>10</v>
      </c>
      <c r="C42" s="930"/>
      <c r="D42" s="930"/>
      <c r="E42" s="930"/>
      <c r="F42" s="930"/>
      <c r="G42" s="930"/>
      <c r="H42" s="930"/>
      <c r="I42" s="930"/>
      <c r="J42" s="930"/>
      <c r="K42" s="930"/>
      <c r="L42" s="931"/>
    </row>
    <row r="43" spans="2:14" x14ac:dyDescent="0.2">
      <c r="B43" s="70" t="s">
        <v>11</v>
      </c>
      <c r="C43" s="70" t="s">
        <v>7</v>
      </c>
      <c r="D43" s="71">
        <f>D37*D13</f>
        <v>0</v>
      </c>
      <c r="E43" s="71">
        <f t="shared" ref="E43:K43" si="8">E37*$D$13</f>
        <v>0</v>
      </c>
      <c r="F43" s="71">
        <f t="shared" si="8"/>
        <v>0</v>
      </c>
      <c r="G43" s="71">
        <f t="shared" si="8"/>
        <v>0</v>
      </c>
      <c r="H43" s="71">
        <f t="shared" si="8"/>
        <v>0</v>
      </c>
      <c r="I43" s="71">
        <f t="shared" si="8"/>
        <v>0</v>
      </c>
      <c r="J43" s="71">
        <f t="shared" si="8"/>
        <v>0</v>
      </c>
      <c r="K43" s="71">
        <f t="shared" si="8"/>
        <v>0</v>
      </c>
      <c r="L43" s="71">
        <f>SUM(D43:K43)</f>
        <v>0</v>
      </c>
    </row>
    <row r="44" spans="2:14" x14ac:dyDescent="0.2">
      <c r="B44" s="73" t="s">
        <v>175</v>
      </c>
      <c r="C44" s="73" t="s">
        <v>7</v>
      </c>
      <c r="D44" s="74">
        <f>Marketing!K18</f>
        <v>511.70657383850534</v>
      </c>
      <c r="E44" s="74">
        <f>Marketing!K19</f>
        <v>0</v>
      </c>
      <c r="F44" s="74">
        <f>Marketing!K20</f>
        <v>0</v>
      </c>
      <c r="G44" s="74">
        <f>Marketing!K21</f>
        <v>0</v>
      </c>
      <c r="H44" s="74">
        <f>Marketing!K22</f>
        <v>0</v>
      </c>
      <c r="I44" s="74">
        <f>Marketing!K23</f>
        <v>0</v>
      </c>
      <c r="J44" s="74">
        <f>Marketing!K24</f>
        <v>0</v>
      </c>
      <c r="K44" s="74">
        <f>Marketing!K25</f>
        <v>4488.2934261614946</v>
      </c>
      <c r="L44" s="74">
        <f t="shared" ref="L44:L49" si="9">SUM(D44:K44)</f>
        <v>5000</v>
      </c>
    </row>
    <row r="45" spans="2:14" x14ac:dyDescent="0.2">
      <c r="B45" s="70" t="s">
        <v>12</v>
      </c>
      <c r="C45" s="70" t="s">
        <v>7</v>
      </c>
      <c r="D45" s="71">
        <f>D37*$D$15</f>
        <v>511.70657383850534</v>
      </c>
      <c r="E45" s="71">
        <f t="shared" ref="E45:K45" si="10">E37*$D$15</f>
        <v>0</v>
      </c>
      <c r="F45" s="71">
        <f t="shared" si="10"/>
        <v>0</v>
      </c>
      <c r="G45" s="71">
        <f t="shared" si="10"/>
        <v>0</v>
      </c>
      <c r="H45" s="71">
        <f t="shared" si="10"/>
        <v>0</v>
      </c>
      <c r="I45" s="71">
        <f t="shared" si="10"/>
        <v>0</v>
      </c>
      <c r="J45" s="71">
        <f t="shared" si="10"/>
        <v>0</v>
      </c>
      <c r="K45" s="71">
        <f t="shared" si="10"/>
        <v>4488.2934261614946</v>
      </c>
      <c r="L45" s="71">
        <f t="shared" si="9"/>
        <v>5000</v>
      </c>
    </row>
    <row r="46" spans="2:14" x14ac:dyDescent="0.2">
      <c r="B46" s="73" t="s">
        <v>13</v>
      </c>
      <c r="C46" s="73" t="s">
        <v>7</v>
      </c>
      <c r="D46" s="74">
        <f>IlumCusto!K138</f>
        <v>4185.2</v>
      </c>
      <c r="E46" s="74">
        <f>CondAmbCusto!K78</f>
        <v>0</v>
      </c>
      <c r="F46" s="74">
        <f>MotorCusto!K138</f>
        <v>0</v>
      </c>
      <c r="G46" s="74">
        <f>RefrigCusto!K78</f>
        <v>0</v>
      </c>
      <c r="H46" s="74">
        <f>SolarCusto!K78</f>
        <v>0</v>
      </c>
      <c r="I46" s="74">
        <f>HospCusto!K78</f>
        <v>0</v>
      </c>
      <c r="J46" s="74">
        <f>OutrosCusto!K78</f>
        <v>0</v>
      </c>
      <c r="K46" s="74">
        <v>0</v>
      </c>
      <c r="L46" s="74">
        <f t="shared" si="9"/>
        <v>4185.2</v>
      </c>
      <c r="M46" s="379"/>
    </row>
    <row r="47" spans="2:14" x14ac:dyDescent="0.2">
      <c r="B47" s="70" t="s">
        <v>14</v>
      </c>
      <c r="C47" s="70" t="s">
        <v>7</v>
      </c>
      <c r="D47" s="71">
        <f>IlumCusto!K139</f>
        <v>6864</v>
      </c>
      <c r="E47" s="71">
        <f>CondAmbCusto!K79</f>
        <v>0</v>
      </c>
      <c r="F47" s="71">
        <f>MotorCusto!K139</f>
        <v>0</v>
      </c>
      <c r="G47" s="71">
        <f>RefrigCusto!K79</f>
        <v>0</v>
      </c>
      <c r="H47" s="71">
        <f>SolarCusto!K79</f>
        <v>0</v>
      </c>
      <c r="I47" s="71">
        <f>HospCusto!K79</f>
        <v>0</v>
      </c>
      <c r="J47" s="71">
        <f>OutrosCusto!K79</f>
        <v>0</v>
      </c>
      <c r="K47" s="71">
        <f>FICusto!K79</f>
        <v>2500</v>
      </c>
      <c r="L47" s="71">
        <f t="shared" si="9"/>
        <v>9364</v>
      </c>
      <c r="M47" s="379"/>
    </row>
    <row r="48" spans="2:14" x14ac:dyDescent="0.2">
      <c r="B48" s="73" t="s">
        <v>177</v>
      </c>
      <c r="C48" s="73" t="s">
        <v>7</v>
      </c>
      <c r="D48" s="74">
        <f>Treinamento!K32</f>
        <v>1023.3108063622431</v>
      </c>
      <c r="E48" s="74">
        <f>Treinamento!K33</f>
        <v>0</v>
      </c>
      <c r="F48" s="74">
        <f>Treinamento!K34</f>
        <v>0</v>
      </c>
      <c r="G48" s="74">
        <f>Treinamento!K35</f>
        <v>0</v>
      </c>
      <c r="H48" s="74">
        <f>Treinamento!K36</f>
        <v>0</v>
      </c>
      <c r="I48" s="74">
        <f>Treinamento!K37</f>
        <v>0</v>
      </c>
      <c r="J48" s="74">
        <f>Treinamento!K38</f>
        <v>0</v>
      </c>
      <c r="K48" s="74">
        <f>Treinamento!K39</f>
        <v>8975.689193637756</v>
      </c>
      <c r="L48" s="74">
        <f t="shared" si="9"/>
        <v>9999</v>
      </c>
      <c r="M48" s="379"/>
    </row>
    <row r="49" spans="2:13" x14ac:dyDescent="0.2">
      <c r="B49" s="70" t="s">
        <v>15</v>
      </c>
      <c r="C49" s="70" t="s">
        <v>7</v>
      </c>
      <c r="D49" s="71">
        <f>IlumCusto!K144</f>
        <v>4900</v>
      </c>
      <c r="E49" s="71">
        <f>CondAmbCusto!K84</f>
        <v>0</v>
      </c>
      <c r="F49" s="71">
        <f>MotorCusto!K144</f>
        <v>0</v>
      </c>
      <c r="G49" s="71">
        <f>RefrigCusto!K84</f>
        <v>0</v>
      </c>
      <c r="H49" s="71">
        <f>SolarCusto!K84</f>
        <v>0</v>
      </c>
      <c r="I49" s="71">
        <f>HospCusto!K84</f>
        <v>0</v>
      </c>
      <c r="J49" s="71">
        <f>OutrosCusto!K84</f>
        <v>0</v>
      </c>
      <c r="K49" s="71">
        <f>FICusto!K84</f>
        <v>4831.3999999999996</v>
      </c>
      <c r="L49" s="71">
        <f t="shared" si="9"/>
        <v>9731.4</v>
      </c>
      <c r="M49" s="379"/>
    </row>
    <row r="50" spans="2:13" x14ac:dyDescent="0.2">
      <c r="B50" s="924" t="s">
        <v>0</v>
      </c>
      <c r="C50" s="924"/>
      <c r="D50" s="333">
        <f>SUM(D43:D49,D38:D41,D36)</f>
        <v>32768.497297683054</v>
      </c>
      <c r="E50" s="333">
        <f t="shared" ref="E50:I50" si="11">SUM(E43:E49,E38:E41,E36)</f>
        <v>0</v>
      </c>
      <c r="F50" s="333">
        <f t="shared" si="11"/>
        <v>0</v>
      </c>
      <c r="G50" s="333">
        <f t="shared" si="11"/>
        <v>0</v>
      </c>
      <c r="H50" s="333">
        <f t="shared" si="11"/>
        <v>0</v>
      </c>
      <c r="I50" s="333">
        <f t="shared" si="11"/>
        <v>0</v>
      </c>
      <c r="J50" s="333">
        <f>SUM(J43:J49,J38:J41,J36)</f>
        <v>0</v>
      </c>
      <c r="K50" s="333">
        <f>SUM(K43:K49,K38:K41,K36)</f>
        <v>167229.50270231697</v>
      </c>
      <c r="L50" s="333">
        <f>SUM(L43:L49,L38:L41,L36)</f>
        <v>199998</v>
      </c>
      <c r="M50" s="379"/>
    </row>
    <row r="51" spans="2:13" x14ac:dyDescent="0.2">
      <c r="B51" s="943" t="s">
        <v>43</v>
      </c>
      <c r="C51" s="943"/>
      <c r="D51" s="84">
        <f t="shared" ref="D51:I51" si="12">SUM(D38:D41,D43:D49)</f>
        <v>22730.037297683051</v>
      </c>
      <c r="E51" s="84">
        <f t="shared" si="12"/>
        <v>0</v>
      </c>
      <c r="F51" s="84">
        <f t="shared" si="12"/>
        <v>0</v>
      </c>
      <c r="G51" s="84">
        <f t="shared" si="12"/>
        <v>0</v>
      </c>
      <c r="H51" s="84">
        <f t="shared" si="12"/>
        <v>0</v>
      </c>
      <c r="I51" s="84">
        <f t="shared" si="12"/>
        <v>0</v>
      </c>
      <c r="J51" s="84">
        <f>SUM(J38:J41,J43:J49)</f>
        <v>0</v>
      </c>
      <c r="K51" s="84">
        <f>SUM(K38:K41,K43:K49)</f>
        <v>79179.912702316942</v>
      </c>
      <c r="L51" s="84">
        <f>L50-L36</f>
        <v>101909.95</v>
      </c>
      <c r="M51" s="380"/>
    </row>
    <row r="52" spans="2:13" x14ac:dyDescent="0.2">
      <c r="B52" s="932" t="s">
        <v>105</v>
      </c>
      <c r="C52" s="932"/>
      <c r="D52" s="85">
        <f t="shared" ref="D52:I52" si="13">D51-D45</f>
        <v>22218.330723844545</v>
      </c>
      <c r="E52" s="85">
        <f t="shared" si="13"/>
        <v>0</v>
      </c>
      <c r="F52" s="85">
        <f t="shared" si="13"/>
        <v>0</v>
      </c>
      <c r="G52" s="85">
        <f t="shared" si="13"/>
        <v>0</v>
      </c>
      <c r="H52" s="85">
        <f t="shared" si="13"/>
        <v>0</v>
      </c>
      <c r="I52" s="85">
        <f t="shared" si="13"/>
        <v>0</v>
      </c>
      <c r="J52" s="85">
        <f>J51-J45</f>
        <v>0</v>
      </c>
      <c r="K52" s="85">
        <f>K51-K45</f>
        <v>74691.619276155441</v>
      </c>
      <c r="L52" s="85">
        <f>L51-L45</f>
        <v>96909.95</v>
      </c>
      <c r="M52" s="379"/>
    </row>
    <row r="53" spans="2:13" x14ac:dyDescent="0.2">
      <c r="E53" s="381"/>
    </row>
    <row r="54" spans="2:13" x14ac:dyDescent="0.2">
      <c r="D54" s="381"/>
    </row>
  </sheetData>
  <sheetProtection algorithmName="SHA-512" hashValue="q/RKT2FK6DKyAQ+kSKp40BldZzPauvczVMWkn3duKtEceJ8bYDaRIQJlwKTelTnyZQmWzRgQUoZ1pK0K1vfB8g==" saltValue="Ivqk9dBZIgfySTh5av71/g==" spinCount="100000" sheet="1" autoFilter="0"/>
  <mergeCells count="32">
    <mergeCell ref="B28:D28"/>
    <mergeCell ref="I33:I34"/>
    <mergeCell ref="B29:D29"/>
    <mergeCell ref="K33:K34"/>
    <mergeCell ref="B30:D30"/>
    <mergeCell ref="B52:C52"/>
    <mergeCell ref="B32:L32"/>
    <mergeCell ref="B50:C50"/>
    <mergeCell ref="B36:B37"/>
    <mergeCell ref="B35:L35"/>
    <mergeCell ref="B42:L42"/>
    <mergeCell ref="B33:C34"/>
    <mergeCell ref="J33:J34"/>
    <mergeCell ref="L33:L34"/>
    <mergeCell ref="D33:D34"/>
    <mergeCell ref="E33:E34"/>
    <mergeCell ref="F33:F34"/>
    <mergeCell ref="H33:H34"/>
    <mergeCell ref="B51:C51"/>
    <mergeCell ref="G33:G34"/>
    <mergeCell ref="B2:H2"/>
    <mergeCell ref="D3:E3"/>
    <mergeCell ref="B20:C20"/>
    <mergeCell ref="B3:C4"/>
    <mergeCell ref="F3:H3"/>
    <mergeCell ref="B5:H5"/>
    <mergeCell ref="B12:H12"/>
    <mergeCell ref="B22:C22"/>
    <mergeCell ref="B23:C23"/>
    <mergeCell ref="B25:E25"/>
    <mergeCell ref="B27:C27"/>
    <mergeCell ref="B26:D26"/>
  </mergeCells>
  <phoneticPr fontId="37" type="noConversion"/>
  <conditionalFormatting sqref="F27:F30">
    <cfRule type="cellIs" dxfId="163" priority="7" stopIfTrue="1" operator="greaterThan">
      <formula>$E27</formula>
    </cfRule>
    <cfRule type="cellIs" dxfId="162" priority="8" stopIfTrue="1" operator="lessThanOrEqual">
      <formula>$E27</formula>
    </cfRule>
  </conditionalFormatting>
  <dataValidations count="1">
    <dataValidation operator="lessThan" allowBlank="1" showInputMessage="1" showErrorMessage="1" sqref="F13"/>
  </dataValidations>
  <pageMargins left="0.78740157499999996" right="0.78740157499999996" top="0.984251969" bottom="0.984251969" header="0.49212598499999999" footer="0.49212598499999999"/>
  <pageSetup paperSize="9" scale="50" orientation="landscape" r:id="rId1"/>
  <headerFooter alignWithMargins="0"/>
  <ignoredErrors>
    <ignoredError sqref="D13 D19" formulaRange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3">
    <tabColor theme="6"/>
  </sheetPr>
  <dimension ref="B2:BE64"/>
  <sheetViews>
    <sheetView showGridLines="0" zoomScale="90" zoomScaleNormal="90" workbookViewId="0">
      <pane xSplit="7" ySplit="3" topLeftCell="H4" activePane="bottomRight" state="frozen"/>
      <selection activeCell="H20" sqref="H20"/>
      <selection pane="topRight" activeCell="H20" sqref="H20"/>
      <selection pane="bottomLeft" activeCell="H20" sqref="H20"/>
      <selection pane="bottomRight" activeCell="H5" sqref="H5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42578125" style="424" customWidth="1"/>
    <col min="4" max="4" width="11.42578125" style="424" customWidth="1"/>
    <col min="5" max="5" width="9.85546875" style="425" bestFit="1" customWidth="1"/>
    <col min="6" max="6" width="8.42578125" style="426" customWidth="1"/>
    <col min="7" max="9" width="13.85546875" style="424" bestFit="1" customWidth="1"/>
    <col min="10" max="12" width="11.42578125" style="424" customWidth="1"/>
    <col min="13" max="13" width="13.42578125" style="424" bestFit="1" customWidth="1"/>
    <col min="14" max="15" width="13.42578125" style="424" customWidth="1"/>
    <col min="16" max="16" width="14.42578125" style="424" customWidth="1"/>
    <col min="17" max="27" width="11.42578125" style="424" customWidth="1"/>
    <col min="28" max="16384" width="9.140625" style="424"/>
  </cols>
  <sheetData>
    <row r="2" spans="2:28" ht="22.5" customHeight="1" x14ac:dyDescent="0.2">
      <c r="B2" s="1190" t="s">
        <v>791</v>
      </c>
      <c r="C2" s="1190"/>
      <c r="D2" s="1190"/>
      <c r="E2" s="1190"/>
      <c r="F2" s="1190"/>
      <c r="G2" s="1190"/>
    </row>
    <row r="3" spans="2:28" x14ac:dyDescent="0.2">
      <c r="B3" s="1191" t="s">
        <v>683</v>
      </c>
      <c r="C3" s="1192"/>
      <c r="D3" s="1192"/>
      <c r="E3" s="1192"/>
      <c r="F3" s="1192"/>
      <c r="G3" s="358" t="s">
        <v>31</v>
      </c>
      <c r="H3" s="428" t="s">
        <v>526</v>
      </c>
      <c r="I3" s="428" t="s">
        <v>527</v>
      </c>
      <c r="J3" s="428" t="s">
        <v>528</v>
      </c>
      <c r="K3" s="428" t="s">
        <v>529</v>
      </c>
      <c r="L3" s="428" t="s">
        <v>530</v>
      </c>
      <c r="M3" s="428" t="s">
        <v>531</v>
      </c>
      <c r="N3" s="428" t="s">
        <v>532</v>
      </c>
      <c r="O3" s="428" t="s">
        <v>533</v>
      </c>
      <c r="P3" s="428" t="s">
        <v>534</v>
      </c>
      <c r="Q3" s="428" t="s">
        <v>535</v>
      </c>
      <c r="R3" s="428" t="s">
        <v>536</v>
      </c>
      <c r="S3" s="428" t="s">
        <v>537</v>
      </c>
      <c r="T3" s="428" t="s">
        <v>538</v>
      </c>
      <c r="U3" s="428" t="s">
        <v>539</v>
      </c>
      <c r="V3" s="428" t="s">
        <v>540</v>
      </c>
      <c r="W3" s="428" t="s">
        <v>541</v>
      </c>
      <c r="X3" s="428" t="s">
        <v>542</v>
      </c>
      <c r="Y3" s="428" t="s">
        <v>543</v>
      </c>
      <c r="Z3" s="428" t="s">
        <v>544</v>
      </c>
      <c r="AA3" s="428" t="s">
        <v>545</v>
      </c>
    </row>
    <row r="4" spans="2:28" s="423" customFormat="1" x14ac:dyDescent="0.2">
      <c r="B4" s="1191" t="s">
        <v>862</v>
      </c>
      <c r="C4" s="1192"/>
      <c r="D4" s="1192"/>
      <c r="E4" s="1192"/>
      <c r="F4" s="1192"/>
      <c r="G4" s="192" t="s">
        <v>31</v>
      </c>
      <c r="H4" s="193" t="s">
        <v>526</v>
      </c>
      <c r="I4" s="193" t="s">
        <v>527</v>
      </c>
      <c r="J4" s="193" t="s">
        <v>528</v>
      </c>
      <c r="K4" s="193" t="s">
        <v>529</v>
      </c>
      <c r="L4" s="193" t="s">
        <v>530</v>
      </c>
      <c r="M4" s="193" t="s">
        <v>531</v>
      </c>
      <c r="N4" s="193" t="s">
        <v>532</v>
      </c>
      <c r="O4" s="193" t="s">
        <v>533</v>
      </c>
      <c r="P4" s="193" t="s">
        <v>534</v>
      </c>
      <c r="Q4" s="193" t="s">
        <v>535</v>
      </c>
      <c r="R4" s="193" t="s">
        <v>536</v>
      </c>
      <c r="S4" s="193" t="s">
        <v>537</v>
      </c>
      <c r="T4" s="193" t="s">
        <v>538</v>
      </c>
      <c r="U4" s="193" t="s">
        <v>539</v>
      </c>
      <c r="V4" s="193" t="s">
        <v>540</v>
      </c>
      <c r="W4" s="193" t="s">
        <v>541</v>
      </c>
      <c r="X4" s="193" t="s">
        <v>542</v>
      </c>
      <c r="Y4" s="193" t="s">
        <v>543</v>
      </c>
      <c r="Z4" s="193" t="s">
        <v>544</v>
      </c>
      <c r="AA4" s="193" t="s">
        <v>545</v>
      </c>
    </row>
    <row r="5" spans="2:28" x14ac:dyDescent="0.2">
      <c r="B5" s="189">
        <v>1</v>
      </c>
      <c r="C5" s="194" t="s">
        <v>359</v>
      </c>
      <c r="D5" s="194"/>
      <c r="E5" s="195"/>
      <c r="F5" s="196"/>
      <c r="G5" s="197"/>
      <c r="H5" s="762"/>
      <c r="I5" s="762"/>
      <c r="J5" s="762"/>
      <c r="K5" s="762"/>
      <c r="L5" s="762"/>
      <c r="M5" s="762"/>
      <c r="N5" s="762"/>
      <c r="O5" s="762"/>
      <c r="P5" s="762"/>
      <c r="Q5" s="762"/>
      <c r="R5" s="736"/>
      <c r="S5" s="736"/>
      <c r="T5" s="736"/>
      <c r="U5" s="736"/>
      <c r="V5" s="736"/>
      <c r="W5" s="736"/>
      <c r="X5" s="736"/>
      <c r="Y5" s="736"/>
      <c r="Z5" s="736"/>
      <c r="AA5" s="736"/>
      <c r="AB5" s="763"/>
    </row>
    <row r="6" spans="2:28" ht="18" x14ac:dyDescent="0.2">
      <c r="B6" s="189">
        <f>B5+1</f>
        <v>2</v>
      </c>
      <c r="C6" s="194" t="s">
        <v>546</v>
      </c>
      <c r="D6" s="194"/>
      <c r="E6" s="199" t="s">
        <v>369</v>
      </c>
      <c r="F6" s="200" t="s">
        <v>370</v>
      </c>
      <c r="G6" s="209">
        <f>SUM(H6:AA6)</f>
        <v>0</v>
      </c>
      <c r="H6" s="764"/>
      <c r="I6" s="764"/>
      <c r="J6" s="764"/>
      <c r="K6" s="764"/>
      <c r="L6" s="764"/>
      <c r="M6" s="764"/>
      <c r="N6" s="764"/>
      <c r="O6" s="764"/>
      <c r="P6" s="764"/>
      <c r="Q6" s="764"/>
      <c r="R6" s="764"/>
      <c r="S6" s="764"/>
      <c r="T6" s="764"/>
      <c r="U6" s="764"/>
      <c r="V6" s="764"/>
      <c r="W6" s="764"/>
      <c r="X6" s="764"/>
      <c r="Y6" s="764"/>
      <c r="Z6" s="764"/>
      <c r="AA6" s="764"/>
      <c r="AB6" s="763"/>
    </row>
    <row r="7" spans="2:28" ht="18" x14ac:dyDescent="0.2">
      <c r="B7" s="1195">
        <f>B6+1</f>
        <v>3</v>
      </c>
      <c r="C7" s="194" t="s">
        <v>448</v>
      </c>
      <c r="D7" s="194"/>
      <c r="E7" s="199"/>
      <c r="F7" s="200" t="s">
        <v>449</v>
      </c>
      <c r="G7" s="204" t="str">
        <f>IF(COUNTA(H7:AA7)=0,"",IF(LARGE(H7:AA7,1)&gt;1,"ERRO",""))</f>
        <v/>
      </c>
      <c r="H7" s="764"/>
      <c r="I7" s="764"/>
      <c r="J7" s="764"/>
      <c r="K7" s="764"/>
      <c r="L7" s="764"/>
      <c r="M7" s="764"/>
      <c r="N7" s="764"/>
      <c r="O7" s="764"/>
      <c r="P7" s="764"/>
      <c r="Q7" s="764"/>
      <c r="R7" s="764"/>
      <c r="S7" s="764"/>
      <c r="T7" s="764"/>
      <c r="U7" s="764"/>
      <c r="V7" s="764"/>
      <c r="W7" s="764"/>
      <c r="X7" s="764"/>
      <c r="Y7" s="764"/>
      <c r="Z7" s="764"/>
      <c r="AA7" s="764"/>
      <c r="AB7" s="763"/>
    </row>
    <row r="8" spans="2:28" ht="18" x14ac:dyDescent="0.2">
      <c r="B8" s="1197"/>
      <c r="C8" s="194" t="s">
        <v>450</v>
      </c>
      <c r="D8" s="194"/>
      <c r="E8" s="199" t="s">
        <v>369</v>
      </c>
      <c r="F8" s="200" t="s">
        <v>451</v>
      </c>
      <c r="G8" s="209">
        <f>SUM(H8:AA8)</f>
        <v>0</v>
      </c>
      <c r="H8" s="203">
        <f>H6*H7</f>
        <v>0</v>
      </c>
      <c r="I8" s="203">
        <f t="shared" ref="I8:AA8" si="0">I6*I7</f>
        <v>0</v>
      </c>
      <c r="J8" s="203">
        <f t="shared" si="0"/>
        <v>0</v>
      </c>
      <c r="K8" s="203">
        <f t="shared" si="0"/>
        <v>0</v>
      </c>
      <c r="L8" s="203">
        <f t="shared" si="0"/>
        <v>0</v>
      </c>
      <c r="M8" s="203">
        <f t="shared" si="0"/>
        <v>0</v>
      </c>
      <c r="N8" s="203">
        <f t="shared" si="0"/>
        <v>0</v>
      </c>
      <c r="O8" s="203">
        <f t="shared" si="0"/>
        <v>0</v>
      </c>
      <c r="P8" s="203">
        <f t="shared" si="0"/>
        <v>0</v>
      </c>
      <c r="Q8" s="203">
        <f t="shared" si="0"/>
        <v>0</v>
      </c>
      <c r="R8" s="203">
        <f t="shared" si="0"/>
        <v>0</v>
      </c>
      <c r="S8" s="203">
        <f t="shared" si="0"/>
        <v>0</v>
      </c>
      <c r="T8" s="203">
        <f t="shared" si="0"/>
        <v>0</v>
      </c>
      <c r="U8" s="203">
        <f t="shared" si="0"/>
        <v>0</v>
      </c>
      <c r="V8" s="203">
        <f t="shared" si="0"/>
        <v>0</v>
      </c>
      <c r="W8" s="203">
        <f t="shared" si="0"/>
        <v>0</v>
      </c>
      <c r="X8" s="203">
        <f t="shared" si="0"/>
        <v>0</v>
      </c>
      <c r="Y8" s="203">
        <f t="shared" si="0"/>
        <v>0</v>
      </c>
      <c r="Z8" s="203">
        <f t="shared" si="0"/>
        <v>0</v>
      </c>
      <c r="AA8" s="203">
        <f t="shared" si="0"/>
        <v>0</v>
      </c>
    </row>
    <row r="9" spans="2:28" ht="18" x14ac:dyDescent="0.2">
      <c r="B9" s="189">
        <f>B7+1</f>
        <v>4</v>
      </c>
      <c r="C9" s="194" t="s">
        <v>16</v>
      </c>
      <c r="D9" s="194"/>
      <c r="E9" s="199"/>
      <c r="F9" s="200" t="s">
        <v>404</v>
      </c>
      <c r="G9" s="202">
        <f>SUM(H9:AA9)</f>
        <v>0</v>
      </c>
      <c r="H9" s="762"/>
      <c r="I9" s="762"/>
      <c r="J9" s="762"/>
      <c r="K9" s="762"/>
      <c r="L9" s="762"/>
      <c r="M9" s="762"/>
      <c r="N9" s="762"/>
      <c r="O9" s="762"/>
      <c r="P9" s="762"/>
      <c r="Q9" s="762"/>
      <c r="R9" s="736"/>
      <c r="S9" s="736"/>
      <c r="T9" s="736"/>
      <c r="U9" s="736"/>
      <c r="V9" s="736"/>
      <c r="W9" s="736"/>
      <c r="X9" s="736"/>
      <c r="Y9" s="736"/>
      <c r="Z9" s="736"/>
      <c r="AA9" s="736"/>
      <c r="AB9" s="763"/>
    </row>
    <row r="10" spans="2:28" x14ac:dyDescent="0.2">
      <c r="B10" s="1195">
        <f>B9+1</f>
        <v>5</v>
      </c>
      <c r="C10" s="194" t="s">
        <v>371</v>
      </c>
      <c r="D10" s="194"/>
      <c r="E10" s="199" t="s">
        <v>372</v>
      </c>
      <c r="F10" s="200"/>
      <c r="G10" s="204"/>
      <c r="H10" s="764"/>
      <c r="I10" s="764"/>
      <c r="J10" s="764"/>
      <c r="K10" s="764"/>
      <c r="L10" s="764"/>
      <c r="M10" s="764"/>
      <c r="N10" s="764"/>
      <c r="O10" s="764"/>
      <c r="P10" s="764"/>
      <c r="Q10" s="764"/>
      <c r="R10" s="764"/>
      <c r="S10" s="764"/>
      <c r="T10" s="764"/>
      <c r="U10" s="764"/>
      <c r="V10" s="764"/>
      <c r="W10" s="764"/>
      <c r="X10" s="764"/>
      <c r="Y10" s="764"/>
      <c r="Z10" s="764"/>
      <c r="AA10" s="764"/>
      <c r="AB10" s="763"/>
    </row>
    <row r="11" spans="2:28" x14ac:dyDescent="0.2">
      <c r="B11" s="1196"/>
      <c r="C11" s="205" t="s">
        <v>373</v>
      </c>
      <c r="D11" s="205"/>
      <c r="E11" s="206" t="s">
        <v>374</v>
      </c>
      <c r="F11" s="200"/>
      <c r="G11" s="204"/>
      <c r="H11" s="764"/>
      <c r="I11" s="764"/>
      <c r="J11" s="764"/>
      <c r="K11" s="764"/>
      <c r="L11" s="764"/>
      <c r="M11" s="764"/>
      <c r="N11" s="764"/>
      <c r="O11" s="764"/>
      <c r="P11" s="764"/>
      <c r="Q11" s="764"/>
      <c r="R11" s="764"/>
      <c r="S11" s="764"/>
      <c r="T11" s="764"/>
      <c r="U11" s="764"/>
      <c r="V11" s="764"/>
      <c r="W11" s="764"/>
      <c r="X11" s="764"/>
      <c r="Y11" s="764"/>
      <c r="Z11" s="764"/>
      <c r="AA11" s="764"/>
      <c r="AB11" s="763"/>
    </row>
    <row r="12" spans="2:28" ht="18" x14ac:dyDescent="0.2">
      <c r="B12" s="1197"/>
      <c r="C12" s="194" t="s">
        <v>375</v>
      </c>
      <c r="D12" s="194"/>
      <c r="E12" s="199" t="s">
        <v>376</v>
      </c>
      <c r="F12" s="200" t="s">
        <v>377</v>
      </c>
      <c r="G12" s="204"/>
      <c r="H12" s="207">
        <f>H10*H11</f>
        <v>0</v>
      </c>
      <c r="I12" s="207">
        <f t="shared" ref="I12:AA12" si="1">I10*I11</f>
        <v>0</v>
      </c>
      <c r="J12" s="207">
        <f t="shared" si="1"/>
        <v>0</v>
      </c>
      <c r="K12" s="207">
        <f t="shared" si="1"/>
        <v>0</v>
      </c>
      <c r="L12" s="207">
        <f t="shared" si="1"/>
        <v>0</v>
      </c>
      <c r="M12" s="207">
        <f t="shared" si="1"/>
        <v>0</v>
      </c>
      <c r="N12" s="207">
        <f t="shared" si="1"/>
        <v>0</v>
      </c>
      <c r="O12" s="207">
        <f t="shared" si="1"/>
        <v>0</v>
      </c>
      <c r="P12" s="207">
        <f t="shared" si="1"/>
        <v>0</v>
      </c>
      <c r="Q12" s="207">
        <f t="shared" si="1"/>
        <v>0</v>
      </c>
      <c r="R12" s="207">
        <f t="shared" si="1"/>
        <v>0</v>
      </c>
      <c r="S12" s="207">
        <f t="shared" si="1"/>
        <v>0</v>
      </c>
      <c r="T12" s="207">
        <f t="shared" si="1"/>
        <v>0</v>
      </c>
      <c r="U12" s="207">
        <f t="shared" si="1"/>
        <v>0</v>
      </c>
      <c r="V12" s="207">
        <f t="shared" si="1"/>
        <v>0</v>
      </c>
      <c r="W12" s="207">
        <f t="shared" si="1"/>
        <v>0</v>
      </c>
      <c r="X12" s="207">
        <f t="shared" si="1"/>
        <v>0</v>
      </c>
      <c r="Y12" s="207">
        <f t="shared" si="1"/>
        <v>0</v>
      </c>
      <c r="Z12" s="207">
        <f t="shared" si="1"/>
        <v>0</v>
      </c>
      <c r="AA12" s="207">
        <f t="shared" si="1"/>
        <v>0</v>
      </c>
    </row>
    <row r="13" spans="2:28" x14ac:dyDescent="0.2">
      <c r="B13" s="1195">
        <f>B10+1</f>
        <v>6</v>
      </c>
      <c r="C13" s="194" t="s">
        <v>702</v>
      </c>
      <c r="D13" s="194"/>
      <c r="E13" s="199" t="s">
        <v>279</v>
      </c>
      <c r="F13" s="200" t="s">
        <v>697</v>
      </c>
      <c r="G13" s="299">
        <v>12</v>
      </c>
      <c r="H13" s="762"/>
      <c r="I13" s="762"/>
      <c r="J13" s="762"/>
      <c r="K13" s="762"/>
      <c r="L13" s="762"/>
      <c r="M13" s="762"/>
      <c r="N13" s="762"/>
      <c r="O13" s="762"/>
      <c r="P13" s="762"/>
      <c r="Q13" s="762"/>
      <c r="R13" s="736"/>
      <c r="S13" s="736"/>
      <c r="T13" s="736"/>
      <c r="U13" s="736"/>
      <c r="V13" s="736"/>
      <c r="W13" s="736"/>
      <c r="X13" s="736"/>
      <c r="Y13" s="736"/>
      <c r="Z13" s="736"/>
      <c r="AA13" s="736"/>
      <c r="AB13" s="763"/>
    </row>
    <row r="14" spans="2:28" x14ac:dyDescent="0.2">
      <c r="B14" s="1196"/>
      <c r="C14" s="194" t="s">
        <v>703</v>
      </c>
      <c r="D14" s="194"/>
      <c r="E14" s="195" t="s">
        <v>700</v>
      </c>
      <c r="F14" s="200" t="s">
        <v>698</v>
      </c>
      <c r="G14" s="299">
        <v>22</v>
      </c>
      <c r="H14" s="764"/>
      <c r="I14" s="764"/>
      <c r="J14" s="764"/>
      <c r="K14" s="764"/>
      <c r="L14" s="764"/>
      <c r="M14" s="764"/>
      <c r="N14" s="764"/>
      <c r="O14" s="764"/>
      <c r="P14" s="764"/>
      <c r="Q14" s="764"/>
      <c r="R14" s="764"/>
      <c r="S14" s="764"/>
      <c r="T14" s="764"/>
      <c r="U14" s="764"/>
      <c r="V14" s="764"/>
      <c r="W14" s="764"/>
      <c r="X14" s="764"/>
      <c r="Y14" s="764"/>
      <c r="Z14" s="764"/>
      <c r="AA14" s="764"/>
      <c r="AB14" s="763"/>
    </row>
    <row r="15" spans="2:28" x14ac:dyDescent="0.2">
      <c r="B15" s="1196"/>
      <c r="C15" s="194" t="s">
        <v>704</v>
      </c>
      <c r="D15" s="194"/>
      <c r="E15" s="195" t="s">
        <v>701</v>
      </c>
      <c r="F15" s="200" t="s">
        <v>699</v>
      </c>
      <c r="G15" s="299">
        <v>3</v>
      </c>
      <c r="H15" s="764"/>
      <c r="I15" s="764"/>
      <c r="J15" s="764"/>
      <c r="K15" s="764"/>
      <c r="L15" s="764"/>
      <c r="M15" s="764"/>
      <c r="N15" s="764"/>
      <c r="O15" s="764"/>
      <c r="P15" s="764"/>
      <c r="Q15" s="764"/>
      <c r="R15" s="764"/>
      <c r="S15" s="764"/>
      <c r="T15" s="764"/>
      <c r="U15" s="764"/>
      <c r="V15" s="764"/>
      <c r="W15" s="764"/>
      <c r="X15" s="764"/>
      <c r="Y15" s="764"/>
      <c r="Z15" s="764"/>
      <c r="AA15" s="764"/>
      <c r="AB15" s="763"/>
    </row>
    <row r="16" spans="2:28" ht="18" x14ac:dyDescent="0.2">
      <c r="B16" s="1196"/>
      <c r="C16" s="194" t="s">
        <v>378</v>
      </c>
      <c r="D16" s="194"/>
      <c r="E16" s="199" t="s">
        <v>369</v>
      </c>
      <c r="F16" s="200" t="s">
        <v>379</v>
      </c>
      <c r="G16" s="209">
        <f>SUM(H16:AA16)</f>
        <v>0</v>
      </c>
      <c r="H16" s="208">
        <f>(H8*H9)*((H13*H14*H15)/($G$13*$G$14*$G$15))</f>
        <v>0</v>
      </c>
      <c r="I16" s="208">
        <f t="shared" ref="I16:AA16" si="2">(I8*I9)*((I13*I14*I15)/($G$13*$G$14*$G$15))</f>
        <v>0</v>
      </c>
      <c r="J16" s="208">
        <f t="shared" si="2"/>
        <v>0</v>
      </c>
      <c r="K16" s="208">
        <f t="shared" si="2"/>
        <v>0</v>
      </c>
      <c r="L16" s="208">
        <f t="shared" si="2"/>
        <v>0</v>
      </c>
      <c r="M16" s="208">
        <f t="shared" si="2"/>
        <v>0</v>
      </c>
      <c r="N16" s="208">
        <f t="shared" si="2"/>
        <v>0</v>
      </c>
      <c r="O16" s="208">
        <f t="shared" si="2"/>
        <v>0</v>
      </c>
      <c r="P16" s="208">
        <f t="shared" si="2"/>
        <v>0</v>
      </c>
      <c r="Q16" s="208">
        <f t="shared" si="2"/>
        <v>0</v>
      </c>
      <c r="R16" s="208">
        <f t="shared" si="2"/>
        <v>0</v>
      </c>
      <c r="S16" s="208">
        <f t="shared" si="2"/>
        <v>0</v>
      </c>
      <c r="T16" s="208">
        <f t="shared" si="2"/>
        <v>0</v>
      </c>
      <c r="U16" s="208">
        <f t="shared" si="2"/>
        <v>0</v>
      </c>
      <c r="V16" s="208">
        <f t="shared" si="2"/>
        <v>0</v>
      </c>
      <c r="W16" s="208">
        <f t="shared" si="2"/>
        <v>0</v>
      </c>
      <c r="X16" s="208">
        <f t="shared" si="2"/>
        <v>0</v>
      </c>
      <c r="Y16" s="208">
        <f t="shared" si="2"/>
        <v>0</v>
      </c>
      <c r="Z16" s="208">
        <f t="shared" si="2"/>
        <v>0</v>
      </c>
      <c r="AA16" s="208">
        <f t="shared" si="2"/>
        <v>0</v>
      </c>
    </row>
    <row r="17" spans="2:28" ht="18" x14ac:dyDescent="0.2">
      <c r="B17" s="1197"/>
      <c r="C17" s="194" t="s">
        <v>380</v>
      </c>
      <c r="D17" s="194"/>
      <c r="E17" s="194"/>
      <c r="F17" s="200" t="s">
        <v>381</v>
      </c>
      <c r="G17" s="204" t="str">
        <f>IF(LARGE(H17:AA17,1)&gt;1,"ERRO","")</f>
        <v/>
      </c>
      <c r="H17" s="208">
        <f>IFERROR(H16/(H8*H9),0)</f>
        <v>0</v>
      </c>
      <c r="I17" s="208">
        <f t="shared" ref="I17:AA17" si="3">IFERROR(I16/(I8*I9),0)</f>
        <v>0</v>
      </c>
      <c r="J17" s="208">
        <f t="shared" si="3"/>
        <v>0</v>
      </c>
      <c r="K17" s="208">
        <f t="shared" si="3"/>
        <v>0</v>
      </c>
      <c r="L17" s="208">
        <f t="shared" si="3"/>
        <v>0</v>
      </c>
      <c r="M17" s="208">
        <f t="shared" si="3"/>
        <v>0</v>
      </c>
      <c r="N17" s="208">
        <f t="shared" si="3"/>
        <v>0</v>
      </c>
      <c r="O17" s="208">
        <f t="shared" si="3"/>
        <v>0</v>
      </c>
      <c r="P17" s="208">
        <f t="shared" si="3"/>
        <v>0</v>
      </c>
      <c r="Q17" s="208">
        <f t="shared" si="3"/>
        <v>0</v>
      </c>
      <c r="R17" s="208">
        <f t="shared" si="3"/>
        <v>0</v>
      </c>
      <c r="S17" s="208">
        <f t="shared" si="3"/>
        <v>0</v>
      </c>
      <c r="T17" s="208">
        <f t="shared" si="3"/>
        <v>0</v>
      </c>
      <c r="U17" s="208">
        <f t="shared" si="3"/>
        <v>0</v>
      </c>
      <c r="V17" s="208">
        <f t="shared" si="3"/>
        <v>0</v>
      </c>
      <c r="W17" s="208">
        <f t="shared" si="3"/>
        <v>0</v>
      </c>
      <c r="X17" s="208">
        <f t="shared" si="3"/>
        <v>0</v>
      </c>
      <c r="Y17" s="208">
        <f t="shared" si="3"/>
        <v>0</v>
      </c>
      <c r="Z17" s="208">
        <f t="shared" si="3"/>
        <v>0</v>
      </c>
      <c r="AA17" s="208">
        <f t="shared" si="3"/>
        <v>0</v>
      </c>
    </row>
    <row r="18" spans="2:28" ht="18" x14ac:dyDescent="0.2">
      <c r="B18" s="189">
        <f>B13+1</f>
        <v>7</v>
      </c>
      <c r="C18" s="194" t="s">
        <v>382</v>
      </c>
      <c r="D18" s="194"/>
      <c r="E18" s="199" t="s">
        <v>383</v>
      </c>
      <c r="F18" s="200" t="s">
        <v>384</v>
      </c>
      <c r="G18" s="209">
        <f>SUM(H18:AA18)</f>
        <v>0</v>
      </c>
      <c r="H18" s="207">
        <f>(H8*H9*H12)/1000</f>
        <v>0</v>
      </c>
      <c r="I18" s="207">
        <f t="shared" ref="I18:AA18" si="4">(I8*I9*I12)/1000</f>
        <v>0</v>
      </c>
      <c r="J18" s="207">
        <f t="shared" si="4"/>
        <v>0</v>
      </c>
      <c r="K18" s="207">
        <f t="shared" si="4"/>
        <v>0</v>
      </c>
      <c r="L18" s="207">
        <f t="shared" si="4"/>
        <v>0</v>
      </c>
      <c r="M18" s="207">
        <f t="shared" si="4"/>
        <v>0</v>
      </c>
      <c r="N18" s="207">
        <f t="shared" si="4"/>
        <v>0</v>
      </c>
      <c r="O18" s="207">
        <f t="shared" si="4"/>
        <v>0</v>
      </c>
      <c r="P18" s="207">
        <f t="shared" si="4"/>
        <v>0</v>
      </c>
      <c r="Q18" s="207">
        <f t="shared" si="4"/>
        <v>0</v>
      </c>
      <c r="R18" s="207">
        <f t="shared" si="4"/>
        <v>0</v>
      </c>
      <c r="S18" s="207">
        <f t="shared" si="4"/>
        <v>0</v>
      </c>
      <c r="T18" s="207">
        <f t="shared" si="4"/>
        <v>0</v>
      </c>
      <c r="U18" s="207">
        <f t="shared" si="4"/>
        <v>0</v>
      </c>
      <c r="V18" s="207">
        <f t="shared" si="4"/>
        <v>0</v>
      </c>
      <c r="W18" s="207">
        <f t="shared" si="4"/>
        <v>0</v>
      </c>
      <c r="X18" s="207">
        <f t="shared" si="4"/>
        <v>0</v>
      </c>
      <c r="Y18" s="207">
        <f t="shared" si="4"/>
        <v>0</v>
      </c>
      <c r="Z18" s="207">
        <f t="shared" si="4"/>
        <v>0</v>
      </c>
      <c r="AA18" s="207">
        <f t="shared" si="4"/>
        <v>0</v>
      </c>
    </row>
    <row r="19" spans="2:28" ht="18" x14ac:dyDescent="0.2">
      <c r="B19" s="189">
        <f>B18+1</f>
        <v>8</v>
      </c>
      <c r="C19" s="194" t="s">
        <v>385</v>
      </c>
      <c r="D19" s="194"/>
      <c r="E19" s="195" t="s">
        <v>369</v>
      </c>
      <c r="F19" s="200" t="s">
        <v>386</v>
      </c>
      <c r="G19" s="210">
        <f>SUM(H19:AA19)</f>
        <v>0</v>
      </c>
      <c r="H19" s="211">
        <f>H8*H9*H17</f>
        <v>0</v>
      </c>
      <c r="I19" s="211">
        <f t="shared" ref="I19:AA19" si="5">I8*I9*I17</f>
        <v>0</v>
      </c>
      <c r="J19" s="211">
        <f t="shared" si="5"/>
        <v>0</v>
      </c>
      <c r="K19" s="211">
        <f t="shared" si="5"/>
        <v>0</v>
      </c>
      <c r="L19" s="211">
        <f t="shared" si="5"/>
        <v>0</v>
      </c>
      <c r="M19" s="211">
        <f t="shared" si="5"/>
        <v>0</v>
      </c>
      <c r="N19" s="211">
        <f t="shared" si="5"/>
        <v>0</v>
      </c>
      <c r="O19" s="211">
        <f t="shared" si="5"/>
        <v>0</v>
      </c>
      <c r="P19" s="211">
        <f t="shared" si="5"/>
        <v>0</v>
      </c>
      <c r="Q19" s="211">
        <f t="shared" si="5"/>
        <v>0</v>
      </c>
      <c r="R19" s="211">
        <f t="shared" si="5"/>
        <v>0</v>
      </c>
      <c r="S19" s="211">
        <f t="shared" si="5"/>
        <v>0</v>
      </c>
      <c r="T19" s="211">
        <f t="shared" si="5"/>
        <v>0</v>
      </c>
      <c r="U19" s="211">
        <f t="shared" si="5"/>
        <v>0</v>
      </c>
      <c r="V19" s="211">
        <f t="shared" si="5"/>
        <v>0</v>
      </c>
      <c r="W19" s="211">
        <f t="shared" si="5"/>
        <v>0</v>
      </c>
      <c r="X19" s="211">
        <f t="shared" si="5"/>
        <v>0</v>
      </c>
      <c r="Y19" s="211">
        <f t="shared" si="5"/>
        <v>0</v>
      </c>
      <c r="Z19" s="211">
        <f t="shared" si="5"/>
        <v>0</v>
      </c>
      <c r="AA19" s="211">
        <f t="shared" si="5"/>
        <v>0</v>
      </c>
    </row>
    <row r="21" spans="2:28" x14ac:dyDescent="0.2">
      <c r="B21" s="1191" t="s">
        <v>864</v>
      </c>
      <c r="C21" s="1192"/>
      <c r="D21" s="1192"/>
      <c r="E21" s="1192"/>
      <c r="F21" s="1200"/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</row>
    <row r="22" spans="2:28" s="423" customFormat="1" x14ac:dyDescent="0.2">
      <c r="B22" s="189"/>
      <c r="C22" s="190"/>
      <c r="D22" s="190"/>
      <c r="E22" s="190"/>
      <c r="F22" s="191"/>
      <c r="G22" s="192" t="s">
        <v>31</v>
      </c>
      <c r="H22" s="193" t="s">
        <v>526</v>
      </c>
      <c r="I22" s="193" t="s">
        <v>527</v>
      </c>
      <c r="J22" s="193" t="s">
        <v>528</v>
      </c>
      <c r="K22" s="193" t="s">
        <v>529</v>
      </c>
      <c r="L22" s="193" t="s">
        <v>530</v>
      </c>
      <c r="M22" s="193" t="s">
        <v>531</v>
      </c>
      <c r="N22" s="193" t="s">
        <v>532</v>
      </c>
      <c r="O22" s="193" t="s">
        <v>533</v>
      </c>
      <c r="P22" s="193" t="s">
        <v>534</v>
      </c>
      <c r="Q22" s="193" t="s">
        <v>535</v>
      </c>
      <c r="R22" s="193" t="s">
        <v>536</v>
      </c>
      <c r="S22" s="193" t="s">
        <v>537</v>
      </c>
      <c r="T22" s="193" t="s">
        <v>538</v>
      </c>
      <c r="U22" s="193" t="s">
        <v>539</v>
      </c>
      <c r="V22" s="193" t="s">
        <v>540</v>
      </c>
      <c r="W22" s="193" t="s">
        <v>541</v>
      </c>
      <c r="X22" s="193" t="s">
        <v>542</v>
      </c>
      <c r="Y22" s="193" t="s">
        <v>543</v>
      </c>
      <c r="Z22" s="193" t="s">
        <v>544</v>
      </c>
      <c r="AA22" s="193" t="s">
        <v>545</v>
      </c>
    </row>
    <row r="23" spans="2:28" x14ac:dyDescent="0.2">
      <c r="B23" s="189">
        <f>B19+1</f>
        <v>9</v>
      </c>
      <c r="C23" s="194" t="s">
        <v>359</v>
      </c>
      <c r="D23" s="194"/>
      <c r="E23" s="195"/>
      <c r="F23" s="196"/>
      <c r="G23" s="197"/>
      <c r="H23" s="762"/>
      <c r="I23" s="762"/>
      <c r="J23" s="762"/>
      <c r="K23" s="762"/>
      <c r="L23" s="762"/>
      <c r="M23" s="762"/>
      <c r="N23" s="762"/>
      <c r="O23" s="762"/>
      <c r="P23" s="762"/>
      <c r="Q23" s="762"/>
      <c r="R23" s="736"/>
      <c r="S23" s="736"/>
      <c r="T23" s="736"/>
      <c r="U23" s="736"/>
      <c r="V23" s="736"/>
      <c r="W23" s="736"/>
      <c r="X23" s="736"/>
      <c r="Y23" s="736"/>
      <c r="Z23" s="736"/>
      <c r="AA23" s="736"/>
      <c r="AB23" s="763"/>
    </row>
    <row r="24" spans="2:28" ht="18" x14ac:dyDescent="0.2">
      <c r="B24" s="189">
        <f>B23+1</f>
        <v>10</v>
      </c>
      <c r="C24" s="194" t="s">
        <v>546</v>
      </c>
      <c r="D24" s="194"/>
      <c r="E24" s="199" t="s">
        <v>369</v>
      </c>
      <c r="F24" s="200" t="s">
        <v>391</v>
      </c>
      <c r="G24" s="209">
        <f>SUM(H24:AA24)</f>
        <v>0</v>
      </c>
      <c r="H24" s="774"/>
      <c r="I24" s="764"/>
      <c r="J24" s="764"/>
      <c r="K24" s="764"/>
      <c r="L24" s="764"/>
      <c r="M24" s="764"/>
      <c r="N24" s="764"/>
      <c r="O24" s="764"/>
      <c r="P24" s="764"/>
      <c r="Q24" s="764"/>
      <c r="R24" s="764"/>
      <c r="S24" s="764"/>
      <c r="T24" s="764"/>
      <c r="U24" s="764"/>
      <c r="V24" s="764"/>
      <c r="W24" s="764"/>
      <c r="X24" s="764"/>
      <c r="Y24" s="764"/>
      <c r="Z24" s="764"/>
      <c r="AA24" s="764"/>
      <c r="AB24" s="763"/>
    </row>
    <row r="25" spans="2:28" ht="18" x14ac:dyDescent="0.2">
      <c r="B25" s="1195">
        <f>B24+1</f>
        <v>11</v>
      </c>
      <c r="C25" s="194" t="s">
        <v>448</v>
      </c>
      <c r="D25" s="194"/>
      <c r="E25" s="199"/>
      <c r="F25" s="200" t="s">
        <v>453</v>
      </c>
      <c r="G25" s="204" t="str">
        <f>IF(COUNTA(H25:AA25)=0,"",IF(LARGE(H25:AA25,1)&gt;1,"ERRO",""))</f>
        <v/>
      </c>
      <c r="H25" s="764"/>
      <c r="I25" s="764"/>
      <c r="J25" s="764"/>
      <c r="K25" s="764"/>
      <c r="L25" s="764"/>
      <c r="M25" s="764"/>
      <c r="N25" s="764"/>
      <c r="O25" s="764"/>
      <c r="P25" s="764"/>
      <c r="Q25" s="764"/>
      <c r="R25" s="764"/>
      <c r="S25" s="764"/>
      <c r="T25" s="764"/>
      <c r="U25" s="764"/>
      <c r="V25" s="764"/>
      <c r="W25" s="764"/>
      <c r="X25" s="764"/>
      <c r="Y25" s="764"/>
      <c r="Z25" s="764"/>
      <c r="AA25" s="764"/>
      <c r="AB25" s="763"/>
    </row>
    <row r="26" spans="2:28" ht="18" x14ac:dyDescent="0.2">
      <c r="B26" s="1197"/>
      <c r="C26" s="194" t="s">
        <v>450</v>
      </c>
      <c r="D26" s="194"/>
      <c r="E26" s="199" t="s">
        <v>369</v>
      </c>
      <c r="F26" s="200" t="s">
        <v>454</v>
      </c>
      <c r="G26" s="209">
        <f>SUM(H26:AA26)</f>
        <v>0</v>
      </c>
      <c r="H26" s="203">
        <f>H24*H25</f>
        <v>0</v>
      </c>
      <c r="I26" s="203">
        <f t="shared" ref="I26:AA26" si="6">I24*I25</f>
        <v>0</v>
      </c>
      <c r="J26" s="203">
        <f t="shared" si="6"/>
        <v>0</v>
      </c>
      <c r="K26" s="203">
        <f t="shared" si="6"/>
        <v>0</v>
      </c>
      <c r="L26" s="203">
        <f t="shared" si="6"/>
        <v>0</v>
      </c>
      <c r="M26" s="203">
        <f t="shared" si="6"/>
        <v>0</v>
      </c>
      <c r="N26" s="203">
        <f t="shared" si="6"/>
        <v>0</v>
      </c>
      <c r="O26" s="203">
        <f t="shared" si="6"/>
        <v>0</v>
      </c>
      <c r="P26" s="203">
        <f t="shared" si="6"/>
        <v>0</v>
      </c>
      <c r="Q26" s="203">
        <f t="shared" si="6"/>
        <v>0</v>
      </c>
      <c r="R26" s="203">
        <f t="shared" si="6"/>
        <v>0</v>
      </c>
      <c r="S26" s="203">
        <f t="shared" si="6"/>
        <v>0</v>
      </c>
      <c r="T26" s="203">
        <f t="shared" si="6"/>
        <v>0</v>
      </c>
      <c r="U26" s="203">
        <f t="shared" si="6"/>
        <v>0</v>
      </c>
      <c r="V26" s="203">
        <f t="shared" si="6"/>
        <v>0</v>
      </c>
      <c r="W26" s="203">
        <f t="shared" si="6"/>
        <v>0</v>
      </c>
      <c r="X26" s="203">
        <f t="shared" si="6"/>
        <v>0</v>
      </c>
      <c r="Y26" s="203">
        <f t="shared" si="6"/>
        <v>0</v>
      </c>
      <c r="Z26" s="203">
        <f t="shared" si="6"/>
        <v>0</v>
      </c>
      <c r="AA26" s="203">
        <f t="shared" si="6"/>
        <v>0</v>
      </c>
    </row>
    <row r="27" spans="2:28" ht="18" x14ac:dyDescent="0.2">
      <c r="B27" s="189">
        <f>B25+1</f>
        <v>12</v>
      </c>
      <c r="C27" s="194" t="s">
        <v>16</v>
      </c>
      <c r="D27" s="194"/>
      <c r="E27" s="199"/>
      <c r="F27" s="200" t="s">
        <v>406</v>
      </c>
      <c r="G27" s="202">
        <f>SUM(H27:AA27)</f>
        <v>0</v>
      </c>
      <c r="H27" s="762"/>
      <c r="I27" s="762"/>
      <c r="J27" s="762"/>
      <c r="K27" s="762"/>
      <c r="L27" s="762"/>
      <c r="M27" s="762"/>
      <c r="N27" s="762"/>
      <c r="O27" s="762"/>
      <c r="P27" s="762"/>
      <c r="Q27" s="762"/>
      <c r="R27" s="736"/>
      <c r="S27" s="736"/>
      <c r="T27" s="736"/>
      <c r="U27" s="736"/>
      <c r="V27" s="736"/>
      <c r="W27" s="736"/>
      <c r="X27" s="736"/>
      <c r="Y27" s="736"/>
      <c r="Z27" s="736"/>
      <c r="AA27" s="736"/>
      <c r="AB27" s="763"/>
    </row>
    <row r="28" spans="2:28" x14ac:dyDescent="0.2">
      <c r="B28" s="1195">
        <f>B27+1</f>
        <v>13</v>
      </c>
      <c r="C28" s="194" t="s">
        <v>371</v>
      </c>
      <c r="D28" s="194"/>
      <c r="E28" s="199" t="s">
        <v>372</v>
      </c>
      <c r="F28" s="200"/>
      <c r="G28" s="204"/>
      <c r="H28" s="764"/>
      <c r="I28" s="764"/>
      <c r="J28" s="764"/>
      <c r="K28" s="764"/>
      <c r="L28" s="764"/>
      <c r="M28" s="764"/>
      <c r="N28" s="764"/>
      <c r="O28" s="764"/>
      <c r="P28" s="764"/>
      <c r="Q28" s="764"/>
      <c r="R28" s="764"/>
      <c r="S28" s="764"/>
      <c r="T28" s="764"/>
      <c r="U28" s="764"/>
      <c r="V28" s="764"/>
      <c r="W28" s="764"/>
      <c r="X28" s="764"/>
      <c r="Y28" s="764"/>
      <c r="Z28" s="764"/>
      <c r="AA28" s="764"/>
      <c r="AB28" s="763"/>
    </row>
    <row r="29" spans="2:28" x14ac:dyDescent="0.2">
      <c r="B29" s="1196"/>
      <c r="C29" s="205" t="s">
        <v>373</v>
      </c>
      <c r="D29" s="205"/>
      <c r="E29" s="206" t="s">
        <v>374</v>
      </c>
      <c r="F29" s="200"/>
      <c r="G29" s="204"/>
      <c r="H29" s="764"/>
      <c r="I29" s="764"/>
      <c r="J29" s="764"/>
      <c r="K29" s="764"/>
      <c r="L29" s="764"/>
      <c r="M29" s="764"/>
      <c r="N29" s="764"/>
      <c r="O29" s="764"/>
      <c r="P29" s="764"/>
      <c r="Q29" s="764"/>
      <c r="R29" s="764"/>
      <c r="S29" s="764"/>
      <c r="T29" s="764"/>
      <c r="U29" s="764"/>
      <c r="V29" s="764"/>
      <c r="W29" s="764"/>
      <c r="X29" s="764"/>
      <c r="Y29" s="764"/>
      <c r="Z29" s="764"/>
      <c r="AA29" s="764"/>
      <c r="AB29" s="763"/>
    </row>
    <row r="30" spans="2:28" ht="18" x14ac:dyDescent="0.2">
      <c r="B30" s="1197"/>
      <c r="C30" s="194" t="s">
        <v>375</v>
      </c>
      <c r="D30" s="194"/>
      <c r="E30" s="199" t="s">
        <v>376</v>
      </c>
      <c r="F30" s="200" t="s">
        <v>392</v>
      </c>
      <c r="G30" s="204"/>
      <c r="H30" s="207">
        <f>H28*H29</f>
        <v>0</v>
      </c>
      <c r="I30" s="207">
        <f t="shared" ref="I30:AA30" si="7">I28*I29</f>
        <v>0</v>
      </c>
      <c r="J30" s="207">
        <f t="shared" si="7"/>
        <v>0</v>
      </c>
      <c r="K30" s="207">
        <f t="shared" si="7"/>
        <v>0</v>
      </c>
      <c r="L30" s="207">
        <f t="shared" si="7"/>
        <v>0</v>
      </c>
      <c r="M30" s="207">
        <f t="shared" si="7"/>
        <v>0</v>
      </c>
      <c r="N30" s="207">
        <f t="shared" si="7"/>
        <v>0</v>
      </c>
      <c r="O30" s="207">
        <f t="shared" si="7"/>
        <v>0</v>
      </c>
      <c r="P30" s="207">
        <f t="shared" si="7"/>
        <v>0</v>
      </c>
      <c r="Q30" s="207">
        <f t="shared" si="7"/>
        <v>0</v>
      </c>
      <c r="R30" s="207">
        <f t="shared" si="7"/>
        <v>0</v>
      </c>
      <c r="S30" s="207">
        <f t="shared" si="7"/>
        <v>0</v>
      </c>
      <c r="T30" s="207">
        <f t="shared" si="7"/>
        <v>0</v>
      </c>
      <c r="U30" s="207">
        <f t="shared" si="7"/>
        <v>0</v>
      </c>
      <c r="V30" s="207">
        <f t="shared" si="7"/>
        <v>0</v>
      </c>
      <c r="W30" s="207">
        <f t="shared" si="7"/>
        <v>0</v>
      </c>
      <c r="X30" s="207">
        <f t="shared" si="7"/>
        <v>0</v>
      </c>
      <c r="Y30" s="207">
        <f t="shared" si="7"/>
        <v>0</v>
      </c>
      <c r="Z30" s="207">
        <f t="shared" si="7"/>
        <v>0</v>
      </c>
      <c r="AA30" s="207">
        <f t="shared" si="7"/>
        <v>0</v>
      </c>
    </row>
    <row r="31" spans="2:28" x14ac:dyDescent="0.2">
      <c r="B31" s="1195">
        <f>B28+1</f>
        <v>14</v>
      </c>
      <c r="C31" s="194" t="s">
        <v>702</v>
      </c>
      <c r="D31" s="194"/>
      <c r="E31" s="199" t="s">
        <v>279</v>
      </c>
      <c r="F31" s="200" t="s">
        <v>697</v>
      </c>
      <c r="G31" s="299">
        <v>12</v>
      </c>
      <c r="H31" s="762"/>
      <c r="I31" s="762"/>
      <c r="J31" s="762"/>
      <c r="K31" s="762"/>
      <c r="L31" s="762"/>
      <c r="M31" s="762"/>
      <c r="N31" s="762"/>
      <c r="O31" s="762"/>
      <c r="P31" s="762"/>
      <c r="Q31" s="762"/>
      <c r="R31" s="736"/>
      <c r="S31" s="736"/>
      <c r="T31" s="736"/>
      <c r="U31" s="736"/>
      <c r="V31" s="736"/>
      <c r="W31" s="736"/>
      <c r="X31" s="736"/>
      <c r="Y31" s="736"/>
      <c r="Z31" s="736"/>
      <c r="AA31" s="736"/>
      <c r="AB31" s="763"/>
    </row>
    <row r="32" spans="2:28" x14ac:dyDescent="0.2">
      <c r="B32" s="1196"/>
      <c r="C32" s="194" t="s">
        <v>703</v>
      </c>
      <c r="D32" s="194"/>
      <c r="E32" s="195" t="s">
        <v>700</v>
      </c>
      <c r="F32" s="200" t="s">
        <v>698</v>
      </c>
      <c r="G32" s="299">
        <v>22</v>
      </c>
      <c r="H32" s="764"/>
      <c r="I32" s="764"/>
      <c r="J32" s="764"/>
      <c r="K32" s="764"/>
      <c r="L32" s="764"/>
      <c r="M32" s="764"/>
      <c r="N32" s="764"/>
      <c r="O32" s="764"/>
      <c r="P32" s="764"/>
      <c r="Q32" s="764"/>
      <c r="R32" s="764"/>
      <c r="S32" s="764"/>
      <c r="T32" s="764"/>
      <c r="U32" s="764"/>
      <c r="V32" s="764"/>
      <c r="W32" s="764"/>
      <c r="X32" s="764"/>
      <c r="Y32" s="764"/>
      <c r="Z32" s="764"/>
      <c r="AA32" s="764"/>
      <c r="AB32" s="763"/>
    </row>
    <row r="33" spans="2:28" x14ac:dyDescent="0.2">
      <c r="B33" s="1196"/>
      <c r="C33" s="194" t="s">
        <v>704</v>
      </c>
      <c r="D33" s="194"/>
      <c r="E33" s="195" t="s">
        <v>701</v>
      </c>
      <c r="F33" s="200" t="s">
        <v>699</v>
      </c>
      <c r="G33" s="299">
        <v>3</v>
      </c>
      <c r="H33" s="764"/>
      <c r="I33" s="764"/>
      <c r="J33" s="764"/>
      <c r="K33" s="764"/>
      <c r="L33" s="764"/>
      <c r="M33" s="764"/>
      <c r="N33" s="764"/>
      <c r="O33" s="764"/>
      <c r="P33" s="764"/>
      <c r="Q33" s="764"/>
      <c r="R33" s="764"/>
      <c r="S33" s="764"/>
      <c r="T33" s="764"/>
      <c r="U33" s="764"/>
      <c r="V33" s="764"/>
      <c r="W33" s="764"/>
      <c r="X33" s="764"/>
      <c r="Y33" s="764"/>
      <c r="Z33" s="764"/>
      <c r="AA33" s="764"/>
      <c r="AB33" s="763"/>
    </row>
    <row r="34" spans="2:28" ht="18" x14ac:dyDescent="0.2">
      <c r="B34" s="1196"/>
      <c r="C34" s="194" t="s">
        <v>378</v>
      </c>
      <c r="D34" s="194"/>
      <c r="E34" s="199" t="s">
        <v>369</v>
      </c>
      <c r="F34" s="200" t="s">
        <v>393</v>
      </c>
      <c r="G34" s="209">
        <f>SUM(H34:AA34)</f>
        <v>0</v>
      </c>
      <c r="H34" s="208">
        <f>(H26*H27)*((H31*H32*H33)/($G$31*$G$32*$G$33))</f>
        <v>0</v>
      </c>
      <c r="I34" s="208">
        <f t="shared" ref="I34:AA34" si="8">(I26*I27)*((I31*I32*I33)/($G$31*$G$32*$G$33))</f>
        <v>0</v>
      </c>
      <c r="J34" s="208">
        <f t="shared" si="8"/>
        <v>0</v>
      </c>
      <c r="K34" s="208">
        <f t="shared" si="8"/>
        <v>0</v>
      </c>
      <c r="L34" s="208">
        <f t="shared" si="8"/>
        <v>0</v>
      </c>
      <c r="M34" s="208">
        <f t="shared" si="8"/>
        <v>0</v>
      </c>
      <c r="N34" s="208">
        <f t="shared" si="8"/>
        <v>0</v>
      </c>
      <c r="O34" s="208">
        <f t="shared" si="8"/>
        <v>0</v>
      </c>
      <c r="P34" s="208">
        <f t="shared" si="8"/>
        <v>0</v>
      </c>
      <c r="Q34" s="208">
        <f t="shared" si="8"/>
        <v>0</v>
      </c>
      <c r="R34" s="208">
        <f t="shared" si="8"/>
        <v>0</v>
      </c>
      <c r="S34" s="208">
        <f t="shared" si="8"/>
        <v>0</v>
      </c>
      <c r="T34" s="208">
        <f t="shared" si="8"/>
        <v>0</v>
      </c>
      <c r="U34" s="208">
        <f t="shared" si="8"/>
        <v>0</v>
      </c>
      <c r="V34" s="208">
        <f t="shared" si="8"/>
        <v>0</v>
      </c>
      <c r="W34" s="208">
        <f t="shared" si="8"/>
        <v>0</v>
      </c>
      <c r="X34" s="208">
        <f t="shared" si="8"/>
        <v>0</v>
      </c>
      <c r="Y34" s="208">
        <f t="shared" si="8"/>
        <v>0</v>
      </c>
      <c r="Z34" s="208">
        <f t="shared" si="8"/>
        <v>0</v>
      </c>
      <c r="AA34" s="208">
        <f t="shared" si="8"/>
        <v>0</v>
      </c>
    </row>
    <row r="35" spans="2:28" ht="18" x14ac:dyDescent="0.2">
      <c r="B35" s="1197"/>
      <c r="C35" s="194" t="s">
        <v>380</v>
      </c>
      <c r="D35" s="194"/>
      <c r="E35" s="194"/>
      <c r="F35" s="200" t="s">
        <v>394</v>
      </c>
      <c r="G35" s="204" t="str">
        <f>IF(LARGE(H35:AA35,1)&gt;1,"ERRO","")</f>
        <v/>
      </c>
      <c r="H35" s="208">
        <f>IFERROR(H34/(H26*H27),0)</f>
        <v>0</v>
      </c>
      <c r="I35" s="208">
        <f t="shared" ref="I35:AA35" si="9">IFERROR(I34/(I26*I27),0)</f>
        <v>0</v>
      </c>
      <c r="J35" s="208">
        <f t="shared" si="9"/>
        <v>0</v>
      </c>
      <c r="K35" s="208">
        <f t="shared" si="9"/>
        <v>0</v>
      </c>
      <c r="L35" s="208">
        <f t="shared" si="9"/>
        <v>0</v>
      </c>
      <c r="M35" s="208">
        <f t="shared" si="9"/>
        <v>0</v>
      </c>
      <c r="N35" s="208">
        <f t="shared" si="9"/>
        <v>0</v>
      </c>
      <c r="O35" s="208">
        <f t="shared" si="9"/>
        <v>0</v>
      </c>
      <c r="P35" s="208">
        <f t="shared" si="9"/>
        <v>0</v>
      </c>
      <c r="Q35" s="208">
        <f t="shared" si="9"/>
        <v>0</v>
      </c>
      <c r="R35" s="208">
        <f t="shared" si="9"/>
        <v>0</v>
      </c>
      <c r="S35" s="208">
        <f t="shared" si="9"/>
        <v>0</v>
      </c>
      <c r="T35" s="208">
        <f t="shared" si="9"/>
        <v>0</v>
      </c>
      <c r="U35" s="208">
        <f t="shared" si="9"/>
        <v>0</v>
      </c>
      <c r="V35" s="208">
        <f t="shared" si="9"/>
        <v>0</v>
      </c>
      <c r="W35" s="208">
        <f t="shared" si="9"/>
        <v>0</v>
      </c>
      <c r="X35" s="208">
        <f t="shared" si="9"/>
        <v>0</v>
      </c>
      <c r="Y35" s="208">
        <f t="shared" si="9"/>
        <v>0</v>
      </c>
      <c r="Z35" s="208">
        <f t="shared" si="9"/>
        <v>0</v>
      </c>
      <c r="AA35" s="208">
        <f t="shared" si="9"/>
        <v>0</v>
      </c>
    </row>
    <row r="36" spans="2:28" ht="18" x14ac:dyDescent="0.2">
      <c r="B36" s="189">
        <f>B31+1</f>
        <v>15</v>
      </c>
      <c r="C36" s="194" t="s">
        <v>382</v>
      </c>
      <c r="D36" s="194"/>
      <c r="E36" s="199" t="s">
        <v>383</v>
      </c>
      <c r="F36" s="200" t="s">
        <v>395</v>
      </c>
      <c r="G36" s="209">
        <f>SUM(H36:AA36)</f>
        <v>0</v>
      </c>
      <c r="H36" s="207">
        <f>(H26*H27*H30)/1000</f>
        <v>0</v>
      </c>
      <c r="I36" s="207">
        <f t="shared" ref="I36:AA36" si="10">(I26*I27*I30)/1000</f>
        <v>0</v>
      </c>
      <c r="J36" s="207">
        <f t="shared" si="10"/>
        <v>0</v>
      </c>
      <c r="K36" s="207">
        <f t="shared" si="10"/>
        <v>0</v>
      </c>
      <c r="L36" s="207">
        <f t="shared" si="10"/>
        <v>0</v>
      </c>
      <c r="M36" s="207">
        <f t="shared" si="10"/>
        <v>0</v>
      </c>
      <c r="N36" s="207">
        <f t="shared" si="10"/>
        <v>0</v>
      </c>
      <c r="O36" s="207">
        <f t="shared" si="10"/>
        <v>0</v>
      </c>
      <c r="P36" s="207">
        <f t="shared" si="10"/>
        <v>0</v>
      </c>
      <c r="Q36" s="207">
        <f t="shared" si="10"/>
        <v>0</v>
      </c>
      <c r="R36" s="207">
        <f t="shared" si="10"/>
        <v>0</v>
      </c>
      <c r="S36" s="207">
        <f t="shared" si="10"/>
        <v>0</v>
      </c>
      <c r="T36" s="207">
        <f t="shared" si="10"/>
        <v>0</v>
      </c>
      <c r="U36" s="207">
        <f t="shared" si="10"/>
        <v>0</v>
      </c>
      <c r="V36" s="207">
        <f t="shared" si="10"/>
        <v>0</v>
      </c>
      <c r="W36" s="207">
        <f t="shared" si="10"/>
        <v>0</v>
      </c>
      <c r="X36" s="207">
        <f t="shared" si="10"/>
        <v>0</v>
      </c>
      <c r="Y36" s="207">
        <f t="shared" si="10"/>
        <v>0</v>
      </c>
      <c r="Z36" s="207">
        <f t="shared" si="10"/>
        <v>0</v>
      </c>
      <c r="AA36" s="207">
        <f t="shared" si="10"/>
        <v>0</v>
      </c>
    </row>
    <row r="37" spans="2:28" ht="18" x14ac:dyDescent="0.2">
      <c r="B37" s="189">
        <f>B36+1</f>
        <v>16</v>
      </c>
      <c r="C37" s="194" t="s">
        <v>385</v>
      </c>
      <c r="D37" s="194"/>
      <c r="E37" s="195" t="s">
        <v>369</v>
      </c>
      <c r="F37" s="200" t="s">
        <v>396</v>
      </c>
      <c r="G37" s="210">
        <f>SUM(H37:AA37)</f>
        <v>0</v>
      </c>
      <c r="H37" s="211">
        <f>H26*H27*H35</f>
        <v>0</v>
      </c>
      <c r="I37" s="211">
        <f t="shared" ref="I37:AA37" si="11">I26*I27*I35</f>
        <v>0</v>
      </c>
      <c r="J37" s="211">
        <f t="shared" si="11"/>
        <v>0</v>
      </c>
      <c r="K37" s="211">
        <f t="shared" si="11"/>
        <v>0</v>
      </c>
      <c r="L37" s="211">
        <f t="shared" si="11"/>
        <v>0</v>
      </c>
      <c r="M37" s="211">
        <f t="shared" si="11"/>
        <v>0</v>
      </c>
      <c r="N37" s="211">
        <f t="shared" si="11"/>
        <v>0</v>
      </c>
      <c r="O37" s="211">
        <f t="shared" si="11"/>
        <v>0</v>
      </c>
      <c r="P37" s="211">
        <f t="shared" si="11"/>
        <v>0</v>
      </c>
      <c r="Q37" s="211">
        <f t="shared" si="11"/>
        <v>0</v>
      </c>
      <c r="R37" s="211">
        <f t="shared" si="11"/>
        <v>0</v>
      </c>
      <c r="S37" s="211">
        <f t="shared" si="11"/>
        <v>0</v>
      </c>
      <c r="T37" s="211">
        <f t="shared" si="11"/>
        <v>0</v>
      </c>
      <c r="U37" s="211">
        <f t="shared" si="11"/>
        <v>0</v>
      </c>
      <c r="V37" s="211">
        <f t="shared" si="11"/>
        <v>0</v>
      </c>
      <c r="W37" s="211">
        <f t="shared" si="11"/>
        <v>0</v>
      </c>
      <c r="X37" s="211">
        <f t="shared" si="11"/>
        <v>0</v>
      </c>
      <c r="Y37" s="211">
        <f t="shared" si="11"/>
        <v>0</v>
      </c>
      <c r="Z37" s="211">
        <f t="shared" si="11"/>
        <v>0</v>
      </c>
      <c r="AA37" s="211">
        <f t="shared" si="11"/>
        <v>0</v>
      </c>
    </row>
    <row r="39" spans="2:28" x14ac:dyDescent="0.2">
      <c r="B39" s="1199" t="s">
        <v>865</v>
      </c>
      <c r="C39" s="1199"/>
      <c r="D39" s="1199"/>
      <c r="E39" s="1199"/>
      <c r="F39" s="1199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</row>
    <row r="40" spans="2:28" s="423" customFormat="1" x14ac:dyDescent="0.2">
      <c r="B40" s="189"/>
      <c r="C40" s="214"/>
      <c r="D40" s="214"/>
      <c r="E40" s="214"/>
      <c r="F40" s="212"/>
      <c r="G40" s="192" t="s">
        <v>31</v>
      </c>
      <c r="H40" s="193" t="s">
        <v>526</v>
      </c>
      <c r="I40" s="193" t="s">
        <v>527</v>
      </c>
      <c r="J40" s="193" t="s">
        <v>528</v>
      </c>
      <c r="K40" s="193" t="s">
        <v>529</v>
      </c>
      <c r="L40" s="193" t="s">
        <v>530</v>
      </c>
      <c r="M40" s="193" t="s">
        <v>531</v>
      </c>
      <c r="N40" s="193" t="s">
        <v>532</v>
      </c>
      <c r="O40" s="193" t="s">
        <v>533</v>
      </c>
      <c r="P40" s="193" t="s">
        <v>534</v>
      </c>
      <c r="Q40" s="193" t="s">
        <v>535</v>
      </c>
      <c r="R40" s="193" t="s">
        <v>536</v>
      </c>
      <c r="S40" s="193" t="s">
        <v>537</v>
      </c>
      <c r="T40" s="193" t="s">
        <v>538</v>
      </c>
      <c r="U40" s="193" t="s">
        <v>539</v>
      </c>
      <c r="V40" s="193" t="s">
        <v>540</v>
      </c>
      <c r="W40" s="193" t="s">
        <v>541</v>
      </c>
      <c r="X40" s="193" t="s">
        <v>542</v>
      </c>
      <c r="Y40" s="193" t="s">
        <v>543</v>
      </c>
      <c r="Z40" s="193" t="s">
        <v>544</v>
      </c>
      <c r="AA40" s="193" t="s">
        <v>545</v>
      </c>
    </row>
    <row r="41" spans="2:28" ht="18" x14ac:dyDescent="0.2">
      <c r="B41" s="189">
        <f>B37+1</f>
        <v>17</v>
      </c>
      <c r="C41" s="215" t="s">
        <v>218</v>
      </c>
      <c r="D41" s="215"/>
      <c r="E41" s="216" t="s">
        <v>369</v>
      </c>
      <c r="F41" s="200" t="s">
        <v>397</v>
      </c>
      <c r="G41" s="210">
        <f>SUM(H41:AA41)</f>
        <v>0</v>
      </c>
      <c r="H41" s="207">
        <f>H19-H37</f>
        <v>0</v>
      </c>
      <c r="I41" s="207">
        <f t="shared" ref="I41:AA41" si="12">I19-I37</f>
        <v>0</v>
      </c>
      <c r="J41" s="207">
        <f t="shared" si="12"/>
        <v>0</v>
      </c>
      <c r="K41" s="207">
        <f t="shared" si="12"/>
        <v>0</v>
      </c>
      <c r="L41" s="207">
        <f t="shared" si="12"/>
        <v>0</v>
      </c>
      <c r="M41" s="207">
        <f t="shared" si="12"/>
        <v>0</v>
      </c>
      <c r="N41" s="207">
        <f t="shared" si="12"/>
        <v>0</v>
      </c>
      <c r="O41" s="207">
        <f t="shared" si="12"/>
        <v>0</v>
      </c>
      <c r="P41" s="207">
        <f t="shared" si="12"/>
        <v>0</v>
      </c>
      <c r="Q41" s="207">
        <f t="shared" si="12"/>
        <v>0</v>
      </c>
      <c r="R41" s="207">
        <f t="shared" si="12"/>
        <v>0</v>
      </c>
      <c r="S41" s="207">
        <f t="shared" si="12"/>
        <v>0</v>
      </c>
      <c r="T41" s="207">
        <f t="shared" si="12"/>
        <v>0</v>
      </c>
      <c r="U41" s="207">
        <f t="shared" si="12"/>
        <v>0</v>
      </c>
      <c r="V41" s="207">
        <f t="shared" si="12"/>
        <v>0</v>
      </c>
      <c r="W41" s="207">
        <f t="shared" si="12"/>
        <v>0</v>
      </c>
      <c r="X41" s="207">
        <f t="shared" si="12"/>
        <v>0</v>
      </c>
      <c r="Y41" s="207">
        <f t="shared" si="12"/>
        <v>0</v>
      </c>
      <c r="Z41" s="207">
        <f t="shared" si="12"/>
        <v>0</v>
      </c>
      <c r="AA41" s="207">
        <f t="shared" si="12"/>
        <v>0</v>
      </c>
    </row>
    <row r="42" spans="2:28" ht="18" x14ac:dyDescent="0.2">
      <c r="B42" s="189">
        <f>B41+1</f>
        <v>18</v>
      </c>
      <c r="C42" s="217" t="s">
        <v>398</v>
      </c>
      <c r="D42" s="218">
        <f>CED</f>
        <v>972.17356799999993</v>
      </c>
      <c r="E42" s="206" t="s">
        <v>3</v>
      </c>
      <c r="F42" s="200" t="s">
        <v>399</v>
      </c>
      <c r="G42" s="219">
        <f>IF(G19=0,0,G41/G19)</f>
        <v>0</v>
      </c>
      <c r="H42" s="220">
        <f>IFERROR(H41/H19,0)</f>
        <v>0</v>
      </c>
      <c r="I42" s="220">
        <f t="shared" ref="I42:AA42" si="13">IFERROR(I41/I19,0)</f>
        <v>0</v>
      </c>
      <c r="J42" s="220">
        <f t="shared" si="13"/>
        <v>0</v>
      </c>
      <c r="K42" s="220">
        <f t="shared" si="13"/>
        <v>0</v>
      </c>
      <c r="L42" s="220">
        <f t="shared" si="13"/>
        <v>0</v>
      </c>
      <c r="M42" s="220">
        <f t="shared" si="13"/>
        <v>0</v>
      </c>
      <c r="N42" s="220">
        <f t="shared" si="13"/>
        <v>0</v>
      </c>
      <c r="O42" s="220">
        <f t="shared" si="13"/>
        <v>0</v>
      </c>
      <c r="P42" s="220">
        <f t="shared" si="13"/>
        <v>0</v>
      </c>
      <c r="Q42" s="220">
        <f t="shared" si="13"/>
        <v>0</v>
      </c>
      <c r="R42" s="220">
        <f t="shared" si="13"/>
        <v>0</v>
      </c>
      <c r="S42" s="220">
        <f t="shared" si="13"/>
        <v>0</v>
      </c>
      <c r="T42" s="220">
        <f t="shared" si="13"/>
        <v>0</v>
      </c>
      <c r="U42" s="220">
        <f t="shared" si="13"/>
        <v>0</v>
      </c>
      <c r="V42" s="220">
        <f t="shared" si="13"/>
        <v>0</v>
      </c>
      <c r="W42" s="220">
        <f t="shared" si="13"/>
        <v>0</v>
      </c>
      <c r="X42" s="220">
        <f t="shared" si="13"/>
        <v>0</v>
      </c>
      <c r="Y42" s="220">
        <f t="shared" si="13"/>
        <v>0</v>
      </c>
      <c r="Z42" s="220">
        <f t="shared" si="13"/>
        <v>0</v>
      </c>
      <c r="AA42" s="220">
        <f t="shared" si="13"/>
        <v>0</v>
      </c>
    </row>
    <row r="43" spans="2:28" ht="18" x14ac:dyDescent="0.2">
      <c r="B43" s="189">
        <f>B42+1</f>
        <v>19</v>
      </c>
      <c r="C43" s="215" t="s">
        <v>217</v>
      </c>
      <c r="D43" s="215"/>
      <c r="E43" s="216" t="s">
        <v>383</v>
      </c>
      <c r="F43" s="200" t="s">
        <v>400</v>
      </c>
      <c r="G43" s="210">
        <f>SUM(H43:AA43)</f>
        <v>0</v>
      </c>
      <c r="H43" s="207">
        <f>H18-H36</f>
        <v>0</v>
      </c>
      <c r="I43" s="207">
        <f t="shared" ref="I43:AA43" si="14">I18-I36</f>
        <v>0</v>
      </c>
      <c r="J43" s="207">
        <f t="shared" si="14"/>
        <v>0</v>
      </c>
      <c r="K43" s="207">
        <f t="shared" si="14"/>
        <v>0</v>
      </c>
      <c r="L43" s="207">
        <f t="shared" si="14"/>
        <v>0</v>
      </c>
      <c r="M43" s="207">
        <f t="shared" si="14"/>
        <v>0</v>
      </c>
      <c r="N43" s="207">
        <f t="shared" si="14"/>
        <v>0</v>
      </c>
      <c r="O43" s="207">
        <f t="shared" si="14"/>
        <v>0</v>
      </c>
      <c r="P43" s="207">
        <f t="shared" si="14"/>
        <v>0</v>
      </c>
      <c r="Q43" s="207">
        <f t="shared" si="14"/>
        <v>0</v>
      </c>
      <c r="R43" s="207">
        <f t="shared" si="14"/>
        <v>0</v>
      </c>
      <c r="S43" s="207">
        <f t="shared" si="14"/>
        <v>0</v>
      </c>
      <c r="T43" s="207">
        <f t="shared" si="14"/>
        <v>0</v>
      </c>
      <c r="U43" s="207">
        <f t="shared" si="14"/>
        <v>0</v>
      </c>
      <c r="V43" s="207">
        <f t="shared" si="14"/>
        <v>0</v>
      </c>
      <c r="W43" s="207">
        <f t="shared" si="14"/>
        <v>0</v>
      </c>
      <c r="X43" s="207">
        <f t="shared" si="14"/>
        <v>0</v>
      </c>
      <c r="Y43" s="207">
        <f t="shared" si="14"/>
        <v>0</v>
      </c>
      <c r="Z43" s="207">
        <f t="shared" si="14"/>
        <v>0</v>
      </c>
      <c r="AA43" s="207">
        <f t="shared" si="14"/>
        <v>0</v>
      </c>
    </row>
    <row r="44" spans="2:28" ht="18" x14ac:dyDescent="0.2">
      <c r="B44" s="189">
        <f>B43+1</f>
        <v>20</v>
      </c>
      <c r="C44" s="217" t="s">
        <v>401</v>
      </c>
      <c r="D44" s="218">
        <f>CEE</f>
        <v>308.04024884085311</v>
      </c>
      <c r="E44" s="206" t="s">
        <v>3</v>
      </c>
      <c r="F44" s="200" t="s">
        <v>402</v>
      </c>
      <c r="G44" s="219">
        <f>IF(G18=0,0,G43/G18)</f>
        <v>0</v>
      </c>
      <c r="H44" s="220">
        <f>IFERROR(H43/H18,0)</f>
        <v>0</v>
      </c>
      <c r="I44" s="220">
        <f t="shared" ref="I44:AA44" si="15">IFERROR(I43/I18,0)</f>
        <v>0</v>
      </c>
      <c r="J44" s="220">
        <f t="shared" si="15"/>
        <v>0</v>
      </c>
      <c r="K44" s="220">
        <f t="shared" si="15"/>
        <v>0</v>
      </c>
      <c r="L44" s="220">
        <f t="shared" si="15"/>
        <v>0</v>
      </c>
      <c r="M44" s="220">
        <f t="shared" si="15"/>
        <v>0</v>
      </c>
      <c r="N44" s="220">
        <f t="shared" si="15"/>
        <v>0</v>
      </c>
      <c r="O44" s="220">
        <f t="shared" si="15"/>
        <v>0</v>
      </c>
      <c r="P44" s="220">
        <f t="shared" si="15"/>
        <v>0</v>
      </c>
      <c r="Q44" s="220">
        <f t="shared" si="15"/>
        <v>0</v>
      </c>
      <c r="R44" s="220">
        <f t="shared" si="15"/>
        <v>0</v>
      </c>
      <c r="S44" s="220">
        <f t="shared" si="15"/>
        <v>0</v>
      </c>
      <c r="T44" s="220">
        <f t="shared" si="15"/>
        <v>0</v>
      </c>
      <c r="U44" s="220">
        <f t="shared" si="15"/>
        <v>0</v>
      </c>
      <c r="V44" s="220">
        <f t="shared" si="15"/>
        <v>0</v>
      </c>
      <c r="W44" s="220">
        <f t="shared" si="15"/>
        <v>0</v>
      </c>
      <c r="X44" s="220">
        <f t="shared" si="15"/>
        <v>0</v>
      </c>
      <c r="Y44" s="220">
        <f t="shared" si="15"/>
        <v>0</v>
      </c>
      <c r="Z44" s="220">
        <f t="shared" si="15"/>
        <v>0</v>
      </c>
      <c r="AA44" s="220">
        <f t="shared" si="15"/>
        <v>0</v>
      </c>
    </row>
    <row r="45" spans="2:28" ht="18" x14ac:dyDescent="0.2">
      <c r="B45" s="221"/>
      <c r="C45" s="222" t="s">
        <v>733</v>
      </c>
      <c r="D45" s="222"/>
      <c r="E45" s="223" t="s">
        <v>2</v>
      </c>
      <c r="F45" s="224" t="s">
        <v>547</v>
      </c>
      <c r="G45" s="225">
        <f>SUM(H45:AA45)</f>
        <v>0</v>
      </c>
      <c r="H45" s="226">
        <f>H41*$D$42+H43*$D$44</f>
        <v>0</v>
      </c>
      <c r="I45" s="226">
        <f t="shared" ref="I45:AA45" si="16">I41*$D$42+I43*$D$44</f>
        <v>0</v>
      </c>
      <c r="J45" s="226">
        <f t="shared" si="16"/>
        <v>0</v>
      </c>
      <c r="K45" s="226">
        <f t="shared" si="16"/>
        <v>0</v>
      </c>
      <c r="L45" s="226">
        <f t="shared" si="16"/>
        <v>0</v>
      </c>
      <c r="M45" s="226">
        <f t="shared" si="16"/>
        <v>0</v>
      </c>
      <c r="N45" s="226">
        <f t="shared" si="16"/>
        <v>0</v>
      </c>
      <c r="O45" s="226">
        <f t="shared" si="16"/>
        <v>0</v>
      </c>
      <c r="P45" s="226">
        <f t="shared" si="16"/>
        <v>0</v>
      </c>
      <c r="Q45" s="226">
        <f t="shared" si="16"/>
        <v>0</v>
      </c>
      <c r="R45" s="226">
        <f t="shared" si="16"/>
        <v>0</v>
      </c>
      <c r="S45" s="226">
        <f t="shared" si="16"/>
        <v>0</v>
      </c>
      <c r="T45" s="226">
        <f t="shared" si="16"/>
        <v>0</v>
      </c>
      <c r="U45" s="226">
        <f t="shared" si="16"/>
        <v>0</v>
      </c>
      <c r="V45" s="226">
        <f t="shared" si="16"/>
        <v>0</v>
      </c>
      <c r="W45" s="226">
        <f t="shared" si="16"/>
        <v>0</v>
      </c>
      <c r="X45" s="226">
        <f t="shared" si="16"/>
        <v>0</v>
      </c>
      <c r="Y45" s="226">
        <f t="shared" si="16"/>
        <v>0</v>
      </c>
      <c r="Z45" s="226">
        <f t="shared" si="16"/>
        <v>0</v>
      </c>
      <c r="AA45" s="226">
        <f t="shared" si="16"/>
        <v>0</v>
      </c>
    </row>
    <row r="47" spans="2:28" ht="18" x14ac:dyDescent="0.35">
      <c r="E47" s="182" t="s">
        <v>520</v>
      </c>
      <c r="F47" s="183"/>
      <c r="G47" s="184">
        <f>RCB!G8</f>
        <v>0</v>
      </c>
    </row>
    <row r="48" spans="2:28" ht="18" x14ac:dyDescent="0.35">
      <c r="E48" s="182" t="s">
        <v>297</v>
      </c>
      <c r="F48" s="183"/>
      <c r="G48" s="184">
        <f>RCB!J8</f>
        <v>0</v>
      </c>
    </row>
    <row r="50" spans="2:57" x14ac:dyDescent="0.2">
      <c r="H50" s="427"/>
      <c r="I50" s="427"/>
    </row>
    <row r="51" spans="2:57" x14ac:dyDescent="0.2">
      <c r="B51" s="1198" t="s">
        <v>734</v>
      </c>
      <c r="C51" s="1198"/>
      <c r="D51" s="1198"/>
      <c r="E51" s="1198"/>
      <c r="F51" s="1198"/>
      <c r="G51" s="227"/>
      <c r="H51" s="228"/>
      <c r="I51" s="228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</row>
    <row r="52" spans="2:57" x14ac:dyDescent="0.2">
      <c r="B52" s="229"/>
      <c r="C52" s="230"/>
      <c r="D52" s="231"/>
      <c r="E52" s="232"/>
      <c r="F52" s="233"/>
      <c r="G52" s="234" t="s">
        <v>31</v>
      </c>
      <c r="H52" s="235" t="s">
        <v>526</v>
      </c>
      <c r="I52" s="235" t="s">
        <v>527</v>
      </c>
      <c r="J52" s="235" t="s">
        <v>528</v>
      </c>
      <c r="K52" s="235" t="s">
        <v>529</v>
      </c>
      <c r="L52" s="235" t="s">
        <v>530</v>
      </c>
      <c r="M52" s="235" t="s">
        <v>531</v>
      </c>
      <c r="N52" s="235" t="s">
        <v>532</v>
      </c>
      <c r="O52" s="235" t="s">
        <v>533</v>
      </c>
      <c r="P52" s="235" t="s">
        <v>534</v>
      </c>
      <c r="Q52" s="235" t="s">
        <v>535</v>
      </c>
      <c r="R52" s="235" t="s">
        <v>536</v>
      </c>
      <c r="S52" s="235" t="s">
        <v>537</v>
      </c>
      <c r="T52" s="235" t="s">
        <v>538</v>
      </c>
      <c r="U52" s="235" t="s">
        <v>539</v>
      </c>
      <c r="V52" s="235" t="s">
        <v>540</v>
      </c>
      <c r="W52" s="235" t="s">
        <v>541</v>
      </c>
      <c r="X52" s="235" t="s">
        <v>542</v>
      </c>
      <c r="Y52" s="235" t="s">
        <v>543</v>
      </c>
      <c r="Z52" s="235" t="s">
        <v>544</v>
      </c>
      <c r="AA52" s="235" t="s">
        <v>545</v>
      </c>
    </row>
    <row r="53" spans="2:57" x14ac:dyDescent="0.2">
      <c r="B53" s="229">
        <f>B44+1</f>
        <v>21</v>
      </c>
      <c r="C53" s="236" t="s">
        <v>371</v>
      </c>
      <c r="D53" s="236"/>
      <c r="E53" s="237" t="s">
        <v>372</v>
      </c>
      <c r="F53" s="238"/>
      <c r="G53" s="239"/>
      <c r="H53" s="240">
        <f>H28</f>
        <v>0</v>
      </c>
      <c r="I53" s="240">
        <f t="shared" ref="I53:AA53" si="17">I28</f>
        <v>0</v>
      </c>
      <c r="J53" s="240">
        <f t="shared" si="17"/>
        <v>0</v>
      </c>
      <c r="K53" s="240">
        <f t="shared" si="17"/>
        <v>0</v>
      </c>
      <c r="L53" s="240">
        <f t="shared" si="17"/>
        <v>0</v>
      </c>
      <c r="M53" s="240">
        <f t="shared" si="17"/>
        <v>0</v>
      </c>
      <c r="N53" s="240">
        <f t="shared" si="17"/>
        <v>0</v>
      </c>
      <c r="O53" s="240">
        <f t="shared" si="17"/>
        <v>0</v>
      </c>
      <c r="P53" s="240">
        <f t="shared" si="17"/>
        <v>0</v>
      </c>
      <c r="Q53" s="240">
        <f t="shared" si="17"/>
        <v>0</v>
      </c>
      <c r="R53" s="240">
        <f t="shared" si="17"/>
        <v>0</v>
      </c>
      <c r="S53" s="240">
        <f t="shared" si="17"/>
        <v>0</v>
      </c>
      <c r="T53" s="240">
        <f t="shared" si="17"/>
        <v>0</v>
      </c>
      <c r="U53" s="240">
        <f t="shared" si="17"/>
        <v>0</v>
      </c>
      <c r="V53" s="240">
        <f t="shared" si="17"/>
        <v>0</v>
      </c>
      <c r="W53" s="240">
        <f t="shared" si="17"/>
        <v>0</v>
      </c>
      <c r="X53" s="240">
        <f t="shared" si="17"/>
        <v>0</v>
      </c>
      <c r="Y53" s="240">
        <f t="shared" si="17"/>
        <v>0</v>
      </c>
      <c r="Z53" s="240">
        <f t="shared" si="17"/>
        <v>0</v>
      </c>
      <c r="AA53" s="240">
        <f t="shared" si="17"/>
        <v>0</v>
      </c>
    </row>
    <row r="54" spans="2:57" x14ac:dyDescent="0.2">
      <c r="B54" s="229">
        <f>B53+1</f>
        <v>22</v>
      </c>
      <c r="C54" s="236" t="s">
        <v>408</v>
      </c>
      <c r="D54" s="236"/>
      <c r="E54" s="241">
        <v>22</v>
      </c>
      <c r="F54" s="242"/>
      <c r="G54" s="239"/>
      <c r="H54" s="240">
        <f>H32</f>
        <v>0</v>
      </c>
      <c r="I54" s="240">
        <f t="shared" ref="I54:AA54" si="18">I32</f>
        <v>0</v>
      </c>
      <c r="J54" s="240">
        <f t="shared" si="18"/>
        <v>0</v>
      </c>
      <c r="K54" s="240">
        <f t="shared" si="18"/>
        <v>0</v>
      </c>
      <c r="L54" s="240">
        <f t="shared" si="18"/>
        <v>0</v>
      </c>
      <c r="M54" s="240">
        <f t="shared" si="18"/>
        <v>0</v>
      </c>
      <c r="N54" s="240">
        <f t="shared" si="18"/>
        <v>0</v>
      </c>
      <c r="O54" s="240">
        <f t="shared" si="18"/>
        <v>0</v>
      </c>
      <c r="P54" s="240">
        <f t="shared" si="18"/>
        <v>0</v>
      </c>
      <c r="Q54" s="240">
        <f t="shared" si="18"/>
        <v>0</v>
      </c>
      <c r="R54" s="240">
        <f t="shared" si="18"/>
        <v>0</v>
      </c>
      <c r="S54" s="240">
        <f t="shared" si="18"/>
        <v>0</v>
      </c>
      <c r="T54" s="240">
        <f t="shared" si="18"/>
        <v>0</v>
      </c>
      <c r="U54" s="240">
        <f t="shared" si="18"/>
        <v>0</v>
      </c>
      <c r="V54" s="240">
        <f t="shared" si="18"/>
        <v>0</v>
      </c>
      <c r="W54" s="240">
        <f t="shared" si="18"/>
        <v>0</v>
      </c>
      <c r="X54" s="240">
        <f t="shared" si="18"/>
        <v>0</v>
      </c>
      <c r="Y54" s="240">
        <f t="shared" si="18"/>
        <v>0</v>
      </c>
      <c r="Z54" s="240">
        <f t="shared" si="18"/>
        <v>0</v>
      </c>
      <c r="AA54" s="240">
        <f t="shared" si="18"/>
        <v>0</v>
      </c>
    </row>
    <row r="55" spans="2:57" x14ac:dyDescent="0.2">
      <c r="B55" s="229">
        <f t="shared" ref="B55:B64" si="19">B54+1</f>
        <v>23</v>
      </c>
      <c r="C55" s="236" t="s">
        <v>409</v>
      </c>
      <c r="D55" s="236"/>
      <c r="E55" s="241">
        <v>3</v>
      </c>
      <c r="F55" s="242"/>
      <c r="G55" s="239"/>
      <c r="H55" s="240">
        <f>H33</f>
        <v>0</v>
      </c>
      <c r="I55" s="240">
        <f t="shared" ref="I55:AA55" si="20">I33</f>
        <v>0</v>
      </c>
      <c r="J55" s="240">
        <f t="shared" si="20"/>
        <v>0</v>
      </c>
      <c r="K55" s="240">
        <f t="shared" si="20"/>
        <v>0</v>
      </c>
      <c r="L55" s="240">
        <f t="shared" si="20"/>
        <v>0</v>
      </c>
      <c r="M55" s="240">
        <f t="shared" si="20"/>
        <v>0</v>
      </c>
      <c r="N55" s="240">
        <f t="shared" si="20"/>
        <v>0</v>
      </c>
      <c r="O55" s="240">
        <f t="shared" si="20"/>
        <v>0</v>
      </c>
      <c r="P55" s="240">
        <f t="shared" si="20"/>
        <v>0</v>
      </c>
      <c r="Q55" s="240">
        <f t="shared" si="20"/>
        <v>0</v>
      </c>
      <c r="R55" s="240">
        <f t="shared" si="20"/>
        <v>0</v>
      </c>
      <c r="S55" s="240">
        <f t="shared" si="20"/>
        <v>0</v>
      </c>
      <c r="T55" s="240">
        <f t="shared" si="20"/>
        <v>0</v>
      </c>
      <c r="U55" s="240">
        <f t="shared" si="20"/>
        <v>0</v>
      </c>
      <c r="V55" s="240">
        <f t="shared" si="20"/>
        <v>0</v>
      </c>
      <c r="W55" s="240">
        <f t="shared" si="20"/>
        <v>0</v>
      </c>
      <c r="X55" s="240">
        <f t="shared" si="20"/>
        <v>0</v>
      </c>
      <c r="Y55" s="240">
        <f t="shared" si="20"/>
        <v>0</v>
      </c>
      <c r="Z55" s="240">
        <f t="shared" si="20"/>
        <v>0</v>
      </c>
      <c r="AA55" s="240">
        <f t="shared" si="20"/>
        <v>0</v>
      </c>
    </row>
    <row r="56" spans="2:57" x14ac:dyDescent="0.2">
      <c r="B56" s="229">
        <f t="shared" si="19"/>
        <v>24</v>
      </c>
      <c r="C56" s="236" t="s">
        <v>410</v>
      </c>
      <c r="D56" s="236"/>
      <c r="E56" s="237" t="s">
        <v>3</v>
      </c>
      <c r="F56" s="238"/>
      <c r="G56" s="243"/>
      <c r="H56" s="244">
        <f>H54/30</f>
        <v>0</v>
      </c>
      <c r="I56" s="244">
        <f t="shared" ref="I56:AA56" si="21">I54/30</f>
        <v>0</v>
      </c>
      <c r="J56" s="244">
        <f t="shared" si="21"/>
        <v>0</v>
      </c>
      <c r="K56" s="244">
        <f t="shared" si="21"/>
        <v>0</v>
      </c>
      <c r="L56" s="244">
        <f t="shared" si="21"/>
        <v>0</v>
      </c>
      <c r="M56" s="244">
        <f t="shared" si="21"/>
        <v>0</v>
      </c>
      <c r="N56" s="244">
        <f t="shared" si="21"/>
        <v>0</v>
      </c>
      <c r="O56" s="244">
        <f t="shared" si="21"/>
        <v>0</v>
      </c>
      <c r="P56" s="244">
        <f t="shared" si="21"/>
        <v>0</v>
      </c>
      <c r="Q56" s="244">
        <f t="shared" si="21"/>
        <v>0</v>
      </c>
      <c r="R56" s="244">
        <f t="shared" si="21"/>
        <v>0</v>
      </c>
      <c r="S56" s="244">
        <f t="shared" si="21"/>
        <v>0</v>
      </c>
      <c r="T56" s="244">
        <f t="shared" si="21"/>
        <v>0</v>
      </c>
      <c r="U56" s="244">
        <f t="shared" si="21"/>
        <v>0</v>
      </c>
      <c r="V56" s="244">
        <f t="shared" si="21"/>
        <v>0</v>
      </c>
      <c r="W56" s="244">
        <f t="shared" si="21"/>
        <v>0</v>
      </c>
      <c r="X56" s="244">
        <f t="shared" si="21"/>
        <v>0</v>
      </c>
      <c r="Y56" s="244">
        <f t="shared" si="21"/>
        <v>0</v>
      </c>
      <c r="Z56" s="244">
        <f t="shared" si="21"/>
        <v>0</v>
      </c>
      <c r="AA56" s="244">
        <f t="shared" si="21"/>
        <v>0</v>
      </c>
    </row>
    <row r="57" spans="2:57" x14ac:dyDescent="0.2">
      <c r="B57" s="229">
        <f t="shared" si="19"/>
        <v>25</v>
      </c>
      <c r="C57" s="236" t="s">
        <v>411</v>
      </c>
      <c r="D57" s="236"/>
      <c r="E57" s="237" t="s">
        <v>3</v>
      </c>
      <c r="F57" s="238"/>
      <c r="G57" s="243"/>
      <c r="H57" s="244">
        <f>IFERROR(H55/H53,0)</f>
        <v>0</v>
      </c>
      <c r="I57" s="244">
        <f t="shared" ref="I57:AA57" si="22">IFERROR(I55/I53,0)</f>
        <v>0</v>
      </c>
      <c r="J57" s="244">
        <f t="shared" si="22"/>
        <v>0</v>
      </c>
      <c r="K57" s="244">
        <f t="shared" si="22"/>
        <v>0</v>
      </c>
      <c r="L57" s="244">
        <f t="shared" si="22"/>
        <v>0</v>
      </c>
      <c r="M57" s="244">
        <f t="shared" si="22"/>
        <v>0</v>
      </c>
      <c r="N57" s="244">
        <f t="shared" si="22"/>
        <v>0</v>
      </c>
      <c r="O57" s="244">
        <f t="shared" si="22"/>
        <v>0</v>
      </c>
      <c r="P57" s="244">
        <f t="shared" si="22"/>
        <v>0</v>
      </c>
      <c r="Q57" s="244">
        <f t="shared" si="22"/>
        <v>0</v>
      </c>
      <c r="R57" s="244">
        <f t="shared" si="22"/>
        <v>0</v>
      </c>
      <c r="S57" s="244">
        <f t="shared" si="22"/>
        <v>0</v>
      </c>
      <c r="T57" s="244">
        <f t="shared" si="22"/>
        <v>0</v>
      </c>
      <c r="U57" s="244">
        <f t="shared" si="22"/>
        <v>0</v>
      </c>
      <c r="V57" s="244">
        <f t="shared" si="22"/>
        <v>0</v>
      </c>
      <c r="W57" s="244">
        <f t="shared" si="22"/>
        <v>0</v>
      </c>
      <c r="X57" s="244">
        <f t="shared" si="22"/>
        <v>0</v>
      </c>
      <c r="Y57" s="244">
        <f t="shared" si="22"/>
        <v>0</v>
      </c>
      <c r="Z57" s="244">
        <f t="shared" si="22"/>
        <v>0</v>
      </c>
      <c r="AA57" s="244">
        <f t="shared" si="22"/>
        <v>0</v>
      </c>
    </row>
    <row r="58" spans="2:57" x14ac:dyDescent="0.2">
      <c r="B58" s="229">
        <f t="shared" si="19"/>
        <v>26</v>
      </c>
      <c r="C58" s="236" t="s">
        <v>412</v>
      </c>
      <c r="D58" s="236"/>
      <c r="E58" s="237" t="s">
        <v>3</v>
      </c>
      <c r="F58" s="238"/>
      <c r="G58" s="243"/>
      <c r="H58" s="244">
        <f>H56*H57</f>
        <v>0</v>
      </c>
      <c r="I58" s="244">
        <f t="shared" ref="I58:AA58" si="23">I56*I57</f>
        <v>0</v>
      </c>
      <c r="J58" s="244">
        <f t="shared" si="23"/>
        <v>0</v>
      </c>
      <c r="K58" s="244">
        <f t="shared" si="23"/>
        <v>0</v>
      </c>
      <c r="L58" s="244">
        <f t="shared" si="23"/>
        <v>0</v>
      </c>
      <c r="M58" s="244">
        <f t="shared" si="23"/>
        <v>0</v>
      </c>
      <c r="N58" s="244">
        <f t="shared" si="23"/>
        <v>0</v>
      </c>
      <c r="O58" s="244">
        <f t="shared" si="23"/>
        <v>0</v>
      </c>
      <c r="P58" s="244">
        <f t="shared" si="23"/>
        <v>0</v>
      </c>
      <c r="Q58" s="244">
        <f t="shared" si="23"/>
        <v>0</v>
      </c>
      <c r="R58" s="244">
        <f t="shared" si="23"/>
        <v>0</v>
      </c>
      <c r="S58" s="244">
        <f t="shared" si="23"/>
        <v>0</v>
      </c>
      <c r="T58" s="244">
        <f t="shared" si="23"/>
        <v>0</v>
      </c>
      <c r="U58" s="244">
        <f t="shared" si="23"/>
        <v>0</v>
      </c>
      <c r="V58" s="244">
        <f t="shared" si="23"/>
        <v>0</v>
      </c>
      <c r="W58" s="244">
        <f t="shared" si="23"/>
        <v>0</v>
      </c>
      <c r="X58" s="244">
        <f t="shared" si="23"/>
        <v>0</v>
      </c>
      <c r="Y58" s="244">
        <f t="shared" si="23"/>
        <v>0</v>
      </c>
      <c r="Z58" s="244">
        <f t="shared" si="23"/>
        <v>0</v>
      </c>
      <c r="AA58" s="244">
        <f t="shared" si="23"/>
        <v>0</v>
      </c>
    </row>
    <row r="59" spans="2:57" x14ac:dyDescent="0.2">
      <c r="B59" s="229">
        <f t="shared" si="19"/>
        <v>27</v>
      </c>
      <c r="C59" s="236" t="s">
        <v>413</v>
      </c>
      <c r="D59" s="236"/>
      <c r="E59" s="301" t="s">
        <v>718</v>
      </c>
      <c r="F59" s="238"/>
      <c r="G59" s="245">
        <f t="shared" ref="G59:G64" si="24">ROUND(SUM(H59:BE59),2)</f>
        <v>0</v>
      </c>
      <c r="H59" s="246">
        <f>H43/12</f>
        <v>0</v>
      </c>
      <c r="I59" s="246">
        <f t="shared" ref="I59:AA59" si="25">I43/12</f>
        <v>0</v>
      </c>
      <c r="J59" s="246">
        <f t="shared" si="25"/>
        <v>0</v>
      </c>
      <c r="K59" s="246">
        <f t="shared" si="25"/>
        <v>0</v>
      </c>
      <c r="L59" s="246">
        <f t="shared" si="25"/>
        <v>0</v>
      </c>
      <c r="M59" s="246">
        <f t="shared" si="25"/>
        <v>0</v>
      </c>
      <c r="N59" s="246">
        <f t="shared" si="25"/>
        <v>0</v>
      </c>
      <c r="O59" s="246">
        <f t="shared" si="25"/>
        <v>0</v>
      </c>
      <c r="P59" s="246">
        <f t="shared" si="25"/>
        <v>0</v>
      </c>
      <c r="Q59" s="246">
        <f t="shared" si="25"/>
        <v>0</v>
      </c>
      <c r="R59" s="246">
        <f t="shared" si="25"/>
        <v>0</v>
      </c>
      <c r="S59" s="246">
        <f t="shared" si="25"/>
        <v>0</v>
      </c>
      <c r="T59" s="246">
        <f t="shared" si="25"/>
        <v>0</v>
      </c>
      <c r="U59" s="246">
        <f t="shared" si="25"/>
        <v>0</v>
      </c>
      <c r="V59" s="246">
        <f t="shared" si="25"/>
        <v>0</v>
      </c>
      <c r="W59" s="246">
        <f t="shared" si="25"/>
        <v>0</v>
      </c>
      <c r="X59" s="246">
        <f t="shared" si="25"/>
        <v>0</v>
      </c>
      <c r="Y59" s="246">
        <f t="shared" si="25"/>
        <v>0</v>
      </c>
      <c r="Z59" s="246">
        <f t="shared" si="25"/>
        <v>0</v>
      </c>
      <c r="AA59" s="246">
        <f t="shared" si="25"/>
        <v>0</v>
      </c>
    </row>
    <row r="60" spans="2:57" x14ac:dyDescent="0.2">
      <c r="B60" s="229">
        <f t="shared" si="19"/>
        <v>28</v>
      </c>
      <c r="C60" s="236" t="s">
        <v>414</v>
      </c>
      <c r="D60" s="236"/>
      <c r="E60" s="301" t="s">
        <v>718</v>
      </c>
      <c r="F60" s="238"/>
      <c r="G60" s="245">
        <f t="shared" si="24"/>
        <v>0</v>
      </c>
      <c r="H60" s="246">
        <f>H59*H58</f>
        <v>0</v>
      </c>
      <c r="I60" s="246">
        <f t="shared" ref="I60:AA60" si="26">I59*I58</f>
        <v>0</v>
      </c>
      <c r="J60" s="246">
        <f t="shared" si="26"/>
        <v>0</v>
      </c>
      <c r="K60" s="246">
        <f t="shared" si="26"/>
        <v>0</v>
      </c>
      <c r="L60" s="246">
        <f t="shared" si="26"/>
        <v>0</v>
      </c>
      <c r="M60" s="246">
        <f t="shared" si="26"/>
        <v>0</v>
      </c>
      <c r="N60" s="246">
        <f t="shared" si="26"/>
        <v>0</v>
      </c>
      <c r="O60" s="246">
        <f t="shared" si="26"/>
        <v>0</v>
      </c>
      <c r="P60" s="246">
        <f t="shared" si="26"/>
        <v>0</v>
      </c>
      <c r="Q60" s="246">
        <f t="shared" si="26"/>
        <v>0</v>
      </c>
      <c r="R60" s="246">
        <f t="shared" si="26"/>
        <v>0</v>
      </c>
      <c r="S60" s="246">
        <f t="shared" si="26"/>
        <v>0</v>
      </c>
      <c r="T60" s="246">
        <f t="shared" si="26"/>
        <v>0</v>
      </c>
      <c r="U60" s="246">
        <f t="shared" si="26"/>
        <v>0</v>
      </c>
      <c r="V60" s="246">
        <f t="shared" si="26"/>
        <v>0</v>
      </c>
      <c r="W60" s="246">
        <f t="shared" si="26"/>
        <v>0</v>
      </c>
      <c r="X60" s="246">
        <f t="shared" si="26"/>
        <v>0</v>
      </c>
      <c r="Y60" s="246">
        <f t="shared" si="26"/>
        <v>0</v>
      </c>
      <c r="Z60" s="246">
        <f t="shared" si="26"/>
        <v>0</v>
      </c>
      <c r="AA60" s="246">
        <f t="shared" si="26"/>
        <v>0</v>
      </c>
    </row>
    <row r="61" spans="2:57" x14ac:dyDescent="0.2">
      <c r="B61" s="229">
        <f t="shared" si="19"/>
        <v>29</v>
      </c>
      <c r="C61" s="236" t="s">
        <v>415</v>
      </c>
      <c r="D61" s="236"/>
      <c r="E61" s="301" t="s">
        <v>718</v>
      </c>
      <c r="F61" s="238"/>
      <c r="G61" s="245">
        <f t="shared" si="24"/>
        <v>0</v>
      </c>
      <c r="H61" s="246">
        <f>H59-H60</f>
        <v>0</v>
      </c>
      <c r="I61" s="246">
        <f t="shared" ref="I61:AA61" si="27">I59-I60</f>
        <v>0</v>
      </c>
      <c r="J61" s="246">
        <f t="shared" si="27"/>
        <v>0</v>
      </c>
      <c r="K61" s="246">
        <f t="shared" si="27"/>
        <v>0</v>
      </c>
      <c r="L61" s="246">
        <f t="shared" si="27"/>
        <v>0</v>
      </c>
      <c r="M61" s="246">
        <f t="shared" si="27"/>
        <v>0</v>
      </c>
      <c r="N61" s="246">
        <f t="shared" si="27"/>
        <v>0</v>
      </c>
      <c r="O61" s="246">
        <f t="shared" si="27"/>
        <v>0</v>
      </c>
      <c r="P61" s="246">
        <f t="shared" si="27"/>
        <v>0</v>
      </c>
      <c r="Q61" s="246">
        <f t="shared" si="27"/>
        <v>0</v>
      </c>
      <c r="R61" s="246">
        <f t="shared" si="27"/>
        <v>0</v>
      </c>
      <c r="S61" s="246">
        <f t="shared" si="27"/>
        <v>0</v>
      </c>
      <c r="T61" s="246">
        <f t="shared" si="27"/>
        <v>0</v>
      </c>
      <c r="U61" s="246">
        <f t="shared" si="27"/>
        <v>0</v>
      </c>
      <c r="V61" s="246">
        <f t="shared" si="27"/>
        <v>0</v>
      </c>
      <c r="W61" s="246">
        <f t="shared" si="27"/>
        <v>0</v>
      </c>
      <c r="X61" s="246">
        <f t="shared" si="27"/>
        <v>0</v>
      </c>
      <c r="Y61" s="246">
        <f t="shared" si="27"/>
        <v>0</v>
      </c>
      <c r="Z61" s="246">
        <f t="shared" si="27"/>
        <v>0</v>
      </c>
      <c r="AA61" s="246">
        <f t="shared" si="27"/>
        <v>0</v>
      </c>
    </row>
    <row r="62" spans="2:57" x14ac:dyDescent="0.2">
      <c r="B62" s="229">
        <f t="shared" si="19"/>
        <v>30</v>
      </c>
      <c r="C62" s="236" t="s">
        <v>711</v>
      </c>
      <c r="D62" s="236"/>
      <c r="E62" s="237" t="s">
        <v>712</v>
      </c>
      <c r="F62" s="238"/>
      <c r="G62" s="245">
        <f t="shared" si="24"/>
        <v>0</v>
      </c>
      <c r="H62" s="246">
        <f>(H8*H9)-(H26*H27)</f>
        <v>0</v>
      </c>
      <c r="I62" s="246">
        <f t="shared" ref="I62:AA62" si="28">(I8*I9)-(I26*I27)</f>
        <v>0</v>
      </c>
      <c r="J62" s="246">
        <f t="shared" si="28"/>
        <v>0</v>
      </c>
      <c r="K62" s="246">
        <f t="shared" si="28"/>
        <v>0</v>
      </c>
      <c r="L62" s="246">
        <f t="shared" si="28"/>
        <v>0</v>
      </c>
      <c r="M62" s="246">
        <f t="shared" si="28"/>
        <v>0</v>
      </c>
      <c r="N62" s="246">
        <f t="shared" si="28"/>
        <v>0</v>
      </c>
      <c r="O62" s="246">
        <f t="shared" si="28"/>
        <v>0</v>
      </c>
      <c r="P62" s="246">
        <f t="shared" si="28"/>
        <v>0</v>
      </c>
      <c r="Q62" s="246">
        <f t="shared" si="28"/>
        <v>0</v>
      </c>
      <c r="R62" s="246">
        <f t="shared" si="28"/>
        <v>0</v>
      </c>
      <c r="S62" s="246">
        <f t="shared" si="28"/>
        <v>0</v>
      </c>
      <c r="T62" s="246">
        <f t="shared" si="28"/>
        <v>0</v>
      </c>
      <c r="U62" s="246">
        <f t="shared" si="28"/>
        <v>0</v>
      </c>
      <c r="V62" s="246">
        <f t="shared" si="28"/>
        <v>0</v>
      </c>
      <c r="W62" s="246">
        <f t="shared" si="28"/>
        <v>0</v>
      </c>
      <c r="X62" s="246">
        <f t="shared" si="28"/>
        <v>0</v>
      </c>
      <c r="Y62" s="246">
        <f t="shared" si="28"/>
        <v>0</v>
      </c>
      <c r="Z62" s="246">
        <f t="shared" si="28"/>
        <v>0</v>
      </c>
      <c r="AA62" s="246">
        <f t="shared" si="28"/>
        <v>0</v>
      </c>
      <c r="AB62" s="433"/>
      <c r="AC62" s="434"/>
      <c r="AD62" s="434"/>
      <c r="AE62" s="434"/>
      <c r="AF62" s="434"/>
      <c r="AG62" s="434"/>
      <c r="AH62" s="434"/>
      <c r="AI62" s="434"/>
      <c r="AJ62" s="434"/>
      <c r="AK62" s="434"/>
      <c r="AL62" s="434"/>
      <c r="AM62" s="434"/>
      <c r="AN62" s="434"/>
      <c r="AO62" s="434"/>
      <c r="AP62" s="434"/>
      <c r="AQ62" s="434"/>
      <c r="AR62" s="434"/>
      <c r="AS62" s="434"/>
      <c r="AT62" s="434"/>
      <c r="AU62" s="434"/>
      <c r="AV62" s="434"/>
      <c r="AW62" s="434"/>
      <c r="AX62" s="434"/>
      <c r="AY62" s="434"/>
      <c r="AZ62" s="434"/>
      <c r="BA62" s="434"/>
      <c r="BB62" s="434"/>
      <c r="BC62" s="434"/>
      <c r="BD62" s="434"/>
      <c r="BE62" s="434"/>
    </row>
    <row r="63" spans="2:57" x14ac:dyDescent="0.2">
      <c r="B63" s="229">
        <f t="shared" si="19"/>
        <v>31</v>
      </c>
      <c r="C63" s="236" t="s">
        <v>715</v>
      </c>
      <c r="D63" s="236"/>
      <c r="E63" s="237" t="s">
        <v>712</v>
      </c>
      <c r="F63" s="238"/>
      <c r="G63" s="245">
        <f t="shared" si="24"/>
        <v>0</v>
      </c>
      <c r="H63" s="246">
        <f>H41</f>
        <v>0</v>
      </c>
      <c r="I63" s="246">
        <f t="shared" ref="I63:AA63" si="29">I41</f>
        <v>0</v>
      </c>
      <c r="J63" s="246">
        <f t="shared" si="29"/>
        <v>0</v>
      </c>
      <c r="K63" s="246">
        <f t="shared" si="29"/>
        <v>0</v>
      </c>
      <c r="L63" s="246">
        <f t="shared" si="29"/>
        <v>0</v>
      </c>
      <c r="M63" s="246">
        <f t="shared" si="29"/>
        <v>0</v>
      </c>
      <c r="N63" s="246">
        <f t="shared" si="29"/>
        <v>0</v>
      </c>
      <c r="O63" s="246">
        <f t="shared" si="29"/>
        <v>0</v>
      </c>
      <c r="P63" s="246">
        <f t="shared" si="29"/>
        <v>0</v>
      </c>
      <c r="Q63" s="246">
        <f t="shared" si="29"/>
        <v>0</v>
      </c>
      <c r="R63" s="246">
        <f t="shared" si="29"/>
        <v>0</v>
      </c>
      <c r="S63" s="246">
        <f t="shared" si="29"/>
        <v>0</v>
      </c>
      <c r="T63" s="246">
        <f t="shared" si="29"/>
        <v>0</v>
      </c>
      <c r="U63" s="246">
        <f t="shared" si="29"/>
        <v>0</v>
      </c>
      <c r="V63" s="246">
        <f t="shared" si="29"/>
        <v>0</v>
      </c>
      <c r="W63" s="246">
        <f t="shared" si="29"/>
        <v>0</v>
      </c>
      <c r="X63" s="246">
        <f t="shared" si="29"/>
        <v>0</v>
      </c>
      <c r="Y63" s="246">
        <f t="shared" si="29"/>
        <v>0</v>
      </c>
      <c r="Z63" s="246">
        <f t="shared" si="29"/>
        <v>0</v>
      </c>
      <c r="AA63" s="246">
        <f t="shared" si="29"/>
        <v>0</v>
      </c>
      <c r="AB63" s="433"/>
      <c r="AC63" s="434"/>
      <c r="AD63" s="434"/>
      <c r="AE63" s="434"/>
      <c r="AF63" s="434"/>
      <c r="AG63" s="434"/>
      <c r="AH63" s="434"/>
      <c r="AI63" s="434"/>
      <c r="AJ63" s="434"/>
      <c r="AK63" s="434"/>
      <c r="AL63" s="434"/>
      <c r="AM63" s="434"/>
      <c r="AN63" s="434"/>
      <c r="AO63" s="434"/>
      <c r="AP63" s="434"/>
      <c r="AQ63" s="434"/>
      <c r="AR63" s="434"/>
      <c r="AS63" s="434"/>
      <c r="AT63" s="434"/>
      <c r="AU63" s="434"/>
      <c r="AV63" s="434"/>
      <c r="AW63" s="434"/>
      <c r="AX63" s="434"/>
      <c r="AY63" s="434"/>
      <c r="AZ63" s="434"/>
      <c r="BA63" s="434"/>
      <c r="BB63" s="434"/>
      <c r="BC63" s="434"/>
      <c r="BD63" s="434"/>
      <c r="BE63" s="434"/>
    </row>
    <row r="64" spans="2:57" x14ac:dyDescent="0.2">
      <c r="B64" s="229">
        <f t="shared" si="19"/>
        <v>32</v>
      </c>
      <c r="C64" s="236" t="s">
        <v>716</v>
      </c>
      <c r="D64" s="236"/>
      <c r="E64" s="237" t="s">
        <v>712</v>
      </c>
      <c r="F64" s="238"/>
      <c r="G64" s="245">
        <f t="shared" si="24"/>
        <v>0</v>
      </c>
      <c r="H64" s="246">
        <f>H62</f>
        <v>0</v>
      </c>
      <c r="I64" s="246">
        <f t="shared" ref="I64:AA64" si="30">I62</f>
        <v>0</v>
      </c>
      <c r="J64" s="246">
        <f t="shared" si="30"/>
        <v>0</v>
      </c>
      <c r="K64" s="246">
        <f t="shared" si="30"/>
        <v>0</v>
      </c>
      <c r="L64" s="246">
        <f t="shared" si="30"/>
        <v>0</v>
      </c>
      <c r="M64" s="246">
        <f t="shared" si="30"/>
        <v>0</v>
      </c>
      <c r="N64" s="246">
        <f t="shared" si="30"/>
        <v>0</v>
      </c>
      <c r="O64" s="246">
        <f t="shared" si="30"/>
        <v>0</v>
      </c>
      <c r="P64" s="246">
        <f t="shared" si="30"/>
        <v>0</v>
      </c>
      <c r="Q64" s="246">
        <f t="shared" si="30"/>
        <v>0</v>
      </c>
      <c r="R64" s="246">
        <f t="shared" si="30"/>
        <v>0</v>
      </c>
      <c r="S64" s="246">
        <f t="shared" si="30"/>
        <v>0</v>
      </c>
      <c r="T64" s="246">
        <f t="shared" si="30"/>
        <v>0</v>
      </c>
      <c r="U64" s="246">
        <f t="shared" si="30"/>
        <v>0</v>
      </c>
      <c r="V64" s="246">
        <f t="shared" si="30"/>
        <v>0</v>
      </c>
      <c r="W64" s="246">
        <f t="shared" si="30"/>
        <v>0</v>
      </c>
      <c r="X64" s="246">
        <f t="shared" si="30"/>
        <v>0</v>
      </c>
      <c r="Y64" s="246">
        <f t="shared" si="30"/>
        <v>0</v>
      </c>
      <c r="Z64" s="246">
        <f t="shared" si="30"/>
        <v>0</v>
      </c>
      <c r="AA64" s="246">
        <f t="shared" si="30"/>
        <v>0</v>
      </c>
      <c r="AB64" s="433"/>
      <c r="AC64" s="434"/>
      <c r="AD64" s="434"/>
      <c r="AE64" s="434"/>
      <c r="AF64" s="434"/>
      <c r="AG64" s="434"/>
      <c r="AH64" s="434"/>
      <c r="AI64" s="434"/>
      <c r="AJ64" s="434"/>
      <c r="AK64" s="434"/>
      <c r="AL64" s="434"/>
      <c r="AM64" s="434"/>
      <c r="AN64" s="434"/>
      <c r="AO64" s="434"/>
      <c r="AP64" s="434"/>
      <c r="AQ64" s="434"/>
      <c r="AR64" s="434"/>
      <c r="AS64" s="434"/>
      <c r="AT64" s="434"/>
      <c r="AU64" s="434"/>
      <c r="AV64" s="434"/>
      <c r="AW64" s="434"/>
      <c r="AX64" s="434"/>
      <c r="AY64" s="434"/>
      <c r="AZ64" s="434"/>
      <c r="BA64" s="434"/>
      <c r="BB64" s="434"/>
      <c r="BC64" s="434"/>
      <c r="BD64" s="434"/>
      <c r="BE64" s="434"/>
    </row>
  </sheetData>
  <sheetProtection password="C9A4" sheet="1" objects="1" scenarios="1"/>
  <mergeCells count="12">
    <mergeCell ref="B2:G2"/>
    <mergeCell ref="B31:B35"/>
    <mergeCell ref="B28:B30"/>
    <mergeCell ref="B39:F39"/>
    <mergeCell ref="B51:F51"/>
    <mergeCell ref="B3:F3"/>
    <mergeCell ref="B7:B8"/>
    <mergeCell ref="B10:B12"/>
    <mergeCell ref="B21:F21"/>
    <mergeCell ref="B25:B26"/>
    <mergeCell ref="B13:B17"/>
    <mergeCell ref="B4:F4"/>
  </mergeCells>
  <conditionalFormatting sqref="H53:AA53">
    <cfRule type="cellIs" dxfId="76" priority="43" operator="greaterThan">
      <formula>24</formula>
    </cfRule>
    <cfRule type="cellIs" dxfId="75" priority="44" operator="lessThan">
      <formula>0</formula>
    </cfRule>
  </conditionalFormatting>
  <conditionalFormatting sqref="H17:AA17 H35:AA35">
    <cfRule type="cellIs" dxfId="74" priority="41" operator="greaterThan">
      <formula>1</formula>
    </cfRule>
    <cfRule type="cellIs" dxfId="73" priority="42" operator="lessThan">
      <formula>0</formula>
    </cfRule>
  </conditionalFormatting>
  <conditionalFormatting sqref="G47:G48 H54:AA55">
    <cfRule type="cellIs" dxfId="72" priority="40" operator="lessThan">
      <formula>0</formula>
    </cfRule>
  </conditionalFormatting>
  <conditionalFormatting sqref="G17 G35 G7 G25">
    <cfRule type="cellIs" dxfId="71" priority="39" operator="equal">
      <formula>"ERRO"</formula>
    </cfRule>
  </conditionalFormatting>
  <conditionalFormatting sqref="H54:AA55">
    <cfRule type="cellIs" dxfId="70" priority="31" operator="greaterThan">
      <formula>22</formula>
    </cfRule>
  </conditionalFormatting>
  <conditionalFormatting sqref="H55:AA55">
    <cfRule type="cellIs" dxfId="69" priority="30" operator="greaterThan">
      <formula>3</formula>
    </cfRule>
  </conditionalFormatting>
  <conditionalFormatting sqref="H7:AA7">
    <cfRule type="cellIs" dxfId="68" priority="20" operator="greaterThan">
      <formula>1</formula>
    </cfRule>
    <cfRule type="cellIs" dxfId="67" priority="21" operator="lessThan">
      <formula>0</formula>
    </cfRule>
  </conditionalFormatting>
  <conditionalFormatting sqref="H54:AA55">
    <cfRule type="cellIs" dxfId="66" priority="11" operator="greaterThan">
      <formula>24</formula>
    </cfRule>
    <cfRule type="cellIs" dxfId="65" priority="12" operator="lessThan">
      <formula>0</formula>
    </cfRule>
  </conditionalFormatting>
  <conditionalFormatting sqref="H11:AA11">
    <cfRule type="cellIs" dxfId="64" priority="9" operator="greaterThan">
      <formula>1</formula>
    </cfRule>
    <cfRule type="cellIs" dxfId="63" priority="10" operator="lessThan">
      <formula>0</formula>
    </cfRule>
  </conditionalFormatting>
  <conditionalFormatting sqref="H15:AA15">
    <cfRule type="cellIs" dxfId="62" priority="7" operator="greaterThan">
      <formula>1</formula>
    </cfRule>
    <cfRule type="cellIs" dxfId="61" priority="8" operator="lessThan">
      <formula>0</formula>
    </cfRule>
  </conditionalFormatting>
  <conditionalFormatting sqref="H25:AA25">
    <cfRule type="cellIs" dxfId="60" priority="5" operator="greaterThan">
      <formula>1</formula>
    </cfRule>
    <cfRule type="cellIs" dxfId="59" priority="6" operator="lessThan">
      <formula>0</formula>
    </cfRule>
  </conditionalFormatting>
  <conditionalFormatting sqref="H29:AA29">
    <cfRule type="cellIs" dxfId="58" priority="3" operator="greaterThan">
      <formula>1</formula>
    </cfRule>
    <cfRule type="cellIs" dxfId="57" priority="4" operator="lessThan">
      <formula>0</formula>
    </cfRule>
  </conditionalFormatting>
  <conditionalFormatting sqref="H33:AA33">
    <cfRule type="cellIs" dxfId="56" priority="1" operator="greaterThan">
      <formula>1</formula>
    </cfRule>
    <cfRule type="cellIs" dxfId="55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B2:P101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C8" sqref="C8:G8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0.140625" style="409" bestFit="1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571"/>
      <c r="C2" s="572"/>
      <c r="D2" s="1158" t="s">
        <v>965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/>
      <c r="D8" s="1148"/>
      <c r="E8" s="1148"/>
      <c r="F8" s="1148"/>
      <c r="G8" s="1148"/>
      <c r="H8" s="726"/>
      <c r="I8" s="335"/>
      <c r="J8" s="546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175">
        <v>2</v>
      </c>
      <c r="C9" s="1147"/>
      <c r="D9" s="1148"/>
      <c r="E9" s="1148"/>
      <c r="F9" s="1148"/>
      <c r="G9" s="1148"/>
      <c r="H9" s="176"/>
      <c r="I9" s="336"/>
      <c r="J9" s="546">
        <f t="shared" ref="J9:J48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173">
        <v>3</v>
      </c>
      <c r="C10" s="1147"/>
      <c r="D10" s="1148"/>
      <c r="E10" s="1148"/>
      <c r="F10" s="1148"/>
      <c r="G10" s="1148"/>
      <c r="H10" s="176"/>
      <c r="I10" s="772"/>
      <c r="J10" s="546">
        <f t="shared" si="0"/>
        <v>0</v>
      </c>
      <c r="K10" s="343"/>
      <c r="L10" s="343"/>
      <c r="M10" s="343"/>
      <c r="N10" s="343"/>
      <c r="O10" s="343"/>
      <c r="P10" s="343" t="s">
        <v>267</v>
      </c>
    </row>
    <row r="11" spans="2:16" ht="15" customHeight="1" outlineLevel="1" x14ac:dyDescent="0.25">
      <c r="B11" s="175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173">
        <v>5</v>
      </c>
      <c r="C12" s="1147"/>
      <c r="D12" s="1148"/>
      <c r="E12" s="1148"/>
      <c r="F12" s="1148"/>
      <c r="G12" s="1148"/>
      <c r="H12" s="176"/>
      <c r="I12" s="336"/>
      <c r="J12" s="546">
        <f t="shared" si="0"/>
        <v>0</v>
      </c>
      <c r="K12" s="343" t="s">
        <v>267</v>
      </c>
      <c r="L12" s="343"/>
      <c r="M12" s="343"/>
      <c r="N12" s="343"/>
      <c r="O12" s="343"/>
      <c r="P12" s="343"/>
    </row>
    <row r="13" spans="2:16" ht="15" customHeight="1" outlineLevel="1" x14ac:dyDescent="0.25">
      <c r="B13" s="175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/>
      <c r="M13" s="343" t="s">
        <v>267</v>
      </c>
      <c r="N13" s="343"/>
      <c r="O13" s="343"/>
      <c r="P13" s="343"/>
    </row>
    <row r="14" spans="2:16" ht="15" customHeight="1" outlineLevel="1" x14ac:dyDescent="0.25">
      <c r="B14" s="173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/>
      <c r="L14" s="343" t="s">
        <v>267</v>
      </c>
      <c r="M14" s="343"/>
      <c r="N14" s="343"/>
      <c r="O14" s="343"/>
      <c r="P14" s="343"/>
    </row>
    <row r="15" spans="2:16" ht="15" customHeight="1" outlineLevel="1" x14ac:dyDescent="0.25">
      <c r="B15" s="175">
        <v>8</v>
      </c>
      <c r="C15" s="1147"/>
      <c r="D15" s="1148"/>
      <c r="E15" s="1148"/>
      <c r="F15" s="1148"/>
      <c r="G15" s="1148"/>
      <c r="H15" s="176"/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173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175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 t="s">
        <v>267</v>
      </c>
      <c r="O17" s="343"/>
      <c r="P17" s="343"/>
    </row>
    <row r="18" spans="2:16" ht="15" customHeight="1" outlineLevel="1" x14ac:dyDescent="0.25">
      <c r="B18" s="173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 t="s">
        <v>267</v>
      </c>
    </row>
    <row r="19" spans="2:16" ht="15" customHeight="1" outlineLevel="1" x14ac:dyDescent="0.25">
      <c r="B19" s="175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 t="s">
        <v>267</v>
      </c>
      <c r="P22" s="343" t="s">
        <v>267</v>
      </c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173"/>
      <c r="C48" s="1152" t="s">
        <v>289</v>
      </c>
      <c r="D48" s="1153"/>
      <c r="E48" s="1153"/>
      <c r="F48" s="1153"/>
      <c r="G48" s="1153"/>
      <c r="H48" s="177">
        <v>20</v>
      </c>
      <c r="I48" s="33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6" s="510" customFormat="1" ht="15" customHeight="1" x14ac:dyDescent="0.2">
      <c r="B49" s="516"/>
      <c r="C49" s="1007" t="s">
        <v>928</v>
      </c>
      <c r="D49" s="1007"/>
      <c r="E49" s="1007"/>
      <c r="F49" s="1007"/>
      <c r="G49" s="1007"/>
      <c r="H49" s="1007"/>
      <c r="I49" s="1007"/>
      <c r="J49" s="1007"/>
      <c r="K49" s="750" t="s">
        <v>917</v>
      </c>
      <c r="L49" s="750" t="s">
        <v>926</v>
      </c>
      <c r="M49" s="750" t="s">
        <v>927</v>
      </c>
      <c r="N49" s="750" t="s">
        <v>943</v>
      </c>
      <c r="O49" s="750" t="s">
        <v>944</v>
      </c>
      <c r="P49" s="750" t="s">
        <v>945</v>
      </c>
    </row>
    <row r="50" spans="2:16" s="509" customFormat="1" ht="15" customHeight="1" x14ac:dyDescent="0.2">
      <c r="B50" s="993" t="s">
        <v>918</v>
      </c>
      <c r="C50" s="994"/>
      <c r="D50" s="994"/>
      <c r="E50" s="994"/>
      <c r="F50" s="994"/>
      <c r="G50" s="994"/>
      <c r="H50" s="994"/>
      <c r="I50" s="994"/>
      <c r="J50" s="995"/>
      <c r="K50" s="535"/>
      <c r="L50" s="535"/>
      <c r="M50" s="535"/>
      <c r="N50" s="535"/>
      <c r="O50" s="535"/>
      <c r="P50" s="535"/>
    </row>
    <row r="51" spans="2:16" s="509" customFormat="1" ht="15" customHeight="1" x14ac:dyDescent="0.2">
      <c r="B51" s="993" t="s">
        <v>919</v>
      </c>
      <c r="C51" s="994"/>
      <c r="D51" s="994"/>
      <c r="E51" s="994"/>
      <c r="F51" s="994"/>
      <c r="G51" s="994"/>
      <c r="H51" s="994"/>
      <c r="I51" s="994"/>
      <c r="J51" s="995"/>
      <c r="K51" s="536"/>
      <c r="L51" s="536"/>
      <c r="M51" s="536"/>
      <c r="N51" s="536"/>
      <c r="O51" s="536"/>
      <c r="P51" s="536"/>
    </row>
    <row r="52" spans="2:16" s="509" customFormat="1" ht="15" customHeight="1" x14ac:dyDescent="0.2">
      <c r="B52" s="993" t="s">
        <v>920</v>
      </c>
      <c r="C52" s="994"/>
      <c r="D52" s="994"/>
      <c r="E52" s="994"/>
      <c r="F52" s="994"/>
      <c r="G52" s="994"/>
      <c r="H52" s="994"/>
      <c r="I52" s="994"/>
      <c r="J52" s="995"/>
      <c r="K52" s="537"/>
      <c r="L52" s="537"/>
      <c r="M52" s="537"/>
      <c r="N52" s="537"/>
      <c r="O52" s="537"/>
      <c r="P52" s="537"/>
    </row>
    <row r="53" spans="2:16" s="509" customFormat="1" ht="15" customHeight="1" x14ac:dyDescent="0.2">
      <c r="B53" s="993" t="s">
        <v>921</v>
      </c>
      <c r="C53" s="994"/>
      <c r="D53" s="994"/>
      <c r="E53" s="994"/>
      <c r="F53" s="994"/>
      <c r="G53" s="994"/>
      <c r="H53" s="994"/>
      <c r="I53" s="994"/>
      <c r="J53" s="995"/>
      <c r="K53" s="537"/>
      <c r="L53" s="537"/>
      <c r="M53" s="537"/>
      <c r="N53" s="537"/>
      <c r="O53" s="537"/>
      <c r="P53" s="537"/>
    </row>
    <row r="54" spans="2:16" s="509" customFormat="1" ht="15" customHeight="1" x14ac:dyDescent="0.2">
      <c r="B54" s="993" t="s">
        <v>922</v>
      </c>
      <c r="C54" s="994"/>
      <c r="D54" s="994"/>
      <c r="E54" s="994"/>
      <c r="F54" s="994"/>
      <c r="G54" s="994"/>
      <c r="H54" s="994"/>
      <c r="I54" s="994"/>
      <c r="J54" s="995"/>
      <c r="K54" s="535"/>
      <c r="L54" s="535"/>
      <c r="M54" s="535"/>
      <c r="N54" s="535"/>
      <c r="O54" s="535"/>
      <c r="P54" s="535"/>
    </row>
    <row r="55" spans="2:16" s="509" customFormat="1" x14ac:dyDescent="0.2">
      <c r="B55" s="993" t="s">
        <v>923</v>
      </c>
      <c r="C55" s="994"/>
      <c r="D55" s="994"/>
      <c r="E55" s="994"/>
      <c r="F55" s="994"/>
      <c r="G55" s="994"/>
      <c r="H55" s="994"/>
      <c r="I55" s="994"/>
      <c r="J55" s="995"/>
      <c r="K55" s="538"/>
      <c r="L55" s="538"/>
      <c r="M55" s="538"/>
      <c r="N55" s="538"/>
      <c r="O55" s="538"/>
      <c r="P55" s="538"/>
    </row>
    <row r="56" spans="2:16" s="509" customFormat="1" x14ac:dyDescent="0.2">
      <c r="B56" s="993" t="s">
        <v>924</v>
      </c>
      <c r="C56" s="994"/>
      <c r="D56" s="994"/>
      <c r="E56" s="994"/>
      <c r="F56" s="994"/>
      <c r="G56" s="994"/>
      <c r="H56" s="994"/>
      <c r="I56" s="994"/>
      <c r="J56" s="995"/>
      <c r="K56" s="539"/>
      <c r="L56" s="539"/>
      <c r="M56" s="539"/>
      <c r="N56" s="539"/>
      <c r="O56" s="539"/>
      <c r="P56" s="539"/>
    </row>
    <row r="57" spans="2:16" s="575" customFormat="1" ht="15" customHeight="1" x14ac:dyDescent="0.2">
      <c r="B57" s="1154" t="s">
        <v>925</v>
      </c>
      <c r="C57" s="1155"/>
      <c r="D57" s="1155"/>
      <c r="E57" s="1155"/>
      <c r="F57" s="1155"/>
      <c r="G57" s="1155"/>
      <c r="H57" s="1155"/>
      <c r="I57" s="1155"/>
      <c r="J57" s="1156"/>
      <c r="K57" s="1201" t="s">
        <v>915</v>
      </c>
      <c r="L57" s="1201"/>
      <c r="M57" s="1201"/>
      <c r="N57" s="1201" t="s">
        <v>915</v>
      </c>
      <c r="O57" s="1201"/>
      <c r="P57" s="1201"/>
    </row>
    <row r="58" spans="2:16" x14ac:dyDescent="0.25">
      <c r="B58" s="1161" t="s">
        <v>292</v>
      </c>
      <c r="C58" s="1162"/>
      <c r="D58" s="1162"/>
      <c r="E58" s="1162"/>
      <c r="F58" s="1162"/>
      <c r="G58" s="1162"/>
      <c r="H58" s="1162"/>
      <c r="I58" s="1162"/>
      <c r="J58" s="1163"/>
      <c r="K58" s="744" t="s">
        <v>917</v>
      </c>
      <c r="L58" s="744" t="s">
        <v>926</v>
      </c>
      <c r="M58" s="744" t="s">
        <v>927</v>
      </c>
      <c r="N58" s="744" t="s">
        <v>943</v>
      </c>
      <c r="O58" s="744" t="s">
        <v>944</v>
      </c>
      <c r="P58" s="744" t="s">
        <v>945</v>
      </c>
    </row>
    <row r="59" spans="2:16" ht="45" x14ac:dyDescent="0.25">
      <c r="B59" s="332"/>
      <c r="C59" s="1150" t="s">
        <v>294</v>
      </c>
      <c r="D59" s="1150"/>
      <c r="E59" s="1150"/>
      <c r="F59" s="1150"/>
      <c r="G59" s="1151"/>
      <c r="H59" s="127" t="s">
        <v>16</v>
      </c>
      <c r="I59" s="560" t="s">
        <v>295</v>
      </c>
      <c r="J59" s="560" t="s">
        <v>948</v>
      </c>
      <c r="K59" s="745" t="s">
        <v>949</v>
      </c>
      <c r="L59" s="745" t="s">
        <v>949</v>
      </c>
      <c r="M59" s="745" t="s">
        <v>949</v>
      </c>
      <c r="N59" s="745" t="s">
        <v>949</v>
      </c>
      <c r="O59" s="745" t="s">
        <v>949</v>
      </c>
      <c r="P59" s="745" t="s">
        <v>949</v>
      </c>
    </row>
    <row r="60" spans="2:16" ht="15" customHeight="1" x14ac:dyDescent="0.25">
      <c r="B60" s="173">
        <v>1</v>
      </c>
      <c r="C60" s="1149"/>
      <c r="D60" s="1149"/>
      <c r="E60" s="1149"/>
      <c r="F60" s="1149"/>
      <c r="G60" s="1147"/>
      <c r="H60" s="727"/>
      <c r="I60" s="335"/>
      <c r="J60" s="546">
        <f>IFERROR(SMALL(K60:P60,1),0)</f>
        <v>0</v>
      </c>
      <c r="K60" s="343"/>
      <c r="L60" s="343"/>
      <c r="M60" s="343"/>
      <c r="N60" s="343"/>
      <c r="O60" s="343"/>
      <c r="P60" s="343"/>
    </row>
    <row r="61" spans="2:16" ht="15" customHeight="1" x14ac:dyDescent="0.25">
      <c r="B61" s="175">
        <v>2</v>
      </c>
      <c r="C61" s="1149"/>
      <c r="D61" s="1149"/>
      <c r="E61" s="1149"/>
      <c r="F61" s="1149"/>
      <c r="G61" s="1147"/>
      <c r="H61" s="185"/>
      <c r="I61" s="336"/>
      <c r="J61" s="546">
        <f t="shared" ref="J61:J64" si="1">IFERROR(SMALL(K61:P61,1),0)</f>
        <v>0</v>
      </c>
      <c r="K61" s="343"/>
      <c r="L61" s="343" t="s">
        <v>267</v>
      </c>
      <c r="M61" s="343"/>
      <c r="N61" s="343"/>
      <c r="O61" s="343"/>
      <c r="P61" s="343"/>
    </row>
    <row r="62" spans="2:16" ht="15" customHeight="1" x14ac:dyDescent="0.25">
      <c r="B62" s="173">
        <v>3</v>
      </c>
      <c r="C62" s="1149"/>
      <c r="D62" s="1149"/>
      <c r="E62" s="1149"/>
      <c r="F62" s="1149"/>
      <c r="G62" s="1147"/>
      <c r="H62" s="185"/>
      <c r="I62" s="336"/>
      <c r="J62" s="546">
        <f t="shared" si="1"/>
        <v>0</v>
      </c>
      <c r="K62" s="343"/>
      <c r="L62" s="343"/>
      <c r="M62" s="343" t="s">
        <v>267</v>
      </c>
      <c r="N62" s="343" t="s">
        <v>267</v>
      </c>
      <c r="O62" s="343"/>
      <c r="P62" s="343" t="s">
        <v>267</v>
      </c>
    </row>
    <row r="63" spans="2:16" ht="15" customHeight="1" x14ac:dyDescent="0.25">
      <c r="B63" s="175">
        <v>4</v>
      </c>
      <c r="C63" s="1149"/>
      <c r="D63" s="1149"/>
      <c r="E63" s="1149"/>
      <c r="F63" s="1149"/>
      <c r="G63" s="1147"/>
      <c r="H63" s="185"/>
      <c r="I63" s="336"/>
      <c r="J63" s="546">
        <f t="shared" si="1"/>
        <v>0</v>
      </c>
      <c r="K63" s="343"/>
      <c r="L63" s="343"/>
      <c r="M63" s="343"/>
      <c r="N63" s="343"/>
      <c r="O63" s="343"/>
      <c r="P63" s="343"/>
    </row>
    <row r="64" spans="2:16" ht="15" customHeight="1" x14ac:dyDescent="0.25">
      <c r="B64" s="173">
        <v>5</v>
      </c>
      <c r="C64" s="1149"/>
      <c r="D64" s="1149"/>
      <c r="E64" s="1149"/>
      <c r="F64" s="1149"/>
      <c r="G64" s="1147"/>
      <c r="H64" s="185"/>
      <c r="I64" s="336"/>
      <c r="J64" s="546">
        <f t="shared" si="1"/>
        <v>0</v>
      </c>
      <c r="K64" s="343"/>
      <c r="L64" s="343"/>
      <c r="M64" s="343"/>
      <c r="N64" s="343"/>
      <c r="O64" s="343"/>
      <c r="P64" s="343"/>
    </row>
    <row r="65" spans="2:16" s="510" customFormat="1" ht="15" customHeight="1" x14ac:dyDescent="0.2">
      <c r="B65" s="516"/>
      <c r="C65" s="1007" t="s">
        <v>928</v>
      </c>
      <c r="D65" s="1007"/>
      <c r="E65" s="1007"/>
      <c r="F65" s="1007"/>
      <c r="G65" s="1007"/>
      <c r="H65" s="1007"/>
      <c r="I65" s="1007"/>
      <c r="J65" s="1007"/>
      <c r="K65" s="750" t="s">
        <v>917</v>
      </c>
      <c r="L65" s="750" t="s">
        <v>926</v>
      </c>
      <c r="M65" s="750" t="s">
        <v>927</v>
      </c>
      <c r="N65" s="750" t="s">
        <v>943</v>
      </c>
      <c r="O65" s="750" t="s">
        <v>944</v>
      </c>
      <c r="P65" s="750" t="s">
        <v>945</v>
      </c>
    </row>
    <row r="66" spans="2:16" s="509" customFormat="1" ht="15" customHeight="1" x14ac:dyDescent="0.2">
      <c r="B66" s="993" t="s">
        <v>918</v>
      </c>
      <c r="C66" s="994"/>
      <c r="D66" s="994"/>
      <c r="E66" s="994"/>
      <c r="F66" s="994"/>
      <c r="G66" s="994"/>
      <c r="H66" s="994"/>
      <c r="I66" s="994"/>
      <c r="J66" s="995"/>
      <c r="K66" s="535"/>
      <c r="L66" s="535"/>
      <c r="M66" s="535"/>
      <c r="N66" s="535"/>
      <c r="O66" s="535"/>
      <c r="P66" s="535"/>
    </row>
    <row r="67" spans="2:16" s="509" customFormat="1" ht="15" customHeight="1" x14ac:dyDescent="0.2">
      <c r="B67" s="993" t="s">
        <v>919</v>
      </c>
      <c r="C67" s="994"/>
      <c r="D67" s="994"/>
      <c r="E67" s="994"/>
      <c r="F67" s="994"/>
      <c r="G67" s="994"/>
      <c r="H67" s="994"/>
      <c r="I67" s="994"/>
      <c r="J67" s="995"/>
      <c r="K67" s="536"/>
      <c r="L67" s="536" t="s">
        <v>267</v>
      </c>
      <c r="M67" s="536"/>
      <c r="N67" s="536"/>
      <c r="O67" s="536"/>
      <c r="P67" s="536" t="s">
        <v>267</v>
      </c>
    </row>
    <row r="68" spans="2:16" s="509" customFormat="1" ht="15" customHeight="1" x14ac:dyDescent="0.2">
      <c r="B68" s="993" t="s">
        <v>920</v>
      </c>
      <c r="C68" s="994"/>
      <c r="D68" s="994"/>
      <c r="E68" s="994"/>
      <c r="F68" s="994"/>
      <c r="G68" s="994"/>
      <c r="H68" s="994"/>
      <c r="I68" s="994"/>
      <c r="J68" s="995"/>
      <c r="K68" s="537"/>
      <c r="L68" s="537"/>
      <c r="M68" s="537"/>
      <c r="N68" s="537"/>
      <c r="O68" s="537"/>
      <c r="P68" s="537"/>
    </row>
    <row r="69" spans="2:16" s="509" customFormat="1" ht="15" customHeight="1" x14ac:dyDescent="0.2">
      <c r="B69" s="993" t="s">
        <v>921</v>
      </c>
      <c r="C69" s="994"/>
      <c r="D69" s="994"/>
      <c r="E69" s="994"/>
      <c r="F69" s="994"/>
      <c r="G69" s="994"/>
      <c r="H69" s="994"/>
      <c r="I69" s="994"/>
      <c r="J69" s="995"/>
      <c r="K69" s="537"/>
      <c r="L69" s="537"/>
      <c r="M69" s="537"/>
      <c r="N69" s="537"/>
      <c r="O69" s="537"/>
      <c r="P69" s="537"/>
    </row>
    <row r="70" spans="2:16" s="509" customFormat="1" ht="15" customHeight="1" x14ac:dyDescent="0.2">
      <c r="B70" s="993" t="s">
        <v>922</v>
      </c>
      <c r="C70" s="994"/>
      <c r="D70" s="994"/>
      <c r="E70" s="994"/>
      <c r="F70" s="994"/>
      <c r="G70" s="994"/>
      <c r="H70" s="994"/>
      <c r="I70" s="994"/>
      <c r="J70" s="995"/>
      <c r="K70" s="535"/>
      <c r="L70" s="535"/>
      <c r="M70" s="535"/>
      <c r="N70" s="535"/>
      <c r="O70" s="535"/>
      <c r="P70" s="535"/>
    </row>
    <row r="71" spans="2:16" s="509" customFormat="1" x14ac:dyDescent="0.2">
      <c r="B71" s="993" t="s">
        <v>923</v>
      </c>
      <c r="C71" s="994"/>
      <c r="D71" s="994"/>
      <c r="E71" s="994"/>
      <c r="F71" s="994"/>
      <c r="G71" s="994"/>
      <c r="H71" s="994"/>
      <c r="I71" s="994"/>
      <c r="J71" s="995"/>
      <c r="K71" s="538"/>
      <c r="L71" s="538"/>
      <c r="M71" s="538"/>
      <c r="N71" s="538"/>
      <c r="O71" s="538"/>
      <c r="P71" s="538"/>
    </row>
    <row r="72" spans="2:16" s="509" customFormat="1" x14ac:dyDescent="0.2">
      <c r="B72" s="993" t="s">
        <v>924</v>
      </c>
      <c r="C72" s="994"/>
      <c r="D72" s="994"/>
      <c r="E72" s="994"/>
      <c r="F72" s="994"/>
      <c r="G72" s="994"/>
      <c r="H72" s="994"/>
      <c r="I72" s="994"/>
      <c r="J72" s="995"/>
      <c r="K72" s="539"/>
      <c r="L72" s="539"/>
      <c r="M72" s="539"/>
      <c r="N72" s="539"/>
      <c r="O72" s="539"/>
      <c r="P72" s="539"/>
    </row>
    <row r="73" spans="2:16" s="575" customFormat="1" ht="15" customHeight="1" x14ac:dyDescent="0.2">
      <c r="B73" s="1154" t="s">
        <v>925</v>
      </c>
      <c r="C73" s="1155"/>
      <c r="D73" s="1155"/>
      <c r="E73" s="1155"/>
      <c r="F73" s="1155"/>
      <c r="G73" s="1155"/>
      <c r="H73" s="1155"/>
      <c r="I73" s="1155"/>
      <c r="J73" s="1156"/>
      <c r="K73" s="1201" t="s">
        <v>915</v>
      </c>
      <c r="L73" s="1201"/>
      <c r="M73" s="1201"/>
      <c r="N73" s="1201" t="s">
        <v>915</v>
      </c>
      <c r="O73" s="1201"/>
      <c r="P73" s="1201"/>
    </row>
    <row r="74" spans="2:16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744" t="s">
        <v>917</v>
      </c>
      <c r="L74" s="744" t="s">
        <v>926</v>
      </c>
      <c r="M74" s="744" t="s">
        <v>927</v>
      </c>
      <c r="N74" s="744" t="s">
        <v>943</v>
      </c>
      <c r="O74" s="744" t="s">
        <v>944</v>
      </c>
      <c r="P74" s="744" t="s">
        <v>945</v>
      </c>
    </row>
    <row r="75" spans="2:16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560" t="s">
        <v>16</v>
      </c>
      <c r="J75" s="560" t="s">
        <v>947</v>
      </c>
      <c r="K75" s="745" t="s">
        <v>929</v>
      </c>
      <c r="L75" s="745" t="s">
        <v>929</v>
      </c>
      <c r="M75" s="745" t="s">
        <v>929</v>
      </c>
      <c r="N75" s="745" t="s">
        <v>929</v>
      </c>
      <c r="O75" s="745" t="s">
        <v>929</v>
      </c>
      <c r="P75" s="745" t="s">
        <v>929</v>
      </c>
    </row>
    <row r="76" spans="2:16" ht="15" customHeight="1" x14ac:dyDescent="0.25">
      <c r="B76" s="18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2">IFERROR(SMALL(K76:P76,1),0)</f>
        <v>0</v>
      </c>
      <c r="K76" s="343"/>
      <c r="L76" s="343" t="s">
        <v>267</v>
      </c>
      <c r="M76" s="343"/>
      <c r="N76" s="343"/>
      <c r="O76" s="343"/>
      <c r="P76" s="343"/>
    </row>
    <row r="77" spans="2:16" ht="15" customHeight="1" x14ac:dyDescent="0.25">
      <c r="B77" s="186">
        <v>2</v>
      </c>
      <c r="C77" s="1164"/>
      <c r="D77" s="1164"/>
      <c r="E77" s="1164"/>
      <c r="F77" s="1164"/>
      <c r="G77" s="1164"/>
      <c r="H77" s="1165"/>
      <c r="I77" s="336"/>
      <c r="J77" s="546">
        <f t="shared" si="2"/>
        <v>0</v>
      </c>
      <c r="K77" s="343"/>
      <c r="L77" s="343"/>
      <c r="M77" s="343"/>
      <c r="N77" s="343" t="s">
        <v>267</v>
      </c>
      <c r="O77" s="343"/>
      <c r="P77" s="343" t="s">
        <v>267</v>
      </c>
    </row>
    <row r="78" spans="2:16" ht="15" customHeight="1" x14ac:dyDescent="0.25">
      <c r="B78" s="186">
        <v>3</v>
      </c>
      <c r="C78" s="1164"/>
      <c r="D78" s="1164"/>
      <c r="E78" s="1164"/>
      <c r="F78" s="1164"/>
      <c r="G78" s="1164"/>
      <c r="H78" s="1165"/>
      <c r="I78" s="336"/>
      <c r="J78" s="546">
        <f t="shared" si="2"/>
        <v>0</v>
      </c>
      <c r="K78" s="343"/>
      <c r="L78" s="343"/>
      <c r="M78" s="343"/>
      <c r="N78" s="343"/>
      <c r="O78" s="343"/>
      <c r="P78" s="343"/>
    </row>
    <row r="79" spans="2:16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750" t="s">
        <v>917</v>
      </c>
      <c r="L79" s="750" t="s">
        <v>926</v>
      </c>
      <c r="M79" s="750" t="s">
        <v>927</v>
      </c>
      <c r="N79" s="750" t="s">
        <v>943</v>
      </c>
      <c r="O79" s="750" t="s">
        <v>944</v>
      </c>
      <c r="P79" s="750" t="s">
        <v>945</v>
      </c>
    </row>
    <row r="80" spans="2:16" s="509" customFormat="1" ht="15" customHeight="1" x14ac:dyDescent="0.2">
      <c r="B80" s="993" t="s">
        <v>918</v>
      </c>
      <c r="C80" s="994"/>
      <c r="D80" s="994"/>
      <c r="E80" s="994"/>
      <c r="F80" s="994"/>
      <c r="G80" s="994"/>
      <c r="H80" s="994"/>
      <c r="I80" s="994"/>
      <c r="J80" s="995"/>
      <c r="K80" s="535"/>
      <c r="L80" s="535"/>
      <c r="M80" s="535"/>
      <c r="N80" s="535"/>
      <c r="O80" s="535"/>
      <c r="P80" s="535"/>
    </row>
    <row r="81" spans="2:16" s="509" customFormat="1" ht="15" customHeight="1" x14ac:dyDescent="0.2">
      <c r="B81" s="993" t="s">
        <v>919</v>
      </c>
      <c r="C81" s="994"/>
      <c r="D81" s="994"/>
      <c r="E81" s="994"/>
      <c r="F81" s="994"/>
      <c r="G81" s="994"/>
      <c r="H81" s="994"/>
      <c r="I81" s="994"/>
      <c r="J81" s="995"/>
      <c r="K81" s="536"/>
      <c r="L81" s="536" t="s">
        <v>267</v>
      </c>
      <c r="M81" s="536"/>
      <c r="N81" s="536"/>
      <c r="O81" s="536"/>
      <c r="P81" s="536"/>
    </row>
    <row r="82" spans="2:16" s="509" customFormat="1" ht="15" customHeight="1" x14ac:dyDescent="0.2">
      <c r="B82" s="993" t="s">
        <v>920</v>
      </c>
      <c r="C82" s="994"/>
      <c r="D82" s="994"/>
      <c r="E82" s="994"/>
      <c r="F82" s="994"/>
      <c r="G82" s="994"/>
      <c r="H82" s="994"/>
      <c r="I82" s="994"/>
      <c r="J82" s="995"/>
      <c r="K82" s="537"/>
      <c r="L82" s="537"/>
      <c r="M82" s="537"/>
      <c r="N82" s="537"/>
      <c r="O82" s="537"/>
      <c r="P82" s="537"/>
    </row>
    <row r="83" spans="2:16" s="509" customFormat="1" ht="15" customHeight="1" x14ac:dyDescent="0.2">
      <c r="B83" s="993" t="s">
        <v>921</v>
      </c>
      <c r="C83" s="994"/>
      <c r="D83" s="994"/>
      <c r="E83" s="994"/>
      <c r="F83" s="994"/>
      <c r="G83" s="994"/>
      <c r="H83" s="994"/>
      <c r="I83" s="994"/>
      <c r="J83" s="995"/>
      <c r="K83" s="537"/>
      <c r="L83" s="537"/>
      <c r="M83" s="537"/>
      <c r="N83" s="537"/>
      <c r="O83" s="537"/>
      <c r="P83" s="537"/>
    </row>
    <row r="84" spans="2:16" s="509" customFormat="1" ht="15" customHeight="1" x14ac:dyDescent="0.2">
      <c r="B84" s="993" t="s">
        <v>922</v>
      </c>
      <c r="C84" s="994"/>
      <c r="D84" s="994"/>
      <c r="E84" s="994"/>
      <c r="F84" s="994"/>
      <c r="G84" s="994"/>
      <c r="H84" s="994"/>
      <c r="I84" s="994"/>
      <c r="J84" s="995"/>
      <c r="K84" s="535"/>
      <c r="L84" s="535"/>
      <c r="M84" s="535"/>
      <c r="N84" s="535"/>
      <c r="O84" s="535"/>
      <c r="P84" s="535"/>
    </row>
    <row r="85" spans="2:16" s="509" customFormat="1" x14ac:dyDescent="0.2">
      <c r="B85" s="993" t="s">
        <v>923</v>
      </c>
      <c r="C85" s="994"/>
      <c r="D85" s="994"/>
      <c r="E85" s="994"/>
      <c r="F85" s="994"/>
      <c r="G85" s="994"/>
      <c r="H85" s="994"/>
      <c r="I85" s="994"/>
      <c r="J85" s="995"/>
      <c r="K85" s="538"/>
      <c r="L85" s="538"/>
      <c r="M85" s="538"/>
      <c r="N85" s="538"/>
      <c r="O85" s="538"/>
      <c r="P85" s="538"/>
    </row>
    <row r="86" spans="2:16" s="509" customFormat="1" x14ac:dyDescent="0.2">
      <c r="B86" s="993" t="s">
        <v>924</v>
      </c>
      <c r="C86" s="994"/>
      <c r="D86" s="994"/>
      <c r="E86" s="994"/>
      <c r="F86" s="994"/>
      <c r="G86" s="994"/>
      <c r="H86" s="994"/>
      <c r="I86" s="994"/>
      <c r="J86" s="995"/>
      <c r="K86" s="539"/>
      <c r="L86" s="539"/>
      <c r="M86" s="539"/>
      <c r="N86" s="539"/>
      <c r="O86" s="539"/>
      <c r="P86" s="539"/>
    </row>
    <row r="87" spans="2:16" s="575" customFormat="1" ht="15" customHeight="1" x14ac:dyDescent="0.2">
      <c r="B87" s="1209" t="s">
        <v>925</v>
      </c>
      <c r="C87" s="1210"/>
      <c r="D87" s="1210"/>
      <c r="E87" s="1210"/>
      <c r="F87" s="1210"/>
      <c r="G87" s="1210"/>
      <c r="H87" s="1210"/>
      <c r="I87" s="1210"/>
      <c r="J87" s="1211"/>
      <c r="K87" s="1097" t="s">
        <v>915</v>
      </c>
      <c r="L87" s="1097"/>
      <c r="M87" s="1097"/>
      <c r="N87" s="1097" t="s">
        <v>915</v>
      </c>
      <c r="O87" s="1097"/>
      <c r="P87" s="1097"/>
    </row>
    <row r="88" spans="2:16" s="410" customFormat="1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6" s="410" customFormat="1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716" t="s">
        <v>16</v>
      </c>
      <c r="J89" s="716" t="s">
        <v>947</v>
      </c>
      <c r="K89" s="716" t="s">
        <v>929</v>
      </c>
      <c r="L89" s="716" t="s">
        <v>929</v>
      </c>
      <c r="M89" s="716" t="s">
        <v>929</v>
      </c>
      <c r="N89" s="716" t="s">
        <v>929</v>
      </c>
      <c r="O89" s="716" t="s">
        <v>929</v>
      </c>
      <c r="P89" s="716" t="s">
        <v>929</v>
      </c>
    </row>
    <row r="90" spans="2:16" ht="15" customHeight="1" x14ac:dyDescent="0.25">
      <c r="B90" s="186">
        <v>1</v>
      </c>
      <c r="C90" s="1164"/>
      <c r="D90" s="1164"/>
      <c r="E90" s="1164"/>
      <c r="F90" s="1164"/>
      <c r="G90" s="1164"/>
      <c r="H90" s="1165"/>
      <c r="I90" s="336"/>
      <c r="J90" s="546">
        <f t="shared" ref="J90:J92" si="3">IFERROR(SMALL(K90:P90,1),0)</f>
        <v>0</v>
      </c>
      <c r="K90" s="343"/>
      <c r="L90" s="343"/>
      <c r="M90" s="343"/>
      <c r="N90" s="343"/>
      <c r="O90" s="343"/>
      <c r="P90" s="343"/>
    </row>
    <row r="91" spans="2:16" ht="15" customHeight="1" x14ac:dyDescent="0.25">
      <c r="B91" s="186">
        <v>2</v>
      </c>
      <c r="C91" s="1164"/>
      <c r="D91" s="1164"/>
      <c r="E91" s="1164"/>
      <c r="F91" s="1164"/>
      <c r="G91" s="1164"/>
      <c r="H91" s="1165"/>
      <c r="I91" s="336"/>
      <c r="J91" s="546">
        <f t="shared" si="3"/>
        <v>0</v>
      </c>
      <c r="K91" s="343"/>
      <c r="L91" s="343"/>
      <c r="M91" s="343"/>
      <c r="N91" s="343" t="s">
        <v>267</v>
      </c>
      <c r="O91" s="343"/>
      <c r="P91" s="343"/>
    </row>
    <row r="92" spans="2:16" ht="15" customHeight="1" x14ac:dyDescent="0.25">
      <c r="B92" s="186">
        <v>3</v>
      </c>
      <c r="C92" s="1164"/>
      <c r="D92" s="1164"/>
      <c r="E92" s="1164"/>
      <c r="F92" s="1164"/>
      <c r="G92" s="1164"/>
      <c r="H92" s="1165"/>
      <c r="I92" s="336"/>
      <c r="J92" s="546">
        <f t="shared" si="3"/>
        <v>0</v>
      </c>
      <c r="K92" s="343"/>
      <c r="L92" s="343"/>
      <c r="M92" s="343"/>
      <c r="N92" s="343"/>
      <c r="O92" s="343"/>
      <c r="P92" s="343"/>
    </row>
    <row r="93" spans="2:16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750" t="s">
        <v>917</v>
      </c>
      <c r="L93" s="750" t="s">
        <v>926</v>
      </c>
      <c r="M93" s="750" t="s">
        <v>927</v>
      </c>
      <c r="N93" s="750" t="s">
        <v>943</v>
      </c>
      <c r="O93" s="750" t="s">
        <v>944</v>
      </c>
      <c r="P93" s="750" t="s">
        <v>945</v>
      </c>
    </row>
    <row r="94" spans="2:16" s="509" customFormat="1" ht="15" customHeight="1" x14ac:dyDescent="0.2">
      <c r="B94" s="993" t="s">
        <v>918</v>
      </c>
      <c r="C94" s="994"/>
      <c r="D94" s="994"/>
      <c r="E94" s="994"/>
      <c r="F94" s="994"/>
      <c r="G94" s="994"/>
      <c r="H94" s="994"/>
      <c r="I94" s="994"/>
      <c r="J94" s="995"/>
      <c r="K94" s="535"/>
      <c r="L94" s="535"/>
      <c r="M94" s="535"/>
      <c r="N94" s="535"/>
      <c r="O94" s="535"/>
      <c r="P94" s="535"/>
    </row>
    <row r="95" spans="2:16" s="509" customFormat="1" ht="15" customHeight="1" x14ac:dyDescent="0.2">
      <c r="B95" s="993" t="s">
        <v>919</v>
      </c>
      <c r="C95" s="994"/>
      <c r="D95" s="994"/>
      <c r="E95" s="994"/>
      <c r="F95" s="994"/>
      <c r="G95" s="994"/>
      <c r="H95" s="994"/>
      <c r="I95" s="994"/>
      <c r="J95" s="995"/>
      <c r="K95" s="536"/>
      <c r="L95" s="536"/>
      <c r="M95" s="536"/>
      <c r="N95" s="536"/>
      <c r="O95" s="536"/>
      <c r="P95" s="536"/>
    </row>
    <row r="96" spans="2:16" s="509" customFormat="1" ht="15" customHeight="1" x14ac:dyDescent="0.2">
      <c r="B96" s="993" t="s">
        <v>920</v>
      </c>
      <c r="C96" s="994"/>
      <c r="D96" s="994"/>
      <c r="E96" s="994"/>
      <c r="F96" s="994"/>
      <c r="G96" s="994"/>
      <c r="H96" s="994"/>
      <c r="I96" s="994"/>
      <c r="J96" s="995"/>
      <c r="K96" s="537"/>
      <c r="L96" s="537"/>
      <c r="M96" s="537"/>
      <c r="N96" s="537"/>
      <c r="O96" s="537"/>
      <c r="P96" s="537"/>
    </row>
    <row r="97" spans="2:16" s="509" customFormat="1" ht="15" customHeight="1" x14ac:dyDescent="0.2">
      <c r="B97" s="993" t="s">
        <v>921</v>
      </c>
      <c r="C97" s="994"/>
      <c r="D97" s="994"/>
      <c r="E97" s="994"/>
      <c r="F97" s="994"/>
      <c r="G97" s="994"/>
      <c r="H97" s="994"/>
      <c r="I97" s="994"/>
      <c r="J97" s="995"/>
      <c r="K97" s="537"/>
      <c r="L97" s="537"/>
      <c r="M97" s="537"/>
      <c r="N97" s="537"/>
      <c r="O97" s="537"/>
      <c r="P97" s="537"/>
    </row>
    <row r="98" spans="2:16" s="509" customFormat="1" ht="15" customHeight="1" x14ac:dyDescent="0.2">
      <c r="B98" s="993" t="s">
        <v>922</v>
      </c>
      <c r="C98" s="994"/>
      <c r="D98" s="994"/>
      <c r="E98" s="994"/>
      <c r="F98" s="994"/>
      <c r="G98" s="994"/>
      <c r="H98" s="994"/>
      <c r="I98" s="994"/>
      <c r="J98" s="995"/>
      <c r="K98" s="535"/>
      <c r="L98" s="535"/>
      <c r="M98" s="535"/>
      <c r="N98" s="535"/>
      <c r="O98" s="535"/>
      <c r="P98" s="535"/>
    </row>
    <row r="99" spans="2:16" s="509" customFormat="1" x14ac:dyDescent="0.2">
      <c r="B99" s="993" t="s">
        <v>923</v>
      </c>
      <c r="C99" s="994"/>
      <c r="D99" s="994"/>
      <c r="E99" s="994"/>
      <c r="F99" s="994"/>
      <c r="G99" s="994"/>
      <c r="H99" s="994"/>
      <c r="I99" s="994"/>
      <c r="J99" s="995"/>
      <c r="K99" s="538"/>
      <c r="L99" s="538"/>
      <c r="M99" s="538"/>
      <c r="N99" s="538"/>
      <c r="O99" s="538"/>
      <c r="P99" s="538"/>
    </row>
    <row r="100" spans="2:16" s="509" customFormat="1" x14ac:dyDescent="0.2">
      <c r="B100" s="993" t="s">
        <v>924</v>
      </c>
      <c r="C100" s="994"/>
      <c r="D100" s="994"/>
      <c r="E100" s="994"/>
      <c r="F100" s="994"/>
      <c r="G100" s="994"/>
      <c r="H100" s="994"/>
      <c r="I100" s="994"/>
      <c r="J100" s="995"/>
      <c r="K100" s="539"/>
      <c r="L100" s="539"/>
      <c r="M100" s="539"/>
      <c r="N100" s="539"/>
      <c r="O100" s="539"/>
      <c r="P100" s="539"/>
    </row>
    <row r="101" spans="2:16" s="575" customFormat="1" ht="15" customHeight="1" x14ac:dyDescent="0.2">
      <c r="B101" s="1154" t="s">
        <v>925</v>
      </c>
      <c r="C101" s="1155"/>
      <c r="D101" s="1155"/>
      <c r="E101" s="1155"/>
      <c r="F101" s="1155"/>
      <c r="G101" s="1155"/>
      <c r="H101" s="1155"/>
      <c r="I101" s="1155"/>
      <c r="J101" s="1156"/>
      <c r="K101" s="1201" t="s">
        <v>915</v>
      </c>
      <c r="L101" s="1201"/>
      <c r="M101" s="1201"/>
      <c r="N101" s="1201" t="s">
        <v>915</v>
      </c>
      <c r="O101" s="1201"/>
      <c r="P101" s="1201"/>
    </row>
  </sheetData>
  <sheetProtection password="C9A4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4:G44"/>
    <mergeCell ref="C45:G45"/>
    <mergeCell ref="C46:G46"/>
    <mergeCell ref="C47:G47"/>
    <mergeCell ref="C48:G48"/>
    <mergeCell ref="C49:J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D2:I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4">
    <tabColor theme="5"/>
  </sheetPr>
  <dimension ref="B2:Z8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6.85546875" style="409" bestFit="1" customWidth="1"/>
    <col min="15" max="16" width="3.42578125" style="409" customWidth="1"/>
    <col min="17" max="17" width="14.14062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6.85546875" style="418" bestFit="1" customWidth="1"/>
    <col min="26" max="16384" width="9.140625" style="409"/>
  </cols>
  <sheetData>
    <row r="2" spans="2:26" ht="22.5" customHeight="1" x14ac:dyDescent="0.25">
      <c r="B2" s="1157" t="s">
        <v>964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AQUECIMENTO SOLAR DE ÁGUA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14"/>
      <c r="Q5" s="315"/>
      <c r="R5" s="315"/>
      <c r="S5" s="315"/>
      <c r="T5" s="315"/>
      <c r="U5" s="315"/>
      <c r="V5" s="315"/>
      <c r="W5" s="315"/>
      <c r="X5" s="316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317" t="s">
        <v>285</v>
      </c>
      <c r="I7" s="317" t="s">
        <v>16</v>
      </c>
      <c r="J7" s="317" t="s">
        <v>239</v>
      </c>
      <c r="K7" s="172" t="s">
        <v>286</v>
      </c>
      <c r="L7" s="317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17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IF(ISBLANK('SolarCusto (ORÇ)'!C8)," ",'SolarCusto (ORÇ)'!C8)</f>
        <v xml:space="preserve"> </v>
      </c>
      <c r="D8" s="1214"/>
      <c r="E8" s="1214"/>
      <c r="F8" s="1214"/>
      <c r="G8" s="1175"/>
      <c r="H8" s="581">
        <f>'SolarCusto (ORÇ)'!H8</f>
        <v>0</v>
      </c>
      <c r="I8" s="585">
        <f>'SolarCusto (ORÇ)'!I8</f>
        <v>0</v>
      </c>
      <c r="J8" s="133">
        <f>'SolarCusto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20">
        <f>V8*X8</f>
        <v>0</v>
      </c>
    </row>
    <row r="9" spans="2:26" ht="15" customHeight="1" outlineLevel="1" x14ac:dyDescent="0.25">
      <c r="B9" s="175">
        <v>2</v>
      </c>
      <c r="C9" s="1214" t="str">
        <f>IF(ISBLANK('SolarCusto (ORÇ)'!C9)," ",'SolarCusto (ORÇ)'!C9)</f>
        <v xml:space="preserve"> </v>
      </c>
      <c r="D9" s="1214"/>
      <c r="E9" s="1214"/>
      <c r="F9" s="1214"/>
      <c r="G9" s="1175"/>
      <c r="H9" s="581">
        <f>'SolarCusto (ORÇ)'!H9</f>
        <v>0</v>
      </c>
      <c r="I9" s="585">
        <f>'SolarCusto (ORÇ)'!I9</f>
        <v>0</v>
      </c>
      <c r="J9" s="133">
        <f>'SolarCusto (ORÇ)'!J9</f>
        <v>0</v>
      </c>
      <c r="K9" s="344">
        <f t="shared" ref="K9:K48" si="0">I9*J9</f>
        <v>0</v>
      </c>
      <c r="L9" s="344">
        <f t="shared" ref="L9:L48" si="1">K9-M9-N9</f>
        <v>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 xml:space="preserve"> </v>
      </c>
      <c r="R9" s="1177"/>
      <c r="S9" s="1177"/>
      <c r="T9" s="1177"/>
      <c r="U9" s="1178"/>
      <c r="V9" s="174">
        <f t="shared" ref="V9:V47" si="4">IF(H9="",0,H9)</f>
        <v>0</v>
      </c>
      <c r="W9" s="345">
        <f t="shared" ref="W9:W48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20">
        <f t="shared" ref="Y9:Y48" si="6">V9*X9</f>
        <v>0</v>
      </c>
    </row>
    <row r="10" spans="2:26" ht="15" customHeight="1" outlineLevel="1" x14ac:dyDescent="0.25">
      <c r="B10" s="173">
        <v>3</v>
      </c>
      <c r="C10" s="1214" t="str">
        <f>IF(ISBLANK('SolarCusto (ORÇ)'!C10)," ",'SolarCusto (ORÇ)'!C10)</f>
        <v xml:space="preserve"> </v>
      </c>
      <c r="D10" s="1214"/>
      <c r="E10" s="1214"/>
      <c r="F10" s="1214"/>
      <c r="G10" s="1175"/>
      <c r="H10" s="581">
        <f>'SolarCusto (ORÇ)'!H10</f>
        <v>0</v>
      </c>
      <c r="I10" s="585">
        <f>'SolarCusto (ORÇ)'!I10</f>
        <v>0</v>
      </c>
      <c r="J10" s="133">
        <f>'SolarCusto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20">
        <f t="shared" si="6"/>
        <v>0</v>
      </c>
    </row>
    <row r="11" spans="2:26" ht="15" customHeight="1" outlineLevel="1" x14ac:dyDescent="0.25">
      <c r="B11" s="175">
        <v>4</v>
      </c>
      <c r="C11" s="1214" t="str">
        <f>IF(ISBLANK('SolarCusto (ORÇ)'!C11)," ",'SolarCusto (ORÇ)'!C11)</f>
        <v xml:space="preserve"> </v>
      </c>
      <c r="D11" s="1214"/>
      <c r="E11" s="1214"/>
      <c r="F11" s="1214"/>
      <c r="G11" s="1175"/>
      <c r="H11" s="581">
        <f>'SolarCusto (ORÇ)'!H11</f>
        <v>0</v>
      </c>
      <c r="I11" s="585">
        <f>'SolarCusto (ORÇ)'!I11</f>
        <v>0</v>
      </c>
      <c r="J11" s="133">
        <f>'SolarCusto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ht="15" customHeight="1" outlineLevel="1" x14ac:dyDescent="0.25">
      <c r="B12" s="173">
        <v>5</v>
      </c>
      <c r="C12" s="1214" t="str">
        <f>IF(ISBLANK('SolarCusto (ORÇ)'!C12)," ",'SolarCusto (ORÇ)'!C12)</f>
        <v xml:space="preserve"> </v>
      </c>
      <c r="D12" s="1214"/>
      <c r="E12" s="1214"/>
      <c r="F12" s="1214"/>
      <c r="G12" s="1175"/>
      <c r="H12" s="581">
        <f>'SolarCusto (ORÇ)'!H12</f>
        <v>0</v>
      </c>
      <c r="I12" s="585">
        <f>'SolarCusto (ORÇ)'!I12</f>
        <v>0</v>
      </c>
      <c r="J12" s="133">
        <f>'SolarCusto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ht="15" customHeight="1" outlineLevel="1" x14ac:dyDescent="0.25">
      <c r="B13" s="175">
        <v>6</v>
      </c>
      <c r="C13" s="1214" t="str">
        <f>IF(ISBLANK('SolarCusto (ORÇ)'!C13)," ",'SolarCusto (ORÇ)'!C13)</f>
        <v xml:space="preserve"> </v>
      </c>
      <c r="D13" s="1214"/>
      <c r="E13" s="1214"/>
      <c r="F13" s="1214"/>
      <c r="G13" s="1175"/>
      <c r="H13" s="581">
        <f>'SolarCusto (ORÇ)'!H13</f>
        <v>0</v>
      </c>
      <c r="I13" s="585">
        <f>'SolarCusto (ORÇ)'!I13</f>
        <v>0</v>
      </c>
      <c r="J13" s="133">
        <f>'SolarCusto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ht="15" customHeight="1" outlineLevel="1" x14ac:dyDescent="0.25">
      <c r="B14" s="173">
        <v>7</v>
      </c>
      <c r="C14" s="1214" t="str">
        <f>IF(ISBLANK('SolarCusto (ORÇ)'!C14)," ",'SolarCusto (ORÇ)'!C14)</f>
        <v xml:space="preserve"> </v>
      </c>
      <c r="D14" s="1214"/>
      <c r="E14" s="1214"/>
      <c r="F14" s="1214"/>
      <c r="G14" s="1175"/>
      <c r="H14" s="581">
        <f>'SolarCusto (ORÇ)'!H14</f>
        <v>0</v>
      </c>
      <c r="I14" s="585">
        <f>'SolarCusto (ORÇ)'!I14</f>
        <v>0</v>
      </c>
      <c r="J14" s="133">
        <f>'SolarCusto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ht="15" customHeight="1" outlineLevel="1" x14ac:dyDescent="0.25">
      <c r="B15" s="175">
        <v>8</v>
      </c>
      <c r="C15" s="1214" t="str">
        <f>IF(ISBLANK('SolarCusto (ORÇ)'!C15)," ",'SolarCusto (ORÇ)'!C15)</f>
        <v xml:space="preserve"> </v>
      </c>
      <c r="D15" s="1214"/>
      <c r="E15" s="1214"/>
      <c r="F15" s="1214"/>
      <c r="G15" s="1175"/>
      <c r="H15" s="581">
        <f>'SolarCusto (ORÇ)'!H15</f>
        <v>0</v>
      </c>
      <c r="I15" s="585">
        <f>'SolarCusto (ORÇ)'!I15</f>
        <v>0</v>
      </c>
      <c r="J15" s="133">
        <f>'SolarCusto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20">
        <f t="shared" si="6"/>
        <v>0</v>
      </c>
    </row>
    <row r="16" spans="2:26" ht="15" customHeight="1" outlineLevel="1" x14ac:dyDescent="0.25">
      <c r="B16" s="173">
        <v>9</v>
      </c>
      <c r="C16" s="1214" t="str">
        <f>IF(ISBLANK('SolarCusto (ORÇ)'!C16)," ",'SolarCusto (ORÇ)'!C16)</f>
        <v xml:space="preserve"> </v>
      </c>
      <c r="D16" s="1214"/>
      <c r="E16" s="1214"/>
      <c r="F16" s="1214"/>
      <c r="G16" s="1175"/>
      <c r="H16" s="581">
        <f>'SolarCusto (ORÇ)'!H16</f>
        <v>0</v>
      </c>
      <c r="I16" s="585">
        <f>'SolarCusto (ORÇ)'!I16</f>
        <v>0</v>
      </c>
      <c r="J16" s="133">
        <f>'SolarCusto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IF(ISBLANK('SolarCusto (ORÇ)'!C17)," ",'SolarCusto (ORÇ)'!C17)</f>
        <v xml:space="preserve"> </v>
      </c>
      <c r="D17" s="1214"/>
      <c r="E17" s="1214"/>
      <c r="F17" s="1214"/>
      <c r="G17" s="1175"/>
      <c r="H17" s="581">
        <f>'SolarCusto (ORÇ)'!H17</f>
        <v>0</v>
      </c>
      <c r="I17" s="585">
        <f>'SolarCusto (ORÇ)'!I17</f>
        <v>0</v>
      </c>
      <c r="J17" s="133">
        <f>'SolarCusto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IF(ISBLANK('SolarCusto (ORÇ)'!C18)," ",'SolarCusto (ORÇ)'!C18)</f>
        <v xml:space="preserve"> </v>
      </c>
      <c r="D18" s="1214"/>
      <c r="E18" s="1214"/>
      <c r="F18" s="1214"/>
      <c r="G18" s="1175"/>
      <c r="H18" s="581">
        <f>'SolarCusto (ORÇ)'!H18</f>
        <v>0</v>
      </c>
      <c r="I18" s="585">
        <f>'SolarCusto (ORÇ)'!I18</f>
        <v>0</v>
      </c>
      <c r="J18" s="133">
        <f>'SolarCusto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IF(ISBLANK('SolarCusto (ORÇ)'!C19)," ",'SolarCusto (ORÇ)'!C19)</f>
        <v xml:space="preserve"> </v>
      </c>
      <c r="D19" s="1214"/>
      <c r="E19" s="1214"/>
      <c r="F19" s="1214"/>
      <c r="G19" s="1175"/>
      <c r="H19" s="581">
        <f>'SolarCusto (ORÇ)'!H19</f>
        <v>0</v>
      </c>
      <c r="I19" s="585">
        <f>'SolarCusto (ORÇ)'!I19</f>
        <v>0</v>
      </c>
      <c r="J19" s="133">
        <f>'SolarCusto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IF(ISBLANK('SolarCusto (ORÇ)'!C20)," ",'SolarCusto (ORÇ)'!C20)</f>
        <v xml:space="preserve"> </v>
      </c>
      <c r="D20" s="1214"/>
      <c r="E20" s="1214"/>
      <c r="F20" s="1214"/>
      <c r="G20" s="1175"/>
      <c r="H20" s="581">
        <f>'SolarCusto (ORÇ)'!H20</f>
        <v>0</v>
      </c>
      <c r="I20" s="585">
        <f>'SolarCusto (ORÇ)'!I20</f>
        <v>0</v>
      </c>
      <c r="J20" s="133">
        <f>'SolarCusto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20">
        <f t="shared" si="6"/>
        <v>0</v>
      </c>
    </row>
    <row r="21" spans="2:25" outlineLevel="1" x14ac:dyDescent="0.25">
      <c r="B21" s="175">
        <v>14</v>
      </c>
      <c r="C21" s="1214" t="str">
        <f>IF(ISBLANK('SolarCusto (ORÇ)'!C21)," ",'SolarCusto (ORÇ)'!C21)</f>
        <v xml:space="preserve"> </v>
      </c>
      <c r="D21" s="1214"/>
      <c r="E21" s="1214"/>
      <c r="F21" s="1214"/>
      <c r="G21" s="1175"/>
      <c r="H21" s="581">
        <f>'SolarCusto (ORÇ)'!H21</f>
        <v>0</v>
      </c>
      <c r="I21" s="585">
        <f>'SolarCusto (ORÇ)'!I21</f>
        <v>0</v>
      </c>
      <c r="J21" s="133">
        <f>'SolarCusto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IF(ISBLANK('SolarCusto (ORÇ)'!C22)," ",'SolarCusto (ORÇ)'!C22)</f>
        <v xml:space="preserve"> </v>
      </c>
      <c r="D22" s="1214"/>
      <c r="E22" s="1214"/>
      <c r="F22" s="1214"/>
      <c r="G22" s="1175"/>
      <c r="H22" s="581">
        <f>'SolarCusto (ORÇ)'!H22</f>
        <v>0</v>
      </c>
      <c r="I22" s="585">
        <f>'SolarCusto (ORÇ)'!I22</f>
        <v>0</v>
      </c>
      <c r="J22" s="133">
        <f>'SolarCusto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IF(ISBLANK('SolarCusto (ORÇ)'!C23)," ",'SolarCusto (ORÇ)'!C23)</f>
        <v xml:space="preserve"> </v>
      </c>
      <c r="D23" s="1214"/>
      <c r="E23" s="1214"/>
      <c r="F23" s="1214"/>
      <c r="G23" s="1175"/>
      <c r="H23" s="581">
        <f>'SolarCusto (ORÇ)'!H23</f>
        <v>0</v>
      </c>
      <c r="I23" s="585">
        <f>'SolarCusto (ORÇ)'!I23</f>
        <v>0</v>
      </c>
      <c r="J23" s="133">
        <f>'SolarCusto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IF(ISBLANK('SolarCusto (ORÇ)'!C24)," ",'SolarCusto (ORÇ)'!C24)</f>
        <v xml:space="preserve"> </v>
      </c>
      <c r="D24" s="1214"/>
      <c r="E24" s="1214"/>
      <c r="F24" s="1214"/>
      <c r="G24" s="1175"/>
      <c r="H24" s="581">
        <f>'SolarCusto (ORÇ)'!H24</f>
        <v>0</v>
      </c>
      <c r="I24" s="585">
        <f>'SolarCusto (ORÇ)'!I24</f>
        <v>0</v>
      </c>
      <c r="J24" s="133">
        <f>'SolarCusto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IF(ISBLANK('SolarCusto (ORÇ)'!C25)," ",'SolarCusto (ORÇ)'!C25)</f>
        <v xml:space="preserve"> </v>
      </c>
      <c r="D25" s="1214"/>
      <c r="E25" s="1214"/>
      <c r="F25" s="1214"/>
      <c r="G25" s="1175"/>
      <c r="H25" s="581">
        <f>'SolarCusto (ORÇ)'!H25</f>
        <v>0</v>
      </c>
      <c r="I25" s="585">
        <f>'SolarCusto (ORÇ)'!I25</f>
        <v>0</v>
      </c>
      <c r="J25" s="133">
        <f>'SolarCusto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IF(ISBLANK('SolarCusto (ORÇ)'!C26)," ",'SolarCusto (ORÇ)'!C26)</f>
        <v xml:space="preserve"> </v>
      </c>
      <c r="D26" s="1214"/>
      <c r="E26" s="1214"/>
      <c r="F26" s="1214"/>
      <c r="G26" s="1175"/>
      <c r="H26" s="581">
        <f>'SolarCusto (ORÇ)'!H26</f>
        <v>0</v>
      </c>
      <c r="I26" s="585">
        <f>'SolarCusto (ORÇ)'!I26</f>
        <v>0</v>
      </c>
      <c r="J26" s="133">
        <f>'SolarCusto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IF(ISBLANK('SolarCusto (ORÇ)'!C27)," ",'SolarCusto (ORÇ)'!C27)</f>
        <v xml:space="preserve"> </v>
      </c>
      <c r="D27" s="1214"/>
      <c r="E27" s="1214"/>
      <c r="F27" s="1214"/>
      <c r="G27" s="1175"/>
      <c r="H27" s="581">
        <f>'SolarCusto (ORÇ)'!H27</f>
        <v>0</v>
      </c>
      <c r="I27" s="585">
        <f>'SolarCusto (ORÇ)'!I27</f>
        <v>0</v>
      </c>
      <c r="J27" s="133">
        <f>'SolarCusto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IF(ISBLANK('SolarCusto (ORÇ)'!C28)," ",'SolarCusto (ORÇ)'!C28)</f>
        <v xml:space="preserve"> </v>
      </c>
      <c r="D28" s="1214"/>
      <c r="E28" s="1214"/>
      <c r="F28" s="1214"/>
      <c r="G28" s="1175"/>
      <c r="H28" s="581">
        <f>'SolarCusto (ORÇ)'!H28</f>
        <v>0</v>
      </c>
      <c r="I28" s="585">
        <f>'SolarCusto (ORÇ)'!I28</f>
        <v>0</v>
      </c>
      <c r="J28" s="133">
        <f>'SolarCusto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IF(ISBLANK('SolarCusto (ORÇ)'!C29)," ",'SolarCusto (ORÇ)'!C29)</f>
        <v xml:space="preserve"> </v>
      </c>
      <c r="D29" s="1214"/>
      <c r="E29" s="1214"/>
      <c r="F29" s="1214"/>
      <c r="G29" s="1175"/>
      <c r="H29" s="581">
        <f>'SolarCusto (ORÇ)'!H29</f>
        <v>0</v>
      </c>
      <c r="I29" s="585">
        <f>'SolarCusto (ORÇ)'!I29</f>
        <v>0</v>
      </c>
      <c r="J29" s="133">
        <f>'SolarCusto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IF(ISBLANK('SolarCusto (ORÇ)'!C30)," ",'SolarCusto (ORÇ)'!C30)</f>
        <v xml:space="preserve"> </v>
      </c>
      <c r="D30" s="1214"/>
      <c r="E30" s="1214"/>
      <c r="F30" s="1214"/>
      <c r="G30" s="1175"/>
      <c r="H30" s="581">
        <f>'SolarCusto (ORÇ)'!H30</f>
        <v>0</v>
      </c>
      <c r="I30" s="585">
        <f>'SolarCusto (ORÇ)'!I30</f>
        <v>0</v>
      </c>
      <c r="J30" s="133">
        <f>'SolarCusto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ht="18" customHeight="1" outlineLevel="1" x14ac:dyDescent="0.25">
      <c r="B31" s="175">
        <v>24</v>
      </c>
      <c r="C31" s="1214" t="str">
        <f>IF(ISBLANK('SolarCusto (ORÇ)'!C31)," ",'SolarCusto (ORÇ)'!C31)</f>
        <v xml:space="preserve"> </v>
      </c>
      <c r="D31" s="1214"/>
      <c r="E31" s="1214"/>
      <c r="F31" s="1214"/>
      <c r="G31" s="1175"/>
      <c r="H31" s="581">
        <f>'SolarCusto (ORÇ)'!H31</f>
        <v>0</v>
      </c>
      <c r="I31" s="585">
        <f>'SolarCusto (ORÇ)'!I31</f>
        <v>0</v>
      </c>
      <c r="J31" s="133">
        <f>'SolarCusto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ht="18" customHeight="1" outlineLevel="1" x14ac:dyDescent="0.25">
      <c r="B32" s="173">
        <v>25</v>
      </c>
      <c r="C32" s="1214" t="str">
        <f>IF(ISBLANK('SolarCusto (ORÇ)'!C32)," ",'SolarCusto (ORÇ)'!C32)</f>
        <v xml:space="preserve"> </v>
      </c>
      <c r="D32" s="1214"/>
      <c r="E32" s="1214"/>
      <c r="F32" s="1214"/>
      <c r="G32" s="1175"/>
      <c r="H32" s="581">
        <f>'SolarCusto (ORÇ)'!H32</f>
        <v>0</v>
      </c>
      <c r="I32" s="585">
        <f>'SolarCusto (ORÇ)'!I32</f>
        <v>0</v>
      </c>
      <c r="J32" s="133">
        <f>'SolarCusto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ht="15" customHeight="1" outlineLevel="1" x14ac:dyDescent="0.25">
      <c r="B33" s="175">
        <v>26</v>
      </c>
      <c r="C33" s="1214" t="str">
        <f>IF(ISBLANK('SolarCusto (ORÇ)'!C33)," ",'SolarCusto (ORÇ)'!C33)</f>
        <v xml:space="preserve"> </v>
      </c>
      <c r="D33" s="1214"/>
      <c r="E33" s="1214"/>
      <c r="F33" s="1214"/>
      <c r="G33" s="1175"/>
      <c r="H33" s="581">
        <f>'SolarCusto (ORÇ)'!H33</f>
        <v>0</v>
      </c>
      <c r="I33" s="585">
        <f>'SolarCusto (ORÇ)'!I33</f>
        <v>0</v>
      </c>
      <c r="J33" s="133">
        <f>'SolarCusto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outlineLevel="1" x14ac:dyDescent="0.25">
      <c r="B34" s="173">
        <v>27</v>
      </c>
      <c r="C34" s="1214" t="str">
        <f>IF(ISBLANK('SolarCusto (ORÇ)'!C34)," ",'SolarCusto (ORÇ)'!C34)</f>
        <v xml:space="preserve"> </v>
      </c>
      <c r="D34" s="1214"/>
      <c r="E34" s="1214"/>
      <c r="F34" s="1214"/>
      <c r="G34" s="1175"/>
      <c r="H34" s="581">
        <f>'SolarCusto (ORÇ)'!H34</f>
        <v>0</v>
      </c>
      <c r="I34" s="585">
        <f>'SolarCusto (ORÇ)'!I34</f>
        <v>0</v>
      </c>
      <c r="J34" s="133">
        <f>'SolarCusto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IF(ISBLANK('SolarCusto (ORÇ)'!C35)," ",'SolarCusto (ORÇ)'!C35)</f>
        <v xml:space="preserve"> </v>
      </c>
      <c r="D35" s="1214"/>
      <c r="E35" s="1214"/>
      <c r="F35" s="1214"/>
      <c r="G35" s="1175"/>
      <c r="H35" s="581">
        <f>'SolarCusto (ORÇ)'!H35</f>
        <v>0</v>
      </c>
      <c r="I35" s="585">
        <f>'SolarCusto (ORÇ)'!I35</f>
        <v>0</v>
      </c>
      <c r="J35" s="133">
        <f>'SolarCusto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IF(ISBLANK('SolarCusto (ORÇ)'!C36)," ",'SolarCusto (ORÇ)'!C36)</f>
        <v xml:space="preserve"> </v>
      </c>
      <c r="D36" s="1214"/>
      <c r="E36" s="1214"/>
      <c r="F36" s="1214"/>
      <c r="G36" s="1175"/>
      <c r="H36" s="581">
        <f>'SolarCusto (ORÇ)'!H36</f>
        <v>0</v>
      </c>
      <c r="I36" s="585">
        <f>'SolarCusto (ORÇ)'!I36</f>
        <v>0</v>
      </c>
      <c r="J36" s="133">
        <f>'SolarCusto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IF(ISBLANK('SolarCusto (ORÇ)'!C37)," ",'SolarCusto (ORÇ)'!C37)</f>
        <v xml:space="preserve"> </v>
      </c>
      <c r="D37" s="1214"/>
      <c r="E37" s="1214"/>
      <c r="F37" s="1214"/>
      <c r="G37" s="1175"/>
      <c r="H37" s="581">
        <f>'SolarCusto (ORÇ)'!H37</f>
        <v>0</v>
      </c>
      <c r="I37" s="585">
        <f>'SolarCusto (ORÇ)'!I37</f>
        <v>0</v>
      </c>
      <c r="J37" s="133">
        <f>'SolarCusto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IF(ISBLANK('SolarCusto (ORÇ)'!C38)," ",'SolarCusto (ORÇ)'!C38)</f>
        <v xml:space="preserve"> </v>
      </c>
      <c r="D38" s="1214"/>
      <c r="E38" s="1214"/>
      <c r="F38" s="1214"/>
      <c r="G38" s="1175"/>
      <c r="H38" s="581">
        <f>'SolarCusto (ORÇ)'!H38</f>
        <v>0</v>
      </c>
      <c r="I38" s="585">
        <f>'SolarCusto (ORÇ)'!I38</f>
        <v>0</v>
      </c>
      <c r="J38" s="133">
        <f>'SolarCusto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ht="15" customHeight="1" outlineLevel="1" x14ac:dyDescent="0.25">
      <c r="B39" s="175">
        <v>32</v>
      </c>
      <c r="C39" s="1214" t="str">
        <f>IF(ISBLANK('SolarCusto (ORÇ)'!C39)," ",'SolarCusto (ORÇ)'!C39)</f>
        <v xml:space="preserve"> </v>
      </c>
      <c r="D39" s="1214"/>
      <c r="E39" s="1214"/>
      <c r="F39" s="1214"/>
      <c r="G39" s="1175"/>
      <c r="H39" s="581">
        <f>'SolarCusto (ORÇ)'!H39</f>
        <v>0</v>
      </c>
      <c r="I39" s="585">
        <f>'SolarCusto (ORÇ)'!I39</f>
        <v>0</v>
      </c>
      <c r="J39" s="133">
        <f>'SolarCusto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IF(ISBLANK('SolarCusto (ORÇ)'!C40)," ",'SolarCusto (ORÇ)'!C40)</f>
        <v xml:space="preserve"> </v>
      </c>
      <c r="D40" s="1214"/>
      <c r="E40" s="1214"/>
      <c r="F40" s="1214"/>
      <c r="G40" s="1175"/>
      <c r="H40" s="581">
        <f>'SolarCusto (ORÇ)'!H40</f>
        <v>0</v>
      </c>
      <c r="I40" s="585">
        <f>'SolarCusto (ORÇ)'!I40</f>
        <v>0</v>
      </c>
      <c r="J40" s="133">
        <f>'SolarCusto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IF(ISBLANK('SolarCusto (ORÇ)'!C41)," ",'SolarCusto (ORÇ)'!C41)</f>
        <v xml:space="preserve"> </v>
      </c>
      <c r="D41" s="1214"/>
      <c r="E41" s="1214"/>
      <c r="F41" s="1214"/>
      <c r="G41" s="1175"/>
      <c r="H41" s="581">
        <f>'SolarCusto (ORÇ)'!H41</f>
        <v>0</v>
      </c>
      <c r="I41" s="585">
        <f>'SolarCusto (ORÇ)'!I41</f>
        <v>0</v>
      </c>
      <c r="J41" s="133">
        <f>'SolarCusto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IF(ISBLANK('SolarCusto (ORÇ)'!C42)," ",'SolarCusto (ORÇ)'!C42)</f>
        <v xml:space="preserve"> </v>
      </c>
      <c r="D42" s="1214"/>
      <c r="E42" s="1214"/>
      <c r="F42" s="1214"/>
      <c r="G42" s="1175"/>
      <c r="H42" s="581">
        <f>'SolarCusto (ORÇ)'!H42</f>
        <v>0</v>
      </c>
      <c r="I42" s="585">
        <f>'SolarCusto (ORÇ)'!I42</f>
        <v>0</v>
      </c>
      <c r="J42" s="133">
        <f>'SolarCusto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ht="15" customHeight="1" outlineLevel="1" x14ac:dyDescent="0.25">
      <c r="B43" s="175">
        <v>36</v>
      </c>
      <c r="C43" s="1214" t="str">
        <f>IF(ISBLANK('SolarCusto (ORÇ)'!C43)," ",'SolarCusto (ORÇ)'!C43)</f>
        <v xml:space="preserve"> </v>
      </c>
      <c r="D43" s="1214"/>
      <c r="E43" s="1214"/>
      <c r="F43" s="1214"/>
      <c r="G43" s="1175"/>
      <c r="H43" s="581">
        <f>'SolarCusto (ORÇ)'!H43</f>
        <v>0</v>
      </c>
      <c r="I43" s="585">
        <f>'SolarCusto (ORÇ)'!I43</f>
        <v>0</v>
      </c>
      <c r="J43" s="133">
        <f>'SolarCusto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IF(ISBLANK('SolarCusto (ORÇ)'!C44)," ",'SolarCusto (ORÇ)'!C44)</f>
        <v xml:space="preserve"> </v>
      </c>
      <c r="D44" s="1214"/>
      <c r="E44" s="1214"/>
      <c r="F44" s="1214"/>
      <c r="G44" s="1175"/>
      <c r="H44" s="581">
        <f>'SolarCusto (ORÇ)'!H44</f>
        <v>0</v>
      </c>
      <c r="I44" s="585">
        <f>'SolarCusto (ORÇ)'!I44</f>
        <v>0</v>
      </c>
      <c r="J44" s="133">
        <f>'SolarCusto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IF(ISBLANK('SolarCusto (ORÇ)'!C45)," ",'SolarCusto (ORÇ)'!C45)</f>
        <v xml:space="preserve"> </v>
      </c>
      <c r="D45" s="1214"/>
      <c r="E45" s="1214"/>
      <c r="F45" s="1214"/>
      <c r="G45" s="1175"/>
      <c r="H45" s="581">
        <f>'SolarCusto (ORÇ)'!H45</f>
        <v>0</v>
      </c>
      <c r="I45" s="585">
        <f>'SolarCusto (ORÇ)'!I45</f>
        <v>0</v>
      </c>
      <c r="J45" s="133">
        <f>'SolarCusto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IF(ISBLANK('SolarCusto (ORÇ)'!C46)," ",'SolarCusto (ORÇ)'!C46)</f>
        <v xml:space="preserve"> </v>
      </c>
      <c r="D46" s="1214"/>
      <c r="E46" s="1214"/>
      <c r="F46" s="1214"/>
      <c r="G46" s="1175"/>
      <c r="H46" s="581">
        <f>'SolarCusto (ORÇ)'!H46</f>
        <v>0</v>
      </c>
      <c r="I46" s="585">
        <f>'SolarCusto (ORÇ)'!I46</f>
        <v>0</v>
      </c>
      <c r="J46" s="133">
        <f>'SolarCusto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ht="15" customHeight="1" outlineLevel="1" x14ac:dyDescent="0.25">
      <c r="B47" s="175">
        <v>40</v>
      </c>
      <c r="C47" s="1214" t="str">
        <f>IF(ISBLANK('SolarCusto (ORÇ)'!C47)," ",'SolarCusto (ORÇ)'!C47)</f>
        <v xml:space="preserve"> </v>
      </c>
      <c r="D47" s="1214"/>
      <c r="E47" s="1214"/>
      <c r="F47" s="1214"/>
      <c r="G47" s="1175"/>
      <c r="H47" s="581">
        <f>'SolarCusto (ORÇ)'!H47</f>
        <v>0</v>
      </c>
      <c r="I47" s="585">
        <f>'SolarCusto (ORÇ)'!I47</f>
        <v>0</v>
      </c>
      <c r="J47" s="133">
        <f>'SolarCusto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IF(ISBLANK('SolarCusto (ORÇ)'!C48)," ",'SolarCusto (ORÇ)'!C48)</f>
        <v>Acessórios</v>
      </c>
      <c r="D48" s="1214"/>
      <c r="E48" s="1214"/>
      <c r="F48" s="1214"/>
      <c r="G48" s="1175"/>
      <c r="H48" s="581">
        <f>'SolarCusto (ORÇ)'!H48</f>
        <v>20</v>
      </c>
      <c r="I48" s="585">
        <f>'SolarCusto (ORÇ)'!I48</f>
        <v>0</v>
      </c>
      <c r="J48" s="133">
        <f>'SolarCusto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20</v>
      </c>
      <c r="W48" s="345">
        <f t="shared" si="5"/>
        <v>0.10185220882315059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548</v>
      </c>
      <c r="D49" s="1186"/>
      <c r="E49" s="1186"/>
      <c r="F49" s="1186"/>
      <c r="G49" s="1186"/>
      <c r="H49" s="1186"/>
      <c r="I49" s="1186"/>
      <c r="J49" s="1187"/>
      <c r="K49" s="178">
        <f>SUM(K8:K48)</f>
        <v>0</v>
      </c>
      <c r="L49" s="178">
        <f>SUM(L8:L48)</f>
        <v>0</v>
      </c>
      <c r="M49" s="178">
        <f>SUM(M8:M48)</f>
        <v>0</v>
      </c>
      <c r="N49" s="178">
        <f>SUM(N8:N48)</f>
        <v>0</v>
      </c>
      <c r="O49" s="410"/>
      <c r="P49" s="1170" t="s">
        <v>816</v>
      </c>
      <c r="Q49" s="1171"/>
      <c r="R49" s="1171"/>
      <c r="S49" s="1171"/>
      <c r="T49" s="1171"/>
      <c r="U49" s="1171"/>
      <c r="V49" s="1172"/>
      <c r="W49" s="179" t="s">
        <v>834</v>
      </c>
      <c r="X49" s="180">
        <f>SUM(X8:X48)</f>
        <v>0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817</v>
      </c>
      <c r="Q50" s="1171"/>
      <c r="R50" s="1171"/>
      <c r="S50" s="1171"/>
      <c r="T50" s="1171"/>
      <c r="U50" s="1171"/>
      <c r="V50" s="1172"/>
      <c r="W50" s="179" t="s">
        <v>833</v>
      </c>
      <c r="X50" s="180">
        <f>IFERROR(X49*($L$86/$K$86),0)</f>
        <v>0</v>
      </c>
    </row>
    <row r="51" spans="2:24" ht="15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5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0</v>
      </c>
      <c r="L52" s="344">
        <f>'Custo Contábil'!H39</f>
        <v>0</v>
      </c>
      <c r="M52" s="344">
        <v>0</v>
      </c>
      <c r="N52" s="344">
        <v>0</v>
      </c>
      <c r="O52" s="410"/>
      <c r="P52" s="353" t="s">
        <v>830</v>
      </c>
      <c r="Q52" s="339"/>
      <c r="R52" s="184">
        <f>RCB!G9</f>
        <v>0</v>
      </c>
      <c r="T52" s="1212" t="s">
        <v>709</v>
      </c>
      <c r="U52" s="1213"/>
      <c r="V52" s="340">
        <f>IFERROR(SUM(Y8:Y48)/X49,0)</f>
        <v>0</v>
      </c>
    </row>
    <row r="53" spans="2:24" ht="18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0</v>
      </c>
      <c r="L53" s="344">
        <f>Diagnóstico!M17</f>
        <v>0</v>
      </c>
      <c r="M53" s="344">
        <f>Diagnóstico!N17</f>
        <v>0</v>
      </c>
      <c r="N53" s="344">
        <f>Diagnóstico!O17</f>
        <v>0</v>
      </c>
      <c r="O53" s="410"/>
      <c r="P53" s="353" t="s">
        <v>831</v>
      </c>
      <c r="Q53" s="339"/>
      <c r="R53" s="184">
        <f>RCB!J9</f>
        <v>0</v>
      </c>
    </row>
    <row r="54" spans="2:24" ht="15" customHeight="1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317" t="s">
        <v>295</v>
      </c>
      <c r="J54" s="317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ht="15" customHeight="1" x14ac:dyDescent="0.25">
      <c r="B55" s="173">
        <v>1</v>
      </c>
      <c r="C55" s="1214" t="str">
        <f>IF(ISBLANK('SolarCusto (ORÇ)'!C60)," ",'SolarCusto (ORÇ)'!C60)</f>
        <v xml:space="preserve"> </v>
      </c>
      <c r="D55" s="1214"/>
      <c r="E55" s="1214"/>
      <c r="F55" s="1214"/>
      <c r="G55" s="1175"/>
      <c r="H55" s="581">
        <f>'SolarCusto (ORÇ)'!H60</f>
        <v>0</v>
      </c>
      <c r="I55" s="585">
        <f>'SolarCusto (ORÇ)'!I60</f>
        <v>0</v>
      </c>
      <c r="J55" s="133">
        <f>'SolarCusto (ORÇ)'!J60</f>
        <v>0</v>
      </c>
      <c r="K55" s="344">
        <f>H55*I55*J55</f>
        <v>0</v>
      </c>
      <c r="L55" s="344">
        <f>K55-M55-N55</f>
        <v>0</v>
      </c>
      <c r="M55" s="343"/>
      <c r="N55" s="343"/>
      <c r="O55" s="410"/>
    </row>
    <row r="56" spans="2:24" ht="15" customHeight="1" x14ac:dyDescent="0.25">
      <c r="B56" s="175">
        <v>2</v>
      </c>
      <c r="C56" s="1214" t="str">
        <f>IF(ISBLANK('SolarCusto (ORÇ)'!C61)," ",'SolarCusto (ORÇ)'!C61)</f>
        <v xml:space="preserve"> </v>
      </c>
      <c r="D56" s="1214"/>
      <c r="E56" s="1214"/>
      <c r="F56" s="1214"/>
      <c r="G56" s="1175"/>
      <c r="H56" s="581">
        <f>'SolarCusto (ORÇ)'!H61</f>
        <v>0</v>
      </c>
      <c r="I56" s="585">
        <f>'SolarCusto (ORÇ)'!I61</f>
        <v>0</v>
      </c>
      <c r="J56" s="133">
        <f>'SolarCusto (ORÇ)'!J61</f>
        <v>0</v>
      </c>
      <c r="K56" s="344">
        <f>H56*I56*J56</f>
        <v>0</v>
      </c>
      <c r="L56" s="344">
        <f>K56-M56-N56</f>
        <v>0</v>
      </c>
      <c r="M56" s="343"/>
      <c r="N56" s="343"/>
      <c r="O56" s="410"/>
    </row>
    <row r="57" spans="2:24" ht="15" customHeight="1" x14ac:dyDescent="0.25">
      <c r="B57" s="173">
        <v>3</v>
      </c>
      <c r="C57" s="1214" t="str">
        <f>IF(ISBLANK('SolarCusto (ORÇ)'!C62)," ",'SolarCusto (ORÇ)'!C62)</f>
        <v xml:space="preserve"> </v>
      </c>
      <c r="D57" s="1214"/>
      <c r="E57" s="1214"/>
      <c r="F57" s="1214"/>
      <c r="G57" s="1175"/>
      <c r="H57" s="581">
        <f>'SolarCusto (ORÇ)'!H62</f>
        <v>0</v>
      </c>
      <c r="I57" s="585">
        <f>'SolarCusto (ORÇ)'!I62</f>
        <v>0</v>
      </c>
      <c r="J57" s="133">
        <f>'SolarCusto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x14ac:dyDescent="0.25">
      <c r="B58" s="175">
        <v>4</v>
      </c>
      <c r="C58" s="1214" t="str">
        <f>IF(ISBLANK('SolarCusto (ORÇ)'!C63)," ",'SolarCusto (ORÇ)'!C63)</f>
        <v xml:space="preserve"> </v>
      </c>
      <c r="D58" s="1214"/>
      <c r="E58" s="1214"/>
      <c r="F58" s="1214"/>
      <c r="G58" s="1175"/>
      <c r="H58" s="581">
        <f>'SolarCusto (ORÇ)'!H63</f>
        <v>0</v>
      </c>
      <c r="I58" s="585">
        <f>'SolarCusto (ORÇ)'!I63</f>
        <v>0</v>
      </c>
      <c r="J58" s="133">
        <f>'SolarCusto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x14ac:dyDescent="0.25">
      <c r="B59" s="173">
        <v>5</v>
      </c>
      <c r="C59" s="1214" t="str">
        <f>IF(ISBLANK('SolarCusto (ORÇ)'!C64)," ",'SolarCusto (ORÇ)'!C64)</f>
        <v xml:space="preserve"> </v>
      </c>
      <c r="D59" s="1214"/>
      <c r="E59" s="1214"/>
      <c r="F59" s="1214"/>
      <c r="G59" s="1175"/>
      <c r="H59" s="581">
        <f>'SolarCusto (ORÇ)'!H64</f>
        <v>0</v>
      </c>
      <c r="I59" s="585">
        <f>'SolarCusto (ORÇ)'!I64</f>
        <v>0</v>
      </c>
      <c r="J59" s="133">
        <f>'SolarCusto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x14ac:dyDescent="0.25">
      <c r="B60" s="181"/>
      <c r="C60" s="1184" t="s">
        <v>549</v>
      </c>
      <c r="D60" s="1184"/>
      <c r="E60" s="1184"/>
      <c r="F60" s="1184"/>
      <c r="G60" s="1184"/>
      <c r="H60" s="1184"/>
      <c r="I60" s="1184"/>
      <c r="J60" s="1185"/>
      <c r="K60" s="344">
        <f>SUM(K55:K59)</f>
        <v>0</v>
      </c>
      <c r="L60" s="344">
        <f>SUM(L55:L59)</f>
        <v>0</v>
      </c>
      <c r="M60" s="344">
        <f>SUM(M55:M59)</f>
        <v>0</v>
      </c>
      <c r="N60" s="344">
        <f>SUM(N55:N59)</f>
        <v>0</v>
      </c>
      <c r="O60" s="410"/>
    </row>
    <row r="61" spans="2:24" ht="15" customHeight="1" x14ac:dyDescent="0.25">
      <c r="B61" s="337"/>
      <c r="C61" s="1186" t="s">
        <v>550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0</v>
      </c>
      <c r="L61" s="293">
        <f>SUM(L60,L52:L53)</f>
        <v>0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0</v>
      </c>
      <c r="L64" s="347">
        <f>'Custo Contábil'!H41</f>
        <v>0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317" t="s">
        <v>16</v>
      </c>
      <c r="J65" s="317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IF(ISBLANK('SolarCusto (ORÇ)'!C76)," ",'SolarCusto (ORÇ)'!C76)</f>
        <v xml:space="preserve"> </v>
      </c>
      <c r="D66" s="1174"/>
      <c r="E66" s="1174"/>
      <c r="F66" s="1174"/>
      <c r="G66" s="1174"/>
      <c r="H66" s="1183"/>
      <c r="I66" s="585">
        <f>'SolarCusto (ORÇ)'!I76</f>
        <v>0</v>
      </c>
      <c r="J66" s="133">
        <f>'SolarCusto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x14ac:dyDescent="0.25">
      <c r="B67" s="186">
        <v>2</v>
      </c>
      <c r="C67" s="1174" t="str">
        <f>IF(ISBLANK('SolarCusto (ORÇ)'!C77)," ",'SolarCusto (ORÇ)'!C77)</f>
        <v xml:space="preserve"> </v>
      </c>
      <c r="D67" s="1174"/>
      <c r="E67" s="1174"/>
      <c r="F67" s="1174"/>
      <c r="G67" s="1174"/>
      <c r="H67" s="1183"/>
      <c r="I67" s="585">
        <f>'SolarCusto (ORÇ)'!I77</f>
        <v>0</v>
      </c>
      <c r="J67" s="133">
        <f>'SolarCusto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IF(ISBLANK('SolarCusto (ORÇ)'!C78)," ",'SolarCusto (ORÇ)'!C78)</f>
        <v xml:space="preserve"> </v>
      </c>
      <c r="D68" s="1174"/>
      <c r="E68" s="1174"/>
      <c r="F68" s="1174"/>
      <c r="G68" s="1174"/>
      <c r="H68" s="1183"/>
      <c r="I68" s="585">
        <f>'SolarCusto (ORÇ)'!I78</f>
        <v>0</v>
      </c>
      <c r="J68" s="133">
        <f>'SolarCusto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829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551</v>
      </c>
      <c r="D70" s="1186"/>
      <c r="E70" s="1186"/>
      <c r="F70" s="1186"/>
      <c r="G70" s="1186"/>
      <c r="H70" s="1186"/>
      <c r="I70" s="1186"/>
      <c r="J70" s="1187"/>
      <c r="K70" s="178">
        <f>SUM(K64,K69)</f>
        <v>0</v>
      </c>
      <c r="L70" s="178">
        <f>SUM(L64,L69)</f>
        <v>0</v>
      </c>
      <c r="M70" s="178">
        <f>SUM(M64,M69)</f>
        <v>0</v>
      </c>
      <c r="N70" s="178">
        <f>SUM(N64,N69)</f>
        <v>0</v>
      </c>
      <c r="O70" s="410"/>
    </row>
    <row r="71" spans="2:16" x14ac:dyDescent="0.25">
      <c r="B71" s="341"/>
      <c r="C71" s="1179" t="s">
        <v>552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0</v>
      </c>
      <c r="L71" s="139">
        <f>SUM(L49,L61,L70)</f>
        <v>0</v>
      </c>
      <c r="M71" s="139">
        <f>SUM(M49,M61,M70)</f>
        <v>0</v>
      </c>
      <c r="N71" s="139">
        <f>SUM(N49,N61,N70)</f>
        <v>0</v>
      </c>
      <c r="O71" s="410"/>
    </row>
    <row r="72" spans="2:16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7">SUM(L74:N74)</f>
        <v>0</v>
      </c>
      <c r="L74" s="344">
        <f>'Custo Contábil'!$H$37*'Custo Contábil'!F13</f>
        <v>0</v>
      </c>
      <c r="M74" s="344">
        <f>'Custo Contábil'!$H$37*'Custo Contábil'!G13</f>
        <v>0</v>
      </c>
      <c r="N74" s="344">
        <f>'Custo Contábil'!$H$37*'Custo Contábil'!H13</f>
        <v>0</v>
      </c>
      <c r="O74" s="410"/>
    </row>
    <row r="75" spans="2:16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7"/>
        <v>0</v>
      </c>
      <c r="L75" s="344">
        <f>'Custo Contábil'!H45</f>
        <v>0</v>
      </c>
      <c r="M75" s="344">
        <v>0</v>
      </c>
      <c r="N75" s="344">
        <v>0</v>
      </c>
      <c r="O75" s="410"/>
    </row>
    <row r="76" spans="2:16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7"/>
        <v>0</v>
      </c>
      <c r="L76" s="344">
        <f>Marketing!L22</f>
        <v>0</v>
      </c>
      <c r="M76" s="344">
        <f>Marketing!M22</f>
        <v>0</v>
      </c>
      <c r="N76" s="344">
        <f>Marketing!N22</f>
        <v>0</v>
      </c>
      <c r="O76" s="410"/>
    </row>
    <row r="77" spans="2:16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7"/>
        <v>0</v>
      </c>
      <c r="L77" s="344">
        <f>Treinamento!L36</f>
        <v>0</v>
      </c>
      <c r="M77" s="344">
        <f>Treinamento!M36</f>
        <v>0</v>
      </c>
      <c r="N77" s="344">
        <f>Treinamento!N36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7"/>
        <v>0</v>
      </c>
      <c r="L78" s="344">
        <f>Descarte!L69</f>
        <v>0</v>
      </c>
      <c r="M78" s="344">
        <f>Descarte!M69</f>
        <v>0</v>
      </c>
      <c r="N78" s="344">
        <f>Descarte!N69</f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7"/>
        <v>0</v>
      </c>
      <c r="L79" s="344">
        <f>'M&amp;V'!N346</f>
        <v>0</v>
      </c>
      <c r="M79" s="344">
        <f>'M&amp;V'!O346</f>
        <v>0</v>
      </c>
      <c r="N79" s="344">
        <f>'M&amp;V'!P346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317" t="s">
        <v>16</v>
      </c>
      <c r="J80" s="317" t="s">
        <v>301</v>
      </c>
      <c r="K80" s="172" t="s">
        <v>286</v>
      </c>
      <c r="L80" s="317" t="s">
        <v>796</v>
      </c>
      <c r="M80" s="127" t="s">
        <v>240</v>
      </c>
      <c r="N80" s="127" t="s">
        <v>241</v>
      </c>
      <c r="O80" s="410"/>
    </row>
    <row r="81" spans="2:15" x14ac:dyDescent="0.25">
      <c r="B81" s="186">
        <v>1</v>
      </c>
      <c r="C81" s="1174" t="str">
        <f>IF(ISBLANK('SolarCusto (ORÇ)'!C90)," ",'SolarCusto (ORÇ)'!C90)</f>
        <v xml:space="preserve"> </v>
      </c>
      <c r="D81" s="1174"/>
      <c r="E81" s="1174"/>
      <c r="F81" s="1174"/>
      <c r="G81" s="1174"/>
      <c r="H81" s="1183"/>
      <c r="I81" s="585">
        <f>'SolarCusto (ORÇ)'!I90</f>
        <v>0</v>
      </c>
      <c r="J81" s="133">
        <f>'SolarCusto (ORÇ)'!J90</f>
        <v>0</v>
      </c>
      <c r="K81" s="344">
        <f>I81*J81</f>
        <v>0</v>
      </c>
      <c r="L81" s="344">
        <f>K81-M81-N81</f>
        <v>0</v>
      </c>
      <c r="M81" s="343"/>
      <c r="N81" s="343"/>
      <c r="O81" s="410"/>
    </row>
    <row r="82" spans="2:15" x14ac:dyDescent="0.25">
      <c r="B82" s="186">
        <v>2</v>
      </c>
      <c r="C82" s="1174" t="str">
        <f>IF(ISBLANK('SolarCusto (ORÇ)'!C91)," ",'SolarCusto (ORÇ)'!C91)</f>
        <v xml:space="preserve"> </v>
      </c>
      <c r="D82" s="1174"/>
      <c r="E82" s="1174"/>
      <c r="F82" s="1174"/>
      <c r="G82" s="1174"/>
      <c r="H82" s="1183"/>
      <c r="I82" s="585">
        <f>'SolarCusto (ORÇ)'!I91</f>
        <v>0</v>
      </c>
      <c r="J82" s="133">
        <f>'SolarCusto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IF(ISBLANK('SolarCusto (ORÇ)'!C92)," ",'SolarCusto (ORÇ)'!C92)</f>
        <v xml:space="preserve"> </v>
      </c>
      <c r="D83" s="1174"/>
      <c r="E83" s="1174"/>
      <c r="F83" s="1174"/>
      <c r="G83" s="1174"/>
      <c r="H83" s="1183"/>
      <c r="I83" s="585">
        <f>'SolarCusto (ORÇ)'!I92</f>
        <v>0</v>
      </c>
      <c r="J83" s="133">
        <f>'SolarCusto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x14ac:dyDescent="0.25">
      <c r="B84" s="181"/>
      <c r="C84" s="1184" t="s">
        <v>832</v>
      </c>
      <c r="D84" s="1184"/>
      <c r="E84" s="1184"/>
      <c r="F84" s="1184"/>
      <c r="G84" s="1184"/>
      <c r="H84" s="1184"/>
      <c r="I84" s="1184"/>
      <c r="J84" s="1185"/>
      <c r="K84" s="344">
        <f>SUM(K81:K83)</f>
        <v>0</v>
      </c>
      <c r="L84" s="344">
        <f>SUM(L81:L83)</f>
        <v>0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553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0</v>
      </c>
      <c r="L85" s="139">
        <f>SUM(L74:L79,L84)</f>
        <v>0</v>
      </c>
      <c r="M85" s="139">
        <f>SUM(M74:M79,M84)</f>
        <v>0</v>
      </c>
      <c r="N85" s="139">
        <f>SUM(N74:N79,N84)</f>
        <v>0</v>
      </c>
    </row>
    <row r="86" spans="2:15" x14ac:dyDescent="0.25">
      <c r="B86" s="187"/>
      <c r="C86" s="1181" t="s">
        <v>735</v>
      </c>
      <c r="D86" s="1181"/>
      <c r="E86" s="1181"/>
      <c r="F86" s="1181"/>
      <c r="G86" s="1181"/>
      <c r="H86" s="1181"/>
      <c r="I86" s="1181"/>
      <c r="J86" s="1182"/>
      <c r="K86" s="180">
        <f>SUM(K71,K85)</f>
        <v>0</v>
      </c>
      <c r="L86" s="180">
        <f>SUM(L71,L85)</f>
        <v>0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sheetProtection algorithmName="SHA-512" hashValue="VRdgJnvWwWVFcPbwxXP6w64Oa88ascjS61jLrfxfDTRgGgF+FezDhSrN7WS4B3Fl5NHerSGddDK6LoerKZFTtQ==" saltValue="oCqfjudqyJGe80C3TbZq6Q==" spinCount="100000" sheet="1" objects="1" scenarios="1"/>
  <mergeCells count="133">
    <mergeCell ref="C83:H83"/>
    <mergeCell ref="C84:J84"/>
    <mergeCell ref="C85:J85"/>
    <mergeCell ref="C86:J86"/>
    <mergeCell ref="B72:N72"/>
    <mergeCell ref="B73:G73"/>
    <mergeCell ref="C74:J74"/>
    <mergeCell ref="C75:J75"/>
    <mergeCell ref="C76:J76"/>
    <mergeCell ref="C77:J77"/>
    <mergeCell ref="C78:J78"/>
    <mergeCell ref="C79:J79"/>
    <mergeCell ref="B80:H80"/>
    <mergeCell ref="C66:H66"/>
    <mergeCell ref="C67:H67"/>
    <mergeCell ref="C68:H68"/>
    <mergeCell ref="C69:J69"/>
    <mergeCell ref="C70:J70"/>
    <mergeCell ref="B62:N62"/>
    <mergeCell ref="C71:J71"/>
    <mergeCell ref="C81:H81"/>
    <mergeCell ref="C82:H82"/>
    <mergeCell ref="C52:G52"/>
    <mergeCell ref="T52:U52"/>
    <mergeCell ref="C53:G53"/>
    <mergeCell ref="B50:N50"/>
    <mergeCell ref="C49:J49"/>
    <mergeCell ref="C47:G47"/>
    <mergeCell ref="B63:G63"/>
    <mergeCell ref="C64:J64"/>
    <mergeCell ref="C65:H65"/>
    <mergeCell ref="C21:G21"/>
    <mergeCell ref="Q21:U21"/>
    <mergeCell ref="C22:G22"/>
    <mergeCell ref="Q22:U22"/>
    <mergeCell ref="C23:G23"/>
    <mergeCell ref="Q23:U23"/>
    <mergeCell ref="C10:G10"/>
    <mergeCell ref="C13:G13"/>
    <mergeCell ref="Q48:U48"/>
    <mergeCell ref="C29:G29"/>
    <mergeCell ref="Q29:U29"/>
    <mergeCell ref="C30:G30"/>
    <mergeCell ref="Q30:U30"/>
    <mergeCell ref="C31:G31"/>
    <mergeCell ref="Q31:U31"/>
    <mergeCell ref="C24:G24"/>
    <mergeCell ref="Q24:U24"/>
    <mergeCell ref="C25:G25"/>
    <mergeCell ref="Q25:U25"/>
    <mergeCell ref="C26:G26"/>
    <mergeCell ref="Q26:U26"/>
    <mergeCell ref="Q37:U37"/>
    <mergeCell ref="Q38:U38"/>
    <mergeCell ref="C39:G39"/>
    <mergeCell ref="Q39:U39"/>
    <mergeCell ref="C61:J61"/>
    <mergeCell ref="C54:G54"/>
    <mergeCell ref="C55:G55"/>
    <mergeCell ref="C56:G56"/>
    <mergeCell ref="C57:G57"/>
    <mergeCell ref="C58:G58"/>
    <mergeCell ref="C59:G59"/>
    <mergeCell ref="C60:J60"/>
    <mergeCell ref="Q42:U42"/>
    <mergeCell ref="C43:G43"/>
    <mergeCell ref="Q43:U43"/>
    <mergeCell ref="C44:G44"/>
    <mergeCell ref="Q44:U44"/>
    <mergeCell ref="C45:G45"/>
    <mergeCell ref="Q45:U45"/>
    <mergeCell ref="C46:G46"/>
    <mergeCell ref="Q46:U46"/>
    <mergeCell ref="C42:G42"/>
    <mergeCell ref="Q47:U47"/>
    <mergeCell ref="C48:G48"/>
    <mergeCell ref="P49:V49"/>
    <mergeCell ref="P50:V50"/>
    <mergeCell ref="B51:G51"/>
    <mergeCell ref="Q13:U13"/>
    <mergeCell ref="C14:G14"/>
    <mergeCell ref="Q14:U14"/>
    <mergeCell ref="C40:G40"/>
    <mergeCell ref="Q40:U40"/>
    <mergeCell ref="C41:G41"/>
    <mergeCell ref="Q41:U41"/>
    <mergeCell ref="C34:G34"/>
    <mergeCell ref="C35:G35"/>
    <mergeCell ref="C27:G27"/>
    <mergeCell ref="Q27:U27"/>
    <mergeCell ref="C28:G28"/>
    <mergeCell ref="Q28:U28"/>
    <mergeCell ref="C32:G32"/>
    <mergeCell ref="Q32:U32"/>
    <mergeCell ref="C33:G33"/>
    <mergeCell ref="Q33:U33"/>
    <mergeCell ref="C36:G36"/>
    <mergeCell ref="C37:G37"/>
    <mergeCell ref="C38:G38"/>
    <mergeCell ref="Q34:U34"/>
    <mergeCell ref="Q35:U35"/>
    <mergeCell ref="Q36:U36"/>
    <mergeCell ref="C18:G18"/>
    <mergeCell ref="Q18:U18"/>
    <mergeCell ref="C19:G19"/>
    <mergeCell ref="Q19:U19"/>
    <mergeCell ref="C20:G20"/>
    <mergeCell ref="Q20:U20"/>
    <mergeCell ref="C15:G15"/>
    <mergeCell ref="Q15:U15"/>
    <mergeCell ref="C16:G16"/>
    <mergeCell ref="Q16:U16"/>
    <mergeCell ref="C17:G17"/>
    <mergeCell ref="Q17:U17"/>
    <mergeCell ref="B2:N2"/>
    <mergeCell ref="B3:K4"/>
    <mergeCell ref="B5:N5"/>
    <mergeCell ref="P6:X6"/>
    <mergeCell ref="B7:G7"/>
    <mergeCell ref="P7:U7"/>
    <mergeCell ref="C8:G8"/>
    <mergeCell ref="Q8:U8"/>
    <mergeCell ref="C12:G12"/>
    <mergeCell ref="Q12:U12"/>
    <mergeCell ref="C9:G9"/>
    <mergeCell ref="Q9:U9"/>
    <mergeCell ref="C11:G11"/>
    <mergeCell ref="Q11:U11"/>
    <mergeCell ref="Q10:U10"/>
    <mergeCell ref="P2:X2"/>
    <mergeCell ref="L3:N3"/>
    <mergeCell ref="P3:X4"/>
    <mergeCell ref="B6:N6"/>
  </mergeCells>
  <conditionalFormatting sqref="R31:R32">
    <cfRule type="cellIs" dxfId="54" priority="2" operator="lessThan">
      <formula>0</formula>
    </cfRule>
  </conditionalFormatting>
  <conditionalFormatting sqref="R52:R53">
    <cfRule type="cellIs" dxfId="53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5">
    <tabColor theme="5"/>
  </sheetPr>
  <dimension ref="A2:N46"/>
  <sheetViews>
    <sheetView showGridLines="0" topLeftCell="A3" zoomScale="90" zoomScaleNormal="90" workbookViewId="0">
      <selection activeCell="D24" sqref="D24"/>
    </sheetView>
  </sheetViews>
  <sheetFormatPr defaultColWidth="8.85546875" defaultRowHeight="15" x14ac:dyDescent="0.2"/>
  <cols>
    <col min="1" max="2" width="3.42578125" style="435" customWidth="1"/>
    <col min="3" max="3" width="40.42578125" style="436" customWidth="1"/>
    <col min="4" max="4" width="10.42578125" style="437" customWidth="1"/>
    <col min="5" max="5" width="13.42578125" style="437" bestFit="1" customWidth="1"/>
    <col min="6" max="6" width="9.85546875" style="437" bestFit="1" customWidth="1"/>
    <col min="7" max="7" width="16.42578125" style="436" customWidth="1"/>
    <col min="8" max="9" width="3.42578125" style="436" customWidth="1"/>
    <col min="10" max="11" width="22.42578125" style="436" customWidth="1"/>
    <col min="12" max="12" width="9.85546875" style="436" customWidth="1"/>
    <col min="13" max="13" width="10.42578125" style="437" customWidth="1"/>
    <col min="14" max="14" width="16.42578125" style="436" customWidth="1"/>
    <col min="15" max="247" width="9.140625" style="436"/>
    <col min="248" max="248" width="3.42578125" style="436" customWidth="1"/>
    <col min="249" max="249" width="29.42578125" style="436" customWidth="1"/>
    <col min="250" max="250" width="6.42578125" style="436" customWidth="1"/>
    <col min="251" max="251" width="9.42578125" style="436" bestFit="1" customWidth="1"/>
    <col min="252" max="252" width="16.42578125" style="436" customWidth="1"/>
    <col min="253" max="253" width="3.42578125" style="436" customWidth="1"/>
    <col min="254" max="254" width="29.42578125" style="436" customWidth="1"/>
    <col min="255" max="255" width="6.42578125" style="436" customWidth="1"/>
    <col min="256" max="256" width="10.42578125" style="436" customWidth="1"/>
    <col min="257" max="257" width="16.42578125" style="436" customWidth="1"/>
    <col min="258" max="258" width="3.42578125" style="436" customWidth="1"/>
    <col min="259" max="259" width="29.42578125" style="436" customWidth="1"/>
    <col min="260" max="260" width="6.42578125" style="436" customWidth="1"/>
    <col min="261" max="261" width="10.42578125" style="436" customWidth="1"/>
    <col min="262" max="262" width="16.42578125" style="436" customWidth="1"/>
    <col min="263" max="263" width="9.140625" style="436" customWidth="1"/>
    <col min="264" max="503" width="9.140625" style="436"/>
    <col min="504" max="504" width="3.42578125" style="436" customWidth="1"/>
    <col min="505" max="505" width="29.42578125" style="436" customWidth="1"/>
    <col min="506" max="506" width="6.42578125" style="436" customWidth="1"/>
    <col min="507" max="507" width="9.42578125" style="436" bestFit="1" customWidth="1"/>
    <col min="508" max="508" width="16.42578125" style="436" customWidth="1"/>
    <col min="509" max="509" width="3.42578125" style="436" customWidth="1"/>
    <col min="510" max="510" width="29.42578125" style="436" customWidth="1"/>
    <col min="511" max="511" width="6.42578125" style="436" customWidth="1"/>
    <col min="512" max="512" width="10.42578125" style="436" customWidth="1"/>
    <col min="513" max="513" width="16.42578125" style="436" customWidth="1"/>
    <col min="514" max="514" width="3.42578125" style="436" customWidth="1"/>
    <col min="515" max="515" width="29.42578125" style="436" customWidth="1"/>
    <col min="516" max="516" width="6.42578125" style="436" customWidth="1"/>
    <col min="517" max="517" width="10.42578125" style="436" customWidth="1"/>
    <col min="518" max="518" width="16.42578125" style="436" customWidth="1"/>
    <col min="519" max="519" width="9.140625" style="436" customWidth="1"/>
    <col min="520" max="759" width="9.140625" style="436"/>
    <col min="760" max="760" width="3.42578125" style="436" customWidth="1"/>
    <col min="761" max="761" width="29.42578125" style="436" customWidth="1"/>
    <col min="762" max="762" width="6.42578125" style="436" customWidth="1"/>
    <col min="763" max="763" width="9.42578125" style="436" bestFit="1" customWidth="1"/>
    <col min="764" max="764" width="16.42578125" style="436" customWidth="1"/>
    <col min="765" max="765" width="3.42578125" style="436" customWidth="1"/>
    <col min="766" max="766" width="29.42578125" style="436" customWidth="1"/>
    <col min="767" max="767" width="6.42578125" style="436" customWidth="1"/>
    <col min="768" max="768" width="10.42578125" style="436" customWidth="1"/>
    <col min="769" max="769" width="16.42578125" style="436" customWidth="1"/>
    <col min="770" max="770" width="3.42578125" style="436" customWidth="1"/>
    <col min="771" max="771" width="29.42578125" style="436" customWidth="1"/>
    <col min="772" max="772" width="6.42578125" style="436" customWidth="1"/>
    <col min="773" max="773" width="10.42578125" style="436" customWidth="1"/>
    <col min="774" max="774" width="16.42578125" style="436" customWidth="1"/>
    <col min="775" max="775" width="9.140625" style="436" customWidth="1"/>
    <col min="776" max="1015" width="9.140625" style="436"/>
    <col min="1016" max="1016" width="3.42578125" style="436" customWidth="1"/>
    <col min="1017" max="1017" width="29.42578125" style="436" customWidth="1"/>
    <col min="1018" max="1018" width="6.42578125" style="436" customWidth="1"/>
    <col min="1019" max="1019" width="9.42578125" style="436" bestFit="1" customWidth="1"/>
    <col min="1020" max="1020" width="16.42578125" style="436" customWidth="1"/>
    <col min="1021" max="1021" width="3.42578125" style="436" customWidth="1"/>
    <col min="1022" max="1022" width="29.42578125" style="436" customWidth="1"/>
    <col min="1023" max="1023" width="6.42578125" style="436" customWidth="1"/>
    <col min="1024" max="1024" width="10.42578125" style="436" customWidth="1"/>
    <col min="1025" max="1025" width="16.42578125" style="436" customWidth="1"/>
    <col min="1026" max="1026" width="3.42578125" style="436" customWidth="1"/>
    <col min="1027" max="1027" width="29.42578125" style="436" customWidth="1"/>
    <col min="1028" max="1028" width="6.42578125" style="436" customWidth="1"/>
    <col min="1029" max="1029" width="10.42578125" style="436" customWidth="1"/>
    <col min="1030" max="1030" width="16.42578125" style="436" customWidth="1"/>
    <col min="1031" max="1031" width="9.140625" style="436" customWidth="1"/>
    <col min="1032" max="1271" width="9.140625" style="436"/>
    <col min="1272" max="1272" width="3.42578125" style="436" customWidth="1"/>
    <col min="1273" max="1273" width="29.42578125" style="436" customWidth="1"/>
    <col min="1274" max="1274" width="6.42578125" style="436" customWidth="1"/>
    <col min="1275" max="1275" width="9.42578125" style="436" bestFit="1" customWidth="1"/>
    <col min="1276" max="1276" width="16.42578125" style="436" customWidth="1"/>
    <col min="1277" max="1277" width="3.42578125" style="436" customWidth="1"/>
    <col min="1278" max="1278" width="29.42578125" style="436" customWidth="1"/>
    <col min="1279" max="1279" width="6.42578125" style="436" customWidth="1"/>
    <col min="1280" max="1280" width="10.42578125" style="436" customWidth="1"/>
    <col min="1281" max="1281" width="16.42578125" style="436" customWidth="1"/>
    <col min="1282" max="1282" width="3.42578125" style="436" customWidth="1"/>
    <col min="1283" max="1283" width="29.42578125" style="436" customWidth="1"/>
    <col min="1284" max="1284" width="6.42578125" style="436" customWidth="1"/>
    <col min="1285" max="1285" width="10.42578125" style="436" customWidth="1"/>
    <col min="1286" max="1286" width="16.42578125" style="436" customWidth="1"/>
    <col min="1287" max="1287" width="9.140625" style="436" customWidth="1"/>
    <col min="1288" max="1527" width="9.140625" style="436"/>
    <col min="1528" max="1528" width="3.42578125" style="436" customWidth="1"/>
    <col min="1529" max="1529" width="29.42578125" style="436" customWidth="1"/>
    <col min="1530" max="1530" width="6.42578125" style="436" customWidth="1"/>
    <col min="1531" max="1531" width="9.42578125" style="436" bestFit="1" customWidth="1"/>
    <col min="1532" max="1532" width="16.42578125" style="436" customWidth="1"/>
    <col min="1533" max="1533" width="3.42578125" style="436" customWidth="1"/>
    <col min="1534" max="1534" width="29.42578125" style="436" customWidth="1"/>
    <col min="1535" max="1535" width="6.42578125" style="436" customWidth="1"/>
    <col min="1536" max="1536" width="10.42578125" style="436" customWidth="1"/>
    <col min="1537" max="1537" width="16.42578125" style="436" customWidth="1"/>
    <col min="1538" max="1538" width="3.42578125" style="436" customWidth="1"/>
    <col min="1539" max="1539" width="29.42578125" style="436" customWidth="1"/>
    <col min="1540" max="1540" width="6.42578125" style="436" customWidth="1"/>
    <col min="1541" max="1541" width="10.42578125" style="436" customWidth="1"/>
    <col min="1542" max="1542" width="16.42578125" style="436" customWidth="1"/>
    <col min="1543" max="1543" width="9.140625" style="436" customWidth="1"/>
    <col min="1544" max="1783" width="9.140625" style="436"/>
    <col min="1784" max="1784" width="3.42578125" style="436" customWidth="1"/>
    <col min="1785" max="1785" width="29.42578125" style="436" customWidth="1"/>
    <col min="1786" max="1786" width="6.42578125" style="436" customWidth="1"/>
    <col min="1787" max="1787" width="9.42578125" style="436" bestFit="1" customWidth="1"/>
    <col min="1788" max="1788" width="16.42578125" style="436" customWidth="1"/>
    <col min="1789" max="1789" width="3.42578125" style="436" customWidth="1"/>
    <col min="1790" max="1790" width="29.42578125" style="436" customWidth="1"/>
    <col min="1791" max="1791" width="6.42578125" style="436" customWidth="1"/>
    <col min="1792" max="1792" width="10.42578125" style="436" customWidth="1"/>
    <col min="1793" max="1793" width="16.42578125" style="436" customWidth="1"/>
    <col min="1794" max="1794" width="3.42578125" style="436" customWidth="1"/>
    <col min="1795" max="1795" width="29.42578125" style="436" customWidth="1"/>
    <col min="1796" max="1796" width="6.42578125" style="436" customWidth="1"/>
    <col min="1797" max="1797" width="10.42578125" style="436" customWidth="1"/>
    <col min="1798" max="1798" width="16.42578125" style="436" customWidth="1"/>
    <col min="1799" max="1799" width="9.140625" style="436" customWidth="1"/>
    <col min="1800" max="2039" width="9.140625" style="436"/>
    <col min="2040" max="2040" width="3.42578125" style="436" customWidth="1"/>
    <col min="2041" max="2041" width="29.42578125" style="436" customWidth="1"/>
    <col min="2042" max="2042" width="6.42578125" style="436" customWidth="1"/>
    <col min="2043" max="2043" width="9.42578125" style="436" bestFit="1" customWidth="1"/>
    <col min="2044" max="2044" width="16.42578125" style="436" customWidth="1"/>
    <col min="2045" max="2045" width="3.42578125" style="436" customWidth="1"/>
    <col min="2046" max="2046" width="29.42578125" style="436" customWidth="1"/>
    <col min="2047" max="2047" width="6.42578125" style="436" customWidth="1"/>
    <col min="2048" max="2048" width="10.42578125" style="436" customWidth="1"/>
    <col min="2049" max="2049" width="16.42578125" style="436" customWidth="1"/>
    <col min="2050" max="2050" width="3.42578125" style="436" customWidth="1"/>
    <col min="2051" max="2051" width="29.42578125" style="436" customWidth="1"/>
    <col min="2052" max="2052" width="6.42578125" style="436" customWidth="1"/>
    <col min="2053" max="2053" width="10.42578125" style="436" customWidth="1"/>
    <col min="2054" max="2054" width="16.42578125" style="436" customWidth="1"/>
    <col min="2055" max="2055" width="9.140625" style="436" customWidth="1"/>
    <col min="2056" max="2295" width="9.140625" style="436"/>
    <col min="2296" max="2296" width="3.42578125" style="436" customWidth="1"/>
    <col min="2297" max="2297" width="29.42578125" style="436" customWidth="1"/>
    <col min="2298" max="2298" width="6.42578125" style="436" customWidth="1"/>
    <col min="2299" max="2299" width="9.42578125" style="436" bestFit="1" customWidth="1"/>
    <col min="2300" max="2300" width="16.42578125" style="436" customWidth="1"/>
    <col min="2301" max="2301" width="3.42578125" style="436" customWidth="1"/>
    <col min="2302" max="2302" width="29.42578125" style="436" customWidth="1"/>
    <col min="2303" max="2303" width="6.42578125" style="436" customWidth="1"/>
    <col min="2304" max="2304" width="10.42578125" style="436" customWidth="1"/>
    <col min="2305" max="2305" width="16.42578125" style="436" customWidth="1"/>
    <col min="2306" max="2306" width="3.42578125" style="436" customWidth="1"/>
    <col min="2307" max="2307" width="29.42578125" style="436" customWidth="1"/>
    <col min="2308" max="2308" width="6.42578125" style="436" customWidth="1"/>
    <col min="2309" max="2309" width="10.42578125" style="436" customWidth="1"/>
    <col min="2310" max="2310" width="16.42578125" style="436" customWidth="1"/>
    <col min="2311" max="2311" width="9.140625" style="436" customWidth="1"/>
    <col min="2312" max="2551" width="9.140625" style="436"/>
    <col min="2552" max="2552" width="3.42578125" style="436" customWidth="1"/>
    <col min="2553" max="2553" width="29.42578125" style="436" customWidth="1"/>
    <col min="2554" max="2554" width="6.42578125" style="436" customWidth="1"/>
    <col min="2555" max="2555" width="9.42578125" style="436" bestFit="1" customWidth="1"/>
    <col min="2556" max="2556" width="16.42578125" style="436" customWidth="1"/>
    <col min="2557" max="2557" width="3.42578125" style="436" customWidth="1"/>
    <col min="2558" max="2558" width="29.42578125" style="436" customWidth="1"/>
    <col min="2559" max="2559" width="6.42578125" style="436" customWidth="1"/>
    <col min="2560" max="2560" width="10.42578125" style="436" customWidth="1"/>
    <col min="2561" max="2561" width="16.42578125" style="436" customWidth="1"/>
    <col min="2562" max="2562" width="3.42578125" style="436" customWidth="1"/>
    <col min="2563" max="2563" width="29.42578125" style="436" customWidth="1"/>
    <col min="2564" max="2564" width="6.42578125" style="436" customWidth="1"/>
    <col min="2565" max="2565" width="10.42578125" style="436" customWidth="1"/>
    <col min="2566" max="2566" width="16.42578125" style="436" customWidth="1"/>
    <col min="2567" max="2567" width="9.140625" style="436" customWidth="1"/>
    <col min="2568" max="2807" width="9.140625" style="436"/>
    <col min="2808" max="2808" width="3.42578125" style="436" customWidth="1"/>
    <col min="2809" max="2809" width="29.42578125" style="436" customWidth="1"/>
    <col min="2810" max="2810" width="6.42578125" style="436" customWidth="1"/>
    <col min="2811" max="2811" width="9.42578125" style="436" bestFit="1" customWidth="1"/>
    <col min="2812" max="2812" width="16.42578125" style="436" customWidth="1"/>
    <col min="2813" max="2813" width="3.42578125" style="436" customWidth="1"/>
    <col min="2814" max="2814" width="29.42578125" style="436" customWidth="1"/>
    <col min="2815" max="2815" width="6.42578125" style="436" customWidth="1"/>
    <col min="2816" max="2816" width="10.42578125" style="436" customWidth="1"/>
    <col min="2817" max="2817" width="16.42578125" style="436" customWidth="1"/>
    <col min="2818" max="2818" width="3.42578125" style="436" customWidth="1"/>
    <col min="2819" max="2819" width="29.42578125" style="436" customWidth="1"/>
    <col min="2820" max="2820" width="6.42578125" style="436" customWidth="1"/>
    <col min="2821" max="2821" width="10.42578125" style="436" customWidth="1"/>
    <col min="2822" max="2822" width="16.42578125" style="436" customWidth="1"/>
    <col min="2823" max="2823" width="9.140625" style="436" customWidth="1"/>
    <col min="2824" max="3063" width="9.140625" style="436"/>
    <col min="3064" max="3064" width="3.42578125" style="436" customWidth="1"/>
    <col min="3065" max="3065" width="29.42578125" style="436" customWidth="1"/>
    <col min="3066" max="3066" width="6.42578125" style="436" customWidth="1"/>
    <col min="3067" max="3067" width="9.42578125" style="436" bestFit="1" customWidth="1"/>
    <col min="3068" max="3068" width="16.42578125" style="436" customWidth="1"/>
    <col min="3069" max="3069" width="3.42578125" style="436" customWidth="1"/>
    <col min="3070" max="3070" width="29.42578125" style="436" customWidth="1"/>
    <col min="3071" max="3071" width="6.42578125" style="436" customWidth="1"/>
    <col min="3072" max="3072" width="10.42578125" style="436" customWidth="1"/>
    <col min="3073" max="3073" width="16.42578125" style="436" customWidth="1"/>
    <col min="3074" max="3074" width="3.42578125" style="436" customWidth="1"/>
    <col min="3075" max="3075" width="29.42578125" style="436" customWidth="1"/>
    <col min="3076" max="3076" width="6.42578125" style="436" customWidth="1"/>
    <col min="3077" max="3077" width="10.42578125" style="436" customWidth="1"/>
    <col min="3078" max="3078" width="16.42578125" style="436" customWidth="1"/>
    <col min="3079" max="3079" width="9.140625" style="436" customWidth="1"/>
    <col min="3080" max="3319" width="9.140625" style="436"/>
    <col min="3320" max="3320" width="3.42578125" style="436" customWidth="1"/>
    <col min="3321" max="3321" width="29.42578125" style="436" customWidth="1"/>
    <col min="3322" max="3322" width="6.42578125" style="436" customWidth="1"/>
    <col min="3323" max="3323" width="9.42578125" style="436" bestFit="1" customWidth="1"/>
    <col min="3324" max="3324" width="16.42578125" style="436" customWidth="1"/>
    <col min="3325" max="3325" width="3.42578125" style="436" customWidth="1"/>
    <col min="3326" max="3326" width="29.42578125" style="436" customWidth="1"/>
    <col min="3327" max="3327" width="6.42578125" style="436" customWidth="1"/>
    <col min="3328" max="3328" width="10.42578125" style="436" customWidth="1"/>
    <col min="3329" max="3329" width="16.42578125" style="436" customWidth="1"/>
    <col min="3330" max="3330" width="3.42578125" style="436" customWidth="1"/>
    <col min="3331" max="3331" width="29.42578125" style="436" customWidth="1"/>
    <col min="3332" max="3332" width="6.42578125" style="436" customWidth="1"/>
    <col min="3333" max="3333" width="10.42578125" style="436" customWidth="1"/>
    <col min="3334" max="3334" width="16.42578125" style="436" customWidth="1"/>
    <col min="3335" max="3335" width="9.140625" style="436" customWidth="1"/>
    <col min="3336" max="3575" width="9.140625" style="436"/>
    <col min="3576" max="3576" width="3.42578125" style="436" customWidth="1"/>
    <col min="3577" max="3577" width="29.42578125" style="436" customWidth="1"/>
    <col min="3578" max="3578" width="6.42578125" style="436" customWidth="1"/>
    <col min="3579" max="3579" width="9.42578125" style="436" bestFit="1" customWidth="1"/>
    <col min="3580" max="3580" width="16.42578125" style="436" customWidth="1"/>
    <col min="3581" max="3581" width="3.42578125" style="436" customWidth="1"/>
    <col min="3582" max="3582" width="29.42578125" style="436" customWidth="1"/>
    <col min="3583" max="3583" width="6.42578125" style="436" customWidth="1"/>
    <col min="3584" max="3584" width="10.42578125" style="436" customWidth="1"/>
    <col min="3585" max="3585" width="16.42578125" style="436" customWidth="1"/>
    <col min="3586" max="3586" width="3.42578125" style="436" customWidth="1"/>
    <col min="3587" max="3587" width="29.42578125" style="436" customWidth="1"/>
    <col min="3588" max="3588" width="6.42578125" style="436" customWidth="1"/>
    <col min="3589" max="3589" width="10.42578125" style="436" customWidth="1"/>
    <col min="3590" max="3590" width="16.42578125" style="436" customWidth="1"/>
    <col min="3591" max="3591" width="9.140625" style="436" customWidth="1"/>
    <col min="3592" max="3831" width="9.140625" style="436"/>
    <col min="3832" max="3832" width="3.42578125" style="436" customWidth="1"/>
    <col min="3833" max="3833" width="29.42578125" style="436" customWidth="1"/>
    <col min="3834" max="3834" width="6.42578125" style="436" customWidth="1"/>
    <col min="3835" max="3835" width="9.42578125" style="436" bestFit="1" customWidth="1"/>
    <col min="3836" max="3836" width="16.42578125" style="436" customWidth="1"/>
    <col min="3837" max="3837" width="3.42578125" style="436" customWidth="1"/>
    <col min="3838" max="3838" width="29.42578125" style="436" customWidth="1"/>
    <col min="3839" max="3839" width="6.42578125" style="436" customWidth="1"/>
    <col min="3840" max="3840" width="10.42578125" style="436" customWidth="1"/>
    <col min="3841" max="3841" width="16.42578125" style="436" customWidth="1"/>
    <col min="3842" max="3842" width="3.42578125" style="436" customWidth="1"/>
    <col min="3843" max="3843" width="29.42578125" style="436" customWidth="1"/>
    <col min="3844" max="3844" width="6.42578125" style="436" customWidth="1"/>
    <col min="3845" max="3845" width="10.42578125" style="436" customWidth="1"/>
    <col min="3846" max="3846" width="16.42578125" style="436" customWidth="1"/>
    <col min="3847" max="3847" width="9.140625" style="436" customWidth="1"/>
    <col min="3848" max="4087" width="9.140625" style="436"/>
    <col min="4088" max="4088" width="3.42578125" style="436" customWidth="1"/>
    <col min="4089" max="4089" width="29.42578125" style="436" customWidth="1"/>
    <col min="4090" max="4090" width="6.42578125" style="436" customWidth="1"/>
    <col min="4091" max="4091" width="9.42578125" style="436" bestFit="1" customWidth="1"/>
    <col min="4092" max="4092" width="16.42578125" style="436" customWidth="1"/>
    <col min="4093" max="4093" width="3.42578125" style="436" customWidth="1"/>
    <col min="4094" max="4094" width="29.42578125" style="436" customWidth="1"/>
    <col min="4095" max="4095" width="6.42578125" style="436" customWidth="1"/>
    <col min="4096" max="4096" width="10.42578125" style="436" customWidth="1"/>
    <col min="4097" max="4097" width="16.42578125" style="436" customWidth="1"/>
    <col min="4098" max="4098" width="3.42578125" style="436" customWidth="1"/>
    <col min="4099" max="4099" width="29.42578125" style="436" customWidth="1"/>
    <col min="4100" max="4100" width="6.42578125" style="436" customWidth="1"/>
    <col min="4101" max="4101" width="10.42578125" style="436" customWidth="1"/>
    <col min="4102" max="4102" width="16.42578125" style="436" customWidth="1"/>
    <col min="4103" max="4103" width="9.140625" style="436" customWidth="1"/>
    <col min="4104" max="4343" width="9.140625" style="436"/>
    <col min="4344" max="4344" width="3.42578125" style="436" customWidth="1"/>
    <col min="4345" max="4345" width="29.42578125" style="436" customWidth="1"/>
    <col min="4346" max="4346" width="6.42578125" style="436" customWidth="1"/>
    <col min="4347" max="4347" width="9.42578125" style="436" bestFit="1" customWidth="1"/>
    <col min="4348" max="4348" width="16.42578125" style="436" customWidth="1"/>
    <col min="4349" max="4349" width="3.42578125" style="436" customWidth="1"/>
    <col min="4350" max="4350" width="29.42578125" style="436" customWidth="1"/>
    <col min="4351" max="4351" width="6.42578125" style="436" customWidth="1"/>
    <col min="4352" max="4352" width="10.42578125" style="436" customWidth="1"/>
    <col min="4353" max="4353" width="16.42578125" style="436" customWidth="1"/>
    <col min="4354" max="4354" width="3.42578125" style="436" customWidth="1"/>
    <col min="4355" max="4355" width="29.42578125" style="436" customWidth="1"/>
    <col min="4356" max="4356" width="6.42578125" style="436" customWidth="1"/>
    <col min="4357" max="4357" width="10.42578125" style="436" customWidth="1"/>
    <col min="4358" max="4358" width="16.42578125" style="436" customWidth="1"/>
    <col min="4359" max="4359" width="9.140625" style="436" customWidth="1"/>
    <col min="4360" max="4599" width="9.140625" style="436"/>
    <col min="4600" max="4600" width="3.42578125" style="436" customWidth="1"/>
    <col min="4601" max="4601" width="29.42578125" style="436" customWidth="1"/>
    <col min="4602" max="4602" width="6.42578125" style="436" customWidth="1"/>
    <col min="4603" max="4603" width="9.42578125" style="436" bestFit="1" customWidth="1"/>
    <col min="4604" max="4604" width="16.42578125" style="436" customWidth="1"/>
    <col min="4605" max="4605" width="3.42578125" style="436" customWidth="1"/>
    <col min="4606" max="4606" width="29.42578125" style="436" customWidth="1"/>
    <col min="4607" max="4607" width="6.42578125" style="436" customWidth="1"/>
    <col min="4608" max="4608" width="10.42578125" style="436" customWidth="1"/>
    <col min="4609" max="4609" width="16.42578125" style="436" customWidth="1"/>
    <col min="4610" max="4610" width="3.42578125" style="436" customWidth="1"/>
    <col min="4611" max="4611" width="29.42578125" style="436" customWidth="1"/>
    <col min="4612" max="4612" width="6.42578125" style="436" customWidth="1"/>
    <col min="4613" max="4613" width="10.42578125" style="436" customWidth="1"/>
    <col min="4614" max="4614" width="16.42578125" style="436" customWidth="1"/>
    <col min="4615" max="4615" width="9.140625" style="436" customWidth="1"/>
    <col min="4616" max="4855" width="9.140625" style="436"/>
    <col min="4856" max="4856" width="3.42578125" style="436" customWidth="1"/>
    <col min="4857" max="4857" width="29.42578125" style="436" customWidth="1"/>
    <col min="4858" max="4858" width="6.42578125" style="436" customWidth="1"/>
    <col min="4859" max="4859" width="9.42578125" style="436" bestFit="1" customWidth="1"/>
    <col min="4860" max="4860" width="16.42578125" style="436" customWidth="1"/>
    <col min="4861" max="4861" width="3.42578125" style="436" customWidth="1"/>
    <col min="4862" max="4862" width="29.42578125" style="436" customWidth="1"/>
    <col min="4863" max="4863" width="6.42578125" style="436" customWidth="1"/>
    <col min="4864" max="4864" width="10.42578125" style="436" customWidth="1"/>
    <col min="4865" max="4865" width="16.42578125" style="436" customWidth="1"/>
    <col min="4866" max="4866" width="3.42578125" style="436" customWidth="1"/>
    <col min="4867" max="4867" width="29.42578125" style="436" customWidth="1"/>
    <col min="4868" max="4868" width="6.42578125" style="436" customWidth="1"/>
    <col min="4869" max="4869" width="10.42578125" style="436" customWidth="1"/>
    <col min="4870" max="4870" width="16.42578125" style="436" customWidth="1"/>
    <col min="4871" max="4871" width="9.140625" style="436" customWidth="1"/>
    <col min="4872" max="5111" width="9.140625" style="436"/>
    <col min="5112" max="5112" width="3.42578125" style="436" customWidth="1"/>
    <col min="5113" max="5113" width="29.42578125" style="436" customWidth="1"/>
    <col min="5114" max="5114" width="6.42578125" style="436" customWidth="1"/>
    <col min="5115" max="5115" width="9.42578125" style="436" bestFit="1" customWidth="1"/>
    <col min="5116" max="5116" width="16.42578125" style="436" customWidth="1"/>
    <col min="5117" max="5117" width="3.42578125" style="436" customWidth="1"/>
    <col min="5118" max="5118" width="29.42578125" style="436" customWidth="1"/>
    <col min="5119" max="5119" width="6.42578125" style="436" customWidth="1"/>
    <col min="5120" max="5120" width="10.42578125" style="436" customWidth="1"/>
    <col min="5121" max="5121" width="16.42578125" style="436" customWidth="1"/>
    <col min="5122" max="5122" width="3.42578125" style="436" customWidth="1"/>
    <col min="5123" max="5123" width="29.42578125" style="436" customWidth="1"/>
    <col min="5124" max="5124" width="6.42578125" style="436" customWidth="1"/>
    <col min="5125" max="5125" width="10.42578125" style="436" customWidth="1"/>
    <col min="5126" max="5126" width="16.42578125" style="436" customWidth="1"/>
    <col min="5127" max="5127" width="9.140625" style="436" customWidth="1"/>
    <col min="5128" max="5367" width="9.140625" style="436"/>
    <col min="5368" max="5368" width="3.42578125" style="436" customWidth="1"/>
    <col min="5369" max="5369" width="29.42578125" style="436" customWidth="1"/>
    <col min="5370" max="5370" width="6.42578125" style="436" customWidth="1"/>
    <col min="5371" max="5371" width="9.42578125" style="436" bestFit="1" customWidth="1"/>
    <col min="5372" max="5372" width="16.42578125" style="436" customWidth="1"/>
    <col min="5373" max="5373" width="3.42578125" style="436" customWidth="1"/>
    <col min="5374" max="5374" width="29.42578125" style="436" customWidth="1"/>
    <col min="5375" max="5375" width="6.42578125" style="436" customWidth="1"/>
    <col min="5376" max="5376" width="10.42578125" style="436" customWidth="1"/>
    <col min="5377" max="5377" width="16.42578125" style="436" customWidth="1"/>
    <col min="5378" max="5378" width="3.42578125" style="436" customWidth="1"/>
    <col min="5379" max="5379" width="29.42578125" style="436" customWidth="1"/>
    <col min="5380" max="5380" width="6.42578125" style="436" customWidth="1"/>
    <col min="5381" max="5381" width="10.42578125" style="436" customWidth="1"/>
    <col min="5382" max="5382" width="16.42578125" style="436" customWidth="1"/>
    <col min="5383" max="5383" width="9.140625" style="436" customWidth="1"/>
    <col min="5384" max="5623" width="9.140625" style="436"/>
    <col min="5624" max="5624" width="3.42578125" style="436" customWidth="1"/>
    <col min="5625" max="5625" width="29.42578125" style="436" customWidth="1"/>
    <col min="5626" max="5626" width="6.42578125" style="436" customWidth="1"/>
    <col min="5627" max="5627" width="9.42578125" style="436" bestFit="1" customWidth="1"/>
    <col min="5628" max="5628" width="16.42578125" style="436" customWidth="1"/>
    <col min="5629" max="5629" width="3.42578125" style="436" customWidth="1"/>
    <col min="5630" max="5630" width="29.42578125" style="436" customWidth="1"/>
    <col min="5631" max="5631" width="6.42578125" style="436" customWidth="1"/>
    <col min="5632" max="5632" width="10.42578125" style="436" customWidth="1"/>
    <col min="5633" max="5633" width="16.42578125" style="436" customWidth="1"/>
    <col min="5634" max="5634" width="3.42578125" style="436" customWidth="1"/>
    <col min="5635" max="5635" width="29.42578125" style="436" customWidth="1"/>
    <col min="5636" max="5636" width="6.42578125" style="436" customWidth="1"/>
    <col min="5637" max="5637" width="10.42578125" style="436" customWidth="1"/>
    <col min="5638" max="5638" width="16.42578125" style="436" customWidth="1"/>
    <col min="5639" max="5639" width="9.140625" style="436" customWidth="1"/>
    <col min="5640" max="5879" width="9.140625" style="436"/>
    <col min="5880" max="5880" width="3.42578125" style="436" customWidth="1"/>
    <col min="5881" max="5881" width="29.42578125" style="436" customWidth="1"/>
    <col min="5882" max="5882" width="6.42578125" style="436" customWidth="1"/>
    <col min="5883" max="5883" width="9.42578125" style="436" bestFit="1" customWidth="1"/>
    <col min="5884" max="5884" width="16.42578125" style="436" customWidth="1"/>
    <col min="5885" max="5885" width="3.42578125" style="436" customWidth="1"/>
    <col min="5886" max="5886" width="29.42578125" style="436" customWidth="1"/>
    <col min="5887" max="5887" width="6.42578125" style="436" customWidth="1"/>
    <col min="5888" max="5888" width="10.42578125" style="436" customWidth="1"/>
    <col min="5889" max="5889" width="16.42578125" style="436" customWidth="1"/>
    <col min="5890" max="5890" width="3.42578125" style="436" customWidth="1"/>
    <col min="5891" max="5891" width="29.42578125" style="436" customWidth="1"/>
    <col min="5892" max="5892" width="6.42578125" style="436" customWidth="1"/>
    <col min="5893" max="5893" width="10.42578125" style="436" customWidth="1"/>
    <col min="5894" max="5894" width="16.42578125" style="436" customWidth="1"/>
    <col min="5895" max="5895" width="9.140625" style="436" customWidth="1"/>
    <col min="5896" max="6135" width="9.140625" style="436"/>
    <col min="6136" max="6136" width="3.42578125" style="436" customWidth="1"/>
    <col min="6137" max="6137" width="29.42578125" style="436" customWidth="1"/>
    <col min="6138" max="6138" width="6.42578125" style="436" customWidth="1"/>
    <col min="6139" max="6139" width="9.42578125" style="436" bestFit="1" customWidth="1"/>
    <col min="6140" max="6140" width="16.42578125" style="436" customWidth="1"/>
    <col min="6141" max="6141" width="3.42578125" style="436" customWidth="1"/>
    <col min="6142" max="6142" width="29.42578125" style="436" customWidth="1"/>
    <col min="6143" max="6143" width="6.42578125" style="436" customWidth="1"/>
    <col min="6144" max="6144" width="10.42578125" style="436" customWidth="1"/>
    <col min="6145" max="6145" width="16.42578125" style="436" customWidth="1"/>
    <col min="6146" max="6146" width="3.42578125" style="436" customWidth="1"/>
    <col min="6147" max="6147" width="29.42578125" style="436" customWidth="1"/>
    <col min="6148" max="6148" width="6.42578125" style="436" customWidth="1"/>
    <col min="6149" max="6149" width="10.42578125" style="436" customWidth="1"/>
    <col min="6150" max="6150" width="16.42578125" style="436" customWidth="1"/>
    <col min="6151" max="6151" width="9.140625" style="436" customWidth="1"/>
    <col min="6152" max="6391" width="9.140625" style="436"/>
    <col min="6392" max="6392" width="3.42578125" style="436" customWidth="1"/>
    <col min="6393" max="6393" width="29.42578125" style="436" customWidth="1"/>
    <col min="6394" max="6394" width="6.42578125" style="436" customWidth="1"/>
    <col min="6395" max="6395" width="9.42578125" style="436" bestFit="1" customWidth="1"/>
    <col min="6396" max="6396" width="16.42578125" style="436" customWidth="1"/>
    <col min="6397" max="6397" width="3.42578125" style="436" customWidth="1"/>
    <col min="6398" max="6398" width="29.42578125" style="436" customWidth="1"/>
    <col min="6399" max="6399" width="6.42578125" style="436" customWidth="1"/>
    <col min="6400" max="6400" width="10.42578125" style="436" customWidth="1"/>
    <col min="6401" max="6401" width="16.42578125" style="436" customWidth="1"/>
    <col min="6402" max="6402" width="3.42578125" style="436" customWidth="1"/>
    <col min="6403" max="6403" width="29.42578125" style="436" customWidth="1"/>
    <col min="6404" max="6404" width="6.42578125" style="436" customWidth="1"/>
    <col min="6405" max="6405" width="10.42578125" style="436" customWidth="1"/>
    <col min="6406" max="6406" width="16.42578125" style="436" customWidth="1"/>
    <col min="6407" max="6407" width="9.140625" style="436" customWidth="1"/>
    <col min="6408" max="6647" width="9.140625" style="436"/>
    <col min="6648" max="6648" width="3.42578125" style="436" customWidth="1"/>
    <col min="6649" max="6649" width="29.42578125" style="436" customWidth="1"/>
    <col min="6650" max="6650" width="6.42578125" style="436" customWidth="1"/>
    <col min="6651" max="6651" width="9.42578125" style="436" bestFit="1" customWidth="1"/>
    <col min="6652" max="6652" width="16.42578125" style="436" customWidth="1"/>
    <col min="6653" max="6653" width="3.42578125" style="436" customWidth="1"/>
    <col min="6654" max="6654" width="29.42578125" style="436" customWidth="1"/>
    <col min="6655" max="6655" width="6.42578125" style="436" customWidth="1"/>
    <col min="6656" max="6656" width="10.42578125" style="436" customWidth="1"/>
    <col min="6657" max="6657" width="16.42578125" style="436" customWidth="1"/>
    <col min="6658" max="6658" width="3.42578125" style="436" customWidth="1"/>
    <col min="6659" max="6659" width="29.42578125" style="436" customWidth="1"/>
    <col min="6660" max="6660" width="6.42578125" style="436" customWidth="1"/>
    <col min="6661" max="6661" width="10.42578125" style="436" customWidth="1"/>
    <col min="6662" max="6662" width="16.42578125" style="436" customWidth="1"/>
    <col min="6663" max="6663" width="9.140625" style="436" customWidth="1"/>
    <col min="6664" max="6903" width="9.140625" style="436"/>
    <col min="6904" max="6904" width="3.42578125" style="436" customWidth="1"/>
    <col min="6905" max="6905" width="29.42578125" style="436" customWidth="1"/>
    <col min="6906" max="6906" width="6.42578125" style="436" customWidth="1"/>
    <col min="6907" max="6907" width="9.42578125" style="436" bestFit="1" customWidth="1"/>
    <col min="6908" max="6908" width="16.42578125" style="436" customWidth="1"/>
    <col min="6909" max="6909" width="3.42578125" style="436" customWidth="1"/>
    <col min="6910" max="6910" width="29.42578125" style="436" customWidth="1"/>
    <col min="6911" max="6911" width="6.42578125" style="436" customWidth="1"/>
    <col min="6912" max="6912" width="10.42578125" style="436" customWidth="1"/>
    <col min="6913" max="6913" width="16.42578125" style="436" customWidth="1"/>
    <col min="6914" max="6914" width="3.42578125" style="436" customWidth="1"/>
    <col min="6915" max="6915" width="29.42578125" style="436" customWidth="1"/>
    <col min="6916" max="6916" width="6.42578125" style="436" customWidth="1"/>
    <col min="6917" max="6917" width="10.42578125" style="436" customWidth="1"/>
    <col min="6918" max="6918" width="16.42578125" style="436" customWidth="1"/>
    <col min="6919" max="6919" width="9.140625" style="436" customWidth="1"/>
    <col min="6920" max="7159" width="9.140625" style="436"/>
    <col min="7160" max="7160" width="3.42578125" style="436" customWidth="1"/>
    <col min="7161" max="7161" width="29.42578125" style="436" customWidth="1"/>
    <col min="7162" max="7162" width="6.42578125" style="436" customWidth="1"/>
    <col min="7163" max="7163" width="9.42578125" style="436" bestFit="1" customWidth="1"/>
    <col min="7164" max="7164" width="16.42578125" style="436" customWidth="1"/>
    <col min="7165" max="7165" width="3.42578125" style="436" customWidth="1"/>
    <col min="7166" max="7166" width="29.42578125" style="436" customWidth="1"/>
    <col min="7167" max="7167" width="6.42578125" style="436" customWidth="1"/>
    <col min="7168" max="7168" width="10.42578125" style="436" customWidth="1"/>
    <col min="7169" max="7169" width="16.42578125" style="436" customWidth="1"/>
    <col min="7170" max="7170" width="3.42578125" style="436" customWidth="1"/>
    <col min="7171" max="7171" width="29.42578125" style="436" customWidth="1"/>
    <col min="7172" max="7172" width="6.42578125" style="436" customWidth="1"/>
    <col min="7173" max="7173" width="10.42578125" style="436" customWidth="1"/>
    <col min="7174" max="7174" width="16.42578125" style="436" customWidth="1"/>
    <col min="7175" max="7175" width="9.140625" style="436" customWidth="1"/>
    <col min="7176" max="7415" width="9.140625" style="436"/>
    <col min="7416" max="7416" width="3.42578125" style="436" customWidth="1"/>
    <col min="7417" max="7417" width="29.42578125" style="436" customWidth="1"/>
    <col min="7418" max="7418" width="6.42578125" style="436" customWidth="1"/>
    <col min="7419" max="7419" width="9.42578125" style="436" bestFit="1" customWidth="1"/>
    <col min="7420" max="7420" width="16.42578125" style="436" customWidth="1"/>
    <col min="7421" max="7421" width="3.42578125" style="436" customWidth="1"/>
    <col min="7422" max="7422" width="29.42578125" style="436" customWidth="1"/>
    <col min="7423" max="7423" width="6.42578125" style="436" customWidth="1"/>
    <col min="7424" max="7424" width="10.42578125" style="436" customWidth="1"/>
    <col min="7425" max="7425" width="16.42578125" style="436" customWidth="1"/>
    <col min="7426" max="7426" width="3.42578125" style="436" customWidth="1"/>
    <col min="7427" max="7427" width="29.42578125" style="436" customWidth="1"/>
    <col min="7428" max="7428" width="6.42578125" style="436" customWidth="1"/>
    <col min="7429" max="7429" width="10.42578125" style="436" customWidth="1"/>
    <col min="7430" max="7430" width="16.42578125" style="436" customWidth="1"/>
    <col min="7431" max="7431" width="9.140625" style="436" customWidth="1"/>
    <col min="7432" max="7671" width="9.140625" style="436"/>
    <col min="7672" max="7672" width="3.42578125" style="436" customWidth="1"/>
    <col min="7673" max="7673" width="29.42578125" style="436" customWidth="1"/>
    <col min="7674" max="7674" width="6.42578125" style="436" customWidth="1"/>
    <col min="7675" max="7675" width="9.42578125" style="436" bestFit="1" customWidth="1"/>
    <col min="7676" max="7676" width="16.42578125" style="436" customWidth="1"/>
    <col min="7677" max="7677" width="3.42578125" style="436" customWidth="1"/>
    <col min="7678" max="7678" width="29.42578125" style="436" customWidth="1"/>
    <col min="7679" max="7679" width="6.42578125" style="436" customWidth="1"/>
    <col min="7680" max="7680" width="10.42578125" style="436" customWidth="1"/>
    <col min="7681" max="7681" width="16.42578125" style="436" customWidth="1"/>
    <col min="7682" max="7682" width="3.42578125" style="436" customWidth="1"/>
    <col min="7683" max="7683" width="29.42578125" style="436" customWidth="1"/>
    <col min="7684" max="7684" width="6.42578125" style="436" customWidth="1"/>
    <col min="7685" max="7685" width="10.42578125" style="436" customWidth="1"/>
    <col min="7686" max="7686" width="16.42578125" style="436" customWidth="1"/>
    <col min="7687" max="7687" width="9.140625" style="436" customWidth="1"/>
    <col min="7688" max="7927" width="9.140625" style="436"/>
    <col min="7928" max="7928" width="3.42578125" style="436" customWidth="1"/>
    <col min="7929" max="7929" width="29.42578125" style="436" customWidth="1"/>
    <col min="7930" max="7930" width="6.42578125" style="436" customWidth="1"/>
    <col min="7931" max="7931" width="9.42578125" style="436" bestFit="1" customWidth="1"/>
    <col min="7932" max="7932" width="16.42578125" style="436" customWidth="1"/>
    <col min="7933" max="7933" width="3.42578125" style="436" customWidth="1"/>
    <col min="7934" max="7934" width="29.42578125" style="436" customWidth="1"/>
    <col min="7935" max="7935" width="6.42578125" style="436" customWidth="1"/>
    <col min="7936" max="7936" width="10.42578125" style="436" customWidth="1"/>
    <col min="7937" max="7937" width="16.42578125" style="436" customWidth="1"/>
    <col min="7938" max="7938" width="3.42578125" style="436" customWidth="1"/>
    <col min="7939" max="7939" width="29.42578125" style="436" customWidth="1"/>
    <col min="7940" max="7940" width="6.42578125" style="436" customWidth="1"/>
    <col min="7941" max="7941" width="10.42578125" style="436" customWidth="1"/>
    <col min="7942" max="7942" width="16.42578125" style="436" customWidth="1"/>
    <col min="7943" max="7943" width="9.140625" style="436" customWidth="1"/>
    <col min="7944" max="8183" width="9.140625" style="436"/>
    <col min="8184" max="8184" width="3.42578125" style="436" customWidth="1"/>
    <col min="8185" max="8185" width="29.42578125" style="436" customWidth="1"/>
    <col min="8186" max="8186" width="6.42578125" style="436" customWidth="1"/>
    <col min="8187" max="8187" width="9.42578125" style="436" bestFit="1" customWidth="1"/>
    <col min="8188" max="8188" width="16.42578125" style="436" customWidth="1"/>
    <col min="8189" max="8189" width="3.42578125" style="436" customWidth="1"/>
    <col min="8190" max="8190" width="29.42578125" style="436" customWidth="1"/>
    <col min="8191" max="8191" width="6.42578125" style="436" customWidth="1"/>
    <col min="8192" max="8192" width="10.42578125" style="436" customWidth="1"/>
    <col min="8193" max="8193" width="16.42578125" style="436" customWidth="1"/>
    <col min="8194" max="8194" width="3.42578125" style="436" customWidth="1"/>
    <col min="8195" max="8195" width="29.42578125" style="436" customWidth="1"/>
    <col min="8196" max="8196" width="6.42578125" style="436" customWidth="1"/>
    <col min="8197" max="8197" width="10.42578125" style="436" customWidth="1"/>
    <col min="8198" max="8198" width="16.42578125" style="436" customWidth="1"/>
    <col min="8199" max="8199" width="9.140625" style="436" customWidth="1"/>
    <col min="8200" max="8439" width="9.140625" style="436"/>
    <col min="8440" max="8440" width="3.42578125" style="436" customWidth="1"/>
    <col min="8441" max="8441" width="29.42578125" style="436" customWidth="1"/>
    <col min="8442" max="8442" width="6.42578125" style="436" customWidth="1"/>
    <col min="8443" max="8443" width="9.42578125" style="436" bestFit="1" customWidth="1"/>
    <col min="8444" max="8444" width="16.42578125" style="436" customWidth="1"/>
    <col min="8445" max="8445" width="3.42578125" style="436" customWidth="1"/>
    <col min="8446" max="8446" width="29.42578125" style="436" customWidth="1"/>
    <col min="8447" max="8447" width="6.42578125" style="436" customWidth="1"/>
    <col min="8448" max="8448" width="10.42578125" style="436" customWidth="1"/>
    <col min="8449" max="8449" width="16.42578125" style="436" customWidth="1"/>
    <col min="8450" max="8450" width="3.42578125" style="436" customWidth="1"/>
    <col min="8451" max="8451" width="29.42578125" style="436" customWidth="1"/>
    <col min="8452" max="8452" width="6.42578125" style="436" customWidth="1"/>
    <col min="8453" max="8453" width="10.42578125" style="436" customWidth="1"/>
    <col min="8454" max="8454" width="16.42578125" style="436" customWidth="1"/>
    <col min="8455" max="8455" width="9.140625" style="436" customWidth="1"/>
    <col min="8456" max="8695" width="9.140625" style="436"/>
    <col min="8696" max="8696" width="3.42578125" style="436" customWidth="1"/>
    <col min="8697" max="8697" width="29.42578125" style="436" customWidth="1"/>
    <col min="8698" max="8698" width="6.42578125" style="436" customWidth="1"/>
    <col min="8699" max="8699" width="9.42578125" style="436" bestFit="1" customWidth="1"/>
    <col min="8700" max="8700" width="16.42578125" style="436" customWidth="1"/>
    <col min="8701" max="8701" width="3.42578125" style="436" customWidth="1"/>
    <col min="8702" max="8702" width="29.42578125" style="436" customWidth="1"/>
    <col min="8703" max="8703" width="6.42578125" style="436" customWidth="1"/>
    <col min="8704" max="8704" width="10.42578125" style="436" customWidth="1"/>
    <col min="8705" max="8705" width="16.42578125" style="436" customWidth="1"/>
    <col min="8706" max="8706" width="3.42578125" style="436" customWidth="1"/>
    <col min="8707" max="8707" width="29.42578125" style="436" customWidth="1"/>
    <col min="8708" max="8708" width="6.42578125" style="436" customWidth="1"/>
    <col min="8709" max="8709" width="10.42578125" style="436" customWidth="1"/>
    <col min="8710" max="8710" width="16.42578125" style="436" customWidth="1"/>
    <col min="8711" max="8711" width="9.140625" style="436" customWidth="1"/>
    <col min="8712" max="8951" width="9.140625" style="436"/>
    <col min="8952" max="8952" width="3.42578125" style="436" customWidth="1"/>
    <col min="8953" max="8953" width="29.42578125" style="436" customWidth="1"/>
    <col min="8954" max="8954" width="6.42578125" style="436" customWidth="1"/>
    <col min="8955" max="8955" width="9.42578125" style="436" bestFit="1" customWidth="1"/>
    <col min="8956" max="8956" width="16.42578125" style="436" customWidth="1"/>
    <col min="8957" max="8957" width="3.42578125" style="436" customWidth="1"/>
    <col min="8958" max="8958" width="29.42578125" style="436" customWidth="1"/>
    <col min="8959" max="8959" width="6.42578125" style="436" customWidth="1"/>
    <col min="8960" max="8960" width="10.42578125" style="436" customWidth="1"/>
    <col min="8961" max="8961" width="16.42578125" style="436" customWidth="1"/>
    <col min="8962" max="8962" width="3.42578125" style="436" customWidth="1"/>
    <col min="8963" max="8963" width="29.42578125" style="436" customWidth="1"/>
    <col min="8964" max="8964" width="6.42578125" style="436" customWidth="1"/>
    <col min="8965" max="8965" width="10.42578125" style="436" customWidth="1"/>
    <col min="8966" max="8966" width="16.42578125" style="436" customWidth="1"/>
    <col min="8967" max="8967" width="9.140625" style="436" customWidth="1"/>
    <col min="8968" max="9207" width="9.140625" style="436"/>
    <col min="9208" max="9208" width="3.42578125" style="436" customWidth="1"/>
    <col min="9209" max="9209" width="29.42578125" style="436" customWidth="1"/>
    <col min="9210" max="9210" width="6.42578125" style="436" customWidth="1"/>
    <col min="9211" max="9211" width="9.42578125" style="436" bestFit="1" customWidth="1"/>
    <col min="9212" max="9212" width="16.42578125" style="436" customWidth="1"/>
    <col min="9213" max="9213" width="3.42578125" style="436" customWidth="1"/>
    <col min="9214" max="9214" width="29.42578125" style="436" customWidth="1"/>
    <col min="9215" max="9215" width="6.42578125" style="436" customWidth="1"/>
    <col min="9216" max="9216" width="10.42578125" style="436" customWidth="1"/>
    <col min="9217" max="9217" width="16.42578125" style="436" customWidth="1"/>
    <col min="9218" max="9218" width="3.42578125" style="436" customWidth="1"/>
    <col min="9219" max="9219" width="29.42578125" style="436" customWidth="1"/>
    <col min="9220" max="9220" width="6.42578125" style="436" customWidth="1"/>
    <col min="9221" max="9221" width="10.42578125" style="436" customWidth="1"/>
    <col min="9222" max="9222" width="16.42578125" style="436" customWidth="1"/>
    <col min="9223" max="9223" width="9.140625" style="436" customWidth="1"/>
    <col min="9224" max="9463" width="9.140625" style="436"/>
    <col min="9464" max="9464" width="3.42578125" style="436" customWidth="1"/>
    <col min="9465" max="9465" width="29.42578125" style="436" customWidth="1"/>
    <col min="9466" max="9466" width="6.42578125" style="436" customWidth="1"/>
    <col min="9467" max="9467" width="9.42578125" style="436" bestFit="1" customWidth="1"/>
    <col min="9468" max="9468" width="16.42578125" style="436" customWidth="1"/>
    <col min="9469" max="9469" width="3.42578125" style="436" customWidth="1"/>
    <col min="9470" max="9470" width="29.42578125" style="436" customWidth="1"/>
    <col min="9471" max="9471" width="6.42578125" style="436" customWidth="1"/>
    <col min="9472" max="9472" width="10.42578125" style="436" customWidth="1"/>
    <col min="9473" max="9473" width="16.42578125" style="436" customWidth="1"/>
    <col min="9474" max="9474" width="3.42578125" style="436" customWidth="1"/>
    <col min="9475" max="9475" width="29.42578125" style="436" customWidth="1"/>
    <col min="9476" max="9476" width="6.42578125" style="436" customWidth="1"/>
    <col min="9477" max="9477" width="10.42578125" style="436" customWidth="1"/>
    <col min="9478" max="9478" width="16.42578125" style="436" customWidth="1"/>
    <col min="9479" max="9479" width="9.140625" style="436" customWidth="1"/>
    <col min="9480" max="9719" width="9.140625" style="436"/>
    <col min="9720" max="9720" width="3.42578125" style="436" customWidth="1"/>
    <col min="9721" max="9721" width="29.42578125" style="436" customWidth="1"/>
    <col min="9722" max="9722" width="6.42578125" style="436" customWidth="1"/>
    <col min="9723" max="9723" width="9.42578125" style="436" bestFit="1" customWidth="1"/>
    <col min="9724" max="9724" width="16.42578125" style="436" customWidth="1"/>
    <col min="9725" max="9725" width="3.42578125" style="436" customWidth="1"/>
    <col min="9726" max="9726" width="29.42578125" style="436" customWidth="1"/>
    <col min="9727" max="9727" width="6.42578125" style="436" customWidth="1"/>
    <col min="9728" max="9728" width="10.42578125" style="436" customWidth="1"/>
    <col min="9729" max="9729" width="16.42578125" style="436" customWidth="1"/>
    <col min="9730" max="9730" width="3.42578125" style="436" customWidth="1"/>
    <col min="9731" max="9731" width="29.42578125" style="436" customWidth="1"/>
    <col min="9732" max="9732" width="6.42578125" style="436" customWidth="1"/>
    <col min="9733" max="9733" width="10.42578125" style="436" customWidth="1"/>
    <col min="9734" max="9734" width="16.42578125" style="436" customWidth="1"/>
    <col min="9735" max="9735" width="9.140625" style="436" customWidth="1"/>
    <col min="9736" max="9975" width="9.140625" style="436"/>
    <col min="9976" max="9976" width="3.42578125" style="436" customWidth="1"/>
    <col min="9977" max="9977" width="29.42578125" style="436" customWidth="1"/>
    <col min="9978" max="9978" width="6.42578125" style="436" customWidth="1"/>
    <col min="9979" max="9979" width="9.42578125" style="436" bestFit="1" customWidth="1"/>
    <col min="9980" max="9980" width="16.42578125" style="436" customWidth="1"/>
    <col min="9981" max="9981" width="3.42578125" style="436" customWidth="1"/>
    <col min="9982" max="9982" width="29.42578125" style="436" customWidth="1"/>
    <col min="9983" max="9983" width="6.42578125" style="436" customWidth="1"/>
    <col min="9984" max="9984" width="10.42578125" style="436" customWidth="1"/>
    <col min="9985" max="9985" width="16.42578125" style="436" customWidth="1"/>
    <col min="9986" max="9986" width="3.42578125" style="436" customWidth="1"/>
    <col min="9987" max="9987" width="29.42578125" style="436" customWidth="1"/>
    <col min="9988" max="9988" width="6.42578125" style="436" customWidth="1"/>
    <col min="9989" max="9989" width="10.42578125" style="436" customWidth="1"/>
    <col min="9990" max="9990" width="16.42578125" style="436" customWidth="1"/>
    <col min="9991" max="9991" width="9.140625" style="436" customWidth="1"/>
    <col min="9992" max="10231" width="9.140625" style="436"/>
    <col min="10232" max="10232" width="3.42578125" style="436" customWidth="1"/>
    <col min="10233" max="10233" width="29.42578125" style="436" customWidth="1"/>
    <col min="10234" max="10234" width="6.42578125" style="436" customWidth="1"/>
    <col min="10235" max="10235" width="9.42578125" style="436" bestFit="1" customWidth="1"/>
    <col min="10236" max="10236" width="16.42578125" style="436" customWidth="1"/>
    <col min="10237" max="10237" width="3.42578125" style="436" customWidth="1"/>
    <col min="10238" max="10238" width="29.42578125" style="436" customWidth="1"/>
    <col min="10239" max="10239" width="6.42578125" style="436" customWidth="1"/>
    <col min="10240" max="10240" width="10.42578125" style="436" customWidth="1"/>
    <col min="10241" max="10241" width="16.42578125" style="436" customWidth="1"/>
    <col min="10242" max="10242" width="3.42578125" style="436" customWidth="1"/>
    <col min="10243" max="10243" width="29.42578125" style="436" customWidth="1"/>
    <col min="10244" max="10244" width="6.42578125" style="436" customWidth="1"/>
    <col min="10245" max="10245" width="10.42578125" style="436" customWidth="1"/>
    <col min="10246" max="10246" width="16.42578125" style="436" customWidth="1"/>
    <col min="10247" max="10247" width="9.140625" style="436" customWidth="1"/>
    <col min="10248" max="10487" width="9.140625" style="436"/>
    <col min="10488" max="10488" width="3.42578125" style="436" customWidth="1"/>
    <col min="10489" max="10489" width="29.42578125" style="436" customWidth="1"/>
    <col min="10490" max="10490" width="6.42578125" style="436" customWidth="1"/>
    <col min="10491" max="10491" width="9.42578125" style="436" bestFit="1" customWidth="1"/>
    <col min="10492" max="10492" width="16.42578125" style="436" customWidth="1"/>
    <col min="10493" max="10493" width="3.42578125" style="436" customWidth="1"/>
    <col min="10494" max="10494" width="29.42578125" style="436" customWidth="1"/>
    <col min="10495" max="10495" width="6.42578125" style="436" customWidth="1"/>
    <col min="10496" max="10496" width="10.42578125" style="436" customWidth="1"/>
    <col min="10497" max="10497" width="16.42578125" style="436" customWidth="1"/>
    <col min="10498" max="10498" width="3.42578125" style="436" customWidth="1"/>
    <col min="10499" max="10499" width="29.42578125" style="436" customWidth="1"/>
    <col min="10500" max="10500" width="6.42578125" style="436" customWidth="1"/>
    <col min="10501" max="10501" width="10.42578125" style="436" customWidth="1"/>
    <col min="10502" max="10502" width="16.42578125" style="436" customWidth="1"/>
    <col min="10503" max="10503" width="9.140625" style="436" customWidth="1"/>
    <col min="10504" max="10743" width="9.140625" style="436"/>
    <col min="10744" max="10744" width="3.42578125" style="436" customWidth="1"/>
    <col min="10745" max="10745" width="29.42578125" style="436" customWidth="1"/>
    <col min="10746" max="10746" width="6.42578125" style="436" customWidth="1"/>
    <col min="10747" max="10747" width="9.42578125" style="436" bestFit="1" customWidth="1"/>
    <col min="10748" max="10748" width="16.42578125" style="436" customWidth="1"/>
    <col min="10749" max="10749" width="3.42578125" style="436" customWidth="1"/>
    <col min="10750" max="10750" width="29.42578125" style="436" customWidth="1"/>
    <col min="10751" max="10751" width="6.42578125" style="436" customWidth="1"/>
    <col min="10752" max="10752" width="10.42578125" style="436" customWidth="1"/>
    <col min="10753" max="10753" width="16.42578125" style="436" customWidth="1"/>
    <col min="10754" max="10754" width="3.42578125" style="436" customWidth="1"/>
    <col min="10755" max="10755" width="29.42578125" style="436" customWidth="1"/>
    <col min="10756" max="10756" width="6.42578125" style="436" customWidth="1"/>
    <col min="10757" max="10757" width="10.42578125" style="436" customWidth="1"/>
    <col min="10758" max="10758" width="16.42578125" style="436" customWidth="1"/>
    <col min="10759" max="10759" width="9.140625" style="436" customWidth="1"/>
    <col min="10760" max="10999" width="9.140625" style="436"/>
    <col min="11000" max="11000" width="3.42578125" style="436" customWidth="1"/>
    <col min="11001" max="11001" width="29.42578125" style="436" customWidth="1"/>
    <col min="11002" max="11002" width="6.42578125" style="436" customWidth="1"/>
    <col min="11003" max="11003" width="9.42578125" style="436" bestFit="1" customWidth="1"/>
    <col min="11004" max="11004" width="16.42578125" style="436" customWidth="1"/>
    <col min="11005" max="11005" width="3.42578125" style="436" customWidth="1"/>
    <col min="11006" max="11006" width="29.42578125" style="436" customWidth="1"/>
    <col min="11007" max="11007" width="6.42578125" style="436" customWidth="1"/>
    <col min="11008" max="11008" width="10.42578125" style="436" customWidth="1"/>
    <col min="11009" max="11009" width="16.42578125" style="436" customWidth="1"/>
    <col min="11010" max="11010" width="3.42578125" style="436" customWidth="1"/>
    <col min="11011" max="11011" width="29.42578125" style="436" customWidth="1"/>
    <col min="11012" max="11012" width="6.42578125" style="436" customWidth="1"/>
    <col min="11013" max="11013" width="10.42578125" style="436" customWidth="1"/>
    <col min="11014" max="11014" width="16.42578125" style="436" customWidth="1"/>
    <col min="11015" max="11015" width="9.140625" style="436" customWidth="1"/>
    <col min="11016" max="11255" width="9.140625" style="436"/>
    <col min="11256" max="11256" width="3.42578125" style="436" customWidth="1"/>
    <col min="11257" max="11257" width="29.42578125" style="436" customWidth="1"/>
    <col min="11258" max="11258" width="6.42578125" style="436" customWidth="1"/>
    <col min="11259" max="11259" width="9.42578125" style="436" bestFit="1" customWidth="1"/>
    <col min="11260" max="11260" width="16.42578125" style="436" customWidth="1"/>
    <col min="11261" max="11261" width="3.42578125" style="436" customWidth="1"/>
    <col min="11262" max="11262" width="29.42578125" style="436" customWidth="1"/>
    <col min="11263" max="11263" width="6.42578125" style="436" customWidth="1"/>
    <col min="11264" max="11264" width="10.42578125" style="436" customWidth="1"/>
    <col min="11265" max="11265" width="16.42578125" style="436" customWidth="1"/>
    <col min="11266" max="11266" width="3.42578125" style="436" customWidth="1"/>
    <col min="11267" max="11267" width="29.42578125" style="436" customWidth="1"/>
    <col min="11268" max="11268" width="6.42578125" style="436" customWidth="1"/>
    <col min="11269" max="11269" width="10.42578125" style="436" customWidth="1"/>
    <col min="11270" max="11270" width="16.42578125" style="436" customWidth="1"/>
    <col min="11271" max="11271" width="9.140625" style="436" customWidth="1"/>
    <col min="11272" max="11511" width="9.140625" style="436"/>
    <col min="11512" max="11512" width="3.42578125" style="436" customWidth="1"/>
    <col min="11513" max="11513" width="29.42578125" style="436" customWidth="1"/>
    <col min="11514" max="11514" width="6.42578125" style="436" customWidth="1"/>
    <col min="11515" max="11515" width="9.42578125" style="436" bestFit="1" customWidth="1"/>
    <col min="11516" max="11516" width="16.42578125" style="436" customWidth="1"/>
    <col min="11517" max="11517" width="3.42578125" style="436" customWidth="1"/>
    <col min="11518" max="11518" width="29.42578125" style="436" customWidth="1"/>
    <col min="11519" max="11519" width="6.42578125" style="436" customWidth="1"/>
    <col min="11520" max="11520" width="10.42578125" style="436" customWidth="1"/>
    <col min="11521" max="11521" width="16.42578125" style="436" customWidth="1"/>
    <col min="11522" max="11522" width="3.42578125" style="436" customWidth="1"/>
    <col min="11523" max="11523" width="29.42578125" style="436" customWidth="1"/>
    <col min="11524" max="11524" width="6.42578125" style="436" customWidth="1"/>
    <col min="11525" max="11525" width="10.42578125" style="436" customWidth="1"/>
    <col min="11526" max="11526" width="16.42578125" style="436" customWidth="1"/>
    <col min="11527" max="11527" width="9.140625" style="436" customWidth="1"/>
    <col min="11528" max="11767" width="9.140625" style="436"/>
    <col min="11768" max="11768" width="3.42578125" style="436" customWidth="1"/>
    <col min="11769" max="11769" width="29.42578125" style="436" customWidth="1"/>
    <col min="11770" max="11770" width="6.42578125" style="436" customWidth="1"/>
    <col min="11771" max="11771" width="9.42578125" style="436" bestFit="1" customWidth="1"/>
    <col min="11772" max="11772" width="16.42578125" style="436" customWidth="1"/>
    <col min="11773" max="11773" width="3.42578125" style="436" customWidth="1"/>
    <col min="11774" max="11774" width="29.42578125" style="436" customWidth="1"/>
    <col min="11775" max="11775" width="6.42578125" style="436" customWidth="1"/>
    <col min="11776" max="11776" width="10.42578125" style="436" customWidth="1"/>
    <col min="11777" max="11777" width="16.42578125" style="436" customWidth="1"/>
    <col min="11778" max="11778" width="3.42578125" style="436" customWidth="1"/>
    <col min="11779" max="11779" width="29.42578125" style="436" customWidth="1"/>
    <col min="11780" max="11780" width="6.42578125" style="436" customWidth="1"/>
    <col min="11781" max="11781" width="10.42578125" style="436" customWidth="1"/>
    <col min="11782" max="11782" width="16.42578125" style="436" customWidth="1"/>
    <col min="11783" max="11783" width="9.140625" style="436" customWidth="1"/>
    <col min="11784" max="12023" width="9.140625" style="436"/>
    <col min="12024" max="12024" width="3.42578125" style="436" customWidth="1"/>
    <col min="12025" max="12025" width="29.42578125" style="436" customWidth="1"/>
    <col min="12026" max="12026" width="6.42578125" style="436" customWidth="1"/>
    <col min="12027" max="12027" width="9.42578125" style="436" bestFit="1" customWidth="1"/>
    <col min="12028" max="12028" width="16.42578125" style="436" customWidth="1"/>
    <col min="12029" max="12029" width="3.42578125" style="436" customWidth="1"/>
    <col min="12030" max="12030" width="29.42578125" style="436" customWidth="1"/>
    <col min="12031" max="12031" width="6.42578125" style="436" customWidth="1"/>
    <col min="12032" max="12032" width="10.42578125" style="436" customWidth="1"/>
    <col min="12033" max="12033" width="16.42578125" style="436" customWidth="1"/>
    <col min="12034" max="12034" width="3.42578125" style="436" customWidth="1"/>
    <col min="12035" max="12035" width="29.42578125" style="436" customWidth="1"/>
    <col min="12036" max="12036" width="6.42578125" style="436" customWidth="1"/>
    <col min="12037" max="12037" width="10.42578125" style="436" customWidth="1"/>
    <col min="12038" max="12038" width="16.42578125" style="436" customWidth="1"/>
    <col min="12039" max="12039" width="9.140625" style="436" customWidth="1"/>
    <col min="12040" max="12279" width="9.140625" style="436"/>
    <col min="12280" max="12280" width="3.42578125" style="436" customWidth="1"/>
    <col min="12281" max="12281" width="29.42578125" style="436" customWidth="1"/>
    <col min="12282" max="12282" width="6.42578125" style="436" customWidth="1"/>
    <col min="12283" max="12283" width="9.42578125" style="436" bestFit="1" customWidth="1"/>
    <col min="12284" max="12284" width="16.42578125" style="436" customWidth="1"/>
    <col min="12285" max="12285" width="3.42578125" style="436" customWidth="1"/>
    <col min="12286" max="12286" width="29.42578125" style="436" customWidth="1"/>
    <col min="12287" max="12287" width="6.42578125" style="436" customWidth="1"/>
    <col min="12288" max="12288" width="10.42578125" style="436" customWidth="1"/>
    <col min="12289" max="12289" width="16.42578125" style="436" customWidth="1"/>
    <col min="12290" max="12290" width="3.42578125" style="436" customWidth="1"/>
    <col min="12291" max="12291" width="29.42578125" style="436" customWidth="1"/>
    <col min="12292" max="12292" width="6.42578125" style="436" customWidth="1"/>
    <col min="12293" max="12293" width="10.42578125" style="436" customWidth="1"/>
    <col min="12294" max="12294" width="16.42578125" style="436" customWidth="1"/>
    <col min="12295" max="12295" width="9.140625" style="436" customWidth="1"/>
    <col min="12296" max="12535" width="9.140625" style="436"/>
    <col min="12536" max="12536" width="3.42578125" style="436" customWidth="1"/>
    <col min="12537" max="12537" width="29.42578125" style="436" customWidth="1"/>
    <col min="12538" max="12538" width="6.42578125" style="436" customWidth="1"/>
    <col min="12539" max="12539" width="9.42578125" style="436" bestFit="1" customWidth="1"/>
    <col min="12540" max="12540" width="16.42578125" style="436" customWidth="1"/>
    <col min="12541" max="12541" width="3.42578125" style="436" customWidth="1"/>
    <col min="12542" max="12542" width="29.42578125" style="436" customWidth="1"/>
    <col min="12543" max="12543" width="6.42578125" style="436" customWidth="1"/>
    <col min="12544" max="12544" width="10.42578125" style="436" customWidth="1"/>
    <col min="12545" max="12545" width="16.42578125" style="436" customWidth="1"/>
    <col min="12546" max="12546" width="3.42578125" style="436" customWidth="1"/>
    <col min="12547" max="12547" width="29.42578125" style="436" customWidth="1"/>
    <col min="12548" max="12548" width="6.42578125" style="436" customWidth="1"/>
    <col min="12549" max="12549" width="10.42578125" style="436" customWidth="1"/>
    <col min="12550" max="12550" width="16.42578125" style="436" customWidth="1"/>
    <col min="12551" max="12551" width="9.140625" style="436" customWidth="1"/>
    <col min="12552" max="12791" width="9.140625" style="436"/>
    <col min="12792" max="12792" width="3.42578125" style="436" customWidth="1"/>
    <col min="12793" max="12793" width="29.42578125" style="436" customWidth="1"/>
    <col min="12794" max="12794" width="6.42578125" style="436" customWidth="1"/>
    <col min="12795" max="12795" width="9.42578125" style="436" bestFit="1" customWidth="1"/>
    <col min="12796" max="12796" width="16.42578125" style="436" customWidth="1"/>
    <col min="12797" max="12797" width="3.42578125" style="436" customWidth="1"/>
    <col min="12798" max="12798" width="29.42578125" style="436" customWidth="1"/>
    <col min="12799" max="12799" width="6.42578125" style="436" customWidth="1"/>
    <col min="12800" max="12800" width="10.42578125" style="436" customWidth="1"/>
    <col min="12801" max="12801" width="16.42578125" style="436" customWidth="1"/>
    <col min="12802" max="12802" width="3.42578125" style="436" customWidth="1"/>
    <col min="12803" max="12803" width="29.42578125" style="436" customWidth="1"/>
    <col min="12804" max="12804" width="6.42578125" style="436" customWidth="1"/>
    <col min="12805" max="12805" width="10.42578125" style="436" customWidth="1"/>
    <col min="12806" max="12806" width="16.42578125" style="436" customWidth="1"/>
    <col min="12807" max="12807" width="9.140625" style="436" customWidth="1"/>
    <col min="12808" max="13047" width="9.140625" style="436"/>
    <col min="13048" max="13048" width="3.42578125" style="436" customWidth="1"/>
    <col min="13049" max="13049" width="29.42578125" style="436" customWidth="1"/>
    <col min="13050" max="13050" width="6.42578125" style="436" customWidth="1"/>
    <col min="13051" max="13051" width="9.42578125" style="436" bestFit="1" customWidth="1"/>
    <col min="13052" max="13052" width="16.42578125" style="436" customWidth="1"/>
    <col min="13053" max="13053" width="3.42578125" style="436" customWidth="1"/>
    <col min="13054" max="13054" width="29.42578125" style="436" customWidth="1"/>
    <col min="13055" max="13055" width="6.42578125" style="436" customWidth="1"/>
    <col min="13056" max="13056" width="10.42578125" style="436" customWidth="1"/>
    <col min="13057" max="13057" width="16.42578125" style="436" customWidth="1"/>
    <col min="13058" max="13058" width="3.42578125" style="436" customWidth="1"/>
    <col min="13059" max="13059" width="29.42578125" style="436" customWidth="1"/>
    <col min="13060" max="13060" width="6.42578125" style="436" customWidth="1"/>
    <col min="13061" max="13061" width="10.42578125" style="436" customWidth="1"/>
    <col min="13062" max="13062" width="16.42578125" style="436" customWidth="1"/>
    <col min="13063" max="13063" width="9.140625" style="436" customWidth="1"/>
    <col min="13064" max="13303" width="9.140625" style="436"/>
    <col min="13304" max="13304" width="3.42578125" style="436" customWidth="1"/>
    <col min="13305" max="13305" width="29.42578125" style="436" customWidth="1"/>
    <col min="13306" max="13306" width="6.42578125" style="436" customWidth="1"/>
    <col min="13307" max="13307" width="9.42578125" style="436" bestFit="1" customWidth="1"/>
    <col min="13308" max="13308" width="16.42578125" style="436" customWidth="1"/>
    <col min="13309" max="13309" width="3.42578125" style="436" customWidth="1"/>
    <col min="13310" max="13310" width="29.42578125" style="436" customWidth="1"/>
    <col min="13311" max="13311" width="6.42578125" style="436" customWidth="1"/>
    <col min="13312" max="13312" width="10.42578125" style="436" customWidth="1"/>
    <col min="13313" max="13313" width="16.42578125" style="436" customWidth="1"/>
    <col min="13314" max="13314" width="3.42578125" style="436" customWidth="1"/>
    <col min="13315" max="13315" width="29.42578125" style="436" customWidth="1"/>
    <col min="13316" max="13316" width="6.42578125" style="436" customWidth="1"/>
    <col min="13317" max="13317" width="10.42578125" style="436" customWidth="1"/>
    <col min="13318" max="13318" width="16.42578125" style="436" customWidth="1"/>
    <col min="13319" max="13319" width="9.140625" style="436" customWidth="1"/>
    <col min="13320" max="13559" width="9.140625" style="436"/>
    <col min="13560" max="13560" width="3.42578125" style="436" customWidth="1"/>
    <col min="13561" max="13561" width="29.42578125" style="436" customWidth="1"/>
    <col min="13562" max="13562" width="6.42578125" style="436" customWidth="1"/>
    <col min="13563" max="13563" width="9.42578125" style="436" bestFit="1" customWidth="1"/>
    <col min="13564" max="13564" width="16.42578125" style="436" customWidth="1"/>
    <col min="13565" max="13565" width="3.42578125" style="436" customWidth="1"/>
    <col min="13566" max="13566" width="29.42578125" style="436" customWidth="1"/>
    <col min="13567" max="13567" width="6.42578125" style="436" customWidth="1"/>
    <col min="13568" max="13568" width="10.42578125" style="436" customWidth="1"/>
    <col min="13569" max="13569" width="16.42578125" style="436" customWidth="1"/>
    <col min="13570" max="13570" width="3.42578125" style="436" customWidth="1"/>
    <col min="13571" max="13571" width="29.42578125" style="436" customWidth="1"/>
    <col min="13572" max="13572" width="6.42578125" style="436" customWidth="1"/>
    <col min="13573" max="13573" width="10.42578125" style="436" customWidth="1"/>
    <col min="13574" max="13574" width="16.42578125" style="436" customWidth="1"/>
    <col min="13575" max="13575" width="9.140625" style="436" customWidth="1"/>
    <col min="13576" max="13815" width="9.140625" style="436"/>
    <col min="13816" max="13816" width="3.42578125" style="436" customWidth="1"/>
    <col min="13817" max="13817" width="29.42578125" style="436" customWidth="1"/>
    <col min="13818" max="13818" width="6.42578125" style="436" customWidth="1"/>
    <col min="13819" max="13819" width="9.42578125" style="436" bestFit="1" customWidth="1"/>
    <col min="13820" max="13820" width="16.42578125" style="436" customWidth="1"/>
    <col min="13821" max="13821" width="3.42578125" style="436" customWidth="1"/>
    <col min="13822" max="13822" width="29.42578125" style="436" customWidth="1"/>
    <col min="13823" max="13823" width="6.42578125" style="436" customWidth="1"/>
    <col min="13824" max="13824" width="10.42578125" style="436" customWidth="1"/>
    <col min="13825" max="13825" width="16.42578125" style="436" customWidth="1"/>
    <col min="13826" max="13826" width="3.42578125" style="436" customWidth="1"/>
    <col min="13827" max="13827" width="29.42578125" style="436" customWidth="1"/>
    <col min="13828" max="13828" width="6.42578125" style="436" customWidth="1"/>
    <col min="13829" max="13829" width="10.42578125" style="436" customWidth="1"/>
    <col min="13830" max="13830" width="16.42578125" style="436" customWidth="1"/>
    <col min="13831" max="13831" width="9.140625" style="436" customWidth="1"/>
    <col min="13832" max="14071" width="9.140625" style="436"/>
    <col min="14072" max="14072" width="3.42578125" style="436" customWidth="1"/>
    <col min="14073" max="14073" width="29.42578125" style="436" customWidth="1"/>
    <col min="14074" max="14074" width="6.42578125" style="436" customWidth="1"/>
    <col min="14075" max="14075" width="9.42578125" style="436" bestFit="1" customWidth="1"/>
    <col min="14076" max="14076" width="16.42578125" style="436" customWidth="1"/>
    <col min="14077" max="14077" width="3.42578125" style="436" customWidth="1"/>
    <col min="14078" max="14078" width="29.42578125" style="436" customWidth="1"/>
    <col min="14079" max="14079" width="6.42578125" style="436" customWidth="1"/>
    <col min="14080" max="14080" width="10.42578125" style="436" customWidth="1"/>
    <col min="14081" max="14081" width="16.42578125" style="436" customWidth="1"/>
    <col min="14082" max="14082" width="3.42578125" style="436" customWidth="1"/>
    <col min="14083" max="14083" width="29.42578125" style="436" customWidth="1"/>
    <col min="14084" max="14084" width="6.42578125" style="436" customWidth="1"/>
    <col min="14085" max="14085" width="10.42578125" style="436" customWidth="1"/>
    <col min="14086" max="14086" width="16.42578125" style="436" customWidth="1"/>
    <col min="14087" max="14087" width="9.140625" style="436" customWidth="1"/>
    <col min="14088" max="14327" width="9.140625" style="436"/>
    <col min="14328" max="14328" width="3.42578125" style="436" customWidth="1"/>
    <col min="14329" max="14329" width="29.42578125" style="436" customWidth="1"/>
    <col min="14330" max="14330" width="6.42578125" style="436" customWidth="1"/>
    <col min="14331" max="14331" width="9.42578125" style="436" bestFit="1" customWidth="1"/>
    <col min="14332" max="14332" width="16.42578125" style="436" customWidth="1"/>
    <col min="14333" max="14333" width="3.42578125" style="436" customWidth="1"/>
    <col min="14334" max="14334" width="29.42578125" style="436" customWidth="1"/>
    <col min="14335" max="14335" width="6.42578125" style="436" customWidth="1"/>
    <col min="14336" max="14336" width="10.42578125" style="436" customWidth="1"/>
    <col min="14337" max="14337" width="16.42578125" style="436" customWidth="1"/>
    <col min="14338" max="14338" width="3.42578125" style="436" customWidth="1"/>
    <col min="14339" max="14339" width="29.42578125" style="436" customWidth="1"/>
    <col min="14340" max="14340" width="6.42578125" style="436" customWidth="1"/>
    <col min="14341" max="14341" width="10.42578125" style="436" customWidth="1"/>
    <col min="14342" max="14342" width="16.42578125" style="436" customWidth="1"/>
    <col min="14343" max="14343" width="9.140625" style="436" customWidth="1"/>
    <col min="14344" max="14583" width="9.140625" style="436"/>
    <col min="14584" max="14584" width="3.42578125" style="436" customWidth="1"/>
    <col min="14585" max="14585" width="29.42578125" style="436" customWidth="1"/>
    <col min="14586" max="14586" width="6.42578125" style="436" customWidth="1"/>
    <col min="14587" max="14587" width="9.42578125" style="436" bestFit="1" customWidth="1"/>
    <col min="14588" max="14588" width="16.42578125" style="436" customWidth="1"/>
    <col min="14589" max="14589" width="3.42578125" style="436" customWidth="1"/>
    <col min="14590" max="14590" width="29.42578125" style="436" customWidth="1"/>
    <col min="14591" max="14591" width="6.42578125" style="436" customWidth="1"/>
    <col min="14592" max="14592" width="10.42578125" style="436" customWidth="1"/>
    <col min="14593" max="14593" width="16.42578125" style="436" customWidth="1"/>
    <col min="14594" max="14594" width="3.42578125" style="436" customWidth="1"/>
    <col min="14595" max="14595" width="29.42578125" style="436" customWidth="1"/>
    <col min="14596" max="14596" width="6.42578125" style="436" customWidth="1"/>
    <col min="14597" max="14597" width="10.42578125" style="436" customWidth="1"/>
    <col min="14598" max="14598" width="16.42578125" style="436" customWidth="1"/>
    <col min="14599" max="14599" width="9.140625" style="436" customWidth="1"/>
    <col min="14600" max="14839" width="9.140625" style="436"/>
    <col min="14840" max="14840" width="3.42578125" style="436" customWidth="1"/>
    <col min="14841" max="14841" width="29.42578125" style="436" customWidth="1"/>
    <col min="14842" max="14842" width="6.42578125" style="436" customWidth="1"/>
    <col min="14843" max="14843" width="9.42578125" style="436" bestFit="1" customWidth="1"/>
    <col min="14844" max="14844" width="16.42578125" style="436" customWidth="1"/>
    <col min="14845" max="14845" width="3.42578125" style="436" customWidth="1"/>
    <col min="14846" max="14846" width="29.42578125" style="436" customWidth="1"/>
    <col min="14847" max="14847" width="6.42578125" style="436" customWidth="1"/>
    <col min="14848" max="14848" width="10.42578125" style="436" customWidth="1"/>
    <col min="14849" max="14849" width="16.42578125" style="436" customWidth="1"/>
    <col min="14850" max="14850" width="3.42578125" style="436" customWidth="1"/>
    <col min="14851" max="14851" width="29.42578125" style="436" customWidth="1"/>
    <col min="14852" max="14852" width="6.42578125" style="436" customWidth="1"/>
    <col min="14853" max="14853" width="10.42578125" style="436" customWidth="1"/>
    <col min="14854" max="14854" width="16.42578125" style="436" customWidth="1"/>
    <col min="14855" max="14855" width="9.140625" style="436" customWidth="1"/>
    <col min="14856" max="15095" width="9.140625" style="436"/>
    <col min="15096" max="15096" width="3.42578125" style="436" customWidth="1"/>
    <col min="15097" max="15097" width="29.42578125" style="436" customWidth="1"/>
    <col min="15098" max="15098" width="6.42578125" style="436" customWidth="1"/>
    <col min="15099" max="15099" width="9.42578125" style="436" bestFit="1" customWidth="1"/>
    <col min="15100" max="15100" width="16.42578125" style="436" customWidth="1"/>
    <col min="15101" max="15101" width="3.42578125" style="436" customWidth="1"/>
    <col min="15102" max="15102" width="29.42578125" style="436" customWidth="1"/>
    <col min="15103" max="15103" width="6.42578125" style="436" customWidth="1"/>
    <col min="15104" max="15104" width="10.42578125" style="436" customWidth="1"/>
    <col min="15105" max="15105" width="16.42578125" style="436" customWidth="1"/>
    <col min="15106" max="15106" width="3.42578125" style="436" customWidth="1"/>
    <col min="15107" max="15107" width="29.42578125" style="436" customWidth="1"/>
    <col min="15108" max="15108" width="6.42578125" style="436" customWidth="1"/>
    <col min="15109" max="15109" width="10.42578125" style="436" customWidth="1"/>
    <col min="15110" max="15110" width="16.42578125" style="436" customWidth="1"/>
    <col min="15111" max="15111" width="9.140625" style="436" customWidth="1"/>
    <col min="15112" max="15351" width="9.140625" style="436"/>
    <col min="15352" max="15352" width="3.42578125" style="436" customWidth="1"/>
    <col min="15353" max="15353" width="29.42578125" style="436" customWidth="1"/>
    <col min="15354" max="15354" width="6.42578125" style="436" customWidth="1"/>
    <col min="15355" max="15355" width="9.42578125" style="436" bestFit="1" customWidth="1"/>
    <col min="15356" max="15356" width="16.42578125" style="436" customWidth="1"/>
    <col min="15357" max="15357" width="3.42578125" style="436" customWidth="1"/>
    <col min="15358" max="15358" width="29.42578125" style="436" customWidth="1"/>
    <col min="15359" max="15359" width="6.42578125" style="436" customWidth="1"/>
    <col min="15360" max="15360" width="10.42578125" style="436" customWidth="1"/>
    <col min="15361" max="15361" width="16.42578125" style="436" customWidth="1"/>
    <col min="15362" max="15362" width="3.42578125" style="436" customWidth="1"/>
    <col min="15363" max="15363" width="29.42578125" style="436" customWidth="1"/>
    <col min="15364" max="15364" width="6.42578125" style="436" customWidth="1"/>
    <col min="15365" max="15365" width="10.42578125" style="436" customWidth="1"/>
    <col min="15366" max="15366" width="16.42578125" style="436" customWidth="1"/>
    <col min="15367" max="15367" width="9.140625" style="436" customWidth="1"/>
    <col min="15368" max="15607" width="9.140625" style="436"/>
    <col min="15608" max="15608" width="3.42578125" style="436" customWidth="1"/>
    <col min="15609" max="15609" width="29.42578125" style="436" customWidth="1"/>
    <col min="15610" max="15610" width="6.42578125" style="436" customWidth="1"/>
    <col min="15611" max="15611" width="9.42578125" style="436" bestFit="1" customWidth="1"/>
    <col min="15612" max="15612" width="16.42578125" style="436" customWidth="1"/>
    <col min="15613" max="15613" width="3.42578125" style="436" customWidth="1"/>
    <col min="15614" max="15614" width="29.42578125" style="436" customWidth="1"/>
    <col min="15615" max="15615" width="6.42578125" style="436" customWidth="1"/>
    <col min="15616" max="15616" width="10.42578125" style="436" customWidth="1"/>
    <col min="15617" max="15617" width="16.42578125" style="436" customWidth="1"/>
    <col min="15618" max="15618" width="3.42578125" style="436" customWidth="1"/>
    <col min="15619" max="15619" width="29.42578125" style="436" customWidth="1"/>
    <col min="15620" max="15620" width="6.42578125" style="436" customWidth="1"/>
    <col min="15621" max="15621" width="10.42578125" style="436" customWidth="1"/>
    <col min="15622" max="15622" width="16.42578125" style="436" customWidth="1"/>
    <col min="15623" max="15623" width="9.140625" style="436" customWidth="1"/>
    <col min="15624" max="15863" width="9.140625" style="436"/>
    <col min="15864" max="15864" width="3.42578125" style="436" customWidth="1"/>
    <col min="15865" max="15865" width="29.42578125" style="436" customWidth="1"/>
    <col min="15866" max="15866" width="6.42578125" style="436" customWidth="1"/>
    <col min="15867" max="15867" width="9.42578125" style="436" bestFit="1" customWidth="1"/>
    <col min="15868" max="15868" width="16.42578125" style="436" customWidth="1"/>
    <col min="15869" max="15869" width="3.42578125" style="436" customWidth="1"/>
    <col min="15870" max="15870" width="29.42578125" style="436" customWidth="1"/>
    <col min="15871" max="15871" width="6.42578125" style="436" customWidth="1"/>
    <col min="15872" max="15872" width="10.42578125" style="436" customWidth="1"/>
    <col min="15873" max="15873" width="16.42578125" style="436" customWidth="1"/>
    <col min="15874" max="15874" width="3.42578125" style="436" customWidth="1"/>
    <col min="15875" max="15875" width="29.42578125" style="436" customWidth="1"/>
    <col min="15876" max="15876" width="6.42578125" style="436" customWidth="1"/>
    <col min="15877" max="15877" width="10.42578125" style="436" customWidth="1"/>
    <col min="15878" max="15878" width="16.42578125" style="436" customWidth="1"/>
    <col min="15879" max="15879" width="9.140625" style="436" customWidth="1"/>
    <col min="15880" max="16119" width="9.140625" style="436"/>
    <col min="16120" max="16120" width="3.42578125" style="436" customWidth="1"/>
    <col min="16121" max="16121" width="29.42578125" style="436" customWidth="1"/>
    <col min="16122" max="16122" width="6.42578125" style="436" customWidth="1"/>
    <col min="16123" max="16123" width="9.42578125" style="436" bestFit="1" customWidth="1"/>
    <col min="16124" max="16124" width="16.42578125" style="436" customWidth="1"/>
    <col min="16125" max="16125" width="3.42578125" style="436" customWidth="1"/>
    <col min="16126" max="16126" width="29.42578125" style="436" customWidth="1"/>
    <col min="16127" max="16127" width="6.42578125" style="436" customWidth="1"/>
    <col min="16128" max="16128" width="10.42578125" style="436" customWidth="1"/>
    <col min="16129" max="16129" width="16.42578125" style="436" customWidth="1"/>
    <col min="16130" max="16130" width="3.42578125" style="436" customWidth="1"/>
    <col min="16131" max="16131" width="29.42578125" style="436" customWidth="1"/>
    <col min="16132" max="16132" width="6.42578125" style="436" customWidth="1"/>
    <col min="16133" max="16133" width="10.42578125" style="436" customWidth="1"/>
    <col min="16134" max="16134" width="16.42578125" style="436" customWidth="1"/>
    <col min="16135" max="16135" width="9.140625" style="436" customWidth="1"/>
    <col min="16136" max="16384" width="9.140625" style="436"/>
  </cols>
  <sheetData>
    <row r="2" spans="2:14" s="424" customFormat="1" ht="22.5" customHeight="1" x14ac:dyDescent="0.2">
      <c r="B2" s="1055" t="s">
        <v>792</v>
      </c>
      <c r="C2" s="1056"/>
      <c r="D2" s="1056"/>
      <c r="E2" s="1056"/>
      <c r="F2" s="1056"/>
      <c r="G2" s="1065"/>
    </row>
    <row r="3" spans="2:14" x14ac:dyDescent="0.2">
      <c r="B3" s="1228" t="s">
        <v>684</v>
      </c>
      <c r="C3" s="1228"/>
      <c r="D3" s="1228"/>
      <c r="E3" s="1228"/>
      <c r="F3" s="1228"/>
      <c r="G3" s="1228"/>
      <c r="I3" s="1228" t="str">
        <f>B3</f>
        <v>AQUECIMENTO SOLAR DE ÁGUA</v>
      </c>
      <c r="J3" s="1228"/>
      <c r="K3" s="1228"/>
      <c r="L3" s="1228"/>
      <c r="M3" s="1228"/>
      <c r="N3" s="1228"/>
    </row>
    <row r="4" spans="2:14" x14ac:dyDescent="0.2">
      <c r="B4" s="1228" t="s">
        <v>736</v>
      </c>
      <c r="C4" s="1228"/>
      <c r="D4" s="1228"/>
      <c r="E4" s="1228"/>
      <c r="F4" s="1228"/>
      <c r="G4" s="1228"/>
      <c r="H4" s="435"/>
      <c r="I4" s="1229" t="s">
        <v>737</v>
      </c>
      <c r="J4" s="1229"/>
      <c r="K4" s="1229"/>
      <c r="L4" s="1229"/>
      <c r="M4" s="1229"/>
      <c r="N4" s="1229"/>
    </row>
    <row r="5" spans="2:14" x14ac:dyDescent="0.2">
      <c r="B5" s="249"/>
      <c r="C5" s="250" t="s">
        <v>554</v>
      </c>
      <c r="D5" s="1230"/>
      <c r="E5" s="1230"/>
      <c r="F5" s="1230"/>
      <c r="G5" s="1231"/>
      <c r="H5" s="435"/>
      <c r="I5" s="251">
        <v>1</v>
      </c>
      <c r="J5" s="1227" t="s">
        <v>555</v>
      </c>
      <c r="K5" s="1227"/>
      <c r="L5" s="252"/>
      <c r="M5" s="253" t="s">
        <v>74</v>
      </c>
      <c r="N5" s="254"/>
    </row>
    <row r="6" spans="2:14" x14ac:dyDescent="0.2">
      <c r="B6" s="249"/>
      <c r="C6" s="255" t="s">
        <v>556</v>
      </c>
      <c r="D6" s="1230"/>
      <c r="E6" s="1230"/>
      <c r="F6" s="1230"/>
      <c r="G6" s="1231"/>
      <c r="H6" s="435"/>
      <c r="I6" s="251">
        <v>2</v>
      </c>
      <c r="J6" s="1227" t="s">
        <v>557</v>
      </c>
      <c r="K6" s="1227"/>
      <c r="L6" s="252"/>
      <c r="M6" s="253" t="s">
        <v>71</v>
      </c>
      <c r="N6" s="254"/>
    </row>
    <row r="7" spans="2:14" ht="18" x14ac:dyDescent="0.2">
      <c r="B7" s="249"/>
      <c r="C7" s="256" t="s">
        <v>558</v>
      </c>
      <c r="D7" s="257"/>
      <c r="E7" s="258" t="s">
        <v>559</v>
      </c>
      <c r="F7" s="259" t="s">
        <v>560</v>
      </c>
      <c r="G7" s="260"/>
      <c r="H7" s="435"/>
      <c r="I7" s="251">
        <v>3</v>
      </c>
      <c r="J7" s="1227" t="s">
        <v>561</v>
      </c>
      <c r="K7" s="1227"/>
      <c r="L7" s="258" t="s">
        <v>362</v>
      </c>
      <c r="M7" s="253" t="s">
        <v>72</v>
      </c>
      <c r="N7" s="261"/>
    </row>
    <row r="8" spans="2:14" ht="18" x14ac:dyDescent="0.2">
      <c r="B8" s="249"/>
      <c r="C8" s="256" t="s">
        <v>562</v>
      </c>
      <c r="D8" s="257"/>
      <c r="E8" s="258" t="s">
        <v>269</v>
      </c>
      <c r="F8" s="259" t="s">
        <v>563</v>
      </c>
      <c r="G8" s="260"/>
      <c r="H8" s="435"/>
      <c r="I8" s="251">
        <v>4</v>
      </c>
      <c r="J8" s="1227" t="s">
        <v>564</v>
      </c>
      <c r="K8" s="1227"/>
      <c r="L8" s="258" t="s">
        <v>362</v>
      </c>
      <c r="M8" s="253" t="s">
        <v>565</v>
      </c>
      <c r="N8" s="262"/>
    </row>
    <row r="9" spans="2:14" x14ac:dyDescent="0.2">
      <c r="B9" s="249"/>
      <c r="C9" s="263" t="s">
        <v>566</v>
      </c>
      <c r="D9" s="257"/>
      <c r="E9" s="258" t="s">
        <v>3</v>
      </c>
      <c r="F9" s="259" t="s">
        <v>76</v>
      </c>
      <c r="G9" s="264"/>
      <c r="H9" s="435"/>
      <c r="I9" s="251">
        <v>5</v>
      </c>
      <c r="J9" s="1227" t="s">
        <v>380</v>
      </c>
      <c r="K9" s="1227"/>
      <c r="L9" s="252"/>
      <c r="M9" s="253" t="s">
        <v>65</v>
      </c>
      <c r="N9" s="265">
        <f>IF(OR(N17="",N18="",N19=""),0.1,((N17*N18)/(N19*180)))</f>
        <v>0.1</v>
      </c>
    </row>
    <row r="10" spans="2:14" ht="17.25" x14ac:dyDescent="0.2">
      <c r="B10" s="249"/>
      <c r="C10" s="266" t="s">
        <v>567</v>
      </c>
      <c r="D10" s="266"/>
      <c r="E10" s="267" t="s">
        <v>568</v>
      </c>
      <c r="F10" s="259" t="s">
        <v>78</v>
      </c>
      <c r="G10" s="268">
        <f>IFERROR(G8/G7,0)</f>
        <v>0</v>
      </c>
      <c r="H10" s="435"/>
      <c r="I10" s="251">
        <v>6</v>
      </c>
      <c r="J10" s="1227" t="s">
        <v>569</v>
      </c>
      <c r="K10" s="1227"/>
      <c r="L10" s="252"/>
      <c r="M10" s="269" t="s">
        <v>68</v>
      </c>
      <c r="N10" s="265">
        <v>0.6</v>
      </c>
    </row>
    <row r="11" spans="2:14" ht="17.25" x14ac:dyDescent="0.2">
      <c r="B11" s="249"/>
      <c r="C11" s="263" t="s">
        <v>570</v>
      </c>
      <c r="D11" s="257"/>
      <c r="E11" s="258" t="s">
        <v>559</v>
      </c>
      <c r="F11" s="259" t="s">
        <v>80</v>
      </c>
      <c r="G11" s="268">
        <f>IFERROR((G23*1000)/(12*N15*G10*N5),0)</f>
        <v>0</v>
      </c>
      <c r="H11" s="435"/>
      <c r="I11" s="251">
        <v>7</v>
      </c>
      <c r="J11" s="1227" t="s">
        <v>571</v>
      </c>
      <c r="K11" s="1227"/>
      <c r="L11" s="252"/>
      <c r="M11" s="253" t="s">
        <v>139</v>
      </c>
      <c r="N11" s="254"/>
    </row>
    <row r="12" spans="2:14" ht="18" x14ac:dyDescent="0.2">
      <c r="B12" s="249"/>
      <c r="C12" s="256" t="s">
        <v>572</v>
      </c>
      <c r="D12" s="270"/>
      <c r="E12" s="271"/>
      <c r="F12" s="259" t="s">
        <v>573</v>
      </c>
      <c r="G12" s="272">
        <f>IFERROR(IF(INT((G11/G7-0.09)-0.5)=0,1,INT((G11/G7-0.09))),0)</f>
        <v>0</v>
      </c>
      <c r="H12" s="435"/>
      <c r="I12" s="251">
        <v>8</v>
      </c>
      <c r="J12" s="1227" t="s">
        <v>574</v>
      </c>
      <c r="K12" s="1227"/>
      <c r="L12" s="258" t="s">
        <v>575</v>
      </c>
      <c r="M12" s="253" t="s">
        <v>70</v>
      </c>
      <c r="N12" s="254"/>
    </row>
    <row r="13" spans="2:14" x14ac:dyDescent="0.2">
      <c r="B13" s="1229" t="s">
        <v>738</v>
      </c>
      <c r="C13" s="1229"/>
      <c r="D13" s="1229"/>
      <c r="E13" s="1229"/>
      <c r="F13" s="1229"/>
      <c r="G13" s="1229"/>
      <c r="H13" s="435"/>
      <c r="I13" s="251"/>
      <c r="J13" s="1227" t="s">
        <v>576</v>
      </c>
      <c r="K13" s="1227"/>
      <c r="L13" s="258" t="s">
        <v>577</v>
      </c>
      <c r="M13" s="253" t="s">
        <v>73</v>
      </c>
      <c r="N13" s="273"/>
    </row>
    <row r="14" spans="2:14" x14ac:dyDescent="0.2">
      <c r="B14" s="249"/>
      <c r="C14" s="255" t="s">
        <v>578</v>
      </c>
      <c r="D14" s="1230"/>
      <c r="E14" s="1230"/>
      <c r="F14" s="1230"/>
      <c r="G14" s="1231"/>
      <c r="H14" s="435"/>
      <c r="I14" s="251"/>
      <c r="J14" s="1227" t="s">
        <v>579</v>
      </c>
      <c r="K14" s="1227"/>
      <c r="L14" s="252"/>
      <c r="M14" s="1233">
        <v>24</v>
      </c>
      <c r="N14" s="1234"/>
    </row>
    <row r="15" spans="2:14" x14ac:dyDescent="0.2">
      <c r="B15" s="249"/>
      <c r="C15" s="255" t="s">
        <v>580</v>
      </c>
      <c r="D15" s="1235"/>
      <c r="E15" s="1230"/>
      <c r="F15" s="1230"/>
      <c r="G15" s="1231"/>
      <c r="H15" s="435"/>
      <c r="I15" s="251"/>
      <c r="J15" s="1227" t="s">
        <v>581</v>
      </c>
      <c r="K15" s="1227"/>
      <c r="L15" s="252"/>
      <c r="M15" s="253" t="s">
        <v>77</v>
      </c>
      <c r="N15" s="265">
        <f>Apoio!C86</f>
        <v>0.5</v>
      </c>
    </row>
    <row r="16" spans="2:14" x14ac:dyDescent="0.2">
      <c r="B16" s="249"/>
      <c r="C16" s="256" t="s">
        <v>582</v>
      </c>
      <c r="D16" s="257"/>
      <c r="E16" s="258" t="s">
        <v>583</v>
      </c>
      <c r="F16" s="253" t="s">
        <v>75</v>
      </c>
      <c r="G16" s="262"/>
      <c r="H16" s="435"/>
      <c r="I16" s="1229" t="s">
        <v>740</v>
      </c>
      <c r="J16" s="1229"/>
      <c r="K16" s="1229"/>
      <c r="L16" s="1229"/>
      <c r="M16" s="1229"/>
      <c r="N16" s="1229"/>
    </row>
    <row r="17" spans="2:14" x14ac:dyDescent="0.2">
      <c r="B17" s="249"/>
      <c r="C17" s="263" t="s">
        <v>584</v>
      </c>
      <c r="D17" s="257"/>
      <c r="E17" s="258" t="s">
        <v>585</v>
      </c>
      <c r="F17" s="253" t="s">
        <v>79</v>
      </c>
      <c r="G17" s="260"/>
      <c r="H17" s="435"/>
      <c r="I17" s="251"/>
      <c r="J17" s="1232" t="s">
        <v>586</v>
      </c>
      <c r="K17" s="1232"/>
      <c r="L17" s="274"/>
      <c r="M17" s="275" t="s">
        <v>69</v>
      </c>
      <c r="N17" s="276"/>
    </row>
    <row r="18" spans="2:14" ht="18" x14ac:dyDescent="0.2">
      <c r="B18" s="249"/>
      <c r="C18" s="256" t="s">
        <v>587</v>
      </c>
      <c r="D18" s="277"/>
      <c r="E18" s="267" t="s">
        <v>583</v>
      </c>
      <c r="F18" s="253" t="s">
        <v>588</v>
      </c>
      <c r="G18" s="268">
        <f>N11*N13*N12</f>
        <v>0</v>
      </c>
      <c r="H18" s="435"/>
      <c r="I18" s="251"/>
      <c r="J18" s="1232" t="s">
        <v>574</v>
      </c>
      <c r="K18" s="1232"/>
      <c r="L18" s="278" t="s">
        <v>575</v>
      </c>
      <c r="M18" s="275" t="s">
        <v>70</v>
      </c>
      <c r="N18" s="279"/>
    </row>
    <row r="19" spans="2:14" ht="18" x14ac:dyDescent="0.2">
      <c r="B19" s="249"/>
      <c r="C19" s="256" t="s">
        <v>81</v>
      </c>
      <c r="D19" s="280"/>
      <c r="E19" s="281"/>
      <c r="F19" s="253" t="s">
        <v>589</v>
      </c>
      <c r="G19" s="282">
        <f>IFERROR(IF(INT((N13*N12*N11/G16)-0.05)=0,1,INT(N13*N12*N11/G16)),0)</f>
        <v>0</v>
      </c>
      <c r="H19" s="435"/>
      <c r="I19" s="251"/>
      <c r="J19" s="1232" t="s">
        <v>130</v>
      </c>
      <c r="K19" s="1232"/>
      <c r="L19" s="274"/>
      <c r="M19" s="275" t="s">
        <v>71</v>
      </c>
      <c r="N19" s="283"/>
    </row>
    <row r="20" spans="2:14" x14ac:dyDescent="0.2">
      <c r="C20" s="435"/>
      <c r="D20" s="435"/>
      <c r="E20" s="435"/>
      <c r="F20" s="435"/>
      <c r="G20" s="435"/>
    </row>
    <row r="21" spans="2:14" x14ac:dyDescent="0.2">
      <c r="B21" s="1191" t="s">
        <v>739</v>
      </c>
      <c r="C21" s="1192"/>
      <c r="D21" s="1192"/>
      <c r="E21" s="1192"/>
      <c r="F21" s="1192"/>
      <c r="G21" s="1200"/>
      <c r="I21" s="1236" t="s">
        <v>590</v>
      </c>
      <c r="J21" s="1237"/>
      <c r="K21" s="1236" t="s">
        <v>591</v>
      </c>
      <c r="L21" s="1237"/>
    </row>
    <row r="22" spans="2:14" x14ac:dyDescent="0.2">
      <c r="B22" s="189"/>
      <c r="C22" s="214"/>
      <c r="D22" s="214"/>
      <c r="E22" s="214"/>
      <c r="F22" s="212"/>
      <c r="G22" s="192" t="s">
        <v>31</v>
      </c>
      <c r="I22" s="1238" t="s">
        <v>592</v>
      </c>
      <c r="J22" s="1239"/>
      <c r="K22" s="1238" t="s">
        <v>593</v>
      </c>
      <c r="L22" s="1239"/>
    </row>
    <row r="23" spans="2:14" x14ac:dyDescent="0.2">
      <c r="B23" s="1195">
        <v>9</v>
      </c>
      <c r="C23" s="215" t="s">
        <v>217</v>
      </c>
      <c r="D23" s="284"/>
      <c r="E23" s="1241" t="s">
        <v>383</v>
      </c>
      <c r="F23" s="1243" t="s">
        <v>35</v>
      </c>
      <c r="G23" s="1247">
        <f>(N7*N5*N11*N12*N10*365)/(60*1000000)</f>
        <v>0</v>
      </c>
      <c r="I23" s="1240">
        <v>100</v>
      </c>
      <c r="J23" s="1240"/>
      <c r="K23" s="1240" t="s">
        <v>594</v>
      </c>
      <c r="L23" s="1240"/>
    </row>
    <row r="24" spans="2:14" x14ac:dyDescent="0.2">
      <c r="B24" s="1197"/>
      <c r="C24" s="217" t="s">
        <v>401</v>
      </c>
      <c r="D24" s="218">
        <f>CEE</f>
        <v>308.04024884085311</v>
      </c>
      <c r="E24" s="1242"/>
      <c r="F24" s="1244"/>
      <c r="G24" s="1248"/>
      <c r="I24" s="1240">
        <v>150</v>
      </c>
      <c r="J24" s="1240"/>
      <c r="K24" s="1240" t="s">
        <v>595</v>
      </c>
      <c r="L24" s="1240"/>
    </row>
    <row r="25" spans="2:14" x14ac:dyDescent="0.2">
      <c r="B25" s="1195">
        <v>10</v>
      </c>
      <c r="C25" s="215" t="s">
        <v>218</v>
      </c>
      <c r="D25" s="284"/>
      <c r="E25" s="1241" t="s">
        <v>369</v>
      </c>
      <c r="F25" s="1243" t="s">
        <v>37</v>
      </c>
      <c r="G25" s="1245">
        <f>(N5*N6*N9*(N7-N8))/1000</f>
        <v>0</v>
      </c>
      <c r="I25" s="1240">
        <v>200</v>
      </c>
      <c r="J25" s="1240"/>
      <c r="K25" s="1240" t="s">
        <v>596</v>
      </c>
      <c r="L25" s="1240"/>
    </row>
    <row r="26" spans="2:14" x14ac:dyDescent="0.2">
      <c r="B26" s="1197"/>
      <c r="C26" s="217" t="s">
        <v>398</v>
      </c>
      <c r="D26" s="218">
        <f>CED</f>
        <v>972.17356799999993</v>
      </c>
      <c r="E26" s="1242"/>
      <c r="F26" s="1244"/>
      <c r="G26" s="1246"/>
      <c r="I26" s="1240">
        <v>300</v>
      </c>
      <c r="J26" s="1240"/>
      <c r="K26" s="1240" t="s">
        <v>597</v>
      </c>
      <c r="L26" s="1240"/>
    </row>
    <row r="27" spans="2:14" ht="18" x14ac:dyDescent="0.2">
      <c r="B27" s="221"/>
      <c r="C27" s="222" t="s">
        <v>771</v>
      </c>
      <c r="D27" s="285"/>
      <c r="E27" s="223" t="s">
        <v>2</v>
      </c>
      <c r="F27" s="224" t="s">
        <v>598</v>
      </c>
      <c r="G27" s="225">
        <f>G23*D24+G25*D26</f>
        <v>0</v>
      </c>
      <c r="I27" s="1240">
        <v>400</v>
      </c>
      <c r="J27" s="1240"/>
      <c r="K27" s="1240" t="s">
        <v>599</v>
      </c>
      <c r="L27" s="1240"/>
    </row>
    <row r="28" spans="2:14" s="424" customFormat="1" x14ac:dyDescent="0.2">
      <c r="B28" s="423"/>
      <c r="F28" s="425"/>
      <c r="G28" s="426"/>
    </row>
    <row r="29" spans="2:14" s="424" customFormat="1" ht="18" x14ac:dyDescent="0.35">
      <c r="B29" s="423"/>
      <c r="E29" s="353" t="s">
        <v>830</v>
      </c>
      <c r="F29" s="339"/>
      <c r="G29" s="184">
        <f>RCB!G9</f>
        <v>0</v>
      </c>
    </row>
    <row r="30" spans="2:14" s="424" customFormat="1" ht="18" x14ac:dyDescent="0.35">
      <c r="B30" s="423"/>
      <c r="E30" s="353" t="s">
        <v>831</v>
      </c>
      <c r="F30" s="339"/>
      <c r="G30" s="184">
        <f>RCB!J9</f>
        <v>0</v>
      </c>
    </row>
    <row r="33" spans="2:13" x14ac:dyDescent="0.2">
      <c r="B33" s="1141" t="s">
        <v>783</v>
      </c>
      <c r="C33" s="1142"/>
      <c r="D33" s="1142"/>
      <c r="E33" s="1142"/>
      <c r="F33" s="1142"/>
      <c r="G33" s="1143"/>
      <c r="L33" s="437"/>
      <c r="M33" s="436"/>
    </row>
    <row r="34" spans="2:13" x14ac:dyDescent="0.2">
      <c r="B34" s="229"/>
      <c r="C34" s="230"/>
      <c r="D34" s="232"/>
      <c r="E34" s="232"/>
      <c r="F34" s="233"/>
      <c r="G34" s="234" t="s">
        <v>31</v>
      </c>
      <c r="L34" s="437"/>
      <c r="M34" s="436"/>
    </row>
    <row r="35" spans="2:13" x14ac:dyDescent="0.2">
      <c r="B35" s="229">
        <f>B25+1</f>
        <v>11</v>
      </c>
      <c r="C35" s="236" t="s">
        <v>371</v>
      </c>
      <c r="D35" s="286"/>
      <c r="E35" s="237" t="s">
        <v>372</v>
      </c>
      <c r="F35" s="238"/>
      <c r="G35" s="287">
        <f>ROUND(N11*N12,2)</f>
        <v>0</v>
      </c>
      <c r="L35" s="437"/>
      <c r="M35" s="436"/>
    </row>
    <row r="36" spans="2:13" x14ac:dyDescent="0.2">
      <c r="B36" s="229">
        <f>B35+1</f>
        <v>12</v>
      </c>
      <c r="C36" s="236" t="s">
        <v>408</v>
      </c>
      <c r="D36" s="237"/>
      <c r="E36" s="241">
        <v>22</v>
      </c>
      <c r="F36" s="242"/>
      <c r="G36" s="288">
        <v>22</v>
      </c>
      <c r="L36" s="437"/>
      <c r="M36" s="436"/>
    </row>
    <row r="37" spans="2:13" x14ac:dyDescent="0.2">
      <c r="B37" s="229">
        <f t="shared" ref="B37:B46" si="0">B36+1</f>
        <v>13</v>
      </c>
      <c r="C37" s="236" t="s">
        <v>409</v>
      </c>
      <c r="D37" s="237"/>
      <c r="E37" s="241">
        <v>3</v>
      </c>
      <c r="F37" s="242"/>
      <c r="G37" s="288">
        <f>(N17*N18)/60</f>
        <v>0</v>
      </c>
      <c r="L37" s="437"/>
      <c r="M37" s="436"/>
    </row>
    <row r="38" spans="2:13" x14ac:dyDescent="0.2">
      <c r="B38" s="229">
        <f t="shared" si="0"/>
        <v>14</v>
      </c>
      <c r="C38" s="236" t="s">
        <v>410</v>
      </c>
      <c r="D38" s="286"/>
      <c r="E38" s="237" t="s">
        <v>3</v>
      </c>
      <c r="F38" s="238"/>
      <c r="G38" s="289">
        <f>ROUND(G36/30,4)</f>
        <v>0.73329999999999995</v>
      </c>
      <c r="L38" s="437"/>
      <c r="M38" s="436"/>
    </row>
    <row r="39" spans="2:13" x14ac:dyDescent="0.2">
      <c r="B39" s="229">
        <f t="shared" si="0"/>
        <v>15</v>
      </c>
      <c r="C39" s="236" t="s">
        <v>411</v>
      </c>
      <c r="D39" s="286"/>
      <c r="E39" s="237" t="s">
        <v>3</v>
      </c>
      <c r="F39" s="238"/>
      <c r="G39" s="289">
        <f>IFERROR(ROUND(G37/G35,4),0)</f>
        <v>0</v>
      </c>
      <c r="L39" s="437"/>
      <c r="M39" s="436"/>
    </row>
    <row r="40" spans="2:13" x14ac:dyDescent="0.2">
      <c r="B40" s="229">
        <f t="shared" si="0"/>
        <v>16</v>
      </c>
      <c r="C40" s="236" t="s">
        <v>412</v>
      </c>
      <c r="D40" s="286"/>
      <c r="E40" s="237" t="s">
        <v>3</v>
      </c>
      <c r="F40" s="238"/>
      <c r="G40" s="289">
        <f>G38*G39</f>
        <v>0</v>
      </c>
      <c r="L40" s="437"/>
      <c r="M40" s="436"/>
    </row>
    <row r="41" spans="2:13" x14ac:dyDescent="0.2">
      <c r="B41" s="229">
        <f t="shared" si="0"/>
        <v>17</v>
      </c>
      <c r="C41" s="236" t="s">
        <v>413</v>
      </c>
      <c r="D41" s="286"/>
      <c r="E41" s="301" t="s">
        <v>718</v>
      </c>
      <c r="F41" s="238"/>
      <c r="G41" s="245">
        <f>ROUND(G23/12,2)</f>
        <v>0</v>
      </c>
      <c r="L41" s="437"/>
      <c r="M41" s="436"/>
    </row>
    <row r="42" spans="2:13" x14ac:dyDescent="0.2">
      <c r="B42" s="229">
        <f t="shared" si="0"/>
        <v>18</v>
      </c>
      <c r="C42" s="236" t="s">
        <v>414</v>
      </c>
      <c r="D42" s="286"/>
      <c r="E42" s="301" t="s">
        <v>718</v>
      </c>
      <c r="F42" s="238"/>
      <c r="G42" s="245">
        <f>ROUND(G41*G40,2)</f>
        <v>0</v>
      </c>
      <c r="L42" s="437"/>
      <c r="M42" s="436"/>
    </row>
    <row r="43" spans="2:13" x14ac:dyDescent="0.2">
      <c r="B43" s="229">
        <f t="shared" si="0"/>
        <v>19</v>
      </c>
      <c r="C43" s="236" t="s">
        <v>415</v>
      </c>
      <c r="D43" s="286"/>
      <c r="E43" s="301" t="s">
        <v>718</v>
      </c>
      <c r="F43" s="238"/>
      <c r="G43" s="245">
        <f>G41-G42</f>
        <v>0</v>
      </c>
      <c r="L43" s="437"/>
      <c r="M43" s="436"/>
    </row>
    <row r="44" spans="2:13" x14ac:dyDescent="0.2">
      <c r="B44" s="229">
        <f t="shared" si="0"/>
        <v>20</v>
      </c>
      <c r="C44" s="236" t="s">
        <v>711</v>
      </c>
      <c r="D44" s="236"/>
      <c r="E44" s="237" t="s">
        <v>712</v>
      </c>
      <c r="F44" s="238"/>
      <c r="G44" s="245">
        <f>ROUND(N5*N6*((N7-N8)*0.001),2)</f>
        <v>0</v>
      </c>
    </row>
    <row r="45" spans="2:13" x14ac:dyDescent="0.2">
      <c r="B45" s="229">
        <f t="shared" si="0"/>
        <v>21</v>
      </c>
      <c r="C45" s="236" t="s">
        <v>715</v>
      </c>
      <c r="D45" s="236"/>
      <c r="E45" s="237" t="s">
        <v>712</v>
      </c>
      <c r="F45" s="238"/>
      <c r="G45" s="245">
        <f>ROUND(G25,2)</f>
        <v>0</v>
      </c>
    </row>
    <row r="46" spans="2:13" x14ac:dyDescent="0.2">
      <c r="B46" s="229">
        <f t="shared" si="0"/>
        <v>22</v>
      </c>
      <c r="C46" s="236" t="s">
        <v>716</v>
      </c>
      <c r="D46" s="236"/>
      <c r="E46" s="237" t="s">
        <v>712</v>
      </c>
      <c r="F46" s="238"/>
      <c r="G46" s="245">
        <f>G44</f>
        <v>0</v>
      </c>
    </row>
  </sheetData>
  <sheetProtection password="C9A4" sheet="1" objects="1" scenarios="1"/>
  <dataConsolidate/>
  <mergeCells count="50">
    <mergeCell ref="I27:J27"/>
    <mergeCell ref="K27:L27"/>
    <mergeCell ref="B33:G33"/>
    <mergeCell ref="K25:L25"/>
    <mergeCell ref="I26:J26"/>
    <mergeCell ref="K26:L26"/>
    <mergeCell ref="K23:L23"/>
    <mergeCell ref="I24:J24"/>
    <mergeCell ref="K24:L24"/>
    <mergeCell ref="B25:B26"/>
    <mergeCell ref="E25:E26"/>
    <mergeCell ref="F25:F26"/>
    <mergeCell ref="G25:G26"/>
    <mergeCell ref="I25:J25"/>
    <mergeCell ref="B23:B24"/>
    <mergeCell ref="E23:E24"/>
    <mergeCell ref="F23:F24"/>
    <mergeCell ref="G23:G24"/>
    <mergeCell ref="I23:J23"/>
    <mergeCell ref="J19:K19"/>
    <mergeCell ref="B21:G21"/>
    <mergeCell ref="I21:J21"/>
    <mergeCell ref="K21:L21"/>
    <mergeCell ref="I22:J22"/>
    <mergeCell ref="K22:L22"/>
    <mergeCell ref="M14:N14"/>
    <mergeCell ref="D15:G15"/>
    <mergeCell ref="J15:K15"/>
    <mergeCell ref="I16:N16"/>
    <mergeCell ref="J17:K17"/>
    <mergeCell ref="J18:K18"/>
    <mergeCell ref="J11:K11"/>
    <mergeCell ref="J12:K12"/>
    <mergeCell ref="B13:G13"/>
    <mergeCell ref="J13:K13"/>
    <mergeCell ref="D14:G14"/>
    <mergeCell ref="J14:K14"/>
    <mergeCell ref="B2:G2"/>
    <mergeCell ref="J10:K10"/>
    <mergeCell ref="B3:G3"/>
    <mergeCell ref="I3:N3"/>
    <mergeCell ref="B4:G4"/>
    <mergeCell ref="I4:N4"/>
    <mergeCell ref="D5:G5"/>
    <mergeCell ref="J5:K5"/>
    <mergeCell ref="D6:G6"/>
    <mergeCell ref="J6:K6"/>
    <mergeCell ref="J7:K7"/>
    <mergeCell ref="J8:K8"/>
    <mergeCell ref="J9:K9"/>
  </mergeCells>
  <conditionalFormatting sqref="G36:G37 G29:G30">
    <cfRule type="cellIs" dxfId="52" priority="7" operator="lessThan">
      <formula>0</formula>
    </cfRule>
  </conditionalFormatting>
  <conditionalFormatting sqref="G36">
    <cfRule type="cellIs" dxfId="51" priority="6" operator="greaterThan">
      <formula>22</formula>
    </cfRule>
  </conditionalFormatting>
  <conditionalFormatting sqref="G37">
    <cfRule type="cellIs" dxfId="50" priority="5" operator="greaterThan">
      <formula>3</formula>
    </cfRule>
  </conditionalFormatting>
  <conditionalFormatting sqref="G29:G30">
    <cfRule type="cellIs" dxfId="49" priority="2" operator="lessThan">
      <formula>0</formula>
    </cfRule>
  </conditionalFormatting>
  <conditionalFormatting sqref="G29:G30">
    <cfRule type="cellIs" dxfId="4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401" r:id="rId4" name="Drop Down 9">
              <controlPr locked="0" defaultSize="0" autoLine="0" autoPict="0">
                <anchor moveWithCells="1">
                  <from>
                    <xdr:col>12</xdr:col>
                    <xdr:colOff>9525</xdr:colOff>
                    <xdr:row>12</xdr:row>
                    <xdr:rowOff>180975</xdr:rowOff>
                  </from>
                  <to>
                    <xdr:col>14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B2:R101"/>
  <sheetViews>
    <sheetView showGridLines="0" zoomScale="90" zoomScaleNormal="90" workbookViewId="0">
      <pane ySplit="4" topLeftCell="A76" activePane="bottomLeft" state="frozen"/>
      <selection activeCell="H20" sqref="H20"/>
      <selection pane="bottomLeft" activeCell="I19" sqref="I19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0.140625" style="409" bestFit="1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571"/>
      <c r="C2" s="572"/>
      <c r="D2" s="1158" t="s">
        <v>966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/>
      <c r="D8" s="1148"/>
      <c r="E8" s="1148"/>
      <c r="F8" s="1148"/>
      <c r="G8" s="1148"/>
      <c r="H8" s="726"/>
      <c r="I8" s="335"/>
      <c r="J8" s="546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175">
        <v>2</v>
      </c>
      <c r="C9" s="1147"/>
      <c r="D9" s="1148"/>
      <c r="E9" s="1148"/>
      <c r="F9" s="1148"/>
      <c r="G9" s="1148"/>
      <c r="H9" s="176"/>
      <c r="I9" s="336"/>
      <c r="J9" s="546">
        <f t="shared" ref="J9:J48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173">
        <v>3</v>
      </c>
      <c r="C10" s="1147"/>
      <c r="D10" s="1148"/>
      <c r="E10" s="1148"/>
      <c r="F10" s="1148"/>
      <c r="G10" s="1148"/>
      <c r="H10" s="176"/>
      <c r="I10" s="336"/>
      <c r="J10" s="546">
        <f t="shared" si="0"/>
        <v>0</v>
      </c>
      <c r="K10" s="343"/>
      <c r="L10" s="343"/>
      <c r="M10" s="343"/>
      <c r="N10" s="343"/>
      <c r="O10" s="343"/>
      <c r="P10" s="343"/>
    </row>
    <row r="11" spans="2:16" ht="15" customHeight="1" outlineLevel="1" x14ac:dyDescent="0.25">
      <c r="B11" s="175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173">
        <v>5</v>
      </c>
      <c r="C12" s="1147"/>
      <c r="D12" s="1148"/>
      <c r="E12" s="1148"/>
      <c r="F12" s="1148"/>
      <c r="G12" s="1148"/>
      <c r="H12" s="176"/>
      <c r="I12" s="336"/>
      <c r="J12" s="546">
        <f t="shared" si="0"/>
        <v>0</v>
      </c>
      <c r="K12" s="343"/>
      <c r="L12" s="343"/>
      <c r="M12" s="343"/>
      <c r="N12" s="343"/>
      <c r="O12" s="343"/>
      <c r="P12" s="343"/>
    </row>
    <row r="13" spans="2:16" ht="15" customHeight="1" outlineLevel="1" x14ac:dyDescent="0.25">
      <c r="B13" s="175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 t="s">
        <v>267</v>
      </c>
      <c r="M13" s="343"/>
      <c r="N13" s="343"/>
      <c r="O13" s="343"/>
      <c r="P13" s="343"/>
    </row>
    <row r="14" spans="2:16" ht="15" customHeight="1" outlineLevel="1" x14ac:dyDescent="0.25">
      <c r="B14" s="173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 t="s">
        <v>267</v>
      </c>
      <c r="L14" s="343"/>
      <c r="M14" s="343"/>
      <c r="N14" s="343"/>
      <c r="O14" s="343"/>
      <c r="P14" s="343"/>
    </row>
    <row r="15" spans="2:16" ht="15" customHeight="1" outlineLevel="1" x14ac:dyDescent="0.25">
      <c r="B15" s="175">
        <v>8</v>
      </c>
      <c r="C15" s="1147"/>
      <c r="D15" s="1148"/>
      <c r="E15" s="1148"/>
      <c r="F15" s="1148"/>
      <c r="G15" s="1148"/>
      <c r="H15" s="176" t="s">
        <v>267</v>
      </c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173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175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173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175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173"/>
      <c r="C48" s="1152" t="s">
        <v>289</v>
      </c>
      <c r="D48" s="1153"/>
      <c r="E48" s="1153"/>
      <c r="F48" s="1153"/>
      <c r="G48" s="1153"/>
      <c r="H48" s="177">
        <v>20</v>
      </c>
      <c r="I48" s="33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8" s="510" customFormat="1" ht="15" customHeight="1" x14ac:dyDescent="0.2">
      <c r="B49" s="516"/>
      <c r="C49" s="1007" t="s">
        <v>928</v>
      </c>
      <c r="D49" s="1007"/>
      <c r="E49" s="1007"/>
      <c r="F49" s="1007"/>
      <c r="G49" s="1007"/>
      <c r="H49" s="1007"/>
      <c r="I49" s="1007"/>
      <c r="J49" s="1007"/>
      <c r="K49" s="521" t="s">
        <v>917</v>
      </c>
      <c r="L49" s="521" t="s">
        <v>926</v>
      </c>
      <c r="M49" s="521" t="s">
        <v>927</v>
      </c>
      <c r="N49" s="521" t="s">
        <v>943</v>
      </c>
      <c r="O49" s="521" t="s">
        <v>944</v>
      </c>
      <c r="P49" s="521" t="s">
        <v>945</v>
      </c>
    </row>
    <row r="50" spans="2:18" s="509" customFormat="1" ht="15" customHeight="1" x14ac:dyDescent="0.2">
      <c r="B50" s="993" t="s">
        <v>918</v>
      </c>
      <c r="C50" s="994"/>
      <c r="D50" s="994"/>
      <c r="E50" s="994"/>
      <c r="F50" s="994"/>
      <c r="G50" s="994"/>
      <c r="H50" s="994"/>
      <c r="I50" s="994"/>
      <c r="J50" s="995"/>
      <c r="K50" s="535"/>
      <c r="L50" s="535"/>
      <c r="M50" s="535"/>
      <c r="N50" s="535"/>
      <c r="O50" s="535"/>
      <c r="P50" s="535"/>
      <c r="Q50" s="752"/>
      <c r="R50" s="752"/>
    </row>
    <row r="51" spans="2:18" s="509" customFormat="1" ht="15" customHeight="1" x14ac:dyDescent="0.2">
      <c r="B51" s="993" t="s">
        <v>919</v>
      </c>
      <c r="C51" s="994"/>
      <c r="D51" s="994"/>
      <c r="E51" s="994"/>
      <c r="F51" s="994"/>
      <c r="G51" s="994"/>
      <c r="H51" s="994"/>
      <c r="I51" s="994"/>
      <c r="J51" s="995"/>
      <c r="K51" s="536"/>
      <c r="L51" s="536"/>
      <c r="M51" s="536"/>
      <c r="N51" s="536"/>
      <c r="O51" s="536"/>
      <c r="P51" s="536"/>
      <c r="Q51" s="752"/>
      <c r="R51" s="752"/>
    </row>
    <row r="52" spans="2:18" s="509" customFormat="1" ht="15" customHeight="1" x14ac:dyDescent="0.2">
      <c r="B52" s="993" t="s">
        <v>920</v>
      </c>
      <c r="C52" s="994"/>
      <c r="D52" s="994"/>
      <c r="E52" s="994"/>
      <c r="F52" s="994"/>
      <c r="G52" s="994"/>
      <c r="H52" s="994"/>
      <c r="I52" s="994"/>
      <c r="J52" s="995"/>
      <c r="K52" s="537"/>
      <c r="L52" s="537"/>
      <c r="M52" s="537"/>
      <c r="N52" s="537"/>
      <c r="O52" s="537"/>
      <c r="P52" s="537"/>
      <c r="Q52" s="752"/>
      <c r="R52" s="752"/>
    </row>
    <row r="53" spans="2:18" s="509" customFormat="1" ht="15" customHeight="1" x14ac:dyDescent="0.2">
      <c r="B53" s="993" t="s">
        <v>921</v>
      </c>
      <c r="C53" s="994"/>
      <c r="D53" s="994"/>
      <c r="E53" s="994"/>
      <c r="F53" s="994"/>
      <c r="G53" s="994"/>
      <c r="H53" s="994"/>
      <c r="I53" s="994"/>
      <c r="J53" s="995"/>
      <c r="K53" s="537"/>
      <c r="L53" s="537"/>
      <c r="M53" s="537"/>
      <c r="N53" s="537"/>
      <c r="O53" s="537"/>
      <c r="P53" s="537"/>
      <c r="Q53" s="752"/>
      <c r="R53" s="752"/>
    </row>
    <row r="54" spans="2:18" s="509" customFormat="1" ht="15" customHeight="1" x14ac:dyDescent="0.2">
      <c r="B54" s="993" t="s">
        <v>922</v>
      </c>
      <c r="C54" s="994"/>
      <c r="D54" s="994"/>
      <c r="E54" s="994"/>
      <c r="F54" s="994"/>
      <c r="G54" s="994"/>
      <c r="H54" s="994"/>
      <c r="I54" s="994"/>
      <c r="J54" s="995"/>
      <c r="K54" s="535"/>
      <c r="L54" s="535"/>
      <c r="M54" s="535"/>
      <c r="N54" s="535"/>
      <c r="O54" s="535"/>
      <c r="P54" s="535"/>
      <c r="Q54" s="752"/>
      <c r="R54" s="752"/>
    </row>
    <row r="55" spans="2:18" s="509" customFormat="1" x14ac:dyDescent="0.2">
      <c r="B55" s="993" t="s">
        <v>923</v>
      </c>
      <c r="C55" s="994"/>
      <c r="D55" s="994"/>
      <c r="E55" s="994"/>
      <c r="F55" s="994"/>
      <c r="G55" s="994"/>
      <c r="H55" s="994"/>
      <c r="I55" s="994"/>
      <c r="J55" s="995"/>
      <c r="K55" s="538"/>
      <c r="L55" s="538"/>
      <c r="M55" s="538"/>
      <c r="N55" s="538"/>
      <c r="O55" s="538"/>
      <c r="P55" s="538"/>
      <c r="Q55" s="752"/>
      <c r="R55" s="752"/>
    </row>
    <row r="56" spans="2:18" s="509" customFormat="1" x14ac:dyDescent="0.2">
      <c r="B56" s="993" t="s">
        <v>924</v>
      </c>
      <c r="C56" s="994"/>
      <c r="D56" s="994"/>
      <c r="E56" s="994"/>
      <c r="F56" s="994"/>
      <c r="G56" s="994"/>
      <c r="H56" s="994"/>
      <c r="I56" s="994"/>
      <c r="J56" s="995"/>
      <c r="K56" s="539"/>
      <c r="L56" s="539"/>
      <c r="M56" s="539"/>
      <c r="N56" s="539"/>
      <c r="O56" s="539"/>
      <c r="P56" s="539"/>
      <c r="Q56" s="752"/>
      <c r="R56" s="752"/>
    </row>
    <row r="57" spans="2:18" s="575" customFormat="1" ht="15" customHeight="1" x14ac:dyDescent="0.2">
      <c r="B57" s="1154" t="s">
        <v>925</v>
      </c>
      <c r="C57" s="1155"/>
      <c r="D57" s="1155"/>
      <c r="E57" s="1155"/>
      <c r="F57" s="1155"/>
      <c r="G57" s="1155"/>
      <c r="H57" s="1155"/>
      <c r="I57" s="1155"/>
      <c r="J57" s="1156"/>
      <c r="K57" s="1097" t="s">
        <v>915</v>
      </c>
      <c r="L57" s="1097"/>
      <c r="M57" s="1097"/>
      <c r="N57" s="1097" t="s">
        <v>915</v>
      </c>
      <c r="O57" s="1097"/>
      <c r="P57" s="1097"/>
    </row>
    <row r="58" spans="2:18" x14ac:dyDescent="0.25">
      <c r="B58" s="1161" t="s">
        <v>292</v>
      </c>
      <c r="C58" s="1162"/>
      <c r="D58" s="1162"/>
      <c r="E58" s="1162"/>
      <c r="F58" s="1162"/>
      <c r="G58" s="1162"/>
      <c r="H58" s="1162"/>
      <c r="I58" s="1162"/>
      <c r="J58" s="1163"/>
      <c r="K58" s="550" t="s">
        <v>917</v>
      </c>
      <c r="L58" s="550" t="s">
        <v>926</v>
      </c>
      <c r="M58" s="550" t="s">
        <v>927</v>
      </c>
      <c r="N58" s="550" t="s">
        <v>943</v>
      </c>
      <c r="O58" s="550" t="s">
        <v>944</v>
      </c>
      <c r="P58" s="550" t="s">
        <v>945</v>
      </c>
    </row>
    <row r="59" spans="2:18" ht="45" x14ac:dyDescent="0.25">
      <c r="B59" s="332"/>
      <c r="C59" s="1150" t="s">
        <v>294</v>
      </c>
      <c r="D59" s="1150"/>
      <c r="E59" s="1150"/>
      <c r="F59" s="1150"/>
      <c r="G59" s="1151"/>
      <c r="H59" s="127" t="s">
        <v>16</v>
      </c>
      <c r="I59" s="560" t="s">
        <v>295</v>
      </c>
      <c r="J59" s="560" t="s">
        <v>948</v>
      </c>
      <c r="K59" s="560" t="s">
        <v>949</v>
      </c>
      <c r="L59" s="560" t="s">
        <v>949</v>
      </c>
      <c r="M59" s="560" t="s">
        <v>949</v>
      </c>
      <c r="N59" s="560" t="s">
        <v>949</v>
      </c>
      <c r="O59" s="560" t="s">
        <v>949</v>
      </c>
      <c r="P59" s="560" t="s">
        <v>949</v>
      </c>
    </row>
    <row r="60" spans="2:18" ht="15" customHeight="1" x14ac:dyDescent="0.25">
      <c r="B60" s="173">
        <v>1</v>
      </c>
      <c r="C60" s="1149"/>
      <c r="D60" s="1149"/>
      <c r="E60" s="1149"/>
      <c r="F60" s="1149"/>
      <c r="G60" s="1147"/>
      <c r="H60" s="727"/>
      <c r="I60" s="335"/>
      <c r="J60" s="546">
        <f>IFERROR(SMALL(K60:P60,1),0)</f>
        <v>0</v>
      </c>
      <c r="K60" s="537"/>
      <c r="L60" s="537"/>
      <c r="M60" s="537"/>
      <c r="N60" s="537"/>
      <c r="O60" s="537"/>
      <c r="P60" s="537"/>
    </row>
    <row r="61" spans="2:18" ht="15" customHeight="1" x14ac:dyDescent="0.25">
      <c r="B61" s="175">
        <v>2</v>
      </c>
      <c r="C61" s="1149"/>
      <c r="D61" s="1149"/>
      <c r="E61" s="1149"/>
      <c r="F61" s="1149"/>
      <c r="G61" s="1147"/>
      <c r="H61" s="185"/>
      <c r="I61" s="336"/>
      <c r="J61" s="546">
        <f t="shared" ref="J61:J64" si="1">IFERROR(SMALL(K61:P61,1),0)</f>
        <v>0</v>
      </c>
      <c r="K61" s="535"/>
      <c r="L61" s="535"/>
      <c r="M61" s="535"/>
      <c r="N61" s="535"/>
      <c r="O61" s="535"/>
      <c r="P61" s="535"/>
    </row>
    <row r="62" spans="2:18" ht="15" customHeight="1" x14ac:dyDescent="0.25">
      <c r="B62" s="173">
        <v>3</v>
      </c>
      <c r="C62" s="1149"/>
      <c r="D62" s="1149"/>
      <c r="E62" s="1149"/>
      <c r="F62" s="1149"/>
      <c r="G62" s="1147"/>
      <c r="H62" s="185"/>
      <c r="I62" s="336"/>
      <c r="J62" s="546">
        <f t="shared" si="1"/>
        <v>0</v>
      </c>
      <c r="K62" s="538"/>
      <c r="L62" s="538"/>
      <c r="M62" s="538"/>
      <c r="N62" s="538"/>
      <c r="O62" s="538"/>
      <c r="P62" s="538"/>
    </row>
    <row r="63" spans="2:18" ht="15" customHeight="1" x14ac:dyDescent="0.25">
      <c r="B63" s="175">
        <v>4</v>
      </c>
      <c r="C63" s="1149"/>
      <c r="D63" s="1149"/>
      <c r="E63" s="1149"/>
      <c r="F63" s="1149"/>
      <c r="G63" s="1147"/>
      <c r="H63" s="185"/>
      <c r="I63" s="336"/>
      <c r="J63" s="546">
        <f t="shared" si="1"/>
        <v>0</v>
      </c>
      <c r="K63" s="539"/>
      <c r="L63" s="539"/>
      <c r="M63" s="539"/>
      <c r="N63" s="539"/>
      <c r="O63" s="539"/>
      <c r="P63" s="539"/>
    </row>
    <row r="64" spans="2:18" ht="15" customHeight="1" x14ac:dyDescent="0.25">
      <c r="B64" s="173">
        <v>5</v>
      </c>
      <c r="C64" s="1149"/>
      <c r="D64" s="1149"/>
      <c r="E64" s="1149"/>
      <c r="F64" s="1149"/>
      <c r="G64" s="1147"/>
      <c r="H64" s="185"/>
      <c r="I64" s="336"/>
      <c r="J64" s="546">
        <f t="shared" si="1"/>
        <v>0</v>
      </c>
      <c r="K64" s="343"/>
      <c r="L64" s="343"/>
      <c r="M64" s="343"/>
      <c r="N64" s="343"/>
      <c r="O64" s="343"/>
      <c r="P64" s="343"/>
    </row>
    <row r="65" spans="2:17" s="510" customFormat="1" ht="15" customHeight="1" x14ac:dyDescent="0.2">
      <c r="B65" s="516"/>
      <c r="C65" s="1007" t="s">
        <v>928</v>
      </c>
      <c r="D65" s="1007"/>
      <c r="E65" s="1007"/>
      <c r="F65" s="1007"/>
      <c r="G65" s="1007"/>
      <c r="H65" s="1007"/>
      <c r="I65" s="1007"/>
      <c r="J65" s="1007"/>
      <c r="K65" s="521" t="s">
        <v>917</v>
      </c>
      <c r="L65" s="521" t="s">
        <v>926</v>
      </c>
      <c r="M65" s="521" t="s">
        <v>927</v>
      </c>
      <c r="N65" s="521" t="s">
        <v>943</v>
      </c>
      <c r="O65" s="521" t="s">
        <v>944</v>
      </c>
      <c r="P65" s="521" t="s">
        <v>945</v>
      </c>
    </row>
    <row r="66" spans="2:17" s="509" customFormat="1" ht="15" customHeight="1" x14ac:dyDescent="0.2">
      <c r="B66" s="993" t="s">
        <v>918</v>
      </c>
      <c r="C66" s="994"/>
      <c r="D66" s="994"/>
      <c r="E66" s="994"/>
      <c r="F66" s="994"/>
      <c r="G66" s="994"/>
      <c r="H66" s="994"/>
      <c r="I66" s="994"/>
      <c r="J66" s="995"/>
      <c r="K66" s="537"/>
      <c r="L66" s="537"/>
      <c r="M66" s="537"/>
      <c r="N66" s="537"/>
      <c r="O66" s="537"/>
      <c r="P66" s="537"/>
    </row>
    <row r="67" spans="2:17" s="509" customFormat="1" ht="15" customHeight="1" x14ac:dyDescent="0.2">
      <c r="B67" s="993" t="s">
        <v>919</v>
      </c>
      <c r="C67" s="994"/>
      <c r="D67" s="994"/>
      <c r="E67" s="994"/>
      <c r="F67" s="994"/>
      <c r="G67" s="994"/>
      <c r="H67" s="994"/>
      <c r="I67" s="994"/>
      <c r="J67" s="995"/>
      <c r="K67" s="535"/>
      <c r="L67" s="535"/>
      <c r="M67" s="535"/>
      <c r="N67" s="535"/>
      <c r="O67" s="535"/>
      <c r="P67" s="535"/>
    </row>
    <row r="68" spans="2:17" s="509" customFormat="1" ht="15" customHeight="1" x14ac:dyDescent="0.2">
      <c r="B68" s="993" t="s">
        <v>920</v>
      </c>
      <c r="C68" s="994"/>
      <c r="D68" s="994"/>
      <c r="E68" s="994"/>
      <c r="F68" s="994"/>
      <c r="G68" s="994"/>
      <c r="H68" s="994"/>
      <c r="I68" s="994"/>
      <c r="J68" s="995"/>
      <c r="K68" s="538"/>
      <c r="L68" s="538"/>
      <c r="M68" s="538"/>
      <c r="N68" s="538"/>
      <c r="O68" s="538"/>
      <c r="P68" s="538"/>
    </row>
    <row r="69" spans="2:17" s="509" customFormat="1" ht="15" customHeight="1" x14ac:dyDescent="0.2">
      <c r="B69" s="993" t="s">
        <v>921</v>
      </c>
      <c r="C69" s="994"/>
      <c r="D69" s="994"/>
      <c r="E69" s="994"/>
      <c r="F69" s="994"/>
      <c r="G69" s="994"/>
      <c r="H69" s="994"/>
      <c r="I69" s="994"/>
      <c r="J69" s="995"/>
      <c r="K69" s="539"/>
      <c r="L69" s="539"/>
      <c r="M69" s="539"/>
      <c r="N69" s="539"/>
      <c r="O69" s="539"/>
      <c r="P69" s="539"/>
    </row>
    <row r="70" spans="2:17" s="509" customFormat="1" ht="15" customHeight="1" x14ac:dyDescent="0.2">
      <c r="B70" s="993" t="s">
        <v>922</v>
      </c>
      <c r="C70" s="994"/>
      <c r="D70" s="994"/>
      <c r="E70" s="994"/>
      <c r="F70" s="994"/>
      <c r="G70" s="994"/>
      <c r="H70" s="994"/>
      <c r="I70" s="994"/>
      <c r="J70" s="995"/>
      <c r="K70" s="535"/>
      <c r="L70" s="535"/>
      <c r="M70" s="535"/>
      <c r="N70" s="535"/>
      <c r="O70" s="535"/>
      <c r="P70" s="535"/>
    </row>
    <row r="71" spans="2:17" s="509" customFormat="1" x14ac:dyDescent="0.2">
      <c r="B71" s="993" t="s">
        <v>923</v>
      </c>
      <c r="C71" s="994"/>
      <c r="D71" s="994"/>
      <c r="E71" s="994"/>
      <c r="F71" s="994"/>
      <c r="G71" s="994"/>
      <c r="H71" s="994"/>
      <c r="I71" s="994"/>
      <c r="J71" s="995"/>
      <c r="K71" s="538"/>
      <c r="L71" s="538"/>
      <c r="M71" s="538"/>
      <c r="N71" s="538"/>
      <c r="O71" s="538"/>
      <c r="P71" s="538"/>
    </row>
    <row r="72" spans="2:17" s="509" customFormat="1" x14ac:dyDescent="0.2">
      <c r="B72" s="993" t="s">
        <v>924</v>
      </c>
      <c r="C72" s="994"/>
      <c r="D72" s="994"/>
      <c r="E72" s="994"/>
      <c r="F72" s="994"/>
      <c r="G72" s="994"/>
      <c r="H72" s="994"/>
      <c r="I72" s="994"/>
      <c r="J72" s="995"/>
      <c r="K72" s="539"/>
      <c r="L72" s="539"/>
      <c r="M72" s="539"/>
      <c r="N72" s="539"/>
      <c r="O72" s="539"/>
      <c r="P72" s="539"/>
    </row>
    <row r="73" spans="2:17" s="575" customFormat="1" ht="15" customHeight="1" x14ac:dyDescent="0.2">
      <c r="B73" s="1154" t="s">
        <v>925</v>
      </c>
      <c r="C73" s="1155"/>
      <c r="D73" s="1155"/>
      <c r="E73" s="1155"/>
      <c r="F73" s="1155"/>
      <c r="G73" s="1155"/>
      <c r="H73" s="1155"/>
      <c r="I73" s="1155"/>
      <c r="J73" s="1156"/>
      <c r="K73" s="1097" t="s">
        <v>915</v>
      </c>
      <c r="L73" s="1097"/>
      <c r="M73" s="1097"/>
      <c r="N73" s="1097" t="s">
        <v>915</v>
      </c>
      <c r="O73" s="1097"/>
      <c r="P73" s="1097"/>
    </row>
    <row r="74" spans="2:17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550" t="s">
        <v>917</v>
      </c>
      <c r="L74" s="550" t="s">
        <v>926</v>
      </c>
      <c r="M74" s="550" t="s">
        <v>927</v>
      </c>
      <c r="N74" s="550" t="s">
        <v>943</v>
      </c>
      <c r="O74" s="550" t="s">
        <v>944</v>
      </c>
      <c r="P74" s="550" t="s">
        <v>945</v>
      </c>
    </row>
    <row r="75" spans="2:17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560" t="s">
        <v>16</v>
      </c>
      <c r="J75" s="560" t="s">
        <v>947</v>
      </c>
      <c r="K75" s="560" t="s">
        <v>929</v>
      </c>
      <c r="L75" s="560" t="s">
        <v>929</v>
      </c>
      <c r="M75" s="560" t="s">
        <v>929</v>
      </c>
      <c r="N75" s="560" t="s">
        <v>929</v>
      </c>
      <c r="O75" s="560" t="s">
        <v>929</v>
      </c>
      <c r="P75" s="560" t="s">
        <v>929</v>
      </c>
    </row>
    <row r="76" spans="2:17" ht="15" customHeight="1" x14ac:dyDescent="0.25">
      <c r="B76" s="18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2">IFERROR(SMALL(K76:P76,1),0)</f>
        <v>0</v>
      </c>
      <c r="K76" s="343"/>
      <c r="L76" s="343"/>
      <c r="M76" s="343"/>
      <c r="N76" s="343"/>
      <c r="O76" s="343"/>
      <c r="P76" s="343"/>
      <c r="Q76" s="735"/>
    </row>
    <row r="77" spans="2:17" ht="15" customHeight="1" x14ac:dyDescent="0.25">
      <c r="B77" s="186">
        <v>2</v>
      </c>
      <c r="C77" s="1164"/>
      <c r="D77" s="1164"/>
      <c r="E77" s="1164"/>
      <c r="F77" s="1164"/>
      <c r="G77" s="1164"/>
      <c r="H77" s="1165"/>
      <c r="I77" s="336"/>
      <c r="J77" s="546">
        <f t="shared" si="2"/>
        <v>0</v>
      </c>
      <c r="K77" s="343"/>
      <c r="L77" s="343"/>
      <c r="M77" s="343"/>
      <c r="N77" s="343"/>
      <c r="O77" s="343"/>
      <c r="P77" s="343"/>
      <c r="Q77" s="735"/>
    </row>
    <row r="78" spans="2:17" ht="15" customHeight="1" x14ac:dyDescent="0.25">
      <c r="B78" s="186">
        <v>3</v>
      </c>
      <c r="C78" s="1164"/>
      <c r="D78" s="1164"/>
      <c r="E78" s="1164"/>
      <c r="F78" s="1164"/>
      <c r="G78" s="1164"/>
      <c r="H78" s="1165"/>
      <c r="I78" s="336"/>
      <c r="J78" s="546">
        <f t="shared" si="2"/>
        <v>0</v>
      </c>
      <c r="K78" s="343"/>
      <c r="L78" s="343"/>
      <c r="M78" s="343"/>
      <c r="N78" s="343"/>
      <c r="O78" s="343"/>
      <c r="P78" s="343"/>
      <c r="Q78" s="735"/>
    </row>
    <row r="79" spans="2:17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521" t="s">
        <v>917</v>
      </c>
      <c r="L79" s="521" t="s">
        <v>926</v>
      </c>
      <c r="M79" s="521" t="s">
        <v>927</v>
      </c>
      <c r="N79" s="521" t="s">
        <v>943</v>
      </c>
      <c r="O79" s="521" t="s">
        <v>944</v>
      </c>
      <c r="P79" s="521" t="s">
        <v>945</v>
      </c>
    </row>
    <row r="80" spans="2:17" s="509" customFormat="1" ht="15" customHeight="1" x14ac:dyDescent="0.2">
      <c r="B80" s="993" t="s">
        <v>918</v>
      </c>
      <c r="C80" s="994"/>
      <c r="D80" s="994"/>
      <c r="E80" s="994"/>
      <c r="F80" s="994"/>
      <c r="G80" s="994"/>
      <c r="H80" s="994"/>
      <c r="I80" s="994"/>
      <c r="J80" s="995"/>
      <c r="K80" s="535"/>
      <c r="L80" s="535"/>
      <c r="M80" s="535"/>
      <c r="N80" s="535"/>
      <c r="O80" s="535"/>
      <c r="P80" s="535"/>
      <c r="Q80" s="752"/>
    </row>
    <row r="81" spans="2:17" s="509" customFormat="1" ht="15" customHeight="1" x14ac:dyDescent="0.2">
      <c r="B81" s="993" t="s">
        <v>919</v>
      </c>
      <c r="C81" s="994"/>
      <c r="D81" s="994"/>
      <c r="E81" s="994"/>
      <c r="F81" s="994"/>
      <c r="G81" s="994"/>
      <c r="H81" s="994"/>
      <c r="I81" s="994"/>
      <c r="J81" s="995"/>
      <c r="K81" s="536"/>
      <c r="L81" s="536"/>
      <c r="M81" s="536"/>
      <c r="N81" s="536"/>
      <c r="O81" s="536"/>
      <c r="P81" s="536"/>
      <c r="Q81" s="752"/>
    </row>
    <row r="82" spans="2:17" s="509" customFormat="1" ht="15" customHeight="1" x14ac:dyDescent="0.2">
      <c r="B82" s="993" t="s">
        <v>920</v>
      </c>
      <c r="C82" s="994"/>
      <c r="D82" s="994"/>
      <c r="E82" s="994"/>
      <c r="F82" s="994"/>
      <c r="G82" s="994"/>
      <c r="H82" s="994"/>
      <c r="I82" s="994"/>
      <c r="J82" s="995"/>
      <c r="K82" s="537"/>
      <c r="L82" s="537"/>
      <c r="M82" s="537"/>
      <c r="N82" s="537"/>
      <c r="O82" s="537"/>
      <c r="P82" s="537"/>
      <c r="Q82" s="752"/>
    </row>
    <row r="83" spans="2:17" s="509" customFormat="1" ht="15" customHeight="1" x14ac:dyDescent="0.2">
      <c r="B83" s="993" t="s">
        <v>921</v>
      </c>
      <c r="C83" s="994"/>
      <c r="D83" s="994"/>
      <c r="E83" s="994"/>
      <c r="F83" s="994"/>
      <c r="G83" s="994"/>
      <c r="H83" s="994"/>
      <c r="I83" s="994"/>
      <c r="J83" s="995"/>
      <c r="K83" s="537"/>
      <c r="L83" s="537"/>
      <c r="M83" s="537"/>
      <c r="N83" s="537"/>
      <c r="O83" s="537"/>
      <c r="P83" s="537"/>
      <c r="Q83" s="752"/>
    </row>
    <row r="84" spans="2:17" s="509" customFormat="1" ht="15" customHeight="1" x14ac:dyDescent="0.2">
      <c r="B84" s="993" t="s">
        <v>922</v>
      </c>
      <c r="C84" s="994"/>
      <c r="D84" s="994"/>
      <c r="E84" s="994"/>
      <c r="F84" s="994"/>
      <c r="G84" s="994"/>
      <c r="H84" s="994"/>
      <c r="I84" s="994"/>
      <c r="J84" s="995"/>
      <c r="K84" s="535"/>
      <c r="L84" s="535"/>
      <c r="M84" s="535"/>
      <c r="N84" s="535"/>
      <c r="O84" s="535"/>
      <c r="P84" s="535"/>
      <c r="Q84" s="752"/>
    </row>
    <row r="85" spans="2:17" s="509" customFormat="1" x14ac:dyDescent="0.2">
      <c r="B85" s="993" t="s">
        <v>923</v>
      </c>
      <c r="C85" s="994"/>
      <c r="D85" s="994"/>
      <c r="E85" s="994"/>
      <c r="F85" s="994"/>
      <c r="G85" s="994"/>
      <c r="H85" s="994"/>
      <c r="I85" s="994"/>
      <c r="J85" s="995"/>
      <c r="K85" s="538"/>
      <c r="L85" s="538"/>
      <c r="M85" s="538"/>
      <c r="N85" s="538"/>
      <c r="O85" s="538"/>
      <c r="P85" s="538"/>
      <c r="Q85" s="752"/>
    </row>
    <row r="86" spans="2:17" s="509" customFormat="1" x14ac:dyDescent="0.2">
      <c r="B86" s="993" t="s">
        <v>924</v>
      </c>
      <c r="C86" s="994"/>
      <c r="D86" s="994"/>
      <c r="E86" s="994"/>
      <c r="F86" s="994"/>
      <c r="G86" s="994"/>
      <c r="H86" s="994"/>
      <c r="I86" s="994"/>
      <c r="J86" s="995"/>
      <c r="K86" s="539"/>
      <c r="L86" s="539"/>
      <c r="M86" s="539"/>
      <c r="N86" s="539"/>
      <c r="O86" s="539"/>
      <c r="P86" s="539"/>
      <c r="Q86" s="752"/>
    </row>
    <row r="87" spans="2:17" s="575" customFormat="1" ht="15" customHeight="1" x14ac:dyDescent="0.2">
      <c r="B87" s="1154" t="s">
        <v>925</v>
      </c>
      <c r="C87" s="1155"/>
      <c r="D87" s="1155"/>
      <c r="E87" s="1155"/>
      <c r="F87" s="1155"/>
      <c r="G87" s="1155"/>
      <c r="H87" s="1155"/>
      <c r="I87" s="1155"/>
      <c r="J87" s="1156"/>
      <c r="K87" s="1097" t="s">
        <v>915</v>
      </c>
      <c r="L87" s="1097"/>
      <c r="M87" s="1097"/>
      <c r="N87" s="1097" t="s">
        <v>915</v>
      </c>
      <c r="O87" s="1097"/>
      <c r="P87" s="1097"/>
    </row>
    <row r="88" spans="2:17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7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560" t="s">
        <v>16</v>
      </c>
      <c r="J89" s="560" t="s">
        <v>947</v>
      </c>
      <c r="K89" s="560" t="s">
        <v>929</v>
      </c>
      <c r="L89" s="560" t="s">
        <v>929</v>
      </c>
      <c r="M89" s="560" t="s">
        <v>929</v>
      </c>
      <c r="N89" s="560" t="s">
        <v>929</v>
      </c>
      <c r="O89" s="560" t="s">
        <v>929</v>
      </c>
      <c r="P89" s="560" t="s">
        <v>929</v>
      </c>
    </row>
    <row r="90" spans="2:17" ht="15" customHeight="1" x14ac:dyDescent="0.25">
      <c r="B90" s="186">
        <v>1</v>
      </c>
      <c r="C90" s="1164"/>
      <c r="D90" s="1164"/>
      <c r="E90" s="1164"/>
      <c r="F90" s="1164"/>
      <c r="G90" s="1164"/>
      <c r="H90" s="1165"/>
      <c r="I90" s="336"/>
      <c r="J90" s="546">
        <f t="shared" ref="J90:J92" si="3">IFERROR(SMALL(K90:P90,1),0)</f>
        <v>0</v>
      </c>
      <c r="K90" s="343"/>
      <c r="L90" s="343"/>
      <c r="M90" s="343"/>
      <c r="N90" s="343"/>
      <c r="O90" s="343"/>
      <c r="P90" s="343"/>
    </row>
    <row r="91" spans="2:17" ht="15" customHeight="1" x14ac:dyDescent="0.25">
      <c r="B91" s="186">
        <v>2</v>
      </c>
      <c r="C91" s="1164"/>
      <c r="D91" s="1164"/>
      <c r="E91" s="1164"/>
      <c r="F91" s="1164"/>
      <c r="G91" s="1164"/>
      <c r="H91" s="1165"/>
      <c r="I91" s="336"/>
      <c r="J91" s="546">
        <f t="shared" si="3"/>
        <v>0</v>
      </c>
      <c r="K91" s="343"/>
      <c r="L91" s="343"/>
      <c r="M91" s="343"/>
      <c r="N91" s="343"/>
      <c r="O91" s="343"/>
      <c r="P91" s="343"/>
    </row>
    <row r="92" spans="2:17" ht="15" customHeight="1" x14ac:dyDescent="0.25">
      <c r="B92" s="186">
        <v>3</v>
      </c>
      <c r="C92" s="1164"/>
      <c r="D92" s="1164"/>
      <c r="E92" s="1164"/>
      <c r="F92" s="1164"/>
      <c r="G92" s="1164"/>
      <c r="H92" s="1165"/>
      <c r="I92" s="336"/>
      <c r="J92" s="546">
        <f t="shared" si="3"/>
        <v>0</v>
      </c>
      <c r="K92" s="343"/>
      <c r="L92" s="343"/>
      <c r="M92" s="343"/>
      <c r="N92" s="343"/>
      <c r="O92" s="343"/>
      <c r="P92" s="343"/>
    </row>
    <row r="93" spans="2:17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521" t="s">
        <v>917</v>
      </c>
      <c r="L93" s="521" t="s">
        <v>926</v>
      </c>
      <c r="M93" s="521" t="s">
        <v>927</v>
      </c>
      <c r="N93" s="521" t="s">
        <v>943</v>
      </c>
      <c r="O93" s="521" t="s">
        <v>944</v>
      </c>
      <c r="P93" s="521" t="s">
        <v>945</v>
      </c>
    </row>
    <row r="94" spans="2:17" s="509" customFormat="1" ht="15" customHeight="1" x14ac:dyDescent="0.2">
      <c r="B94" s="993" t="s">
        <v>918</v>
      </c>
      <c r="C94" s="994"/>
      <c r="D94" s="994"/>
      <c r="E94" s="994"/>
      <c r="F94" s="994"/>
      <c r="G94" s="994"/>
      <c r="H94" s="994"/>
      <c r="I94" s="994"/>
      <c r="J94" s="995"/>
      <c r="K94" s="535"/>
      <c r="L94" s="535"/>
      <c r="M94" s="535"/>
      <c r="N94" s="535"/>
      <c r="O94" s="535"/>
      <c r="P94" s="535"/>
      <c r="Q94" s="752"/>
    </row>
    <row r="95" spans="2:17" s="509" customFormat="1" ht="15" customHeight="1" x14ac:dyDescent="0.2">
      <c r="B95" s="993" t="s">
        <v>919</v>
      </c>
      <c r="C95" s="994"/>
      <c r="D95" s="994"/>
      <c r="E95" s="994"/>
      <c r="F95" s="994"/>
      <c r="G95" s="994"/>
      <c r="H95" s="994"/>
      <c r="I95" s="994"/>
      <c r="J95" s="995"/>
      <c r="K95" s="536"/>
      <c r="L95" s="536"/>
      <c r="M95" s="536"/>
      <c r="N95" s="536"/>
      <c r="O95" s="536"/>
      <c r="P95" s="536"/>
      <c r="Q95" s="752"/>
    </row>
    <row r="96" spans="2:17" s="509" customFormat="1" ht="15" customHeight="1" x14ac:dyDescent="0.2">
      <c r="B96" s="993" t="s">
        <v>920</v>
      </c>
      <c r="C96" s="994"/>
      <c r="D96" s="994"/>
      <c r="E96" s="994"/>
      <c r="F96" s="994"/>
      <c r="G96" s="994"/>
      <c r="H96" s="994"/>
      <c r="I96" s="994"/>
      <c r="J96" s="995"/>
      <c r="K96" s="537"/>
      <c r="L96" s="537"/>
      <c r="M96" s="537"/>
      <c r="N96" s="537"/>
      <c r="O96" s="537"/>
      <c r="P96" s="537"/>
      <c r="Q96" s="752"/>
    </row>
    <row r="97" spans="2:17" s="509" customFormat="1" ht="15" customHeight="1" x14ac:dyDescent="0.2">
      <c r="B97" s="993" t="s">
        <v>921</v>
      </c>
      <c r="C97" s="994"/>
      <c r="D97" s="994"/>
      <c r="E97" s="994"/>
      <c r="F97" s="994"/>
      <c r="G97" s="994"/>
      <c r="H97" s="994"/>
      <c r="I97" s="994"/>
      <c r="J97" s="995"/>
      <c r="K97" s="537"/>
      <c r="L97" s="537"/>
      <c r="M97" s="537"/>
      <c r="N97" s="537"/>
      <c r="O97" s="537"/>
      <c r="P97" s="537"/>
      <c r="Q97" s="752"/>
    </row>
    <row r="98" spans="2:17" s="509" customFormat="1" ht="15" customHeight="1" x14ac:dyDescent="0.2">
      <c r="B98" s="993" t="s">
        <v>922</v>
      </c>
      <c r="C98" s="994"/>
      <c r="D98" s="994"/>
      <c r="E98" s="994"/>
      <c r="F98" s="994"/>
      <c r="G98" s="994"/>
      <c r="H98" s="994"/>
      <c r="I98" s="994"/>
      <c r="J98" s="995"/>
      <c r="K98" s="535"/>
      <c r="L98" s="535"/>
      <c r="M98" s="535"/>
      <c r="N98" s="535"/>
      <c r="O98" s="535"/>
      <c r="P98" s="535"/>
      <c r="Q98" s="752"/>
    </row>
    <row r="99" spans="2:17" s="509" customFormat="1" x14ac:dyDescent="0.2">
      <c r="B99" s="993" t="s">
        <v>923</v>
      </c>
      <c r="C99" s="994"/>
      <c r="D99" s="994"/>
      <c r="E99" s="994"/>
      <c r="F99" s="994"/>
      <c r="G99" s="994"/>
      <c r="H99" s="994"/>
      <c r="I99" s="994"/>
      <c r="J99" s="995"/>
      <c r="K99" s="538"/>
      <c r="L99" s="538"/>
      <c r="M99" s="538"/>
      <c r="N99" s="538"/>
      <c r="O99" s="538"/>
      <c r="P99" s="538"/>
      <c r="Q99" s="752"/>
    </row>
    <row r="100" spans="2:17" s="509" customFormat="1" x14ac:dyDescent="0.2">
      <c r="B100" s="993" t="s">
        <v>924</v>
      </c>
      <c r="C100" s="994"/>
      <c r="D100" s="994"/>
      <c r="E100" s="994"/>
      <c r="F100" s="994"/>
      <c r="G100" s="994"/>
      <c r="H100" s="994"/>
      <c r="I100" s="994"/>
      <c r="J100" s="995"/>
      <c r="K100" s="539"/>
      <c r="L100" s="539"/>
      <c r="M100" s="539"/>
      <c r="N100" s="539"/>
      <c r="O100" s="539"/>
      <c r="P100" s="539"/>
      <c r="Q100" s="752"/>
    </row>
    <row r="101" spans="2:17" s="575" customFormat="1" ht="15" customHeight="1" x14ac:dyDescent="0.2">
      <c r="B101" s="1154" t="s">
        <v>925</v>
      </c>
      <c r="C101" s="1155"/>
      <c r="D101" s="1155"/>
      <c r="E101" s="1155"/>
      <c r="F101" s="1155"/>
      <c r="G101" s="1155"/>
      <c r="H101" s="1155"/>
      <c r="I101" s="1155"/>
      <c r="J101" s="1156"/>
      <c r="K101" s="1097" t="s">
        <v>915</v>
      </c>
      <c r="L101" s="1097"/>
      <c r="M101" s="1097"/>
      <c r="N101" s="1097" t="s">
        <v>915</v>
      </c>
      <c r="O101" s="1097"/>
      <c r="P101" s="1097"/>
    </row>
  </sheetData>
  <sheetProtection password="C9A4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4:G44"/>
    <mergeCell ref="C45:G45"/>
    <mergeCell ref="C46:G46"/>
    <mergeCell ref="C47:G47"/>
    <mergeCell ref="C48:G48"/>
    <mergeCell ref="C49:J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D2:I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6">
    <tabColor theme="4"/>
  </sheetPr>
  <dimension ref="B2:Z8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6.85546875" style="409" bestFit="1" customWidth="1"/>
    <col min="15" max="16" width="3.42578125" style="409" customWidth="1"/>
    <col min="17" max="17" width="14.14062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6.85546875" style="418" bestFit="1" customWidth="1"/>
    <col min="26" max="16384" width="9.140625" style="409"/>
  </cols>
  <sheetData>
    <row r="2" spans="2:26" ht="22.5" customHeight="1" x14ac:dyDescent="0.25">
      <c r="B2" s="1157" t="s">
        <v>967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EQUIPAMENTOS HOSPITALARES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48"/>
      <c r="Q5" s="349"/>
      <c r="R5" s="349"/>
      <c r="S5" s="349"/>
      <c r="T5" s="349"/>
      <c r="U5" s="349"/>
      <c r="V5" s="349"/>
      <c r="W5" s="349"/>
      <c r="X5" s="350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351" t="s">
        <v>285</v>
      </c>
      <c r="I7" s="351" t="s">
        <v>16</v>
      </c>
      <c r="J7" s="351" t="s">
        <v>239</v>
      </c>
      <c r="K7" s="172" t="s">
        <v>286</v>
      </c>
      <c r="L7" s="351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51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IF(ISBLANK('HospCusto (ORÇ)'!C8)," ",'HospCusto (ORÇ)'!C8)</f>
        <v xml:space="preserve"> </v>
      </c>
      <c r="D8" s="1214"/>
      <c r="E8" s="1214"/>
      <c r="F8" s="1214"/>
      <c r="G8" s="1175"/>
      <c r="H8" s="581">
        <f>'HospCusto (ORÇ)'!H8</f>
        <v>0</v>
      </c>
      <c r="I8" s="585">
        <f>'HospCusto (ORÇ)'!I8</f>
        <v>0</v>
      </c>
      <c r="J8" s="133">
        <f>'HospCusto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20">
        <f>V8*X8</f>
        <v>0</v>
      </c>
    </row>
    <row r="9" spans="2:26" ht="15" customHeight="1" outlineLevel="1" x14ac:dyDescent="0.25">
      <c r="B9" s="175">
        <v>2</v>
      </c>
      <c r="C9" s="1214" t="str">
        <f>IF(ISBLANK('HospCusto (ORÇ)'!C9)," ",'HospCusto (ORÇ)'!C9)</f>
        <v xml:space="preserve"> </v>
      </c>
      <c r="D9" s="1214"/>
      <c r="E9" s="1214"/>
      <c r="F9" s="1214"/>
      <c r="G9" s="1175"/>
      <c r="H9" s="581">
        <f>'HospCusto (ORÇ)'!H9</f>
        <v>0</v>
      </c>
      <c r="I9" s="585">
        <f>'HospCusto (ORÇ)'!I9</f>
        <v>0</v>
      </c>
      <c r="J9" s="133">
        <f>'HospCusto (ORÇ)'!J9</f>
        <v>0</v>
      </c>
      <c r="K9" s="344">
        <f t="shared" ref="K9:K48" si="0">I9*J9</f>
        <v>0</v>
      </c>
      <c r="L9" s="344">
        <f t="shared" ref="L9:L48" si="1">K9-M9-N9</f>
        <v>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 xml:space="preserve"> </v>
      </c>
      <c r="R9" s="1177"/>
      <c r="S9" s="1177"/>
      <c r="T9" s="1177"/>
      <c r="U9" s="1178"/>
      <c r="V9" s="174">
        <f t="shared" ref="V9:V47" si="4">IF(H9="",0,H9)</f>
        <v>0</v>
      </c>
      <c r="W9" s="345">
        <f t="shared" ref="W9:W48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20">
        <f t="shared" ref="Y9:Y48" si="6">V9*X9</f>
        <v>0</v>
      </c>
    </row>
    <row r="10" spans="2:26" ht="15" customHeight="1" outlineLevel="1" x14ac:dyDescent="0.25">
      <c r="B10" s="173">
        <v>3</v>
      </c>
      <c r="C10" s="1214" t="str">
        <f>IF(ISBLANK('HospCusto (ORÇ)'!C10)," ",'HospCusto (ORÇ)'!C10)</f>
        <v xml:space="preserve"> </v>
      </c>
      <c r="D10" s="1214"/>
      <c r="E10" s="1214"/>
      <c r="F10" s="1214"/>
      <c r="G10" s="1175"/>
      <c r="H10" s="581">
        <f>'HospCusto (ORÇ)'!H10</f>
        <v>0</v>
      </c>
      <c r="I10" s="585">
        <f>'HospCusto (ORÇ)'!I10</f>
        <v>0</v>
      </c>
      <c r="J10" s="133">
        <f>'HospCusto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20">
        <f t="shared" si="6"/>
        <v>0</v>
      </c>
    </row>
    <row r="11" spans="2:26" ht="15" customHeight="1" outlineLevel="1" x14ac:dyDescent="0.25">
      <c r="B11" s="175">
        <v>4</v>
      </c>
      <c r="C11" s="1214" t="str">
        <f>IF(ISBLANK('HospCusto (ORÇ)'!C11)," ",'HospCusto (ORÇ)'!C11)</f>
        <v xml:space="preserve"> </v>
      </c>
      <c r="D11" s="1214"/>
      <c r="E11" s="1214"/>
      <c r="F11" s="1214"/>
      <c r="G11" s="1175"/>
      <c r="H11" s="581">
        <f>'HospCusto (ORÇ)'!H11</f>
        <v>0</v>
      </c>
      <c r="I11" s="585">
        <f>'HospCusto (ORÇ)'!I11</f>
        <v>0</v>
      </c>
      <c r="J11" s="133">
        <f>'HospCusto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ht="15" customHeight="1" outlineLevel="1" x14ac:dyDescent="0.25">
      <c r="B12" s="173">
        <v>5</v>
      </c>
      <c r="C12" s="1214" t="str">
        <f>IF(ISBLANK('HospCusto (ORÇ)'!C12)," ",'HospCusto (ORÇ)'!C12)</f>
        <v xml:space="preserve"> </v>
      </c>
      <c r="D12" s="1214"/>
      <c r="E12" s="1214"/>
      <c r="F12" s="1214"/>
      <c r="G12" s="1175"/>
      <c r="H12" s="581">
        <f>'HospCusto (ORÇ)'!H12</f>
        <v>0</v>
      </c>
      <c r="I12" s="585">
        <f>'HospCusto (ORÇ)'!I12</f>
        <v>0</v>
      </c>
      <c r="J12" s="133">
        <f>'HospCusto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ht="15" customHeight="1" outlineLevel="1" x14ac:dyDescent="0.25">
      <c r="B13" s="175">
        <v>6</v>
      </c>
      <c r="C13" s="1214" t="str">
        <f>IF(ISBLANK('HospCusto (ORÇ)'!C13)," ",'HospCusto (ORÇ)'!C13)</f>
        <v xml:space="preserve"> </v>
      </c>
      <c r="D13" s="1214"/>
      <c r="E13" s="1214"/>
      <c r="F13" s="1214"/>
      <c r="G13" s="1175"/>
      <c r="H13" s="581">
        <f>'HospCusto (ORÇ)'!H13</f>
        <v>0</v>
      </c>
      <c r="I13" s="585">
        <f>'HospCusto (ORÇ)'!I13</f>
        <v>0</v>
      </c>
      <c r="J13" s="133">
        <f>'HospCusto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ht="15" customHeight="1" outlineLevel="1" x14ac:dyDescent="0.25">
      <c r="B14" s="173">
        <v>7</v>
      </c>
      <c r="C14" s="1214" t="str">
        <f>IF(ISBLANK('HospCusto (ORÇ)'!C14)," ",'HospCusto (ORÇ)'!C14)</f>
        <v xml:space="preserve"> </v>
      </c>
      <c r="D14" s="1214"/>
      <c r="E14" s="1214"/>
      <c r="F14" s="1214"/>
      <c r="G14" s="1175"/>
      <c r="H14" s="581">
        <f>'HospCusto (ORÇ)'!H14</f>
        <v>0</v>
      </c>
      <c r="I14" s="585">
        <f>'HospCusto (ORÇ)'!I14</f>
        <v>0</v>
      </c>
      <c r="J14" s="133">
        <f>'HospCusto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ht="15" customHeight="1" outlineLevel="1" x14ac:dyDescent="0.25">
      <c r="B15" s="175">
        <v>8</v>
      </c>
      <c r="C15" s="1214" t="str">
        <f>IF(ISBLANK('HospCusto (ORÇ)'!C15)," ",'HospCusto (ORÇ)'!C15)</f>
        <v xml:space="preserve"> </v>
      </c>
      <c r="D15" s="1214"/>
      <c r="E15" s="1214"/>
      <c r="F15" s="1214"/>
      <c r="G15" s="1175"/>
      <c r="H15" s="581" t="str">
        <f>'HospCusto (ORÇ)'!H15</f>
        <v xml:space="preserve"> </v>
      </c>
      <c r="I15" s="585">
        <f>'HospCusto (ORÇ)'!I15</f>
        <v>0</v>
      </c>
      <c r="J15" s="133">
        <f>'HospCusto (ORÇ)'!J15</f>
        <v>0</v>
      </c>
      <c r="K15" s="344">
        <f t="shared" si="0"/>
        <v>0</v>
      </c>
      <c r="L15" s="344">
        <f>K15-N17-N15</f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 t="str">
        <f t="shared" si="4"/>
        <v xml:space="preserve"> </v>
      </c>
      <c r="W15" s="345" t="e">
        <f t="shared" si="5"/>
        <v>#VALUE!</v>
      </c>
      <c r="X15" s="346">
        <f>IF(AND(K15&gt;0,'Custo Contábil'!$D$7&gt;0),ROUND(K15*('Custo Contábil'!$D$20/'Custo Contábil'!$D$7)*W15,2),0)</f>
        <v>0</v>
      </c>
      <c r="Y15" s="420" t="e">
        <f t="shared" si="6"/>
        <v>#VALUE!</v>
      </c>
    </row>
    <row r="16" spans="2:26" ht="15" customHeight="1" outlineLevel="1" x14ac:dyDescent="0.25">
      <c r="B16" s="173">
        <v>9</v>
      </c>
      <c r="C16" s="1214" t="str">
        <f>IF(ISBLANK('HospCusto (ORÇ)'!C16)," ",'HospCusto (ORÇ)'!C16)</f>
        <v xml:space="preserve"> </v>
      </c>
      <c r="D16" s="1214"/>
      <c r="E16" s="1214"/>
      <c r="F16" s="1214"/>
      <c r="G16" s="1175"/>
      <c r="H16" s="581">
        <f>'HospCusto (ORÇ)'!H16</f>
        <v>0</v>
      </c>
      <c r="I16" s="585">
        <f>'HospCusto (ORÇ)'!I16</f>
        <v>0</v>
      </c>
      <c r="J16" s="133">
        <f>'HospCusto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IF(ISBLANK('HospCusto (ORÇ)'!C17)," ",'HospCusto (ORÇ)'!C17)</f>
        <v xml:space="preserve"> </v>
      </c>
      <c r="D17" s="1214"/>
      <c r="E17" s="1214"/>
      <c r="F17" s="1214"/>
      <c r="G17" s="1175"/>
      <c r="H17" s="581">
        <f>'HospCusto (ORÇ)'!H17</f>
        <v>0</v>
      </c>
      <c r="I17" s="585">
        <f>'HospCusto (ORÇ)'!I17</f>
        <v>0</v>
      </c>
      <c r="J17" s="133">
        <f>'HospCusto (ORÇ)'!J17</f>
        <v>0</v>
      </c>
      <c r="K17" s="344">
        <f>I17*J17</f>
        <v>0</v>
      </c>
      <c r="L17" s="344">
        <f t="shared" ref="L17:L19" si="7">K17-M17-N17</f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IF(ISBLANK('HospCusto (ORÇ)'!C18)," ",'HospCusto (ORÇ)'!C18)</f>
        <v xml:space="preserve"> </v>
      </c>
      <c r="D18" s="1214"/>
      <c r="E18" s="1214"/>
      <c r="F18" s="1214"/>
      <c r="G18" s="1175"/>
      <c r="H18" s="581">
        <f>'HospCusto (ORÇ)'!H18</f>
        <v>0</v>
      </c>
      <c r="I18" s="585">
        <f>'HospCusto (ORÇ)'!I18</f>
        <v>0</v>
      </c>
      <c r="J18" s="133">
        <f>'HospCusto (ORÇ)'!J18</f>
        <v>0</v>
      </c>
      <c r="K18" s="344">
        <f t="shared" ref="K18:K19" si="8">I18*J18</f>
        <v>0</v>
      </c>
      <c r="L18" s="344">
        <f t="shared" si="7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IF(ISBLANK('HospCusto (ORÇ)'!C19)," ",'HospCusto (ORÇ)'!C19)</f>
        <v xml:space="preserve"> </v>
      </c>
      <c r="D19" s="1214"/>
      <c r="E19" s="1214"/>
      <c r="F19" s="1214"/>
      <c r="G19" s="1175"/>
      <c r="H19" s="581">
        <f>'HospCusto (ORÇ)'!H19</f>
        <v>0</v>
      </c>
      <c r="I19" s="585">
        <f>'HospCusto (ORÇ)'!I19</f>
        <v>0</v>
      </c>
      <c r="J19" s="133">
        <f>'HospCusto (ORÇ)'!J19</f>
        <v>0</v>
      </c>
      <c r="K19" s="344">
        <f t="shared" si="8"/>
        <v>0</v>
      </c>
      <c r="L19" s="344">
        <f t="shared" si="7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IF(ISBLANK('HospCusto (ORÇ)'!C20)," ",'HospCusto (ORÇ)'!C20)</f>
        <v xml:space="preserve"> </v>
      </c>
      <c r="D20" s="1214"/>
      <c r="E20" s="1214"/>
      <c r="F20" s="1214"/>
      <c r="G20" s="1175"/>
      <c r="H20" s="581">
        <f>'HospCusto (ORÇ)'!H20</f>
        <v>0</v>
      </c>
      <c r="I20" s="585">
        <f>'HospCusto (ORÇ)'!I20</f>
        <v>0</v>
      </c>
      <c r="J20" s="133">
        <f>'HospCusto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20">
        <f t="shared" si="6"/>
        <v>0</v>
      </c>
    </row>
    <row r="21" spans="2:25" outlineLevel="1" x14ac:dyDescent="0.25">
      <c r="B21" s="175">
        <v>14</v>
      </c>
      <c r="C21" s="1214" t="str">
        <f>IF(ISBLANK('HospCusto (ORÇ)'!C21)," ",'HospCusto (ORÇ)'!C21)</f>
        <v xml:space="preserve"> </v>
      </c>
      <c r="D21" s="1214"/>
      <c r="E21" s="1214"/>
      <c r="F21" s="1214"/>
      <c r="G21" s="1175"/>
      <c r="H21" s="581">
        <f>'HospCusto (ORÇ)'!H21</f>
        <v>0</v>
      </c>
      <c r="I21" s="585">
        <f>'HospCusto (ORÇ)'!I21</f>
        <v>0</v>
      </c>
      <c r="J21" s="133">
        <f>'HospCusto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IF(ISBLANK('HospCusto (ORÇ)'!C22)," ",'HospCusto (ORÇ)'!C22)</f>
        <v xml:space="preserve"> </v>
      </c>
      <c r="D22" s="1214"/>
      <c r="E22" s="1214"/>
      <c r="F22" s="1214"/>
      <c r="G22" s="1175"/>
      <c r="H22" s="581">
        <f>'HospCusto (ORÇ)'!H22</f>
        <v>0</v>
      </c>
      <c r="I22" s="585">
        <f>'HospCusto (ORÇ)'!I22</f>
        <v>0</v>
      </c>
      <c r="J22" s="133">
        <f>'HospCusto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IF(ISBLANK('HospCusto (ORÇ)'!C23)," ",'HospCusto (ORÇ)'!C23)</f>
        <v xml:space="preserve"> </v>
      </c>
      <c r="D23" s="1214"/>
      <c r="E23" s="1214"/>
      <c r="F23" s="1214"/>
      <c r="G23" s="1175"/>
      <c r="H23" s="581">
        <f>'HospCusto (ORÇ)'!H23</f>
        <v>0</v>
      </c>
      <c r="I23" s="585">
        <f>'HospCusto (ORÇ)'!I23</f>
        <v>0</v>
      </c>
      <c r="J23" s="133">
        <f>'HospCusto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IF(ISBLANK('HospCusto (ORÇ)'!C24)," ",'HospCusto (ORÇ)'!C24)</f>
        <v xml:space="preserve"> </v>
      </c>
      <c r="D24" s="1214"/>
      <c r="E24" s="1214"/>
      <c r="F24" s="1214"/>
      <c r="G24" s="1175"/>
      <c r="H24" s="581">
        <f>'HospCusto (ORÇ)'!H24</f>
        <v>0</v>
      </c>
      <c r="I24" s="585">
        <f>'HospCusto (ORÇ)'!I24</f>
        <v>0</v>
      </c>
      <c r="J24" s="133">
        <f>'HospCusto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IF(ISBLANK('HospCusto (ORÇ)'!C25)," ",'HospCusto (ORÇ)'!C25)</f>
        <v xml:space="preserve"> </v>
      </c>
      <c r="D25" s="1214"/>
      <c r="E25" s="1214"/>
      <c r="F25" s="1214"/>
      <c r="G25" s="1175"/>
      <c r="H25" s="581">
        <f>'HospCusto (ORÇ)'!H25</f>
        <v>0</v>
      </c>
      <c r="I25" s="585">
        <f>'HospCusto (ORÇ)'!I25</f>
        <v>0</v>
      </c>
      <c r="J25" s="133">
        <f>'HospCusto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IF(ISBLANK('HospCusto (ORÇ)'!C26)," ",'HospCusto (ORÇ)'!C26)</f>
        <v xml:space="preserve"> </v>
      </c>
      <c r="D26" s="1214"/>
      <c r="E26" s="1214"/>
      <c r="F26" s="1214"/>
      <c r="G26" s="1175"/>
      <c r="H26" s="581">
        <f>'HospCusto (ORÇ)'!H26</f>
        <v>0</v>
      </c>
      <c r="I26" s="585">
        <f>'HospCusto (ORÇ)'!I26</f>
        <v>0</v>
      </c>
      <c r="J26" s="133">
        <f>'HospCusto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IF(ISBLANK('HospCusto (ORÇ)'!C27)," ",'HospCusto (ORÇ)'!C27)</f>
        <v xml:space="preserve"> </v>
      </c>
      <c r="D27" s="1214"/>
      <c r="E27" s="1214"/>
      <c r="F27" s="1214"/>
      <c r="G27" s="1175"/>
      <c r="H27" s="581">
        <f>'HospCusto (ORÇ)'!H27</f>
        <v>0</v>
      </c>
      <c r="I27" s="585">
        <f>'HospCusto (ORÇ)'!I27</f>
        <v>0</v>
      </c>
      <c r="J27" s="133">
        <f>'HospCusto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IF(ISBLANK('HospCusto (ORÇ)'!C28)," ",'HospCusto (ORÇ)'!C28)</f>
        <v xml:space="preserve"> </v>
      </c>
      <c r="D28" s="1214"/>
      <c r="E28" s="1214"/>
      <c r="F28" s="1214"/>
      <c r="G28" s="1175"/>
      <c r="H28" s="581">
        <f>'HospCusto (ORÇ)'!H28</f>
        <v>0</v>
      </c>
      <c r="I28" s="585">
        <f>'HospCusto (ORÇ)'!I28</f>
        <v>0</v>
      </c>
      <c r="J28" s="133">
        <f>'HospCusto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IF(ISBLANK('HospCusto (ORÇ)'!C29)," ",'HospCusto (ORÇ)'!C29)</f>
        <v xml:space="preserve"> </v>
      </c>
      <c r="D29" s="1214"/>
      <c r="E29" s="1214"/>
      <c r="F29" s="1214"/>
      <c r="G29" s="1175"/>
      <c r="H29" s="581">
        <f>'HospCusto (ORÇ)'!H29</f>
        <v>0</v>
      </c>
      <c r="I29" s="585">
        <f>'HospCusto (ORÇ)'!I29</f>
        <v>0</v>
      </c>
      <c r="J29" s="133">
        <f>'HospCusto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IF(ISBLANK('HospCusto (ORÇ)'!C30)," ",'HospCusto (ORÇ)'!C30)</f>
        <v xml:space="preserve"> </v>
      </c>
      <c r="D30" s="1214"/>
      <c r="E30" s="1214"/>
      <c r="F30" s="1214"/>
      <c r="G30" s="1175"/>
      <c r="H30" s="581">
        <f>'HospCusto (ORÇ)'!H30</f>
        <v>0</v>
      </c>
      <c r="I30" s="585">
        <f>'HospCusto (ORÇ)'!I30</f>
        <v>0</v>
      </c>
      <c r="J30" s="133">
        <f>'HospCusto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ht="18" customHeight="1" outlineLevel="1" x14ac:dyDescent="0.25">
      <c r="B31" s="175">
        <v>24</v>
      </c>
      <c r="C31" s="1214" t="str">
        <f>IF(ISBLANK('HospCusto (ORÇ)'!C31)," ",'HospCusto (ORÇ)'!C31)</f>
        <v xml:space="preserve"> </v>
      </c>
      <c r="D31" s="1214"/>
      <c r="E31" s="1214"/>
      <c r="F31" s="1214"/>
      <c r="G31" s="1175"/>
      <c r="H31" s="581">
        <f>'HospCusto (ORÇ)'!H31</f>
        <v>0</v>
      </c>
      <c r="I31" s="585">
        <f>'HospCusto (ORÇ)'!I31</f>
        <v>0</v>
      </c>
      <c r="J31" s="133">
        <f>'HospCusto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ht="18" customHeight="1" outlineLevel="1" x14ac:dyDescent="0.25">
      <c r="B32" s="173">
        <v>25</v>
      </c>
      <c r="C32" s="1214" t="str">
        <f>IF(ISBLANK('HospCusto (ORÇ)'!C32)," ",'HospCusto (ORÇ)'!C32)</f>
        <v xml:space="preserve"> </v>
      </c>
      <c r="D32" s="1214"/>
      <c r="E32" s="1214"/>
      <c r="F32" s="1214"/>
      <c r="G32" s="1175"/>
      <c r="H32" s="581">
        <f>'HospCusto (ORÇ)'!H32</f>
        <v>0</v>
      </c>
      <c r="I32" s="585">
        <f>'HospCusto (ORÇ)'!I32</f>
        <v>0</v>
      </c>
      <c r="J32" s="133">
        <f>'HospCusto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ht="15" customHeight="1" outlineLevel="1" x14ac:dyDescent="0.25">
      <c r="B33" s="175">
        <v>26</v>
      </c>
      <c r="C33" s="1214" t="str">
        <f>IF(ISBLANK('HospCusto (ORÇ)'!C33)," ",'HospCusto (ORÇ)'!C33)</f>
        <v xml:space="preserve"> </v>
      </c>
      <c r="D33" s="1214"/>
      <c r="E33" s="1214"/>
      <c r="F33" s="1214"/>
      <c r="G33" s="1175"/>
      <c r="H33" s="581">
        <f>'HospCusto (ORÇ)'!H33</f>
        <v>0</v>
      </c>
      <c r="I33" s="585">
        <f>'HospCusto (ORÇ)'!I33</f>
        <v>0</v>
      </c>
      <c r="J33" s="133">
        <f>'HospCusto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ht="11.25" customHeight="1" outlineLevel="1" x14ac:dyDescent="0.25">
      <c r="B34" s="173">
        <v>27</v>
      </c>
      <c r="C34" s="1214" t="str">
        <f>IF(ISBLANK('HospCusto (ORÇ)'!C34)," ",'HospCusto (ORÇ)'!C34)</f>
        <v xml:space="preserve"> </v>
      </c>
      <c r="D34" s="1214"/>
      <c r="E34" s="1214"/>
      <c r="F34" s="1214"/>
      <c r="G34" s="1175"/>
      <c r="H34" s="581">
        <f>'HospCusto (ORÇ)'!H34</f>
        <v>0</v>
      </c>
      <c r="I34" s="585">
        <f>'HospCusto (ORÇ)'!I34</f>
        <v>0</v>
      </c>
      <c r="J34" s="133">
        <f>'HospCusto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IF(ISBLANK('HospCusto (ORÇ)'!C35)," ",'HospCusto (ORÇ)'!C35)</f>
        <v xml:space="preserve"> </v>
      </c>
      <c r="D35" s="1214"/>
      <c r="E35" s="1214"/>
      <c r="F35" s="1214"/>
      <c r="G35" s="1175"/>
      <c r="H35" s="581">
        <f>'HospCusto (ORÇ)'!H35</f>
        <v>0</v>
      </c>
      <c r="I35" s="585">
        <f>'HospCusto (ORÇ)'!I35</f>
        <v>0</v>
      </c>
      <c r="J35" s="133">
        <f>'HospCusto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IF(ISBLANK('HospCusto (ORÇ)'!C36)," ",'HospCusto (ORÇ)'!C36)</f>
        <v xml:space="preserve"> </v>
      </c>
      <c r="D36" s="1214"/>
      <c r="E36" s="1214"/>
      <c r="F36" s="1214"/>
      <c r="G36" s="1175"/>
      <c r="H36" s="581">
        <f>'HospCusto (ORÇ)'!H36</f>
        <v>0</v>
      </c>
      <c r="I36" s="585">
        <f>'HospCusto (ORÇ)'!I36</f>
        <v>0</v>
      </c>
      <c r="J36" s="133">
        <f>'HospCusto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IF(ISBLANK('HospCusto (ORÇ)'!C37)," ",'HospCusto (ORÇ)'!C37)</f>
        <v xml:space="preserve"> </v>
      </c>
      <c r="D37" s="1214"/>
      <c r="E37" s="1214"/>
      <c r="F37" s="1214"/>
      <c r="G37" s="1175"/>
      <c r="H37" s="581">
        <f>'HospCusto (ORÇ)'!H37</f>
        <v>0</v>
      </c>
      <c r="I37" s="585">
        <f>'HospCusto (ORÇ)'!I37</f>
        <v>0</v>
      </c>
      <c r="J37" s="133">
        <f>'HospCusto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IF(ISBLANK('HospCusto (ORÇ)'!C38)," ",'HospCusto (ORÇ)'!C38)</f>
        <v xml:space="preserve"> </v>
      </c>
      <c r="D38" s="1214"/>
      <c r="E38" s="1214"/>
      <c r="F38" s="1214"/>
      <c r="G38" s="1175"/>
      <c r="H38" s="581">
        <f>'HospCusto (ORÇ)'!H38</f>
        <v>0</v>
      </c>
      <c r="I38" s="585">
        <f>'HospCusto (ORÇ)'!I38</f>
        <v>0</v>
      </c>
      <c r="J38" s="133">
        <f>'HospCusto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ht="15" customHeight="1" outlineLevel="1" x14ac:dyDescent="0.25">
      <c r="B39" s="175">
        <v>32</v>
      </c>
      <c r="C39" s="1214" t="str">
        <f>IF(ISBLANK('HospCusto (ORÇ)'!C39)," ",'HospCusto (ORÇ)'!C39)</f>
        <v xml:space="preserve"> </v>
      </c>
      <c r="D39" s="1214"/>
      <c r="E39" s="1214"/>
      <c r="F39" s="1214"/>
      <c r="G39" s="1175"/>
      <c r="H39" s="581">
        <f>'HospCusto (ORÇ)'!H39</f>
        <v>0</v>
      </c>
      <c r="I39" s="585">
        <f>'HospCusto (ORÇ)'!I39</f>
        <v>0</v>
      </c>
      <c r="J39" s="133">
        <f>'HospCusto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IF(ISBLANK('HospCusto (ORÇ)'!C40)," ",'HospCusto (ORÇ)'!C40)</f>
        <v xml:space="preserve"> </v>
      </c>
      <c r="D40" s="1214"/>
      <c r="E40" s="1214"/>
      <c r="F40" s="1214"/>
      <c r="G40" s="1175"/>
      <c r="H40" s="581">
        <f>'HospCusto (ORÇ)'!H40</f>
        <v>0</v>
      </c>
      <c r="I40" s="585">
        <f>'HospCusto (ORÇ)'!I40</f>
        <v>0</v>
      </c>
      <c r="J40" s="133">
        <f>'HospCusto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IF(ISBLANK('HospCusto (ORÇ)'!C41)," ",'HospCusto (ORÇ)'!C41)</f>
        <v xml:space="preserve"> </v>
      </c>
      <c r="D41" s="1214"/>
      <c r="E41" s="1214"/>
      <c r="F41" s="1214"/>
      <c r="G41" s="1175"/>
      <c r="H41" s="581">
        <f>'HospCusto (ORÇ)'!H41</f>
        <v>0</v>
      </c>
      <c r="I41" s="585">
        <f>'HospCusto (ORÇ)'!I41</f>
        <v>0</v>
      </c>
      <c r="J41" s="133">
        <f>'HospCusto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IF(ISBLANK('HospCusto (ORÇ)'!C42)," ",'HospCusto (ORÇ)'!C42)</f>
        <v xml:space="preserve"> </v>
      </c>
      <c r="D42" s="1214"/>
      <c r="E42" s="1214"/>
      <c r="F42" s="1214"/>
      <c r="G42" s="1175"/>
      <c r="H42" s="581">
        <f>'HospCusto (ORÇ)'!H42</f>
        <v>0</v>
      </c>
      <c r="I42" s="585">
        <f>'HospCusto (ORÇ)'!I42</f>
        <v>0</v>
      </c>
      <c r="J42" s="133">
        <f>'HospCusto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ht="15" customHeight="1" outlineLevel="1" x14ac:dyDescent="0.25">
      <c r="B43" s="175">
        <v>36</v>
      </c>
      <c r="C43" s="1214" t="str">
        <f>IF(ISBLANK('HospCusto (ORÇ)'!C43)," ",'HospCusto (ORÇ)'!C43)</f>
        <v xml:space="preserve"> </v>
      </c>
      <c r="D43" s="1214"/>
      <c r="E43" s="1214"/>
      <c r="F43" s="1214"/>
      <c r="G43" s="1175"/>
      <c r="H43" s="581">
        <f>'HospCusto (ORÇ)'!H43</f>
        <v>0</v>
      </c>
      <c r="I43" s="585">
        <f>'HospCusto (ORÇ)'!I43</f>
        <v>0</v>
      </c>
      <c r="J43" s="133">
        <f>'HospCusto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IF(ISBLANK('HospCusto (ORÇ)'!C44)," ",'HospCusto (ORÇ)'!C44)</f>
        <v xml:space="preserve"> </v>
      </c>
      <c r="D44" s="1214"/>
      <c r="E44" s="1214"/>
      <c r="F44" s="1214"/>
      <c r="G44" s="1175"/>
      <c r="H44" s="581">
        <f>'HospCusto (ORÇ)'!H44</f>
        <v>0</v>
      </c>
      <c r="I44" s="585">
        <f>'HospCusto (ORÇ)'!I44</f>
        <v>0</v>
      </c>
      <c r="J44" s="133">
        <f>'HospCusto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IF(ISBLANK('HospCusto (ORÇ)'!C45)," ",'HospCusto (ORÇ)'!C45)</f>
        <v xml:space="preserve"> </v>
      </c>
      <c r="D45" s="1214"/>
      <c r="E45" s="1214"/>
      <c r="F45" s="1214"/>
      <c r="G45" s="1175"/>
      <c r="H45" s="581">
        <f>'HospCusto (ORÇ)'!H45</f>
        <v>0</v>
      </c>
      <c r="I45" s="585">
        <f>'HospCusto (ORÇ)'!I45</f>
        <v>0</v>
      </c>
      <c r="J45" s="133">
        <f>'HospCusto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IF(ISBLANK('HospCusto (ORÇ)'!C46)," ",'HospCusto (ORÇ)'!C46)</f>
        <v xml:space="preserve"> </v>
      </c>
      <c r="D46" s="1214"/>
      <c r="E46" s="1214"/>
      <c r="F46" s="1214"/>
      <c r="G46" s="1175"/>
      <c r="H46" s="581">
        <f>'HospCusto (ORÇ)'!H46</f>
        <v>0</v>
      </c>
      <c r="I46" s="585">
        <f>'HospCusto (ORÇ)'!I46</f>
        <v>0</v>
      </c>
      <c r="J46" s="133">
        <f>'HospCusto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ht="15" customHeight="1" outlineLevel="1" x14ac:dyDescent="0.25">
      <c r="B47" s="175">
        <v>40</v>
      </c>
      <c r="C47" s="1214" t="str">
        <f>IF(ISBLANK('HospCusto (ORÇ)'!C47)," ",'HospCusto (ORÇ)'!C47)</f>
        <v xml:space="preserve"> </v>
      </c>
      <c r="D47" s="1214"/>
      <c r="E47" s="1214"/>
      <c r="F47" s="1214"/>
      <c r="G47" s="1175"/>
      <c r="H47" s="581">
        <f>'HospCusto (ORÇ)'!H47</f>
        <v>0</v>
      </c>
      <c r="I47" s="585">
        <f>'HospCusto (ORÇ)'!I47</f>
        <v>0</v>
      </c>
      <c r="J47" s="133">
        <f>'HospCusto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IF(ISBLANK('HospCusto (ORÇ)'!C48)," ",'HospCusto (ORÇ)'!C48)</f>
        <v>Acessórios</v>
      </c>
      <c r="D48" s="1214"/>
      <c r="E48" s="1214"/>
      <c r="F48" s="1214"/>
      <c r="G48" s="1175"/>
      <c r="H48" s="581">
        <f>'HospCusto (ORÇ)'!H48</f>
        <v>20</v>
      </c>
      <c r="I48" s="585">
        <f>'HospCusto (ORÇ)'!I48</f>
        <v>0</v>
      </c>
      <c r="J48" s="133">
        <f>'HospCusto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20</v>
      </c>
      <c r="W48" s="345">
        <f t="shared" si="5"/>
        <v>0.10185220882315059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600</v>
      </c>
      <c r="D49" s="1186"/>
      <c r="E49" s="1186"/>
      <c r="F49" s="1186"/>
      <c r="G49" s="1186"/>
      <c r="H49" s="1186"/>
      <c r="I49" s="1186"/>
      <c r="J49" s="1187"/>
      <c r="K49" s="178">
        <f>SUM(K8:K48)</f>
        <v>0</v>
      </c>
      <c r="L49" s="178">
        <f>SUM(L8:L48)</f>
        <v>0</v>
      </c>
      <c r="M49" s="178">
        <f>SUM(M8:M48)</f>
        <v>0</v>
      </c>
      <c r="N49" s="178">
        <f>SUM(N8:N48)</f>
        <v>0</v>
      </c>
      <c r="O49" s="410"/>
      <c r="P49" s="1170" t="s">
        <v>837</v>
      </c>
      <c r="Q49" s="1171"/>
      <c r="R49" s="1171"/>
      <c r="S49" s="1171"/>
      <c r="T49" s="1171"/>
      <c r="U49" s="1171"/>
      <c r="V49" s="1172"/>
      <c r="W49" s="179" t="s">
        <v>841</v>
      </c>
      <c r="X49" s="180">
        <f>SUM(X8:X48)</f>
        <v>0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838</v>
      </c>
      <c r="Q50" s="1171"/>
      <c r="R50" s="1171"/>
      <c r="S50" s="1171"/>
      <c r="T50" s="1171"/>
      <c r="U50" s="1171"/>
      <c r="V50" s="1172"/>
      <c r="W50" s="179" t="s">
        <v>842</v>
      </c>
      <c r="X50" s="180">
        <f>IFERROR(X49*($L$86/$K$86),0)</f>
        <v>0</v>
      </c>
    </row>
    <row r="51" spans="2:24" ht="15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5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0</v>
      </c>
      <c r="L52" s="344">
        <f>'Custo Contábil'!I39</f>
        <v>0</v>
      </c>
      <c r="M52" s="344">
        <v>0</v>
      </c>
      <c r="N52" s="344">
        <v>0</v>
      </c>
      <c r="O52" s="410"/>
      <c r="P52" s="359" t="s">
        <v>839</v>
      </c>
      <c r="Q52" s="339"/>
      <c r="R52" s="184">
        <f>RCB!G10</f>
        <v>0</v>
      </c>
      <c r="T52" s="1212" t="s">
        <v>709</v>
      </c>
      <c r="U52" s="1213"/>
      <c r="V52" s="340">
        <f>IFERROR(SUM(Y8:Y48)/X49,0)</f>
        <v>0</v>
      </c>
    </row>
    <row r="53" spans="2:24" ht="18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0</v>
      </c>
      <c r="L53" s="344">
        <f>'Custo Contábil'!$I$37*'Custo Contábil'!F6</f>
        <v>0</v>
      </c>
      <c r="M53" s="344">
        <f>'Custo Contábil'!$I$37*'Custo Contábil'!G6</f>
        <v>0</v>
      </c>
      <c r="N53" s="344">
        <f>'Custo Contábil'!$I$37*'Custo Contábil'!H6</f>
        <v>0</v>
      </c>
      <c r="O53" s="410"/>
      <c r="P53" s="359" t="s">
        <v>840</v>
      </c>
      <c r="Q53" s="339"/>
      <c r="R53" s="184">
        <f>RCB!J10</f>
        <v>0</v>
      </c>
    </row>
    <row r="54" spans="2:24" ht="15" customHeight="1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351" t="s">
        <v>295</v>
      </c>
      <c r="J54" s="351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ht="15" customHeight="1" x14ac:dyDescent="0.25">
      <c r="B55" s="173">
        <v>1</v>
      </c>
      <c r="C55" s="1214" t="str">
        <f>IF(ISBLANK('HospCusto (ORÇ)'!C60)," ",'HospCusto (ORÇ)'!C60)</f>
        <v xml:space="preserve"> </v>
      </c>
      <c r="D55" s="1214"/>
      <c r="E55" s="1214"/>
      <c r="F55" s="1214"/>
      <c r="G55" s="1175"/>
      <c r="H55" s="581">
        <f>'HospCusto (ORÇ)'!H60</f>
        <v>0</v>
      </c>
      <c r="I55" s="585">
        <f>'HospCusto (ORÇ)'!I60</f>
        <v>0</v>
      </c>
      <c r="J55" s="133">
        <f>'HospCusto (ORÇ)'!J60</f>
        <v>0</v>
      </c>
      <c r="K55" s="344">
        <f>H55*I55*J55</f>
        <v>0</v>
      </c>
      <c r="L55" s="344">
        <f>K55-M55-N55</f>
        <v>0</v>
      </c>
      <c r="M55" s="343"/>
      <c r="N55" s="343"/>
      <c r="O55" s="410"/>
    </row>
    <row r="56" spans="2:24" ht="15" customHeight="1" x14ac:dyDescent="0.25">
      <c r="B56" s="175">
        <v>2</v>
      </c>
      <c r="C56" s="1214" t="str">
        <f>IF(ISBLANK('HospCusto (ORÇ)'!C61)," ",'HospCusto (ORÇ)'!C61)</f>
        <v xml:space="preserve"> </v>
      </c>
      <c r="D56" s="1214"/>
      <c r="E56" s="1214"/>
      <c r="F56" s="1214"/>
      <c r="G56" s="1175"/>
      <c r="H56" s="581">
        <f>'HospCusto (ORÇ)'!H61</f>
        <v>0</v>
      </c>
      <c r="I56" s="585">
        <f>'HospCusto (ORÇ)'!I61</f>
        <v>0</v>
      </c>
      <c r="J56" s="133">
        <f>'HospCusto (ORÇ)'!J61</f>
        <v>0</v>
      </c>
      <c r="K56" s="344">
        <f>H56*I56*J56</f>
        <v>0</v>
      </c>
      <c r="L56" s="344">
        <f>K56-M56-N56</f>
        <v>0</v>
      </c>
      <c r="M56" s="343"/>
      <c r="N56" s="343"/>
      <c r="O56" s="410"/>
    </row>
    <row r="57" spans="2:24" ht="15" customHeight="1" x14ac:dyDescent="0.25">
      <c r="B57" s="173">
        <v>3</v>
      </c>
      <c r="C57" s="1214" t="str">
        <f>IF(ISBLANK('HospCusto (ORÇ)'!C62)," ",'HospCusto (ORÇ)'!C62)</f>
        <v xml:space="preserve"> </v>
      </c>
      <c r="D57" s="1214"/>
      <c r="E57" s="1214"/>
      <c r="F57" s="1214"/>
      <c r="G57" s="1175"/>
      <c r="H57" s="581">
        <f>'HospCusto (ORÇ)'!H62</f>
        <v>0</v>
      </c>
      <c r="I57" s="585">
        <f>'HospCusto (ORÇ)'!I62</f>
        <v>0</v>
      </c>
      <c r="J57" s="133">
        <f>'HospCusto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x14ac:dyDescent="0.25">
      <c r="B58" s="175">
        <v>4</v>
      </c>
      <c r="C58" s="1214" t="str">
        <f>IF(ISBLANK('HospCusto (ORÇ)'!C63)," ",'HospCusto (ORÇ)'!C63)</f>
        <v xml:space="preserve"> </v>
      </c>
      <c r="D58" s="1214"/>
      <c r="E58" s="1214"/>
      <c r="F58" s="1214"/>
      <c r="G58" s="1175"/>
      <c r="H58" s="581">
        <f>'HospCusto (ORÇ)'!H63</f>
        <v>0</v>
      </c>
      <c r="I58" s="585">
        <f>'HospCusto (ORÇ)'!I63</f>
        <v>0</v>
      </c>
      <c r="J58" s="133">
        <f>'HospCusto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x14ac:dyDescent="0.25">
      <c r="B59" s="173">
        <v>5</v>
      </c>
      <c r="C59" s="1214" t="str">
        <f>IF(ISBLANK('HospCusto (ORÇ)'!C64)," ",'HospCusto (ORÇ)'!C64)</f>
        <v xml:space="preserve"> </v>
      </c>
      <c r="D59" s="1214"/>
      <c r="E59" s="1214"/>
      <c r="F59" s="1214"/>
      <c r="G59" s="1175"/>
      <c r="H59" s="581">
        <f>'HospCusto (ORÇ)'!H64</f>
        <v>0</v>
      </c>
      <c r="I59" s="585">
        <f>'HospCusto (ORÇ)'!I64</f>
        <v>0</v>
      </c>
      <c r="J59" s="133">
        <f>'HospCusto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x14ac:dyDescent="0.25">
      <c r="B60" s="181"/>
      <c r="C60" s="1184" t="s">
        <v>602</v>
      </c>
      <c r="D60" s="1184"/>
      <c r="E60" s="1184"/>
      <c r="F60" s="1184"/>
      <c r="G60" s="1184"/>
      <c r="H60" s="1184"/>
      <c r="I60" s="1184"/>
      <c r="J60" s="1185"/>
      <c r="K60" s="344">
        <f>SUM(K55:K59)</f>
        <v>0</v>
      </c>
      <c r="L60" s="344">
        <f>SUM(L55:L59)</f>
        <v>0</v>
      </c>
      <c r="M60" s="344">
        <f>SUM(M55:M59)</f>
        <v>0</v>
      </c>
      <c r="N60" s="344">
        <f>SUM(N55:N59)</f>
        <v>0</v>
      </c>
      <c r="O60" s="410"/>
    </row>
    <row r="61" spans="2:24" ht="15" customHeight="1" x14ac:dyDescent="0.25">
      <c r="B61" s="337"/>
      <c r="C61" s="1186" t="s">
        <v>603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0</v>
      </c>
      <c r="L61" s="293">
        <f>SUM(L60,L52:L53)</f>
        <v>0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0</v>
      </c>
      <c r="L64" s="347">
        <f>'Custo Contábil'!I41</f>
        <v>0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351" t="s">
        <v>16</v>
      </c>
      <c r="J65" s="351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IF(ISBLANK('HospCusto (ORÇ)'!C76)," ",'HospCusto (ORÇ)'!C76)</f>
        <v xml:space="preserve"> </v>
      </c>
      <c r="D66" s="1174"/>
      <c r="E66" s="1174"/>
      <c r="F66" s="1174"/>
      <c r="G66" s="1174"/>
      <c r="H66" s="1183"/>
      <c r="I66" s="585">
        <f>'HospCusto (ORÇ)'!I76</f>
        <v>0</v>
      </c>
      <c r="J66" s="133">
        <f>'HospCusto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x14ac:dyDescent="0.25">
      <c r="B67" s="186">
        <v>2</v>
      </c>
      <c r="C67" s="1174" t="str">
        <f>IF(ISBLANK('HospCusto (ORÇ)'!C77)," ",'HospCusto (ORÇ)'!C77)</f>
        <v xml:space="preserve"> </v>
      </c>
      <c r="D67" s="1174"/>
      <c r="E67" s="1174"/>
      <c r="F67" s="1174"/>
      <c r="G67" s="1174"/>
      <c r="H67" s="1183"/>
      <c r="I67" s="585">
        <f>'HospCusto (ORÇ)'!I77</f>
        <v>0</v>
      </c>
      <c r="J67" s="133">
        <f>'HospCusto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IF(ISBLANK('HospCusto (ORÇ)'!C78)," ",'HospCusto (ORÇ)'!C78)</f>
        <v xml:space="preserve"> </v>
      </c>
      <c r="D68" s="1174"/>
      <c r="E68" s="1174"/>
      <c r="F68" s="1174"/>
      <c r="G68" s="1174"/>
      <c r="H68" s="1183"/>
      <c r="I68" s="585">
        <f>'HospCusto (ORÇ)'!I78</f>
        <v>0</v>
      </c>
      <c r="J68" s="133">
        <f>'HospCusto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835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604</v>
      </c>
      <c r="D70" s="1186"/>
      <c r="E70" s="1186"/>
      <c r="F70" s="1186"/>
      <c r="G70" s="1186"/>
      <c r="H70" s="1186"/>
      <c r="I70" s="1186"/>
      <c r="J70" s="1187"/>
      <c r="K70" s="178">
        <f>SUM(K64,K69)</f>
        <v>0</v>
      </c>
      <c r="L70" s="178">
        <f>SUM(L64,L69)</f>
        <v>0</v>
      </c>
      <c r="M70" s="178">
        <f>SUM(M64,M69)</f>
        <v>0</v>
      </c>
      <c r="N70" s="178">
        <f>SUM(N64,N69)</f>
        <v>0</v>
      </c>
      <c r="O70" s="410"/>
    </row>
    <row r="71" spans="2:16" x14ac:dyDescent="0.25">
      <c r="B71" s="341"/>
      <c r="C71" s="1179" t="s">
        <v>605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0</v>
      </c>
      <c r="L71" s="139">
        <f>SUM(L49,L61,L70)</f>
        <v>0</v>
      </c>
      <c r="M71" s="139">
        <f>SUM(M49,M61,M70)</f>
        <v>0</v>
      </c>
      <c r="N71" s="139">
        <f>SUM(N49,N61,N70)</f>
        <v>0</v>
      </c>
      <c r="O71" s="410"/>
    </row>
    <row r="72" spans="2:16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9">SUM(L74:N74)</f>
        <v>0</v>
      </c>
      <c r="L74" s="344">
        <f>'Custo Contábil'!$I$37*'Custo Contábil'!F13</f>
        <v>0</v>
      </c>
      <c r="M74" s="344">
        <v>0</v>
      </c>
      <c r="N74" s="344">
        <v>0</v>
      </c>
      <c r="O74" s="410"/>
    </row>
    <row r="75" spans="2:16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9"/>
        <v>0</v>
      </c>
      <c r="L75" s="344">
        <f>'Custo Contábil'!I45</f>
        <v>0</v>
      </c>
      <c r="M75" s="344">
        <v>0</v>
      </c>
      <c r="N75" s="344">
        <v>0</v>
      </c>
      <c r="O75" s="410"/>
    </row>
    <row r="76" spans="2:16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9"/>
        <v>0</v>
      </c>
      <c r="L76" s="344">
        <f>'Custo Contábil'!$I$37*'Custo Contábil'!F14</f>
        <v>0</v>
      </c>
      <c r="M76" s="344">
        <f>'Custo Contábil'!$I$37*'Custo Contábil'!G14</f>
        <v>0</v>
      </c>
      <c r="N76" s="344">
        <f>'Custo Contábil'!$I$37*'Custo Contábil'!H14</f>
        <v>0</v>
      </c>
      <c r="O76" s="410"/>
    </row>
    <row r="77" spans="2:16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9"/>
        <v>0</v>
      </c>
      <c r="L77" s="344">
        <f>'Custo Contábil'!$I$37*'Custo Contábil'!F18</f>
        <v>0</v>
      </c>
      <c r="M77" s="344">
        <f>'Custo Contábil'!$I$37*'Custo Contábil'!G18</f>
        <v>0</v>
      </c>
      <c r="N77" s="344">
        <f>'Custo Contábil'!$I$37*'Custo Contábil'!H18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9"/>
        <v>0</v>
      </c>
      <c r="L78" s="344">
        <f>Descarte!L82</f>
        <v>0</v>
      </c>
      <c r="M78" s="344">
        <f>Descarte!M82</f>
        <v>0</v>
      </c>
      <c r="N78" s="344">
        <f>Descarte!N82</f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9"/>
        <v>0</v>
      </c>
      <c r="L79" s="344">
        <f>'M&amp;V'!N394</f>
        <v>0</v>
      </c>
      <c r="M79" s="344">
        <f>'M&amp;V'!O394</f>
        <v>0</v>
      </c>
      <c r="N79" s="344">
        <f>'M&amp;V'!P394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351" t="s">
        <v>16</v>
      </c>
      <c r="J80" s="351" t="s">
        <v>301</v>
      </c>
      <c r="K80" s="172" t="s">
        <v>286</v>
      </c>
      <c r="L80" s="351" t="s">
        <v>796</v>
      </c>
      <c r="M80" s="127" t="s">
        <v>240</v>
      </c>
      <c r="N80" s="127" t="s">
        <v>241</v>
      </c>
      <c r="O80" s="410"/>
    </row>
    <row r="81" spans="2:15" x14ac:dyDescent="0.25">
      <c r="B81" s="186">
        <v>1</v>
      </c>
      <c r="C81" s="1174" t="str">
        <f>IF(ISBLANK('HospCusto (ORÇ)'!C90)," ",'HospCusto (ORÇ)'!C90)</f>
        <v xml:space="preserve"> </v>
      </c>
      <c r="D81" s="1174"/>
      <c r="E81" s="1174"/>
      <c r="F81" s="1174"/>
      <c r="G81" s="1174"/>
      <c r="H81" s="1183"/>
      <c r="I81" s="585">
        <f>'HospCusto (ORÇ)'!I90</f>
        <v>0</v>
      </c>
      <c r="J81" s="133">
        <f>'HospCusto (ORÇ)'!J90</f>
        <v>0</v>
      </c>
      <c r="K81" s="344">
        <f>I81*J81</f>
        <v>0</v>
      </c>
      <c r="L81" s="344">
        <f>K81-M81-N81</f>
        <v>0</v>
      </c>
      <c r="M81" s="343"/>
      <c r="N81" s="343"/>
      <c r="O81" s="410"/>
    </row>
    <row r="82" spans="2:15" x14ac:dyDescent="0.25">
      <c r="B82" s="186">
        <v>2</v>
      </c>
      <c r="C82" s="1174" t="str">
        <f>IF(ISBLANK('HospCusto (ORÇ)'!C91)," ",'HospCusto (ORÇ)'!C91)</f>
        <v xml:space="preserve"> </v>
      </c>
      <c r="D82" s="1174"/>
      <c r="E82" s="1174"/>
      <c r="F82" s="1174"/>
      <c r="G82" s="1174"/>
      <c r="H82" s="1183"/>
      <c r="I82" s="585">
        <f>'HospCusto (ORÇ)'!I91</f>
        <v>0</v>
      </c>
      <c r="J82" s="133">
        <f>'HospCusto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IF(ISBLANK('HospCusto (ORÇ)'!C92)," ",'HospCusto (ORÇ)'!C92)</f>
        <v xml:space="preserve"> </v>
      </c>
      <c r="D83" s="1174"/>
      <c r="E83" s="1174"/>
      <c r="F83" s="1174"/>
      <c r="G83" s="1174"/>
      <c r="H83" s="1183"/>
      <c r="I83" s="585">
        <f>'HospCusto (ORÇ)'!I92</f>
        <v>0</v>
      </c>
      <c r="J83" s="133">
        <f>'HospCusto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x14ac:dyDescent="0.25">
      <c r="B84" s="181"/>
      <c r="C84" s="1184" t="s">
        <v>836</v>
      </c>
      <c r="D84" s="1184"/>
      <c r="E84" s="1184"/>
      <c r="F84" s="1184"/>
      <c r="G84" s="1184"/>
      <c r="H84" s="1184"/>
      <c r="I84" s="1184"/>
      <c r="J84" s="1185"/>
      <c r="K84" s="344">
        <f>SUM(K81:K83)</f>
        <v>0</v>
      </c>
      <c r="L84" s="344">
        <f>SUM(L81:L83)</f>
        <v>0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606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0</v>
      </c>
      <c r="L85" s="294">
        <f>SUM(L74:L79,L84)</f>
        <v>0</v>
      </c>
      <c r="M85" s="294">
        <f>SUM(M74:M79,M84)</f>
        <v>0</v>
      </c>
      <c r="N85" s="294">
        <f>SUM(N74:N79,N84)</f>
        <v>0</v>
      </c>
    </row>
    <row r="86" spans="2:15" x14ac:dyDescent="0.25">
      <c r="B86" s="187"/>
      <c r="C86" s="1181" t="s">
        <v>772</v>
      </c>
      <c r="D86" s="1181"/>
      <c r="E86" s="1181"/>
      <c r="F86" s="1181"/>
      <c r="G86" s="1181"/>
      <c r="H86" s="1181"/>
      <c r="I86" s="1181"/>
      <c r="J86" s="1182"/>
      <c r="K86" s="180">
        <f>SUM(K71,K85)</f>
        <v>0</v>
      </c>
      <c r="L86" s="180">
        <f>SUM(L71,L85)</f>
        <v>0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mergeCells count="133">
    <mergeCell ref="C53:G53"/>
    <mergeCell ref="C54:G54"/>
    <mergeCell ref="C55:G55"/>
    <mergeCell ref="C56:G56"/>
    <mergeCell ref="C49:J49"/>
    <mergeCell ref="B50:N50"/>
    <mergeCell ref="C38:G38"/>
    <mergeCell ref="Q28:U28"/>
    <mergeCell ref="C28:G28"/>
    <mergeCell ref="C30:G30"/>
    <mergeCell ref="Q30:U30"/>
    <mergeCell ref="C31:G31"/>
    <mergeCell ref="Q31:U31"/>
    <mergeCell ref="C32:G32"/>
    <mergeCell ref="Q36:U36"/>
    <mergeCell ref="Q37:U37"/>
    <mergeCell ref="Q38:U38"/>
    <mergeCell ref="C39:G39"/>
    <mergeCell ref="Q39:U39"/>
    <mergeCell ref="Q32:U32"/>
    <mergeCell ref="C33:G33"/>
    <mergeCell ref="Q33:U33"/>
    <mergeCell ref="Q34:U34"/>
    <mergeCell ref="Q35:U35"/>
    <mergeCell ref="C27:G27"/>
    <mergeCell ref="Q27:U27"/>
    <mergeCell ref="C19:G19"/>
    <mergeCell ref="Q19:U19"/>
    <mergeCell ref="C20:G20"/>
    <mergeCell ref="Q20:U20"/>
    <mergeCell ref="C21:G21"/>
    <mergeCell ref="Q21:U21"/>
    <mergeCell ref="C25:G25"/>
    <mergeCell ref="Q25:U25"/>
    <mergeCell ref="C26:G26"/>
    <mergeCell ref="Q26:U26"/>
    <mergeCell ref="C22:G22"/>
    <mergeCell ref="Q22:U22"/>
    <mergeCell ref="C23:G23"/>
    <mergeCell ref="Q23:U23"/>
    <mergeCell ref="C24:G24"/>
    <mergeCell ref="Q24:U24"/>
    <mergeCell ref="C14:G14"/>
    <mergeCell ref="Q14:U14"/>
    <mergeCell ref="C15:G15"/>
    <mergeCell ref="Q15:U15"/>
    <mergeCell ref="C16:G16"/>
    <mergeCell ref="Q16:U16"/>
    <mergeCell ref="C17:G17"/>
    <mergeCell ref="Q17:U17"/>
    <mergeCell ref="C18:G18"/>
    <mergeCell ref="Q18:U18"/>
    <mergeCell ref="P2:X2"/>
    <mergeCell ref="L3:N3"/>
    <mergeCell ref="P3:X4"/>
    <mergeCell ref="B6:N6"/>
    <mergeCell ref="C29:G29"/>
    <mergeCell ref="Q29:U29"/>
    <mergeCell ref="B2:N2"/>
    <mergeCell ref="C9:G9"/>
    <mergeCell ref="Q9:U9"/>
    <mergeCell ref="B3:K4"/>
    <mergeCell ref="B5:N5"/>
    <mergeCell ref="P6:X6"/>
    <mergeCell ref="B7:G7"/>
    <mergeCell ref="P7:U7"/>
    <mergeCell ref="C8:G8"/>
    <mergeCell ref="Q8:U8"/>
    <mergeCell ref="C10:G10"/>
    <mergeCell ref="Q10:U10"/>
    <mergeCell ref="C11:G11"/>
    <mergeCell ref="Q11:U11"/>
    <mergeCell ref="C12:G12"/>
    <mergeCell ref="Q12:U12"/>
    <mergeCell ref="C13:G13"/>
    <mergeCell ref="Q13:U13"/>
    <mergeCell ref="C34:G34"/>
    <mergeCell ref="C35:G35"/>
    <mergeCell ref="C37:G37"/>
    <mergeCell ref="C36:G36"/>
    <mergeCell ref="C43:G43"/>
    <mergeCell ref="Q43:U43"/>
    <mergeCell ref="C44:G44"/>
    <mergeCell ref="Q44:U44"/>
    <mergeCell ref="C45:G45"/>
    <mergeCell ref="Q45:U45"/>
    <mergeCell ref="C40:G40"/>
    <mergeCell ref="Q40:U40"/>
    <mergeCell ref="C41:G41"/>
    <mergeCell ref="Q41:U41"/>
    <mergeCell ref="C42:G42"/>
    <mergeCell ref="Q42:U42"/>
    <mergeCell ref="P49:V49"/>
    <mergeCell ref="P50:V50"/>
    <mergeCell ref="B51:G51"/>
    <mergeCell ref="C52:G52"/>
    <mergeCell ref="T52:U52"/>
    <mergeCell ref="C46:G46"/>
    <mergeCell ref="Q46:U46"/>
    <mergeCell ref="C47:G47"/>
    <mergeCell ref="Q47:U47"/>
    <mergeCell ref="C48:G48"/>
    <mergeCell ref="Q48:U48"/>
    <mergeCell ref="B63:G63"/>
    <mergeCell ref="C64:J64"/>
    <mergeCell ref="C65:H65"/>
    <mergeCell ref="C66:H66"/>
    <mergeCell ref="C67:H67"/>
    <mergeCell ref="C57:G57"/>
    <mergeCell ref="C58:G58"/>
    <mergeCell ref="C59:G59"/>
    <mergeCell ref="C60:J60"/>
    <mergeCell ref="B62:N62"/>
    <mergeCell ref="C61:J61"/>
    <mergeCell ref="B73:G73"/>
    <mergeCell ref="C74:J74"/>
    <mergeCell ref="C75:J75"/>
    <mergeCell ref="C76:J76"/>
    <mergeCell ref="C77:J77"/>
    <mergeCell ref="C68:H68"/>
    <mergeCell ref="C69:J69"/>
    <mergeCell ref="C70:J70"/>
    <mergeCell ref="C71:J71"/>
    <mergeCell ref="B72:N72"/>
    <mergeCell ref="C83:H83"/>
    <mergeCell ref="C84:J84"/>
    <mergeCell ref="C85:J85"/>
    <mergeCell ref="C86:J86"/>
    <mergeCell ref="C78:J78"/>
    <mergeCell ref="C79:J79"/>
    <mergeCell ref="B80:H80"/>
    <mergeCell ref="C81:H81"/>
    <mergeCell ref="C82:H82"/>
  </mergeCells>
  <conditionalFormatting sqref="R29:R30 R88:R89">
    <cfRule type="cellIs" dxfId="47" priority="3" operator="lessThan">
      <formula>0</formula>
    </cfRule>
  </conditionalFormatting>
  <conditionalFormatting sqref="R31:R32">
    <cfRule type="cellIs" dxfId="46" priority="2" operator="lessThan">
      <formula>0</formula>
    </cfRule>
  </conditionalFormatting>
  <conditionalFormatting sqref="R52:R53">
    <cfRule type="cellIs" dxfId="45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7">
    <tabColor theme="4"/>
  </sheetPr>
  <dimension ref="B2:BE68"/>
  <sheetViews>
    <sheetView showGridLines="0" zoomScale="90" zoomScaleNormal="90" workbookViewId="0">
      <pane xSplit="7" ySplit="3" topLeftCell="H36" activePane="bottomRight" state="frozen"/>
      <selection activeCell="H20" sqref="H20"/>
      <selection pane="topRight" activeCell="H20" sqref="H20"/>
      <selection pane="bottomLeft" activeCell="H20" sqref="H20"/>
      <selection pane="bottomRight" activeCell="D46" sqref="D46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42578125" style="424" customWidth="1"/>
    <col min="4" max="4" width="11.425781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27" width="11.42578125" style="424" customWidth="1"/>
    <col min="28" max="16384" width="9.140625" style="424"/>
  </cols>
  <sheetData>
    <row r="2" spans="2:27" ht="22.5" customHeight="1" x14ac:dyDescent="0.2">
      <c r="B2" s="1190" t="s">
        <v>793</v>
      </c>
      <c r="C2" s="1190"/>
      <c r="D2" s="1190"/>
      <c r="E2" s="1190"/>
      <c r="F2" s="1190"/>
      <c r="G2" s="1190"/>
    </row>
    <row r="3" spans="2:27" x14ac:dyDescent="0.2">
      <c r="B3" s="1191" t="s">
        <v>688</v>
      </c>
      <c r="C3" s="1192"/>
      <c r="D3" s="1192"/>
      <c r="E3" s="1192"/>
      <c r="F3" s="1192"/>
      <c r="G3" s="358" t="s">
        <v>31</v>
      </c>
      <c r="H3" s="428" t="s">
        <v>607</v>
      </c>
      <c r="I3" s="428" t="s">
        <v>608</v>
      </c>
      <c r="J3" s="428" t="s">
        <v>609</v>
      </c>
      <c r="K3" s="428" t="s">
        <v>610</v>
      </c>
      <c r="L3" s="428" t="s">
        <v>611</v>
      </c>
      <c r="M3" s="428" t="s">
        <v>612</v>
      </c>
      <c r="N3" s="428" t="s">
        <v>613</v>
      </c>
      <c r="O3" s="428" t="s">
        <v>614</v>
      </c>
      <c r="P3" s="428" t="s">
        <v>615</v>
      </c>
      <c r="Q3" s="428" t="s">
        <v>616</v>
      </c>
      <c r="R3" s="428" t="s">
        <v>617</v>
      </c>
      <c r="S3" s="428" t="s">
        <v>618</v>
      </c>
      <c r="T3" s="428" t="s">
        <v>619</v>
      </c>
      <c r="U3" s="428" t="s">
        <v>620</v>
      </c>
      <c r="V3" s="428" t="s">
        <v>621</v>
      </c>
      <c r="W3" s="428" t="s">
        <v>622</v>
      </c>
      <c r="X3" s="428" t="s">
        <v>623</v>
      </c>
      <c r="Y3" s="428" t="s">
        <v>624</v>
      </c>
      <c r="Z3" s="428" t="s">
        <v>625</v>
      </c>
      <c r="AA3" s="428" t="s">
        <v>626</v>
      </c>
    </row>
    <row r="4" spans="2:27" s="423" customFormat="1" x14ac:dyDescent="0.2">
      <c r="B4" s="1191" t="s">
        <v>862</v>
      </c>
      <c r="C4" s="1192"/>
      <c r="D4" s="1192"/>
      <c r="E4" s="1192"/>
      <c r="F4" s="1192"/>
      <c r="G4" s="192" t="s">
        <v>31</v>
      </c>
      <c r="H4" s="193" t="s">
        <v>607</v>
      </c>
      <c r="I4" s="193" t="s">
        <v>608</v>
      </c>
      <c r="J4" s="193" t="s">
        <v>609</v>
      </c>
      <c r="K4" s="193" t="s">
        <v>610</v>
      </c>
      <c r="L4" s="193" t="s">
        <v>611</v>
      </c>
      <c r="M4" s="193" t="s">
        <v>612</v>
      </c>
      <c r="N4" s="193" t="s">
        <v>613</v>
      </c>
      <c r="O4" s="193" t="s">
        <v>614</v>
      </c>
      <c r="P4" s="193" t="s">
        <v>615</v>
      </c>
      <c r="Q4" s="193" t="s">
        <v>616</v>
      </c>
      <c r="R4" s="193" t="s">
        <v>617</v>
      </c>
      <c r="S4" s="193" t="s">
        <v>618</v>
      </c>
      <c r="T4" s="193" t="s">
        <v>619</v>
      </c>
      <c r="U4" s="193" t="s">
        <v>620</v>
      </c>
      <c r="V4" s="193" t="s">
        <v>621</v>
      </c>
      <c r="W4" s="193" t="s">
        <v>622</v>
      </c>
      <c r="X4" s="193" t="s">
        <v>623</v>
      </c>
      <c r="Y4" s="193" t="s">
        <v>624</v>
      </c>
      <c r="Z4" s="193" t="s">
        <v>625</v>
      </c>
      <c r="AA4" s="193" t="s">
        <v>626</v>
      </c>
    </row>
    <row r="5" spans="2:27" x14ac:dyDescent="0.2">
      <c r="B5" s="189">
        <v>1</v>
      </c>
      <c r="C5" s="194" t="s">
        <v>359</v>
      </c>
      <c r="D5" s="194"/>
      <c r="E5" s="195"/>
      <c r="F5" s="196"/>
      <c r="G5" s="197"/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736"/>
      <c r="T5" s="736"/>
      <c r="U5" s="736"/>
      <c r="V5" s="736"/>
      <c r="W5" s="736"/>
      <c r="X5" s="736"/>
      <c r="Y5" s="736"/>
      <c r="Z5" s="736"/>
      <c r="AA5" s="736"/>
    </row>
    <row r="6" spans="2:27" ht="18" x14ac:dyDescent="0.2">
      <c r="B6" s="189">
        <f>B5+1</f>
        <v>2</v>
      </c>
      <c r="C6" s="194" t="s">
        <v>627</v>
      </c>
      <c r="D6" s="194"/>
      <c r="E6" s="199" t="s">
        <v>362</v>
      </c>
      <c r="F6" s="200" t="s">
        <v>405</v>
      </c>
      <c r="G6" s="209">
        <f>SUM(H6:AA6)</f>
        <v>0</v>
      </c>
      <c r="H6" s="764"/>
      <c r="I6" s="764"/>
      <c r="J6" s="764"/>
      <c r="K6" s="764"/>
      <c r="L6" s="764"/>
      <c r="M6" s="764"/>
      <c r="N6" s="764"/>
      <c r="O6" s="764"/>
      <c r="P6" s="764"/>
      <c r="Q6" s="764"/>
      <c r="R6" s="764"/>
      <c r="S6" s="764"/>
      <c r="T6" s="764"/>
      <c r="U6" s="764"/>
      <c r="V6" s="764"/>
      <c r="W6" s="764"/>
      <c r="X6" s="764"/>
      <c r="Y6" s="764"/>
      <c r="Z6" s="764"/>
      <c r="AA6" s="764"/>
    </row>
    <row r="7" spans="2:27" ht="18" x14ac:dyDescent="0.2">
      <c r="B7" s="189">
        <f>B6+1</f>
        <v>3</v>
      </c>
      <c r="C7" s="194" t="s">
        <v>16</v>
      </c>
      <c r="D7" s="194"/>
      <c r="E7" s="199"/>
      <c r="F7" s="200" t="s">
        <v>404</v>
      </c>
      <c r="G7" s="202">
        <f>SUM(H7:AA7)</f>
        <v>0</v>
      </c>
      <c r="H7" s="739"/>
      <c r="I7" s="739"/>
      <c r="J7" s="739"/>
      <c r="K7" s="739"/>
      <c r="L7" s="739"/>
      <c r="M7" s="739"/>
      <c r="N7" s="739"/>
      <c r="O7" s="739"/>
      <c r="P7" s="739"/>
      <c r="Q7" s="739"/>
      <c r="R7" s="739"/>
      <c r="S7" s="739"/>
      <c r="T7" s="739"/>
      <c r="U7" s="739"/>
      <c r="V7" s="739"/>
      <c r="W7" s="739"/>
      <c r="X7" s="739"/>
      <c r="Y7" s="739"/>
      <c r="Z7" s="739"/>
      <c r="AA7" s="739"/>
    </row>
    <row r="8" spans="2:27" ht="18" x14ac:dyDescent="0.2">
      <c r="B8" s="247">
        <f>B7+1</f>
        <v>4</v>
      </c>
      <c r="C8" s="194" t="s">
        <v>368</v>
      </c>
      <c r="D8" s="194"/>
      <c r="E8" s="199" t="s">
        <v>369</v>
      </c>
      <c r="F8" s="200" t="s">
        <v>370</v>
      </c>
      <c r="G8" s="209">
        <f>SUM(H8:AA8)</f>
        <v>0</v>
      </c>
      <c r="H8" s="203">
        <f>(H6*H7)/1000</f>
        <v>0</v>
      </c>
      <c r="I8" s="203">
        <f t="shared" ref="I8:AA8" si="0">(I6*I7)/1000</f>
        <v>0</v>
      </c>
      <c r="J8" s="203">
        <f t="shared" si="0"/>
        <v>0</v>
      </c>
      <c r="K8" s="203">
        <f t="shared" si="0"/>
        <v>0</v>
      </c>
      <c r="L8" s="203">
        <f t="shared" si="0"/>
        <v>0</v>
      </c>
      <c r="M8" s="203">
        <f t="shared" si="0"/>
        <v>0</v>
      </c>
      <c r="N8" s="203">
        <f t="shared" si="0"/>
        <v>0</v>
      </c>
      <c r="O8" s="203">
        <f t="shared" si="0"/>
        <v>0</v>
      </c>
      <c r="P8" s="203">
        <f t="shared" si="0"/>
        <v>0</v>
      </c>
      <c r="Q8" s="203">
        <f t="shared" si="0"/>
        <v>0</v>
      </c>
      <c r="R8" s="203">
        <f t="shared" si="0"/>
        <v>0</v>
      </c>
      <c r="S8" s="203">
        <f t="shared" si="0"/>
        <v>0</v>
      </c>
      <c r="T8" s="203">
        <f t="shared" si="0"/>
        <v>0</v>
      </c>
      <c r="U8" s="203">
        <f t="shared" si="0"/>
        <v>0</v>
      </c>
      <c r="V8" s="203">
        <f t="shared" si="0"/>
        <v>0</v>
      </c>
      <c r="W8" s="203">
        <f t="shared" si="0"/>
        <v>0</v>
      </c>
      <c r="X8" s="203">
        <f t="shared" si="0"/>
        <v>0</v>
      </c>
      <c r="Y8" s="203">
        <f t="shared" si="0"/>
        <v>0</v>
      </c>
      <c r="Z8" s="203">
        <f t="shared" si="0"/>
        <v>0</v>
      </c>
      <c r="AA8" s="203">
        <f t="shared" si="0"/>
        <v>0</v>
      </c>
    </row>
    <row r="9" spans="2:27" x14ac:dyDescent="0.2">
      <c r="B9" s="1195">
        <f>B8+1</f>
        <v>5</v>
      </c>
      <c r="C9" s="194" t="s">
        <v>628</v>
      </c>
      <c r="D9" s="194"/>
      <c r="E9" s="199" t="s">
        <v>629</v>
      </c>
      <c r="F9" s="200"/>
      <c r="G9" s="204"/>
      <c r="H9" s="736"/>
      <c r="I9" s="736"/>
      <c r="J9" s="736"/>
      <c r="K9" s="736"/>
      <c r="L9" s="736"/>
      <c r="M9" s="736"/>
      <c r="N9" s="736"/>
      <c r="O9" s="736"/>
      <c r="P9" s="736"/>
      <c r="Q9" s="736"/>
      <c r="R9" s="736"/>
      <c r="S9" s="736"/>
      <c r="T9" s="736"/>
      <c r="U9" s="736"/>
      <c r="V9" s="736"/>
      <c r="W9" s="736"/>
      <c r="X9" s="736"/>
      <c r="Y9" s="736"/>
      <c r="Z9" s="736"/>
      <c r="AA9" s="736"/>
    </row>
    <row r="10" spans="2:27" x14ac:dyDescent="0.2">
      <c r="B10" s="1196"/>
      <c r="C10" s="205" t="s">
        <v>630</v>
      </c>
      <c r="D10" s="205"/>
      <c r="E10" s="206" t="s">
        <v>631</v>
      </c>
      <c r="F10" s="200"/>
      <c r="G10" s="204"/>
      <c r="H10" s="764"/>
      <c r="I10" s="764"/>
      <c r="J10" s="764"/>
      <c r="K10" s="764"/>
      <c r="L10" s="764"/>
      <c r="M10" s="764"/>
      <c r="N10" s="764"/>
      <c r="O10" s="764"/>
      <c r="P10" s="764"/>
      <c r="Q10" s="764"/>
      <c r="R10" s="764"/>
      <c r="S10" s="764"/>
      <c r="T10" s="764"/>
      <c r="U10" s="764"/>
      <c r="V10" s="764"/>
      <c r="W10" s="764"/>
      <c r="X10" s="764"/>
      <c r="Y10" s="764"/>
      <c r="Z10" s="764"/>
      <c r="AA10" s="764"/>
    </row>
    <row r="11" spans="2:27" x14ac:dyDescent="0.2">
      <c r="B11" s="1196"/>
      <c r="C11" s="205" t="s">
        <v>373</v>
      </c>
      <c r="D11" s="205"/>
      <c r="E11" s="206" t="s">
        <v>374</v>
      </c>
      <c r="F11" s="200"/>
      <c r="G11" s="204"/>
      <c r="H11" s="739"/>
      <c r="I11" s="739"/>
      <c r="J11" s="739"/>
      <c r="K11" s="739"/>
      <c r="L11" s="739"/>
      <c r="M11" s="739"/>
      <c r="N11" s="739"/>
      <c r="O11" s="739"/>
      <c r="P11" s="739"/>
      <c r="Q11" s="739"/>
      <c r="R11" s="739"/>
      <c r="S11" s="739"/>
      <c r="T11" s="739"/>
      <c r="U11" s="739"/>
      <c r="V11" s="739"/>
      <c r="W11" s="739"/>
      <c r="X11" s="739"/>
      <c r="Y11" s="739"/>
      <c r="Z11" s="739"/>
      <c r="AA11" s="739"/>
    </row>
    <row r="12" spans="2:27" ht="18" x14ac:dyDescent="0.2">
      <c r="B12" s="1197"/>
      <c r="C12" s="194" t="s">
        <v>375</v>
      </c>
      <c r="D12" s="194"/>
      <c r="E12" s="199" t="s">
        <v>376</v>
      </c>
      <c r="F12" s="200" t="s">
        <v>377</v>
      </c>
      <c r="G12" s="204"/>
      <c r="H12" s="207">
        <f>H9*H10*H11</f>
        <v>0</v>
      </c>
      <c r="I12" s="207">
        <f t="shared" ref="I12:AA12" si="1">I9*I10*I11</f>
        <v>0</v>
      </c>
      <c r="J12" s="207">
        <f t="shared" si="1"/>
        <v>0</v>
      </c>
      <c r="K12" s="207">
        <f t="shared" si="1"/>
        <v>0</v>
      </c>
      <c r="L12" s="207">
        <f t="shared" si="1"/>
        <v>0</v>
      </c>
      <c r="M12" s="207">
        <f t="shared" si="1"/>
        <v>0</v>
      </c>
      <c r="N12" s="207">
        <f t="shared" si="1"/>
        <v>0</v>
      </c>
      <c r="O12" s="207">
        <f t="shared" si="1"/>
        <v>0</v>
      </c>
      <c r="P12" s="207">
        <f t="shared" si="1"/>
        <v>0</v>
      </c>
      <c r="Q12" s="207">
        <f t="shared" si="1"/>
        <v>0</v>
      </c>
      <c r="R12" s="207">
        <f t="shared" si="1"/>
        <v>0</v>
      </c>
      <c r="S12" s="207">
        <f t="shared" si="1"/>
        <v>0</v>
      </c>
      <c r="T12" s="207">
        <f t="shared" si="1"/>
        <v>0</v>
      </c>
      <c r="U12" s="207">
        <f t="shared" si="1"/>
        <v>0</v>
      </c>
      <c r="V12" s="207">
        <f t="shared" si="1"/>
        <v>0</v>
      </c>
      <c r="W12" s="207">
        <f t="shared" si="1"/>
        <v>0</v>
      </c>
      <c r="X12" s="207">
        <f t="shared" si="1"/>
        <v>0</v>
      </c>
      <c r="Y12" s="207">
        <f t="shared" si="1"/>
        <v>0</v>
      </c>
      <c r="Z12" s="207">
        <f t="shared" si="1"/>
        <v>0</v>
      </c>
      <c r="AA12" s="207">
        <f t="shared" si="1"/>
        <v>0</v>
      </c>
    </row>
    <row r="13" spans="2:27" x14ac:dyDescent="0.2">
      <c r="B13" s="1195">
        <f>B9+1</f>
        <v>6</v>
      </c>
      <c r="C13" s="194" t="s">
        <v>702</v>
      </c>
      <c r="D13" s="194"/>
      <c r="E13" s="199" t="s">
        <v>279</v>
      </c>
      <c r="F13" s="200" t="s">
        <v>697</v>
      </c>
      <c r="G13" s="299">
        <v>12</v>
      </c>
      <c r="H13" s="736"/>
      <c r="I13" s="736"/>
      <c r="J13" s="736"/>
      <c r="K13" s="736"/>
      <c r="L13" s="736"/>
      <c r="M13" s="736"/>
      <c r="N13" s="736"/>
      <c r="O13" s="736"/>
      <c r="P13" s="736"/>
      <c r="Q13" s="736"/>
      <c r="R13" s="736"/>
      <c r="S13" s="736"/>
      <c r="T13" s="736"/>
      <c r="U13" s="736"/>
      <c r="V13" s="736"/>
      <c r="W13" s="736"/>
      <c r="X13" s="736"/>
      <c r="Y13" s="736"/>
      <c r="Z13" s="736"/>
      <c r="AA13" s="736"/>
    </row>
    <row r="14" spans="2:27" x14ac:dyDescent="0.2">
      <c r="B14" s="1196"/>
      <c r="C14" s="194" t="s">
        <v>703</v>
      </c>
      <c r="D14" s="194"/>
      <c r="E14" s="195" t="s">
        <v>700</v>
      </c>
      <c r="F14" s="200" t="s">
        <v>698</v>
      </c>
      <c r="G14" s="299">
        <v>22</v>
      </c>
      <c r="H14" s="764"/>
      <c r="I14" s="764"/>
      <c r="J14" s="764"/>
      <c r="K14" s="764"/>
      <c r="L14" s="764"/>
      <c r="M14" s="764"/>
      <c r="N14" s="764"/>
      <c r="O14" s="764"/>
      <c r="P14" s="764"/>
      <c r="Q14" s="764"/>
      <c r="R14" s="764"/>
      <c r="S14" s="764"/>
      <c r="T14" s="764"/>
      <c r="U14" s="764"/>
      <c r="V14" s="764"/>
      <c r="W14" s="764"/>
      <c r="X14" s="764"/>
      <c r="Y14" s="764"/>
      <c r="Z14" s="764"/>
      <c r="AA14" s="764"/>
    </row>
    <row r="15" spans="2:27" x14ac:dyDescent="0.2">
      <c r="B15" s="1196"/>
      <c r="C15" s="194" t="s">
        <v>704</v>
      </c>
      <c r="D15" s="194"/>
      <c r="E15" s="195" t="s">
        <v>701</v>
      </c>
      <c r="F15" s="200" t="s">
        <v>699</v>
      </c>
      <c r="G15" s="299">
        <v>3</v>
      </c>
      <c r="H15" s="739"/>
      <c r="I15" s="739"/>
      <c r="J15" s="739"/>
      <c r="K15" s="739"/>
      <c r="L15" s="739"/>
      <c r="M15" s="739"/>
      <c r="N15" s="739"/>
      <c r="O15" s="739"/>
      <c r="P15" s="739"/>
      <c r="Q15" s="739"/>
      <c r="R15" s="739"/>
      <c r="S15" s="739"/>
      <c r="T15" s="739"/>
      <c r="U15" s="739"/>
      <c r="V15" s="739"/>
      <c r="W15" s="739"/>
      <c r="X15" s="739"/>
      <c r="Y15" s="739"/>
      <c r="Z15" s="739"/>
      <c r="AA15" s="739"/>
    </row>
    <row r="16" spans="2:27" ht="18" x14ac:dyDescent="0.2">
      <c r="B16" s="1196"/>
      <c r="C16" s="194" t="s">
        <v>378</v>
      </c>
      <c r="D16" s="194"/>
      <c r="E16" s="199" t="s">
        <v>369</v>
      </c>
      <c r="F16" s="200" t="s">
        <v>379</v>
      </c>
      <c r="G16" s="209">
        <f>SUM(H16:AA16)</f>
        <v>0</v>
      </c>
      <c r="H16" s="208">
        <f>H8*((H13*H14*H15)/($G$13*$G$14*$G$15))</f>
        <v>0</v>
      </c>
      <c r="I16" s="208">
        <f t="shared" ref="I16:AA16" si="2">I8*((I13*I14*I15)/($G$13*$G$14*$G$15))</f>
        <v>0</v>
      </c>
      <c r="J16" s="208">
        <f t="shared" si="2"/>
        <v>0</v>
      </c>
      <c r="K16" s="208">
        <f t="shared" si="2"/>
        <v>0</v>
      </c>
      <c r="L16" s="208">
        <f t="shared" si="2"/>
        <v>0</v>
      </c>
      <c r="M16" s="208">
        <f t="shared" si="2"/>
        <v>0</v>
      </c>
      <c r="N16" s="208">
        <f t="shared" si="2"/>
        <v>0</v>
      </c>
      <c r="O16" s="208">
        <f t="shared" si="2"/>
        <v>0</v>
      </c>
      <c r="P16" s="208">
        <f t="shared" si="2"/>
        <v>0</v>
      </c>
      <c r="Q16" s="208">
        <f t="shared" si="2"/>
        <v>0</v>
      </c>
      <c r="R16" s="208">
        <f t="shared" si="2"/>
        <v>0</v>
      </c>
      <c r="S16" s="208">
        <f t="shared" si="2"/>
        <v>0</v>
      </c>
      <c r="T16" s="208">
        <f t="shared" si="2"/>
        <v>0</v>
      </c>
      <c r="U16" s="208">
        <f t="shared" si="2"/>
        <v>0</v>
      </c>
      <c r="V16" s="208">
        <f t="shared" si="2"/>
        <v>0</v>
      </c>
      <c r="W16" s="208">
        <f t="shared" si="2"/>
        <v>0</v>
      </c>
      <c r="X16" s="208">
        <f t="shared" si="2"/>
        <v>0</v>
      </c>
      <c r="Y16" s="208">
        <f t="shared" si="2"/>
        <v>0</v>
      </c>
      <c r="Z16" s="208">
        <f t="shared" si="2"/>
        <v>0</v>
      </c>
      <c r="AA16" s="208">
        <f t="shared" si="2"/>
        <v>0</v>
      </c>
    </row>
    <row r="17" spans="2:27" ht="18" x14ac:dyDescent="0.2">
      <c r="B17" s="1197"/>
      <c r="C17" s="194" t="s">
        <v>380</v>
      </c>
      <c r="D17" s="194"/>
      <c r="E17" s="194"/>
      <c r="F17" s="200" t="s">
        <v>381</v>
      </c>
      <c r="G17" s="204" t="str">
        <f>IF(LARGE(H17:AA17,1)&gt;1,"ERRO","")</f>
        <v/>
      </c>
      <c r="H17" s="208">
        <f>IFERROR(H16/H8,0)</f>
        <v>0</v>
      </c>
      <c r="I17" s="208">
        <f t="shared" ref="I17:AA17" si="3">IFERROR(I16/I8,0)</f>
        <v>0</v>
      </c>
      <c r="J17" s="208">
        <f t="shared" si="3"/>
        <v>0</v>
      </c>
      <c r="K17" s="208">
        <f t="shared" si="3"/>
        <v>0</v>
      </c>
      <c r="L17" s="208">
        <f t="shared" si="3"/>
        <v>0</v>
      </c>
      <c r="M17" s="208">
        <f t="shared" si="3"/>
        <v>0</v>
      </c>
      <c r="N17" s="208">
        <f t="shared" si="3"/>
        <v>0</v>
      </c>
      <c r="O17" s="208">
        <f t="shared" si="3"/>
        <v>0</v>
      </c>
      <c r="P17" s="208">
        <f t="shared" si="3"/>
        <v>0</v>
      </c>
      <c r="Q17" s="208">
        <f t="shared" si="3"/>
        <v>0</v>
      </c>
      <c r="R17" s="208">
        <f t="shared" si="3"/>
        <v>0</v>
      </c>
      <c r="S17" s="208">
        <f t="shared" si="3"/>
        <v>0</v>
      </c>
      <c r="T17" s="208">
        <f t="shared" si="3"/>
        <v>0</v>
      </c>
      <c r="U17" s="208">
        <f t="shared" si="3"/>
        <v>0</v>
      </c>
      <c r="V17" s="208">
        <f t="shared" si="3"/>
        <v>0</v>
      </c>
      <c r="W17" s="208">
        <f t="shared" si="3"/>
        <v>0</v>
      </c>
      <c r="X17" s="208">
        <f t="shared" si="3"/>
        <v>0</v>
      </c>
      <c r="Y17" s="208">
        <f t="shared" si="3"/>
        <v>0</v>
      </c>
      <c r="Z17" s="208">
        <f t="shared" si="3"/>
        <v>0</v>
      </c>
      <c r="AA17" s="208">
        <f t="shared" si="3"/>
        <v>0</v>
      </c>
    </row>
    <row r="18" spans="2:27" ht="18" x14ac:dyDescent="0.2">
      <c r="B18" s="247">
        <f>B13+1</f>
        <v>7</v>
      </c>
      <c r="C18" s="194" t="s">
        <v>632</v>
      </c>
      <c r="D18" s="194"/>
      <c r="E18" s="199" t="s">
        <v>633</v>
      </c>
      <c r="F18" s="200" t="s">
        <v>634</v>
      </c>
      <c r="G18" s="209">
        <f>SUM(H18:AA18)</f>
        <v>0</v>
      </c>
      <c r="H18" s="203">
        <f>H8*H9</f>
        <v>0</v>
      </c>
      <c r="I18" s="203">
        <f t="shared" ref="I18:AA18" si="4">I8*I9</f>
        <v>0</v>
      </c>
      <c r="J18" s="203">
        <f t="shared" si="4"/>
        <v>0</v>
      </c>
      <c r="K18" s="203">
        <f t="shared" si="4"/>
        <v>0</v>
      </c>
      <c r="L18" s="203">
        <f t="shared" si="4"/>
        <v>0</v>
      </c>
      <c r="M18" s="203">
        <f t="shared" si="4"/>
        <v>0</v>
      </c>
      <c r="N18" s="203">
        <f t="shared" si="4"/>
        <v>0</v>
      </c>
      <c r="O18" s="203">
        <f t="shared" si="4"/>
        <v>0</v>
      </c>
      <c r="P18" s="203">
        <f t="shared" si="4"/>
        <v>0</v>
      </c>
      <c r="Q18" s="203">
        <f t="shared" si="4"/>
        <v>0</v>
      </c>
      <c r="R18" s="203">
        <f t="shared" si="4"/>
        <v>0</v>
      </c>
      <c r="S18" s="203">
        <f t="shared" si="4"/>
        <v>0</v>
      </c>
      <c r="T18" s="203">
        <f t="shared" si="4"/>
        <v>0</v>
      </c>
      <c r="U18" s="203">
        <f t="shared" si="4"/>
        <v>0</v>
      </c>
      <c r="V18" s="203">
        <f t="shared" si="4"/>
        <v>0</v>
      </c>
      <c r="W18" s="203">
        <f t="shared" si="4"/>
        <v>0</v>
      </c>
      <c r="X18" s="203">
        <f t="shared" si="4"/>
        <v>0</v>
      </c>
      <c r="Y18" s="203">
        <f t="shared" si="4"/>
        <v>0</v>
      </c>
      <c r="Z18" s="203">
        <f t="shared" si="4"/>
        <v>0</v>
      </c>
      <c r="AA18" s="203">
        <f t="shared" si="4"/>
        <v>0</v>
      </c>
    </row>
    <row r="19" spans="2:27" ht="18" x14ac:dyDescent="0.2">
      <c r="B19" s="247">
        <f>B18+1</f>
        <v>8</v>
      </c>
      <c r="C19" s="194" t="s">
        <v>635</v>
      </c>
      <c r="D19" s="194"/>
      <c r="E19" s="199" t="s">
        <v>636</v>
      </c>
      <c r="F19" s="200" t="s">
        <v>637</v>
      </c>
      <c r="G19" s="209">
        <f>SUM(H19:AA19)</f>
        <v>0</v>
      </c>
      <c r="H19" s="203">
        <f>H8*H9*H10</f>
        <v>0</v>
      </c>
      <c r="I19" s="203">
        <f t="shared" ref="I19:AA19" si="5">I8*I9*I10</f>
        <v>0</v>
      </c>
      <c r="J19" s="203">
        <f t="shared" si="5"/>
        <v>0</v>
      </c>
      <c r="K19" s="203">
        <f t="shared" si="5"/>
        <v>0</v>
      </c>
      <c r="L19" s="203">
        <f t="shared" si="5"/>
        <v>0</v>
      </c>
      <c r="M19" s="203">
        <f t="shared" si="5"/>
        <v>0</v>
      </c>
      <c r="N19" s="203">
        <f t="shared" si="5"/>
        <v>0</v>
      </c>
      <c r="O19" s="203">
        <f t="shared" si="5"/>
        <v>0</v>
      </c>
      <c r="P19" s="203">
        <f t="shared" si="5"/>
        <v>0</v>
      </c>
      <c r="Q19" s="203">
        <f t="shared" si="5"/>
        <v>0</v>
      </c>
      <c r="R19" s="203">
        <f t="shared" si="5"/>
        <v>0</v>
      </c>
      <c r="S19" s="203">
        <f t="shared" si="5"/>
        <v>0</v>
      </c>
      <c r="T19" s="203">
        <f t="shared" si="5"/>
        <v>0</v>
      </c>
      <c r="U19" s="203">
        <f t="shared" si="5"/>
        <v>0</v>
      </c>
      <c r="V19" s="203">
        <f t="shared" si="5"/>
        <v>0</v>
      </c>
      <c r="W19" s="203">
        <f t="shared" si="5"/>
        <v>0</v>
      </c>
      <c r="X19" s="203">
        <f t="shared" si="5"/>
        <v>0</v>
      </c>
      <c r="Y19" s="203">
        <f t="shared" si="5"/>
        <v>0</v>
      </c>
      <c r="Z19" s="203">
        <f t="shared" si="5"/>
        <v>0</v>
      </c>
      <c r="AA19" s="203">
        <f t="shared" si="5"/>
        <v>0</v>
      </c>
    </row>
    <row r="20" spans="2:27" ht="18" x14ac:dyDescent="0.2">
      <c r="B20" s="189">
        <f>B19+1</f>
        <v>9</v>
      </c>
      <c r="C20" s="194" t="s">
        <v>382</v>
      </c>
      <c r="D20" s="194"/>
      <c r="E20" s="199" t="s">
        <v>383</v>
      </c>
      <c r="F20" s="200" t="s">
        <v>384</v>
      </c>
      <c r="G20" s="209">
        <f>SUM(H20:AA20)</f>
        <v>0</v>
      </c>
      <c r="H20" s="207">
        <f>H8*H12*0.001</f>
        <v>0</v>
      </c>
      <c r="I20" s="207">
        <f t="shared" ref="I20:AA20" si="6">I8*I12*0.001</f>
        <v>0</v>
      </c>
      <c r="J20" s="207">
        <f t="shared" si="6"/>
        <v>0</v>
      </c>
      <c r="K20" s="207">
        <f t="shared" si="6"/>
        <v>0</v>
      </c>
      <c r="L20" s="207">
        <f t="shared" si="6"/>
        <v>0</v>
      </c>
      <c r="M20" s="207">
        <f t="shared" si="6"/>
        <v>0</v>
      </c>
      <c r="N20" s="207">
        <f t="shared" si="6"/>
        <v>0</v>
      </c>
      <c r="O20" s="207">
        <f t="shared" si="6"/>
        <v>0</v>
      </c>
      <c r="P20" s="207">
        <f t="shared" si="6"/>
        <v>0</v>
      </c>
      <c r="Q20" s="207">
        <f t="shared" si="6"/>
        <v>0</v>
      </c>
      <c r="R20" s="207">
        <f t="shared" si="6"/>
        <v>0</v>
      </c>
      <c r="S20" s="207">
        <f t="shared" si="6"/>
        <v>0</v>
      </c>
      <c r="T20" s="207">
        <f t="shared" si="6"/>
        <v>0</v>
      </c>
      <c r="U20" s="207">
        <f t="shared" si="6"/>
        <v>0</v>
      </c>
      <c r="V20" s="207">
        <f t="shared" si="6"/>
        <v>0</v>
      </c>
      <c r="W20" s="207">
        <f t="shared" si="6"/>
        <v>0</v>
      </c>
      <c r="X20" s="207">
        <f t="shared" si="6"/>
        <v>0</v>
      </c>
      <c r="Y20" s="207">
        <f t="shared" si="6"/>
        <v>0</v>
      </c>
      <c r="Z20" s="207">
        <f t="shared" si="6"/>
        <v>0</v>
      </c>
      <c r="AA20" s="207">
        <f t="shared" si="6"/>
        <v>0</v>
      </c>
    </row>
    <row r="21" spans="2:27" ht="18" x14ac:dyDescent="0.2">
      <c r="B21" s="189">
        <f>B20+1</f>
        <v>10</v>
      </c>
      <c r="C21" s="194" t="s">
        <v>385</v>
      </c>
      <c r="D21" s="194"/>
      <c r="E21" s="195" t="s">
        <v>369</v>
      </c>
      <c r="F21" s="200" t="s">
        <v>386</v>
      </c>
      <c r="G21" s="210">
        <f>SUM(H21:AA21)</f>
        <v>0</v>
      </c>
      <c r="H21" s="211">
        <f>H8*H17</f>
        <v>0</v>
      </c>
      <c r="I21" s="211">
        <f t="shared" ref="I21:AA21" si="7">I8*I17</f>
        <v>0</v>
      </c>
      <c r="J21" s="211">
        <f t="shared" si="7"/>
        <v>0</v>
      </c>
      <c r="K21" s="211">
        <f t="shared" si="7"/>
        <v>0</v>
      </c>
      <c r="L21" s="211">
        <f t="shared" si="7"/>
        <v>0</v>
      </c>
      <c r="M21" s="211">
        <f t="shared" si="7"/>
        <v>0</v>
      </c>
      <c r="N21" s="211">
        <f t="shared" si="7"/>
        <v>0</v>
      </c>
      <c r="O21" s="211">
        <f t="shared" si="7"/>
        <v>0</v>
      </c>
      <c r="P21" s="211">
        <f t="shared" si="7"/>
        <v>0</v>
      </c>
      <c r="Q21" s="211">
        <f t="shared" si="7"/>
        <v>0</v>
      </c>
      <c r="R21" s="211">
        <f t="shared" si="7"/>
        <v>0</v>
      </c>
      <c r="S21" s="211">
        <f t="shared" si="7"/>
        <v>0</v>
      </c>
      <c r="T21" s="211">
        <f t="shared" si="7"/>
        <v>0</v>
      </c>
      <c r="U21" s="211">
        <f t="shared" si="7"/>
        <v>0</v>
      </c>
      <c r="V21" s="211">
        <f t="shared" si="7"/>
        <v>0</v>
      </c>
      <c r="W21" s="211">
        <f t="shared" si="7"/>
        <v>0</v>
      </c>
      <c r="X21" s="211">
        <f t="shared" si="7"/>
        <v>0</v>
      </c>
      <c r="Y21" s="211">
        <f t="shared" si="7"/>
        <v>0</v>
      </c>
      <c r="Z21" s="211">
        <f t="shared" si="7"/>
        <v>0</v>
      </c>
      <c r="AA21" s="211">
        <f t="shared" si="7"/>
        <v>0</v>
      </c>
    </row>
    <row r="23" spans="2:27" x14ac:dyDescent="0.2">
      <c r="B23" s="1191" t="s">
        <v>864</v>
      </c>
      <c r="C23" s="1192"/>
      <c r="D23" s="1192"/>
      <c r="E23" s="1192"/>
      <c r="F23" s="1200"/>
      <c r="G23" s="188"/>
      <c r="H23" s="188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</row>
    <row r="24" spans="2:27" s="423" customFormat="1" x14ac:dyDescent="0.2">
      <c r="B24" s="189"/>
      <c r="C24" s="190"/>
      <c r="D24" s="190"/>
      <c r="E24" s="190"/>
      <c r="F24" s="191"/>
      <c r="G24" s="192" t="s">
        <v>31</v>
      </c>
      <c r="H24" s="193" t="s">
        <v>607</v>
      </c>
      <c r="I24" s="193" t="s">
        <v>608</v>
      </c>
      <c r="J24" s="193" t="s">
        <v>609</v>
      </c>
      <c r="K24" s="193" t="s">
        <v>610</v>
      </c>
      <c r="L24" s="193" t="s">
        <v>611</v>
      </c>
      <c r="M24" s="193" t="s">
        <v>612</v>
      </c>
      <c r="N24" s="193" t="s">
        <v>613</v>
      </c>
      <c r="O24" s="193" t="s">
        <v>614</v>
      </c>
      <c r="P24" s="193" t="s">
        <v>615</v>
      </c>
      <c r="Q24" s="193" t="s">
        <v>616</v>
      </c>
      <c r="R24" s="193" t="s">
        <v>617</v>
      </c>
      <c r="S24" s="193" t="s">
        <v>618</v>
      </c>
      <c r="T24" s="193" t="s">
        <v>619</v>
      </c>
      <c r="U24" s="193" t="s">
        <v>620</v>
      </c>
      <c r="V24" s="193" t="s">
        <v>621</v>
      </c>
      <c r="W24" s="193" t="s">
        <v>622</v>
      </c>
      <c r="X24" s="193" t="s">
        <v>623</v>
      </c>
      <c r="Y24" s="193" t="s">
        <v>624</v>
      </c>
      <c r="Z24" s="193" t="s">
        <v>625</v>
      </c>
      <c r="AA24" s="193" t="s">
        <v>626</v>
      </c>
    </row>
    <row r="25" spans="2:27" x14ac:dyDescent="0.2">
      <c r="B25" s="189">
        <f>B21+1</f>
        <v>11</v>
      </c>
      <c r="C25" s="194" t="s">
        <v>359</v>
      </c>
      <c r="D25" s="194"/>
      <c r="E25" s="195"/>
      <c r="F25" s="196"/>
      <c r="G25" s="197"/>
      <c r="H25" s="736"/>
      <c r="I25" s="736"/>
      <c r="J25" s="736"/>
      <c r="K25" s="736"/>
      <c r="L25" s="736"/>
      <c r="M25" s="736"/>
      <c r="N25" s="736"/>
      <c r="O25" s="736"/>
      <c r="P25" s="736"/>
      <c r="Q25" s="736"/>
      <c r="R25" s="736"/>
      <c r="S25" s="736"/>
      <c r="T25" s="736"/>
      <c r="U25" s="736"/>
      <c r="V25" s="736"/>
      <c r="W25" s="736"/>
      <c r="X25" s="736"/>
      <c r="Y25" s="736"/>
      <c r="Z25" s="736"/>
      <c r="AA25" s="736"/>
    </row>
    <row r="26" spans="2:27" ht="18" x14ac:dyDescent="0.2">
      <c r="B26" s="189">
        <f>B25+1</f>
        <v>12</v>
      </c>
      <c r="C26" s="194" t="s">
        <v>627</v>
      </c>
      <c r="D26" s="194"/>
      <c r="E26" s="199" t="s">
        <v>362</v>
      </c>
      <c r="F26" s="200" t="s">
        <v>407</v>
      </c>
      <c r="G26" s="209">
        <f>SUM(H26:AA26)</f>
        <v>0</v>
      </c>
      <c r="H26" s="764"/>
      <c r="I26" s="764"/>
      <c r="J26" s="764"/>
      <c r="K26" s="764"/>
      <c r="L26" s="764"/>
      <c r="M26" s="764"/>
      <c r="N26" s="764"/>
      <c r="O26" s="764"/>
      <c r="P26" s="764"/>
      <c r="Q26" s="764"/>
      <c r="R26" s="764"/>
      <c r="S26" s="764"/>
      <c r="T26" s="764"/>
      <c r="U26" s="764"/>
      <c r="V26" s="764"/>
      <c r="W26" s="764"/>
      <c r="X26" s="764"/>
      <c r="Y26" s="764"/>
      <c r="Z26" s="764"/>
      <c r="AA26" s="764"/>
    </row>
    <row r="27" spans="2:27" ht="18" x14ac:dyDescent="0.2">
      <c r="B27" s="189">
        <f>B26+1</f>
        <v>13</v>
      </c>
      <c r="C27" s="194" t="s">
        <v>16</v>
      </c>
      <c r="D27" s="194"/>
      <c r="E27" s="199"/>
      <c r="F27" s="200" t="s">
        <v>406</v>
      </c>
      <c r="G27" s="202">
        <f>SUM(H27:AA27)</f>
        <v>0</v>
      </c>
      <c r="H27" s="739"/>
      <c r="I27" s="739"/>
      <c r="J27" s="739"/>
      <c r="K27" s="739"/>
      <c r="L27" s="739"/>
      <c r="M27" s="739"/>
      <c r="N27" s="739"/>
      <c r="O27" s="739"/>
      <c r="P27" s="739"/>
      <c r="Q27" s="739"/>
      <c r="R27" s="739"/>
      <c r="S27" s="739"/>
      <c r="T27" s="739"/>
      <c r="U27" s="739"/>
      <c r="V27" s="739"/>
      <c r="W27" s="739"/>
      <c r="X27" s="739"/>
      <c r="Y27" s="739"/>
      <c r="Z27" s="739"/>
      <c r="AA27" s="739"/>
    </row>
    <row r="28" spans="2:27" ht="18" x14ac:dyDescent="0.2">
      <c r="B28" s="300">
        <f>B27+1</f>
        <v>14</v>
      </c>
      <c r="C28" s="194" t="s">
        <v>368</v>
      </c>
      <c r="D28" s="194"/>
      <c r="E28" s="199" t="s">
        <v>369</v>
      </c>
      <c r="F28" s="200" t="s">
        <v>391</v>
      </c>
      <c r="G28" s="209">
        <f>SUM(H28:AA28)</f>
        <v>0</v>
      </c>
      <c r="H28" s="203">
        <f>(H26*H27)/1000</f>
        <v>0</v>
      </c>
      <c r="I28" s="203">
        <f t="shared" ref="I28:AA28" si="8">(I26*I27)/1000</f>
        <v>0</v>
      </c>
      <c r="J28" s="203">
        <f t="shared" si="8"/>
        <v>0</v>
      </c>
      <c r="K28" s="203">
        <f t="shared" si="8"/>
        <v>0</v>
      </c>
      <c r="L28" s="203">
        <f t="shared" si="8"/>
        <v>0</v>
      </c>
      <c r="M28" s="203">
        <f t="shared" si="8"/>
        <v>0</v>
      </c>
      <c r="N28" s="203">
        <f t="shared" si="8"/>
        <v>0</v>
      </c>
      <c r="O28" s="203">
        <f t="shared" si="8"/>
        <v>0</v>
      </c>
      <c r="P28" s="203">
        <f t="shared" si="8"/>
        <v>0</v>
      </c>
      <c r="Q28" s="203">
        <f t="shared" si="8"/>
        <v>0</v>
      </c>
      <c r="R28" s="203">
        <f t="shared" si="8"/>
        <v>0</v>
      </c>
      <c r="S28" s="203">
        <f t="shared" si="8"/>
        <v>0</v>
      </c>
      <c r="T28" s="203">
        <f t="shared" si="8"/>
        <v>0</v>
      </c>
      <c r="U28" s="203">
        <f t="shared" si="8"/>
        <v>0</v>
      </c>
      <c r="V28" s="203">
        <f t="shared" si="8"/>
        <v>0</v>
      </c>
      <c r="W28" s="203">
        <f t="shared" si="8"/>
        <v>0</v>
      </c>
      <c r="X28" s="203">
        <f t="shared" si="8"/>
        <v>0</v>
      </c>
      <c r="Y28" s="203">
        <f t="shared" si="8"/>
        <v>0</v>
      </c>
      <c r="Z28" s="203">
        <f t="shared" si="8"/>
        <v>0</v>
      </c>
      <c r="AA28" s="203">
        <f t="shared" si="8"/>
        <v>0</v>
      </c>
    </row>
    <row r="29" spans="2:27" x14ac:dyDescent="0.2">
      <c r="B29" s="1195">
        <f>B28+1</f>
        <v>15</v>
      </c>
      <c r="C29" s="194" t="s">
        <v>628</v>
      </c>
      <c r="D29" s="194"/>
      <c r="E29" s="199" t="s">
        <v>629</v>
      </c>
      <c r="F29" s="200"/>
      <c r="G29" s="204"/>
      <c r="H29" s="736"/>
      <c r="I29" s="736"/>
      <c r="J29" s="736"/>
      <c r="K29" s="736"/>
      <c r="L29" s="736"/>
      <c r="M29" s="736"/>
      <c r="N29" s="736"/>
      <c r="O29" s="736"/>
      <c r="P29" s="736"/>
      <c r="Q29" s="736"/>
      <c r="R29" s="736"/>
      <c r="S29" s="736"/>
      <c r="T29" s="736"/>
      <c r="U29" s="736"/>
      <c r="V29" s="736"/>
      <c r="W29" s="736"/>
      <c r="X29" s="736"/>
      <c r="Y29" s="736"/>
      <c r="Z29" s="736"/>
      <c r="AA29" s="736"/>
    </row>
    <row r="30" spans="2:27" x14ac:dyDescent="0.2">
      <c r="B30" s="1196"/>
      <c r="C30" s="205" t="s">
        <v>630</v>
      </c>
      <c r="D30" s="205"/>
      <c r="E30" s="206" t="s">
        <v>631</v>
      </c>
      <c r="F30" s="200"/>
      <c r="G30" s="204"/>
      <c r="H30" s="764"/>
      <c r="I30" s="764"/>
      <c r="J30" s="764"/>
      <c r="K30" s="764"/>
      <c r="L30" s="764"/>
      <c r="M30" s="764"/>
      <c r="N30" s="764"/>
      <c r="O30" s="764"/>
      <c r="P30" s="764"/>
      <c r="Q30" s="764"/>
      <c r="R30" s="764"/>
      <c r="S30" s="764"/>
      <c r="T30" s="764"/>
      <c r="U30" s="764"/>
      <c r="V30" s="764"/>
      <c r="W30" s="764"/>
      <c r="X30" s="764"/>
      <c r="Y30" s="764"/>
      <c r="Z30" s="764"/>
      <c r="AA30" s="764"/>
    </row>
    <row r="31" spans="2:27" x14ac:dyDescent="0.2">
      <c r="B31" s="1196"/>
      <c r="C31" s="205" t="s">
        <v>373</v>
      </c>
      <c r="D31" s="205"/>
      <c r="E31" s="206" t="s">
        <v>374</v>
      </c>
      <c r="F31" s="200"/>
      <c r="G31" s="204"/>
      <c r="H31" s="739"/>
      <c r="I31" s="739"/>
      <c r="J31" s="739"/>
      <c r="K31" s="739"/>
      <c r="L31" s="739"/>
      <c r="M31" s="739"/>
      <c r="N31" s="739"/>
      <c r="O31" s="739"/>
      <c r="P31" s="739"/>
      <c r="Q31" s="739"/>
      <c r="R31" s="739"/>
      <c r="S31" s="739"/>
      <c r="T31" s="739"/>
      <c r="U31" s="739"/>
      <c r="V31" s="739"/>
      <c r="W31" s="739"/>
      <c r="X31" s="739"/>
      <c r="Y31" s="739"/>
      <c r="Z31" s="739"/>
      <c r="AA31" s="739"/>
    </row>
    <row r="32" spans="2:27" ht="18" x14ac:dyDescent="0.2">
      <c r="B32" s="1197"/>
      <c r="C32" s="194" t="s">
        <v>375</v>
      </c>
      <c r="D32" s="194"/>
      <c r="E32" s="199" t="s">
        <v>376</v>
      </c>
      <c r="F32" s="200" t="s">
        <v>392</v>
      </c>
      <c r="G32" s="204"/>
      <c r="H32" s="207">
        <f>H29*H30*H31</f>
        <v>0</v>
      </c>
      <c r="I32" s="207">
        <f t="shared" ref="I32:AA32" si="9">I29*I30*I31</f>
        <v>0</v>
      </c>
      <c r="J32" s="207">
        <f t="shared" si="9"/>
        <v>0</v>
      </c>
      <c r="K32" s="207">
        <f t="shared" si="9"/>
        <v>0</v>
      </c>
      <c r="L32" s="207">
        <f t="shared" si="9"/>
        <v>0</v>
      </c>
      <c r="M32" s="207">
        <f t="shared" si="9"/>
        <v>0</v>
      </c>
      <c r="N32" s="207">
        <f t="shared" si="9"/>
        <v>0</v>
      </c>
      <c r="O32" s="207">
        <f t="shared" si="9"/>
        <v>0</v>
      </c>
      <c r="P32" s="207">
        <f t="shared" si="9"/>
        <v>0</v>
      </c>
      <c r="Q32" s="207">
        <f t="shared" si="9"/>
        <v>0</v>
      </c>
      <c r="R32" s="207">
        <f t="shared" si="9"/>
        <v>0</v>
      </c>
      <c r="S32" s="207">
        <f t="shared" si="9"/>
        <v>0</v>
      </c>
      <c r="T32" s="207">
        <f t="shared" si="9"/>
        <v>0</v>
      </c>
      <c r="U32" s="207">
        <f t="shared" si="9"/>
        <v>0</v>
      </c>
      <c r="V32" s="207">
        <f t="shared" si="9"/>
        <v>0</v>
      </c>
      <c r="W32" s="207">
        <f t="shared" si="9"/>
        <v>0</v>
      </c>
      <c r="X32" s="207">
        <f t="shared" si="9"/>
        <v>0</v>
      </c>
      <c r="Y32" s="207">
        <f t="shared" si="9"/>
        <v>0</v>
      </c>
      <c r="Z32" s="207">
        <f t="shared" si="9"/>
        <v>0</v>
      </c>
      <c r="AA32" s="207">
        <f t="shared" si="9"/>
        <v>0</v>
      </c>
    </row>
    <row r="33" spans="2:27" x14ac:dyDescent="0.2">
      <c r="B33" s="1195">
        <f>B29+1</f>
        <v>16</v>
      </c>
      <c r="C33" s="194" t="s">
        <v>702</v>
      </c>
      <c r="D33" s="194"/>
      <c r="E33" s="199" t="s">
        <v>279</v>
      </c>
      <c r="F33" s="200" t="s">
        <v>697</v>
      </c>
      <c r="G33" s="299">
        <v>12</v>
      </c>
      <c r="H33" s="736"/>
      <c r="I33" s="736"/>
      <c r="J33" s="736"/>
      <c r="K33" s="736"/>
      <c r="L33" s="736"/>
      <c r="M33" s="736"/>
      <c r="N33" s="736"/>
      <c r="O33" s="736"/>
      <c r="P33" s="736"/>
      <c r="Q33" s="736"/>
      <c r="R33" s="736"/>
      <c r="S33" s="736"/>
      <c r="T33" s="736"/>
      <c r="U33" s="736"/>
      <c r="V33" s="736"/>
      <c r="W33" s="736"/>
      <c r="X33" s="736"/>
      <c r="Y33" s="736"/>
      <c r="Z33" s="736"/>
      <c r="AA33" s="736"/>
    </row>
    <row r="34" spans="2:27" x14ac:dyDescent="0.2">
      <c r="B34" s="1196"/>
      <c r="C34" s="194" t="s">
        <v>703</v>
      </c>
      <c r="D34" s="194"/>
      <c r="E34" s="195" t="s">
        <v>700</v>
      </c>
      <c r="F34" s="200" t="s">
        <v>698</v>
      </c>
      <c r="G34" s="299">
        <v>22</v>
      </c>
      <c r="H34" s="764"/>
      <c r="I34" s="764"/>
      <c r="J34" s="764"/>
      <c r="K34" s="764"/>
      <c r="L34" s="764"/>
      <c r="M34" s="764"/>
      <c r="N34" s="764"/>
      <c r="O34" s="764"/>
      <c r="P34" s="764"/>
      <c r="Q34" s="764"/>
      <c r="R34" s="764"/>
      <c r="S34" s="764"/>
      <c r="T34" s="764"/>
      <c r="U34" s="764"/>
      <c r="V34" s="764"/>
      <c r="W34" s="764"/>
      <c r="X34" s="764"/>
      <c r="Y34" s="764"/>
      <c r="Z34" s="764"/>
      <c r="AA34" s="764"/>
    </row>
    <row r="35" spans="2:27" x14ac:dyDescent="0.2">
      <c r="B35" s="1196"/>
      <c r="C35" s="194" t="s">
        <v>704</v>
      </c>
      <c r="D35" s="194"/>
      <c r="E35" s="195" t="s">
        <v>701</v>
      </c>
      <c r="F35" s="200" t="s">
        <v>699</v>
      </c>
      <c r="G35" s="299">
        <v>3</v>
      </c>
      <c r="H35" s="739"/>
      <c r="I35" s="739"/>
      <c r="J35" s="739"/>
      <c r="K35" s="739"/>
      <c r="L35" s="739"/>
      <c r="M35" s="739"/>
      <c r="N35" s="739"/>
      <c r="O35" s="739"/>
      <c r="P35" s="739"/>
      <c r="Q35" s="739"/>
      <c r="R35" s="739"/>
      <c r="S35" s="739"/>
      <c r="T35" s="739"/>
      <c r="U35" s="739"/>
      <c r="V35" s="739"/>
      <c r="W35" s="739"/>
      <c r="X35" s="739"/>
      <c r="Y35" s="739"/>
      <c r="Z35" s="739"/>
      <c r="AA35" s="739"/>
    </row>
    <row r="36" spans="2:27" ht="18" x14ac:dyDescent="0.2">
      <c r="B36" s="1196"/>
      <c r="C36" s="194" t="s">
        <v>378</v>
      </c>
      <c r="D36" s="194"/>
      <c r="E36" s="199" t="s">
        <v>369</v>
      </c>
      <c r="F36" s="200" t="s">
        <v>393</v>
      </c>
      <c r="G36" s="209">
        <f>SUM(H36:AA36)</f>
        <v>0</v>
      </c>
      <c r="H36" s="208">
        <f>H28*((H33*H34*H35)/($G$33*$G$34*$G$35))</f>
        <v>0</v>
      </c>
      <c r="I36" s="208">
        <f t="shared" ref="I36:AA36" si="10">I28*((I33*I34*I35)/($G$33*$G$34*$G$35))</f>
        <v>0</v>
      </c>
      <c r="J36" s="208">
        <f t="shared" si="10"/>
        <v>0</v>
      </c>
      <c r="K36" s="208">
        <f t="shared" si="10"/>
        <v>0</v>
      </c>
      <c r="L36" s="208">
        <f t="shared" si="10"/>
        <v>0</v>
      </c>
      <c r="M36" s="208">
        <f t="shared" si="10"/>
        <v>0</v>
      </c>
      <c r="N36" s="208">
        <f t="shared" si="10"/>
        <v>0</v>
      </c>
      <c r="O36" s="208">
        <f t="shared" si="10"/>
        <v>0</v>
      </c>
      <c r="P36" s="208">
        <f t="shared" si="10"/>
        <v>0</v>
      </c>
      <c r="Q36" s="208">
        <f t="shared" si="10"/>
        <v>0</v>
      </c>
      <c r="R36" s="208">
        <f t="shared" si="10"/>
        <v>0</v>
      </c>
      <c r="S36" s="208">
        <f t="shared" si="10"/>
        <v>0</v>
      </c>
      <c r="T36" s="208">
        <f t="shared" si="10"/>
        <v>0</v>
      </c>
      <c r="U36" s="208">
        <f t="shared" si="10"/>
        <v>0</v>
      </c>
      <c r="V36" s="208">
        <f t="shared" si="10"/>
        <v>0</v>
      </c>
      <c r="W36" s="208">
        <f t="shared" si="10"/>
        <v>0</v>
      </c>
      <c r="X36" s="208">
        <f t="shared" si="10"/>
        <v>0</v>
      </c>
      <c r="Y36" s="208">
        <f t="shared" si="10"/>
        <v>0</v>
      </c>
      <c r="Z36" s="208">
        <f t="shared" si="10"/>
        <v>0</v>
      </c>
      <c r="AA36" s="208">
        <f t="shared" si="10"/>
        <v>0</v>
      </c>
    </row>
    <row r="37" spans="2:27" ht="18" x14ac:dyDescent="0.2">
      <c r="B37" s="1197"/>
      <c r="C37" s="194" t="s">
        <v>380</v>
      </c>
      <c r="D37" s="194"/>
      <c r="E37" s="194"/>
      <c r="F37" s="200" t="s">
        <v>394</v>
      </c>
      <c r="G37" s="204" t="str">
        <f>IF(LARGE(H37:AA37,1)&gt;1,"ERRO","")</f>
        <v/>
      </c>
      <c r="H37" s="208">
        <f>IFERROR(H36/H28,0)</f>
        <v>0</v>
      </c>
      <c r="I37" s="208">
        <f t="shared" ref="I37:AA37" si="11">IFERROR(I36/I28,0)</f>
        <v>0</v>
      </c>
      <c r="J37" s="208">
        <f t="shared" si="11"/>
        <v>0</v>
      </c>
      <c r="K37" s="208">
        <f t="shared" si="11"/>
        <v>0</v>
      </c>
      <c r="L37" s="208">
        <f t="shared" si="11"/>
        <v>0</v>
      </c>
      <c r="M37" s="208">
        <f t="shared" si="11"/>
        <v>0</v>
      </c>
      <c r="N37" s="208">
        <f t="shared" si="11"/>
        <v>0</v>
      </c>
      <c r="O37" s="208">
        <f t="shared" si="11"/>
        <v>0</v>
      </c>
      <c r="P37" s="208">
        <f t="shared" si="11"/>
        <v>0</v>
      </c>
      <c r="Q37" s="208">
        <f t="shared" si="11"/>
        <v>0</v>
      </c>
      <c r="R37" s="208">
        <f t="shared" si="11"/>
        <v>0</v>
      </c>
      <c r="S37" s="208">
        <f t="shared" si="11"/>
        <v>0</v>
      </c>
      <c r="T37" s="208">
        <f t="shared" si="11"/>
        <v>0</v>
      </c>
      <c r="U37" s="208">
        <f t="shared" si="11"/>
        <v>0</v>
      </c>
      <c r="V37" s="208">
        <f t="shared" si="11"/>
        <v>0</v>
      </c>
      <c r="W37" s="208">
        <f t="shared" si="11"/>
        <v>0</v>
      </c>
      <c r="X37" s="208">
        <f t="shared" si="11"/>
        <v>0</v>
      </c>
      <c r="Y37" s="208">
        <f t="shared" si="11"/>
        <v>0</v>
      </c>
      <c r="Z37" s="208">
        <f t="shared" si="11"/>
        <v>0</v>
      </c>
      <c r="AA37" s="208">
        <f t="shared" si="11"/>
        <v>0</v>
      </c>
    </row>
    <row r="38" spans="2:27" ht="18" x14ac:dyDescent="0.2">
      <c r="B38" s="300">
        <f>B33+1</f>
        <v>17</v>
      </c>
      <c r="C38" s="194" t="s">
        <v>632</v>
      </c>
      <c r="D38" s="194"/>
      <c r="E38" s="199" t="s">
        <v>633</v>
      </c>
      <c r="F38" s="200" t="s">
        <v>638</v>
      </c>
      <c r="G38" s="209">
        <f>SUM(H38:AA38)</f>
        <v>0</v>
      </c>
      <c r="H38" s="203">
        <f>H28*H29</f>
        <v>0</v>
      </c>
      <c r="I38" s="203">
        <f t="shared" ref="I38:AA38" si="12">I28*I29</f>
        <v>0</v>
      </c>
      <c r="J38" s="203">
        <f t="shared" si="12"/>
        <v>0</v>
      </c>
      <c r="K38" s="203">
        <f t="shared" si="12"/>
        <v>0</v>
      </c>
      <c r="L38" s="203">
        <f t="shared" si="12"/>
        <v>0</v>
      </c>
      <c r="M38" s="203">
        <f t="shared" si="12"/>
        <v>0</v>
      </c>
      <c r="N38" s="203">
        <f t="shared" si="12"/>
        <v>0</v>
      </c>
      <c r="O38" s="203">
        <f t="shared" si="12"/>
        <v>0</v>
      </c>
      <c r="P38" s="203">
        <f t="shared" si="12"/>
        <v>0</v>
      </c>
      <c r="Q38" s="203">
        <f t="shared" si="12"/>
        <v>0</v>
      </c>
      <c r="R38" s="203">
        <f t="shared" si="12"/>
        <v>0</v>
      </c>
      <c r="S38" s="203">
        <f t="shared" si="12"/>
        <v>0</v>
      </c>
      <c r="T38" s="203">
        <f t="shared" si="12"/>
        <v>0</v>
      </c>
      <c r="U38" s="203">
        <f t="shared" si="12"/>
        <v>0</v>
      </c>
      <c r="V38" s="203">
        <f t="shared" si="12"/>
        <v>0</v>
      </c>
      <c r="W38" s="203">
        <f t="shared" si="12"/>
        <v>0</v>
      </c>
      <c r="X38" s="203">
        <f t="shared" si="12"/>
        <v>0</v>
      </c>
      <c r="Y38" s="203">
        <f t="shared" si="12"/>
        <v>0</v>
      </c>
      <c r="Z38" s="203">
        <f t="shared" si="12"/>
        <v>0</v>
      </c>
      <c r="AA38" s="203">
        <f t="shared" si="12"/>
        <v>0</v>
      </c>
    </row>
    <row r="39" spans="2:27" ht="18" x14ac:dyDescent="0.2">
      <c r="B39" s="300">
        <f>B38+1</f>
        <v>18</v>
      </c>
      <c r="C39" s="194" t="s">
        <v>635</v>
      </c>
      <c r="D39" s="194"/>
      <c r="E39" s="199" t="s">
        <v>636</v>
      </c>
      <c r="F39" s="200" t="s">
        <v>639</v>
      </c>
      <c r="G39" s="209">
        <f>SUM(H39:AA39)</f>
        <v>0</v>
      </c>
      <c r="H39" s="203">
        <f>H28*H29*H30</f>
        <v>0</v>
      </c>
      <c r="I39" s="203">
        <f t="shared" ref="I39:AA39" si="13">I28*I29*I30</f>
        <v>0</v>
      </c>
      <c r="J39" s="203">
        <f t="shared" si="13"/>
        <v>0</v>
      </c>
      <c r="K39" s="203">
        <f t="shared" si="13"/>
        <v>0</v>
      </c>
      <c r="L39" s="203">
        <f t="shared" si="13"/>
        <v>0</v>
      </c>
      <c r="M39" s="203">
        <f t="shared" si="13"/>
        <v>0</v>
      </c>
      <c r="N39" s="203">
        <f t="shared" si="13"/>
        <v>0</v>
      </c>
      <c r="O39" s="203">
        <f t="shared" si="13"/>
        <v>0</v>
      </c>
      <c r="P39" s="203">
        <f t="shared" si="13"/>
        <v>0</v>
      </c>
      <c r="Q39" s="203">
        <f t="shared" si="13"/>
        <v>0</v>
      </c>
      <c r="R39" s="203">
        <f t="shared" si="13"/>
        <v>0</v>
      </c>
      <c r="S39" s="203">
        <f t="shared" si="13"/>
        <v>0</v>
      </c>
      <c r="T39" s="203">
        <f t="shared" si="13"/>
        <v>0</v>
      </c>
      <c r="U39" s="203">
        <f t="shared" si="13"/>
        <v>0</v>
      </c>
      <c r="V39" s="203">
        <f t="shared" si="13"/>
        <v>0</v>
      </c>
      <c r="W39" s="203">
        <f t="shared" si="13"/>
        <v>0</v>
      </c>
      <c r="X39" s="203">
        <f t="shared" si="13"/>
        <v>0</v>
      </c>
      <c r="Y39" s="203">
        <f t="shared" si="13"/>
        <v>0</v>
      </c>
      <c r="Z39" s="203">
        <f t="shared" si="13"/>
        <v>0</v>
      </c>
      <c r="AA39" s="203">
        <f t="shared" si="13"/>
        <v>0</v>
      </c>
    </row>
    <row r="40" spans="2:27" ht="18" x14ac:dyDescent="0.2">
      <c r="B40" s="189">
        <f>B39+1</f>
        <v>19</v>
      </c>
      <c r="C40" s="194" t="s">
        <v>382</v>
      </c>
      <c r="D40" s="194"/>
      <c r="E40" s="199" t="s">
        <v>383</v>
      </c>
      <c r="F40" s="200" t="s">
        <v>395</v>
      </c>
      <c r="G40" s="209">
        <f>SUM(H40:AA40)</f>
        <v>0</v>
      </c>
      <c r="H40" s="207">
        <f>H28*H32*0.001</f>
        <v>0</v>
      </c>
      <c r="I40" s="207">
        <f t="shared" ref="I40:AA40" si="14">I28*I32*0.001</f>
        <v>0</v>
      </c>
      <c r="J40" s="207">
        <f t="shared" si="14"/>
        <v>0</v>
      </c>
      <c r="K40" s="207">
        <f t="shared" si="14"/>
        <v>0</v>
      </c>
      <c r="L40" s="207">
        <f t="shared" si="14"/>
        <v>0</v>
      </c>
      <c r="M40" s="207">
        <f t="shared" si="14"/>
        <v>0</v>
      </c>
      <c r="N40" s="207">
        <f t="shared" si="14"/>
        <v>0</v>
      </c>
      <c r="O40" s="207">
        <f t="shared" si="14"/>
        <v>0</v>
      </c>
      <c r="P40" s="207">
        <f t="shared" si="14"/>
        <v>0</v>
      </c>
      <c r="Q40" s="207">
        <f t="shared" si="14"/>
        <v>0</v>
      </c>
      <c r="R40" s="207">
        <f t="shared" si="14"/>
        <v>0</v>
      </c>
      <c r="S40" s="207">
        <f t="shared" si="14"/>
        <v>0</v>
      </c>
      <c r="T40" s="207">
        <f t="shared" si="14"/>
        <v>0</v>
      </c>
      <c r="U40" s="207">
        <f t="shared" si="14"/>
        <v>0</v>
      </c>
      <c r="V40" s="207">
        <f t="shared" si="14"/>
        <v>0</v>
      </c>
      <c r="W40" s="207">
        <f t="shared" si="14"/>
        <v>0</v>
      </c>
      <c r="X40" s="207">
        <f t="shared" si="14"/>
        <v>0</v>
      </c>
      <c r="Y40" s="207">
        <f t="shared" si="14"/>
        <v>0</v>
      </c>
      <c r="Z40" s="207">
        <f t="shared" si="14"/>
        <v>0</v>
      </c>
      <c r="AA40" s="207">
        <f t="shared" si="14"/>
        <v>0</v>
      </c>
    </row>
    <row r="41" spans="2:27" ht="18" x14ac:dyDescent="0.2">
      <c r="B41" s="189">
        <f>B40+1</f>
        <v>20</v>
      </c>
      <c r="C41" s="194" t="s">
        <v>385</v>
      </c>
      <c r="D41" s="194"/>
      <c r="E41" s="195" t="s">
        <v>369</v>
      </c>
      <c r="F41" s="200" t="s">
        <v>396</v>
      </c>
      <c r="G41" s="210">
        <f>SUM(H41:AA41)</f>
        <v>0</v>
      </c>
      <c r="H41" s="211">
        <f>H28*H37</f>
        <v>0</v>
      </c>
      <c r="I41" s="211">
        <f t="shared" ref="I41:AA41" si="15">I28*I37</f>
        <v>0</v>
      </c>
      <c r="J41" s="211">
        <f t="shared" si="15"/>
        <v>0</v>
      </c>
      <c r="K41" s="211">
        <f t="shared" si="15"/>
        <v>0</v>
      </c>
      <c r="L41" s="211">
        <f t="shared" si="15"/>
        <v>0</v>
      </c>
      <c r="M41" s="211">
        <f t="shared" si="15"/>
        <v>0</v>
      </c>
      <c r="N41" s="211">
        <f t="shared" si="15"/>
        <v>0</v>
      </c>
      <c r="O41" s="211">
        <f t="shared" si="15"/>
        <v>0</v>
      </c>
      <c r="P41" s="211">
        <f t="shared" si="15"/>
        <v>0</v>
      </c>
      <c r="Q41" s="211">
        <f t="shared" si="15"/>
        <v>0</v>
      </c>
      <c r="R41" s="211">
        <f t="shared" si="15"/>
        <v>0</v>
      </c>
      <c r="S41" s="211">
        <f t="shared" si="15"/>
        <v>0</v>
      </c>
      <c r="T41" s="211">
        <f t="shared" si="15"/>
        <v>0</v>
      </c>
      <c r="U41" s="211">
        <f t="shared" si="15"/>
        <v>0</v>
      </c>
      <c r="V41" s="211">
        <f t="shared" si="15"/>
        <v>0</v>
      </c>
      <c r="W41" s="211">
        <f t="shared" si="15"/>
        <v>0</v>
      </c>
      <c r="X41" s="211">
        <f t="shared" si="15"/>
        <v>0</v>
      </c>
      <c r="Y41" s="211">
        <f t="shared" si="15"/>
        <v>0</v>
      </c>
      <c r="Z41" s="211">
        <f t="shared" si="15"/>
        <v>0</v>
      </c>
      <c r="AA41" s="211">
        <f t="shared" si="15"/>
        <v>0</v>
      </c>
    </row>
    <row r="43" spans="2:27" x14ac:dyDescent="0.2">
      <c r="B43" s="1199" t="s">
        <v>865</v>
      </c>
      <c r="C43" s="1199"/>
      <c r="D43" s="1199"/>
      <c r="E43" s="1199"/>
      <c r="F43" s="1199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</row>
    <row r="44" spans="2:27" s="423" customFormat="1" x14ac:dyDescent="0.2">
      <c r="B44" s="189"/>
      <c r="C44" s="214"/>
      <c r="D44" s="214"/>
      <c r="E44" s="214"/>
      <c r="F44" s="212"/>
      <c r="G44" s="192" t="s">
        <v>31</v>
      </c>
      <c r="H44" s="193" t="s">
        <v>607</v>
      </c>
      <c r="I44" s="193" t="s">
        <v>608</v>
      </c>
      <c r="J44" s="193" t="s">
        <v>609</v>
      </c>
      <c r="K44" s="193" t="s">
        <v>610</v>
      </c>
      <c r="L44" s="193" t="s">
        <v>611</v>
      </c>
      <c r="M44" s="193" t="s">
        <v>612</v>
      </c>
      <c r="N44" s="193" t="s">
        <v>613</v>
      </c>
      <c r="O44" s="193" t="s">
        <v>614</v>
      </c>
      <c r="P44" s="193" t="s">
        <v>615</v>
      </c>
      <c r="Q44" s="193" t="s">
        <v>616</v>
      </c>
      <c r="R44" s="193" t="s">
        <v>617</v>
      </c>
      <c r="S44" s="193" t="s">
        <v>618</v>
      </c>
      <c r="T44" s="193" t="s">
        <v>619</v>
      </c>
      <c r="U44" s="193" t="s">
        <v>620</v>
      </c>
      <c r="V44" s="193" t="s">
        <v>621</v>
      </c>
      <c r="W44" s="193" t="s">
        <v>622</v>
      </c>
      <c r="X44" s="193" t="s">
        <v>623</v>
      </c>
      <c r="Y44" s="193" t="s">
        <v>624</v>
      </c>
      <c r="Z44" s="193" t="s">
        <v>625</v>
      </c>
      <c r="AA44" s="193" t="s">
        <v>626</v>
      </c>
    </row>
    <row r="45" spans="2:27" ht="18" x14ac:dyDescent="0.2">
      <c r="B45" s="189">
        <f>B41+1</f>
        <v>21</v>
      </c>
      <c r="C45" s="215" t="s">
        <v>218</v>
      </c>
      <c r="D45" s="215"/>
      <c r="E45" s="216" t="s">
        <v>369</v>
      </c>
      <c r="F45" s="200" t="s">
        <v>397</v>
      </c>
      <c r="G45" s="210">
        <f>SUM(H45:AA45)</f>
        <v>0</v>
      </c>
      <c r="H45" s="207">
        <f>H21-H41</f>
        <v>0</v>
      </c>
      <c r="I45" s="207">
        <f t="shared" ref="I45:AA45" si="16">I21-I41</f>
        <v>0</v>
      </c>
      <c r="J45" s="207">
        <f t="shared" si="16"/>
        <v>0</v>
      </c>
      <c r="K45" s="207">
        <f t="shared" si="16"/>
        <v>0</v>
      </c>
      <c r="L45" s="207">
        <f t="shared" si="16"/>
        <v>0</v>
      </c>
      <c r="M45" s="207">
        <f t="shared" si="16"/>
        <v>0</v>
      </c>
      <c r="N45" s="207">
        <f t="shared" si="16"/>
        <v>0</v>
      </c>
      <c r="O45" s="207">
        <f t="shared" si="16"/>
        <v>0</v>
      </c>
      <c r="P45" s="207">
        <f t="shared" si="16"/>
        <v>0</v>
      </c>
      <c r="Q45" s="207">
        <f t="shared" si="16"/>
        <v>0</v>
      </c>
      <c r="R45" s="207">
        <f t="shared" si="16"/>
        <v>0</v>
      </c>
      <c r="S45" s="207">
        <f t="shared" si="16"/>
        <v>0</v>
      </c>
      <c r="T45" s="207">
        <f t="shared" si="16"/>
        <v>0</v>
      </c>
      <c r="U45" s="207">
        <f t="shared" si="16"/>
        <v>0</v>
      </c>
      <c r="V45" s="207">
        <f t="shared" si="16"/>
        <v>0</v>
      </c>
      <c r="W45" s="207">
        <f t="shared" si="16"/>
        <v>0</v>
      </c>
      <c r="X45" s="207">
        <f t="shared" si="16"/>
        <v>0</v>
      </c>
      <c r="Y45" s="207">
        <f t="shared" si="16"/>
        <v>0</v>
      </c>
      <c r="Z45" s="207">
        <f t="shared" si="16"/>
        <v>0</v>
      </c>
      <c r="AA45" s="207">
        <f t="shared" si="16"/>
        <v>0</v>
      </c>
    </row>
    <row r="46" spans="2:27" ht="18" x14ac:dyDescent="0.2">
      <c r="B46" s="189">
        <f>B45+1</f>
        <v>22</v>
      </c>
      <c r="C46" s="217" t="s">
        <v>398</v>
      </c>
      <c r="D46" s="218">
        <f>CED</f>
        <v>972.17356799999993</v>
      </c>
      <c r="E46" s="206" t="s">
        <v>3</v>
      </c>
      <c r="F46" s="200" t="s">
        <v>399</v>
      </c>
      <c r="G46" s="219">
        <f>IF(G21=0,0,G45/G21)</f>
        <v>0</v>
      </c>
      <c r="H46" s="220">
        <f>IFERROR(H45/H21,0)</f>
        <v>0</v>
      </c>
      <c r="I46" s="220">
        <f t="shared" ref="I46:AA46" si="17">IFERROR(I45/I21,0)</f>
        <v>0</v>
      </c>
      <c r="J46" s="220">
        <f t="shared" si="17"/>
        <v>0</v>
      </c>
      <c r="K46" s="220">
        <f t="shared" si="17"/>
        <v>0</v>
      </c>
      <c r="L46" s="220">
        <f t="shared" si="17"/>
        <v>0</v>
      </c>
      <c r="M46" s="220">
        <f t="shared" si="17"/>
        <v>0</v>
      </c>
      <c r="N46" s="220">
        <f t="shared" si="17"/>
        <v>0</v>
      </c>
      <c r="O46" s="220">
        <f t="shared" si="17"/>
        <v>0</v>
      </c>
      <c r="P46" s="220">
        <f t="shared" si="17"/>
        <v>0</v>
      </c>
      <c r="Q46" s="220">
        <f t="shared" si="17"/>
        <v>0</v>
      </c>
      <c r="R46" s="220">
        <f t="shared" si="17"/>
        <v>0</v>
      </c>
      <c r="S46" s="220">
        <f t="shared" si="17"/>
        <v>0</v>
      </c>
      <c r="T46" s="220">
        <f t="shared" si="17"/>
        <v>0</v>
      </c>
      <c r="U46" s="220">
        <f t="shared" si="17"/>
        <v>0</v>
      </c>
      <c r="V46" s="220">
        <f t="shared" si="17"/>
        <v>0</v>
      </c>
      <c r="W46" s="220">
        <f t="shared" si="17"/>
        <v>0</v>
      </c>
      <c r="X46" s="220">
        <f t="shared" si="17"/>
        <v>0</v>
      </c>
      <c r="Y46" s="220">
        <f t="shared" si="17"/>
        <v>0</v>
      </c>
      <c r="Z46" s="220">
        <f t="shared" si="17"/>
        <v>0</v>
      </c>
      <c r="AA46" s="220">
        <f t="shared" si="17"/>
        <v>0</v>
      </c>
    </row>
    <row r="47" spans="2:27" ht="18" x14ac:dyDescent="0.2">
      <c r="B47" s="189">
        <f>B46+1</f>
        <v>23</v>
      </c>
      <c r="C47" s="215" t="s">
        <v>217</v>
      </c>
      <c r="D47" s="215"/>
      <c r="E47" s="216" t="s">
        <v>383</v>
      </c>
      <c r="F47" s="200" t="s">
        <v>400</v>
      </c>
      <c r="G47" s="210">
        <f>SUM(H47:AA47)</f>
        <v>0</v>
      </c>
      <c r="H47" s="207">
        <f>H20-H40</f>
        <v>0</v>
      </c>
      <c r="I47" s="207">
        <f t="shared" ref="I47:AA47" si="18">I20-I40</f>
        <v>0</v>
      </c>
      <c r="J47" s="207">
        <f t="shared" si="18"/>
        <v>0</v>
      </c>
      <c r="K47" s="207">
        <f t="shared" si="18"/>
        <v>0</v>
      </c>
      <c r="L47" s="207">
        <f t="shared" si="18"/>
        <v>0</v>
      </c>
      <c r="M47" s="207">
        <f t="shared" si="18"/>
        <v>0</v>
      </c>
      <c r="N47" s="207">
        <f t="shared" si="18"/>
        <v>0</v>
      </c>
      <c r="O47" s="207">
        <f t="shared" si="18"/>
        <v>0</v>
      </c>
      <c r="P47" s="207">
        <f t="shared" si="18"/>
        <v>0</v>
      </c>
      <c r="Q47" s="207">
        <f t="shared" si="18"/>
        <v>0</v>
      </c>
      <c r="R47" s="207">
        <f t="shared" si="18"/>
        <v>0</v>
      </c>
      <c r="S47" s="207">
        <f t="shared" si="18"/>
        <v>0</v>
      </c>
      <c r="T47" s="207">
        <f t="shared" si="18"/>
        <v>0</v>
      </c>
      <c r="U47" s="207">
        <f t="shared" si="18"/>
        <v>0</v>
      </c>
      <c r="V47" s="207">
        <f t="shared" si="18"/>
        <v>0</v>
      </c>
      <c r="W47" s="207">
        <f t="shared" si="18"/>
        <v>0</v>
      </c>
      <c r="X47" s="207">
        <f t="shared" si="18"/>
        <v>0</v>
      </c>
      <c r="Y47" s="207">
        <f t="shared" si="18"/>
        <v>0</v>
      </c>
      <c r="Z47" s="207">
        <f t="shared" si="18"/>
        <v>0</v>
      </c>
      <c r="AA47" s="207">
        <f t="shared" si="18"/>
        <v>0</v>
      </c>
    </row>
    <row r="48" spans="2:27" ht="18" x14ac:dyDescent="0.2">
      <c r="B48" s="189">
        <f>B47+1</f>
        <v>24</v>
      </c>
      <c r="C48" s="217" t="s">
        <v>401</v>
      </c>
      <c r="D48" s="218">
        <f>CEE</f>
        <v>308.04024884085311</v>
      </c>
      <c r="E48" s="206" t="s">
        <v>3</v>
      </c>
      <c r="F48" s="200" t="s">
        <v>402</v>
      </c>
      <c r="G48" s="219">
        <f>IF(G20=0,0,G47/G20)</f>
        <v>0</v>
      </c>
      <c r="H48" s="220">
        <f>IFERROR(H47/H20,0)</f>
        <v>0</v>
      </c>
      <c r="I48" s="220">
        <f t="shared" ref="I48:AA48" si="19">IFERROR(I47/I20,0)</f>
        <v>0</v>
      </c>
      <c r="J48" s="220">
        <f t="shared" si="19"/>
        <v>0</v>
      </c>
      <c r="K48" s="220">
        <f t="shared" si="19"/>
        <v>0</v>
      </c>
      <c r="L48" s="220">
        <f t="shared" si="19"/>
        <v>0</v>
      </c>
      <c r="M48" s="220">
        <f t="shared" si="19"/>
        <v>0</v>
      </c>
      <c r="N48" s="220">
        <f t="shared" si="19"/>
        <v>0</v>
      </c>
      <c r="O48" s="220">
        <f t="shared" si="19"/>
        <v>0</v>
      </c>
      <c r="P48" s="220">
        <f t="shared" si="19"/>
        <v>0</v>
      </c>
      <c r="Q48" s="220">
        <f t="shared" si="19"/>
        <v>0</v>
      </c>
      <c r="R48" s="220">
        <f t="shared" si="19"/>
        <v>0</v>
      </c>
      <c r="S48" s="220">
        <f t="shared" si="19"/>
        <v>0</v>
      </c>
      <c r="T48" s="220">
        <f t="shared" si="19"/>
        <v>0</v>
      </c>
      <c r="U48" s="220">
        <f t="shared" si="19"/>
        <v>0</v>
      </c>
      <c r="V48" s="220">
        <f t="shared" si="19"/>
        <v>0</v>
      </c>
      <c r="W48" s="220">
        <f t="shared" si="19"/>
        <v>0</v>
      </c>
      <c r="X48" s="220">
        <f t="shared" si="19"/>
        <v>0</v>
      </c>
      <c r="Y48" s="220">
        <f t="shared" si="19"/>
        <v>0</v>
      </c>
      <c r="Z48" s="220">
        <f t="shared" si="19"/>
        <v>0</v>
      </c>
      <c r="AA48" s="220">
        <f t="shared" si="19"/>
        <v>0</v>
      </c>
    </row>
    <row r="49" spans="2:27" ht="18" x14ac:dyDescent="0.2">
      <c r="B49" s="221"/>
      <c r="C49" s="222" t="s">
        <v>773</v>
      </c>
      <c r="D49" s="222"/>
      <c r="E49" s="223" t="s">
        <v>2</v>
      </c>
      <c r="F49" s="224" t="s">
        <v>640</v>
      </c>
      <c r="G49" s="225">
        <f>SUM(H49:AA49)</f>
        <v>0</v>
      </c>
      <c r="H49" s="226">
        <f>H45*$D$46+H47*$D$48</f>
        <v>0</v>
      </c>
      <c r="I49" s="226">
        <f t="shared" ref="I49:AA49" si="20">I45*$D$46+I47*$D$48</f>
        <v>0</v>
      </c>
      <c r="J49" s="226">
        <f t="shared" si="20"/>
        <v>0</v>
      </c>
      <c r="K49" s="226">
        <f t="shared" si="20"/>
        <v>0</v>
      </c>
      <c r="L49" s="226">
        <f t="shared" si="20"/>
        <v>0</v>
      </c>
      <c r="M49" s="226">
        <f t="shared" si="20"/>
        <v>0</v>
      </c>
      <c r="N49" s="226">
        <f t="shared" si="20"/>
        <v>0</v>
      </c>
      <c r="O49" s="226">
        <f t="shared" si="20"/>
        <v>0</v>
      </c>
      <c r="P49" s="226">
        <f t="shared" si="20"/>
        <v>0</v>
      </c>
      <c r="Q49" s="226">
        <f t="shared" si="20"/>
        <v>0</v>
      </c>
      <c r="R49" s="226">
        <f t="shared" si="20"/>
        <v>0</v>
      </c>
      <c r="S49" s="226">
        <f t="shared" si="20"/>
        <v>0</v>
      </c>
      <c r="T49" s="226">
        <f t="shared" si="20"/>
        <v>0</v>
      </c>
      <c r="U49" s="226">
        <f t="shared" si="20"/>
        <v>0</v>
      </c>
      <c r="V49" s="226">
        <f t="shared" si="20"/>
        <v>0</v>
      </c>
      <c r="W49" s="226">
        <f t="shared" si="20"/>
        <v>0</v>
      </c>
      <c r="X49" s="226">
        <f t="shared" si="20"/>
        <v>0</v>
      </c>
      <c r="Y49" s="226">
        <f t="shared" si="20"/>
        <v>0</v>
      </c>
      <c r="Z49" s="226">
        <f t="shared" si="20"/>
        <v>0</v>
      </c>
      <c r="AA49" s="226">
        <f t="shared" si="20"/>
        <v>0</v>
      </c>
    </row>
    <row r="51" spans="2:27" ht="18" x14ac:dyDescent="0.35">
      <c r="E51" s="182" t="s">
        <v>601</v>
      </c>
      <c r="F51" s="183"/>
      <c r="G51" s="184">
        <f>RCB!G10</f>
        <v>0</v>
      </c>
    </row>
    <row r="52" spans="2:27" ht="18" x14ac:dyDescent="0.35">
      <c r="E52" s="182" t="s">
        <v>297</v>
      </c>
      <c r="F52" s="183"/>
      <c r="G52" s="184">
        <f>RCB!J10</f>
        <v>0</v>
      </c>
    </row>
    <row r="54" spans="2:27" x14ac:dyDescent="0.2">
      <c r="H54" s="427"/>
      <c r="I54" s="427"/>
    </row>
    <row r="55" spans="2:27" x14ac:dyDescent="0.2">
      <c r="B55" s="1198" t="s">
        <v>783</v>
      </c>
      <c r="C55" s="1198"/>
      <c r="D55" s="1198"/>
      <c r="E55" s="1198"/>
      <c r="F55" s="1198"/>
      <c r="G55" s="227"/>
      <c r="H55" s="228"/>
      <c r="I55" s="228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</row>
    <row r="56" spans="2:27" x14ac:dyDescent="0.2">
      <c r="B56" s="229"/>
      <c r="C56" s="230"/>
      <c r="D56" s="231"/>
      <c r="E56" s="232"/>
      <c r="F56" s="233"/>
      <c r="G56" s="234" t="s">
        <v>31</v>
      </c>
      <c r="H56" s="235" t="s">
        <v>607</v>
      </c>
      <c r="I56" s="235" t="s">
        <v>608</v>
      </c>
      <c r="J56" s="235" t="s">
        <v>609</v>
      </c>
      <c r="K56" s="235" t="s">
        <v>610</v>
      </c>
      <c r="L56" s="235" t="s">
        <v>611</v>
      </c>
      <c r="M56" s="235" t="s">
        <v>612</v>
      </c>
      <c r="N56" s="235" t="s">
        <v>613</v>
      </c>
      <c r="O56" s="235" t="s">
        <v>614</v>
      </c>
      <c r="P56" s="235" t="s">
        <v>615</v>
      </c>
      <c r="Q56" s="235" t="s">
        <v>616</v>
      </c>
      <c r="R56" s="235" t="s">
        <v>617</v>
      </c>
      <c r="S56" s="235" t="s">
        <v>618</v>
      </c>
      <c r="T56" s="235" t="s">
        <v>619</v>
      </c>
      <c r="U56" s="235" t="s">
        <v>620</v>
      </c>
      <c r="V56" s="235" t="s">
        <v>621</v>
      </c>
      <c r="W56" s="235" t="s">
        <v>622</v>
      </c>
      <c r="X56" s="235" t="s">
        <v>623</v>
      </c>
      <c r="Y56" s="235" t="s">
        <v>624</v>
      </c>
      <c r="Z56" s="235" t="s">
        <v>625</v>
      </c>
      <c r="AA56" s="235" t="s">
        <v>626</v>
      </c>
    </row>
    <row r="57" spans="2:27" x14ac:dyDescent="0.2">
      <c r="B57" s="229">
        <f>B48+1</f>
        <v>25</v>
      </c>
      <c r="C57" s="236" t="s">
        <v>371</v>
      </c>
      <c r="D57" s="236"/>
      <c r="E57" s="237" t="s">
        <v>372</v>
      </c>
      <c r="F57" s="238"/>
      <c r="G57" s="239"/>
      <c r="H57" s="240">
        <f>H29*H30</f>
        <v>0</v>
      </c>
      <c r="I57" s="240">
        <f t="shared" ref="I57:AA57" si="21">I29*I30</f>
        <v>0</v>
      </c>
      <c r="J57" s="240">
        <f t="shared" si="21"/>
        <v>0</v>
      </c>
      <c r="K57" s="240">
        <f t="shared" si="21"/>
        <v>0</v>
      </c>
      <c r="L57" s="240">
        <f t="shared" si="21"/>
        <v>0</v>
      </c>
      <c r="M57" s="240">
        <f t="shared" si="21"/>
        <v>0</v>
      </c>
      <c r="N57" s="240">
        <f t="shared" si="21"/>
        <v>0</v>
      </c>
      <c r="O57" s="240">
        <f t="shared" si="21"/>
        <v>0</v>
      </c>
      <c r="P57" s="240">
        <f t="shared" si="21"/>
        <v>0</v>
      </c>
      <c r="Q57" s="240">
        <f t="shared" si="21"/>
        <v>0</v>
      </c>
      <c r="R57" s="240">
        <f t="shared" si="21"/>
        <v>0</v>
      </c>
      <c r="S57" s="240">
        <f t="shared" si="21"/>
        <v>0</v>
      </c>
      <c r="T57" s="240">
        <f t="shared" si="21"/>
        <v>0</v>
      </c>
      <c r="U57" s="240">
        <f t="shared" si="21"/>
        <v>0</v>
      </c>
      <c r="V57" s="240">
        <f t="shared" si="21"/>
        <v>0</v>
      </c>
      <c r="W57" s="240">
        <f t="shared" si="21"/>
        <v>0</v>
      </c>
      <c r="X57" s="240">
        <f t="shared" si="21"/>
        <v>0</v>
      </c>
      <c r="Y57" s="240">
        <f t="shared" si="21"/>
        <v>0</v>
      </c>
      <c r="Z57" s="240">
        <f t="shared" si="21"/>
        <v>0</v>
      </c>
      <c r="AA57" s="240">
        <f t="shared" si="21"/>
        <v>0</v>
      </c>
    </row>
    <row r="58" spans="2:27" x14ac:dyDescent="0.2">
      <c r="B58" s="229">
        <f>B57+1</f>
        <v>26</v>
      </c>
      <c r="C58" s="236" t="s">
        <v>408</v>
      </c>
      <c r="D58" s="236"/>
      <c r="E58" s="241">
        <v>22</v>
      </c>
      <c r="F58" s="242"/>
      <c r="G58" s="239"/>
      <c r="H58" s="240">
        <f>H34</f>
        <v>0</v>
      </c>
      <c r="I58" s="240">
        <f t="shared" ref="I58:AA58" si="22">I34</f>
        <v>0</v>
      </c>
      <c r="J58" s="240">
        <f t="shared" si="22"/>
        <v>0</v>
      </c>
      <c r="K58" s="240">
        <f t="shared" si="22"/>
        <v>0</v>
      </c>
      <c r="L58" s="240">
        <f t="shared" si="22"/>
        <v>0</v>
      </c>
      <c r="M58" s="240">
        <f t="shared" si="22"/>
        <v>0</v>
      </c>
      <c r="N58" s="240">
        <f t="shared" si="22"/>
        <v>0</v>
      </c>
      <c r="O58" s="240">
        <f t="shared" si="22"/>
        <v>0</v>
      </c>
      <c r="P58" s="240">
        <f t="shared" si="22"/>
        <v>0</v>
      </c>
      <c r="Q58" s="240">
        <f t="shared" si="22"/>
        <v>0</v>
      </c>
      <c r="R58" s="240">
        <f t="shared" si="22"/>
        <v>0</v>
      </c>
      <c r="S58" s="240">
        <f t="shared" si="22"/>
        <v>0</v>
      </c>
      <c r="T58" s="240">
        <f t="shared" si="22"/>
        <v>0</v>
      </c>
      <c r="U58" s="240">
        <f t="shared" si="22"/>
        <v>0</v>
      </c>
      <c r="V58" s="240">
        <f t="shared" si="22"/>
        <v>0</v>
      </c>
      <c r="W58" s="240">
        <f t="shared" si="22"/>
        <v>0</v>
      </c>
      <c r="X58" s="240">
        <f t="shared" si="22"/>
        <v>0</v>
      </c>
      <c r="Y58" s="240">
        <f t="shared" si="22"/>
        <v>0</v>
      </c>
      <c r="Z58" s="240">
        <f t="shared" si="22"/>
        <v>0</v>
      </c>
      <c r="AA58" s="240">
        <f t="shared" si="22"/>
        <v>0</v>
      </c>
    </row>
    <row r="59" spans="2:27" x14ac:dyDescent="0.2">
      <c r="B59" s="229">
        <f t="shared" ref="B59:B68" si="23">B58+1</f>
        <v>27</v>
      </c>
      <c r="C59" s="236" t="s">
        <v>409</v>
      </c>
      <c r="D59" s="236"/>
      <c r="E59" s="241">
        <v>3</v>
      </c>
      <c r="F59" s="242"/>
      <c r="G59" s="239"/>
      <c r="H59" s="240">
        <f>H35</f>
        <v>0</v>
      </c>
      <c r="I59" s="240">
        <f t="shared" ref="I59:AA59" si="24">I35</f>
        <v>0</v>
      </c>
      <c r="J59" s="240">
        <f t="shared" si="24"/>
        <v>0</v>
      </c>
      <c r="K59" s="240">
        <f t="shared" si="24"/>
        <v>0</v>
      </c>
      <c r="L59" s="240">
        <f t="shared" si="24"/>
        <v>0</v>
      </c>
      <c r="M59" s="240">
        <f t="shared" si="24"/>
        <v>0</v>
      </c>
      <c r="N59" s="240">
        <f t="shared" si="24"/>
        <v>0</v>
      </c>
      <c r="O59" s="240">
        <f t="shared" si="24"/>
        <v>0</v>
      </c>
      <c r="P59" s="240">
        <f t="shared" si="24"/>
        <v>0</v>
      </c>
      <c r="Q59" s="240">
        <f t="shared" si="24"/>
        <v>0</v>
      </c>
      <c r="R59" s="240">
        <f t="shared" si="24"/>
        <v>0</v>
      </c>
      <c r="S59" s="240">
        <f t="shared" si="24"/>
        <v>0</v>
      </c>
      <c r="T59" s="240">
        <f t="shared" si="24"/>
        <v>0</v>
      </c>
      <c r="U59" s="240">
        <f t="shared" si="24"/>
        <v>0</v>
      </c>
      <c r="V59" s="240">
        <f t="shared" si="24"/>
        <v>0</v>
      </c>
      <c r="W59" s="240">
        <f t="shared" si="24"/>
        <v>0</v>
      </c>
      <c r="X59" s="240">
        <f t="shared" si="24"/>
        <v>0</v>
      </c>
      <c r="Y59" s="240">
        <f t="shared" si="24"/>
        <v>0</v>
      </c>
      <c r="Z59" s="240">
        <f t="shared" si="24"/>
        <v>0</v>
      </c>
      <c r="AA59" s="240">
        <f t="shared" si="24"/>
        <v>0</v>
      </c>
    </row>
    <row r="60" spans="2:27" x14ac:dyDescent="0.2">
      <c r="B60" s="229">
        <f t="shared" si="23"/>
        <v>28</v>
      </c>
      <c r="C60" s="236" t="s">
        <v>410</v>
      </c>
      <c r="D60" s="236"/>
      <c r="E60" s="237" t="s">
        <v>3</v>
      </c>
      <c r="F60" s="238"/>
      <c r="G60" s="243"/>
      <c r="H60" s="244">
        <f>H58/30</f>
        <v>0</v>
      </c>
      <c r="I60" s="244">
        <f t="shared" ref="I60:AA60" si="25">I58/30</f>
        <v>0</v>
      </c>
      <c r="J60" s="244">
        <f t="shared" si="25"/>
        <v>0</v>
      </c>
      <c r="K60" s="244">
        <f t="shared" si="25"/>
        <v>0</v>
      </c>
      <c r="L60" s="244">
        <f t="shared" si="25"/>
        <v>0</v>
      </c>
      <c r="M60" s="244">
        <f t="shared" si="25"/>
        <v>0</v>
      </c>
      <c r="N60" s="244">
        <f t="shared" si="25"/>
        <v>0</v>
      </c>
      <c r="O60" s="244">
        <f t="shared" si="25"/>
        <v>0</v>
      </c>
      <c r="P60" s="244">
        <f t="shared" si="25"/>
        <v>0</v>
      </c>
      <c r="Q60" s="244">
        <f t="shared" si="25"/>
        <v>0</v>
      </c>
      <c r="R60" s="244">
        <f t="shared" si="25"/>
        <v>0</v>
      </c>
      <c r="S60" s="244">
        <f t="shared" si="25"/>
        <v>0</v>
      </c>
      <c r="T60" s="244">
        <f t="shared" si="25"/>
        <v>0</v>
      </c>
      <c r="U60" s="244">
        <f t="shared" si="25"/>
        <v>0</v>
      </c>
      <c r="V60" s="244">
        <f t="shared" si="25"/>
        <v>0</v>
      </c>
      <c r="W60" s="244">
        <f t="shared" si="25"/>
        <v>0</v>
      </c>
      <c r="X60" s="244">
        <f t="shared" si="25"/>
        <v>0</v>
      </c>
      <c r="Y60" s="244">
        <f t="shared" si="25"/>
        <v>0</v>
      </c>
      <c r="Z60" s="244">
        <f t="shared" si="25"/>
        <v>0</v>
      </c>
      <c r="AA60" s="244">
        <f t="shared" si="25"/>
        <v>0</v>
      </c>
    </row>
    <row r="61" spans="2:27" x14ac:dyDescent="0.2">
      <c r="B61" s="229">
        <f t="shared" si="23"/>
        <v>29</v>
      </c>
      <c r="C61" s="236" t="s">
        <v>411</v>
      </c>
      <c r="D61" s="236"/>
      <c r="E61" s="237" t="s">
        <v>3</v>
      </c>
      <c r="F61" s="238"/>
      <c r="G61" s="243"/>
      <c r="H61" s="244">
        <f>IFERROR(H59/H57,0)</f>
        <v>0</v>
      </c>
      <c r="I61" s="244">
        <f t="shared" ref="I61:AA61" si="26">IFERROR(I59/I57,0)</f>
        <v>0</v>
      </c>
      <c r="J61" s="244">
        <f t="shared" si="26"/>
        <v>0</v>
      </c>
      <c r="K61" s="244">
        <f t="shared" si="26"/>
        <v>0</v>
      </c>
      <c r="L61" s="244">
        <f t="shared" si="26"/>
        <v>0</v>
      </c>
      <c r="M61" s="244">
        <f t="shared" si="26"/>
        <v>0</v>
      </c>
      <c r="N61" s="244">
        <f t="shared" si="26"/>
        <v>0</v>
      </c>
      <c r="O61" s="244">
        <f t="shared" si="26"/>
        <v>0</v>
      </c>
      <c r="P61" s="244">
        <f t="shared" si="26"/>
        <v>0</v>
      </c>
      <c r="Q61" s="244">
        <f t="shared" si="26"/>
        <v>0</v>
      </c>
      <c r="R61" s="244">
        <f t="shared" si="26"/>
        <v>0</v>
      </c>
      <c r="S61" s="244">
        <f t="shared" si="26"/>
        <v>0</v>
      </c>
      <c r="T61" s="244">
        <f t="shared" si="26"/>
        <v>0</v>
      </c>
      <c r="U61" s="244">
        <f t="shared" si="26"/>
        <v>0</v>
      </c>
      <c r="V61" s="244">
        <f t="shared" si="26"/>
        <v>0</v>
      </c>
      <c r="W61" s="244">
        <f t="shared" si="26"/>
        <v>0</v>
      </c>
      <c r="X61" s="244">
        <f t="shared" si="26"/>
        <v>0</v>
      </c>
      <c r="Y61" s="244">
        <f t="shared" si="26"/>
        <v>0</v>
      </c>
      <c r="Z61" s="244">
        <f t="shared" si="26"/>
        <v>0</v>
      </c>
      <c r="AA61" s="244">
        <f t="shared" si="26"/>
        <v>0</v>
      </c>
    </row>
    <row r="62" spans="2:27" x14ac:dyDescent="0.2">
      <c r="B62" s="229">
        <f t="shared" si="23"/>
        <v>30</v>
      </c>
      <c r="C62" s="236" t="s">
        <v>412</v>
      </c>
      <c r="D62" s="236"/>
      <c r="E62" s="237" t="s">
        <v>3</v>
      </c>
      <c r="F62" s="238"/>
      <c r="G62" s="243"/>
      <c r="H62" s="244">
        <f>H60*H61</f>
        <v>0</v>
      </c>
      <c r="I62" s="244">
        <f t="shared" ref="I62:AA62" si="27">I60*I61</f>
        <v>0</v>
      </c>
      <c r="J62" s="244">
        <f t="shared" si="27"/>
        <v>0</v>
      </c>
      <c r="K62" s="244">
        <f t="shared" si="27"/>
        <v>0</v>
      </c>
      <c r="L62" s="244">
        <f t="shared" si="27"/>
        <v>0</v>
      </c>
      <c r="M62" s="244">
        <f t="shared" si="27"/>
        <v>0</v>
      </c>
      <c r="N62" s="244">
        <f t="shared" si="27"/>
        <v>0</v>
      </c>
      <c r="O62" s="244">
        <f t="shared" si="27"/>
        <v>0</v>
      </c>
      <c r="P62" s="244">
        <f t="shared" si="27"/>
        <v>0</v>
      </c>
      <c r="Q62" s="244">
        <f t="shared" si="27"/>
        <v>0</v>
      </c>
      <c r="R62" s="244">
        <f t="shared" si="27"/>
        <v>0</v>
      </c>
      <c r="S62" s="244">
        <f t="shared" si="27"/>
        <v>0</v>
      </c>
      <c r="T62" s="244">
        <f t="shared" si="27"/>
        <v>0</v>
      </c>
      <c r="U62" s="244">
        <f t="shared" si="27"/>
        <v>0</v>
      </c>
      <c r="V62" s="244">
        <f t="shared" si="27"/>
        <v>0</v>
      </c>
      <c r="W62" s="244">
        <f t="shared" si="27"/>
        <v>0</v>
      </c>
      <c r="X62" s="244">
        <f t="shared" si="27"/>
        <v>0</v>
      </c>
      <c r="Y62" s="244">
        <f t="shared" si="27"/>
        <v>0</v>
      </c>
      <c r="Z62" s="244">
        <f t="shared" si="27"/>
        <v>0</v>
      </c>
      <c r="AA62" s="244">
        <f t="shared" si="27"/>
        <v>0</v>
      </c>
    </row>
    <row r="63" spans="2:27" x14ac:dyDescent="0.2">
      <c r="B63" s="229">
        <f t="shared" si="23"/>
        <v>31</v>
      </c>
      <c r="C63" s="236" t="s">
        <v>413</v>
      </c>
      <c r="D63" s="236"/>
      <c r="E63" s="301" t="s">
        <v>718</v>
      </c>
      <c r="F63" s="238"/>
      <c r="G63" s="245">
        <f t="shared" ref="G63:G68" si="28">ROUND(SUM(H63:BE63),2)</f>
        <v>0</v>
      </c>
      <c r="H63" s="246">
        <f>(H47/12)</f>
        <v>0</v>
      </c>
      <c r="I63" s="246">
        <f t="shared" ref="I63:AA63" si="29">(I47/12)</f>
        <v>0</v>
      </c>
      <c r="J63" s="246">
        <f t="shared" si="29"/>
        <v>0</v>
      </c>
      <c r="K63" s="246">
        <f t="shared" si="29"/>
        <v>0</v>
      </c>
      <c r="L63" s="246">
        <f t="shared" si="29"/>
        <v>0</v>
      </c>
      <c r="M63" s="246">
        <f t="shared" si="29"/>
        <v>0</v>
      </c>
      <c r="N63" s="246">
        <f t="shared" si="29"/>
        <v>0</v>
      </c>
      <c r="O63" s="246">
        <f t="shared" si="29"/>
        <v>0</v>
      </c>
      <c r="P63" s="246">
        <f t="shared" si="29"/>
        <v>0</v>
      </c>
      <c r="Q63" s="246">
        <f t="shared" si="29"/>
        <v>0</v>
      </c>
      <c r="R63" s="246">
        <f t="shared" si="29"/>
        <v>0</v>
      </c>
      <c r="S63" s="246">
        <f t="shared" si="29"/>
        <v>0</v>
      </c>
      <c r="T63" s="246">
        <f t="shared" si="29"/>
        <v>0</v>
      </c>
      <c r="U63" s="246">
        <f t="shared" si="29"/>
        <v>0</v>
      </c>
      <c r="V63" s="246">
        <f t="shared" si="29"/>
        <v>0</v>
      </c>
      <c r="W63" s="246">
        <f t="shared" si="29"/>
        <v>0</v>
      </c>
      <c r="X63" s="246">
        <f t="shared" si="29"/>
        <v>0</v>
      </c>
      <c r="Y63" s="246">
        <f t="shared" si="29"/>
        <v>0</v>
      </c>
      <c r="Z63" s="246">
        <f t="shared" si="29"/>
        <v>0</v>
      </c>
      <c r="AA63" s="246">
        <f t="shared" si="29"/>
        <v>0</v>
      </c>
    </row>
    <row r="64" spans="2:27" x14ac:dyDescent="0.2">
      <c r="B64" s="229">
        <f t="shared" si="23"/>
        <v>32</v>
      </c>
      <c r="C64" s="236" t="s">
        <v>414</v>
      </c>
      <c r="D64" s="236"/>
      <c r="E64" s="301" t="s">
        <v>718</v>
      </c>
      <c r="F64" s="238"/>
      <c r="G64" s="245">
        <f t="shared" si="28"/>
        <v>0</v>
      </c>
      <c r="H64" s="246">
        <f>H63*H62</f>
        <v>0</v>
      </c>
      <c r="I64" s="246">
        <f t="shared" ref="I64:AA64" si="30">I63*I62</f>
        <v>0</v>
      </c>
      <c r="J64" s="246">
        <f t="shared" si="30"/>
        <v>0</v>
      </c>
      <c r="K64" s="246">
        <f t="shared" si="30"/>
        <v>0</v>
      </c>
      <c r="L64" s="246">
        <f t="shared" si="30"/>
        <v>0</v>
      </c>
      <c r="M64" s="246">
        <f t="shared" si="30"/>
        <v>0</v>
      </c>
      <c r="N64" s="246">
        <f t="shared" si="30"/>
        <v>0</v>
      </c>
      <c r="O64" s="246">
        <f t="shared" si="30"/>
        <v>0</v>
      </c>
      <c r="P64" s="246">
        <f t="shared" si="30"/>
        <v>0</v>
      </c>
      <c r="Q64" s="246">
        <f t="shared" si="30"/>
        <v>0</v>
      </c>
      <c r="R64" s="246">
        <f t="shared" si="30"/>
        <v>0</v>
      </c>
      <c r="S64" s="246">
        <f t="shared" si="30"/>
        <v>0</v>
      </c>
      <c r="T64" s="246">
        <f t="shared" si="30"/>
        <v>0</v>
      </c>
      <c r="U64" s="246">
        <f t="shared" si="30"/>
        <v>0</v>
      </c>
      <c r="V64" s="246">
        <f t="shared" si="30"/>
        <v>0</v>
      </c>
      <c r="W64" s="246">
        <f t="shared" si="30"/>
        <v>0</v>
      </c>
      <c r="X64" s="246">
        <f t="shared" si="30"/>
        <v>0</v>
      </c>
      <c r="Y64" s="246">
        <f t="shared" si="30"/>
        <v>0</v>
      </c>
      <c r="Z64" s="246">
        <f t="shared" si="30"/>
        <v>0</v>
      </c>
      <c r="AA64" s="246">
        <f t="shared" si="30"/>
        <v>0</v>
      </c>
    </row>
    <row r="65" spans="2:57" x14ac:dyDescent="0.2">
      <c r="B65" s="229">
        <f t="shared" si="23"/>
        <v>33</v>
      </c>
      <c r="C65" s="236" t="s">
        <v>415</v>
      </c>
      <c r="D65" s="236"/>
      <c r="E65" s="301" t="s">
        <v>718</v>
      </c>
      <c r="F65" s="238"/>
      <c r="G65" s="245">
        <f t="shared" si="28"/>
        <v>0</v>
      </c>
      <c r="H65" s="246">
        <f>H63-H64</f>
        <v>0</v>
      </c>
      <c r="I65" s="246">
        <f t="shared" ref="I65:AA65" si="31">I63-I64</f>
        <v>0</v>
      </c>
      <c r="J65" s="246">
        <f t="shared" si="31"/>
        <v>0</v>
      </c>
      <c r="K65" s="246">
        <f t="shared" si="31"/>
        <v>0</v>
      </c>
      <c r="L65" s="246">
        <f t="shared" si="31"/>
        <v>0</v>
      </c>
      <c r="M65" s="246">
        <f t="shared" si="31"/>
        <v>0</v>
      </c>
      <c r="N65" s="246">
        <f t="shared" si="31"/>
        <v>0</v>
      </c>
      <c r="O65" s="246">
        <f t="shared" si="31"/>
        <v>0</v>
      </c>
      <c r="P65" s="246">
        <f t="shared" si="31"/>
        <v>0</v>
      </c>
      <c r="Q65" s="246">
        <f t="shared" si="31"/>
        <v>0</v>
      </c>
      <c r="R65" s="246">
        <f t="shared" si="31"/>
        <v>0</v>
      </c>
      <c r="S65" s="246">
        <f t="shared" si="31"/>
        <v>0</v>
      </c>
      <c r="T65" s="246">
        <f t="shared" si="31"/>
        <v>0</v>
      </c>
      <c r="U65" s="246">
        <f t="shared" si="31"/>
        <v>0</v>
      </c>
      <c r="V65" s="246">
        <f t="shared" si="31"/>
        <v>0</v>
      </c>
      <c r="W65" s="246">
        <f t="shared" si="31"/>
        <v>0</v>
      </c>
      <c r="X65" s="246">
        <f t="shared" si="31"/>
        <v>0</v>
      </c>
      <c r="Y65" s="246">
        <f t="shared" si="31"/>
        <v>0</v>
      </c>
      <c r="Z65" s="246">
        <f t="shared" si="31"/>
        <v>0</v>
      </c>
      <c r="AA65" s="246">
        <f t="shared" si="31"/>
        <v>0</v>
      </c>
    </row>
    <row r="66" spans="2:57" x14ac:dyDescent="0.2">
      <c r="B66" s="229">
        <f t="shared" si="23"/>
        <v>34</v>
      </c>
      <c r="C66" s="236" t="s">
        <v>711</v>
      </c>
      <c r="D66" s="236"/>
      <c r="E66" s="237" t="s">
        <v>712</v>
      </c>
      <c r="F66" s="238"/>
      <c r="G66" s="245">
        <f t="shared" si="28"/>
        <v>0</v>
      </c>
      <c r="H66" s="246">
        <f>H8-H28</f>
        <v>0</v>
      </c>
      <c r="I66" s="246">
        <f t="shared" ref="I66:AA66" si="32">I8-I28</f>
        <v>0</v>
      </c>
      <c r="J66" s="246">
        <f t="shared" si="32"/>
        <v>0</v>
      </c>
      <c r="K66" s="246">
        <f t="shared" si="32"/>
        <v>0</v>
      </c>
      <c r="L66" s="246">
        <f t="shared" si="32"/>
        <v>0</v>
      </c>
      <c r="M66" s="246">
        <f t="shared" si="32"/>
        <v>0</v>
      </c>
      <c r="N66" s="246">
        <f t="shared" si="32"/>
        <v>0</v>
      </c>
      <c r="O66" s="246">
        <f t="shared" si="32"/>
        <v>0</v>
      </c>
      <c r="P66" s="246">
        <f t="shared" si="32"/>
        <v>0</v>
      </c>
      <c r="Q66" s="246">
        <f t="shared" si="32"/>
        <v>0</v>
      </c>
      <c r="R66" s="246">
        <f t="shared" si="32"/>
        <v>0</v>
      </c>
      <c r="S66" s="246">
        <f t="shared" si="32"/>
        <v>0</v>
      </c>
      <c r="T66" s="246">
        <f t="shared" si="32"/>
        <v>0</v>
      </c>
      <c r="U66" s="246">
        <f t="shared" si="32"/>
        <v>0</v>
      </c>
      <c r="V66" s="246">
        <f t="shared" si="32"/>
        <v>0</v>
      </c>
      <c r="W66" s="246">
        <f t="shared" si="32"/>
        <v>0</v>
      </c>
      <c r="X66" s="246">
        <f t="shared" si="32"/>
        <v>0</v>
      </c>
      <c r="Y66" s="246">
        <f t="shared" si="32"/>
        <v>0</v>
      </c>
      <c r="Z66" s="246">
        <f t="shared" si="32"/>
        <v>0</v>
      </c>
      <c r="AA66" s="246">
        <f t="shared" si="32"/>
        <v>0</v>
      </c>
      <c r="AB66" s="433"/>
      <c r="AC66" s="434"/>
      <c r="AD66" s="434"/>
      <c r="AE66" s="434"/>
      <c r="AF66" s="434"/>
      <c r="AG66" s="434"/>
      <c r="AH66" s="434"/>
      <c r="AI66" s="434"/>
      <c r="AJ66" s="434"/>
      <c r="AK66" s="434"/>
      <c r="AL66" s="434"/>
      <c r="AM66" s="434"/>
      <c r="AN66" s="434"/>
      <c r="AO66" s="434"/>
      <c r="AP66" s="434"/>
      <c r="AQ66" s="434"/>
      <c r="AR66" s="434"/>
      <c r="AS66" s="434"/>
      <c r="AT66" s="434"/>
      <c r="AU66" s="434"/>
      <c r="AV66" s="434"/>
      <c r="AW66" s="434"/>
      <c r="AX66" s="434"/>
      <c r="AY66" s="434"/>
      <c r="AZ66" s="434"/>
      <c r="BA66" s="434"/>
      <c r="BB66" s="434"/>
      <c r="BC66" s="434"/>
      <c r="BD66" s="434"/>
      <c r="BE66" s="434"/>
    </row>
    <row r="67" spans="2:57" x14ac:dyDescent="0.2">
      <c r="B67" s="229">
        <f t="shared" si="23"/>
        <v>35</v>
      </c>
      <c r="C67" s="236" t="s">
        <v>715</v>
      </c>
      <c r="D67" s="236"/>
      <c r="E67" s="237" t="s">
        <v>712</v>
      </c>
      <c r="F67" s="238"/>
      <c r="G67" s="245">
        <f t="shared" si="28"/>
        <v>0</v>
      </c>
      <c r="H67" s="246">
        <f>H45</f>
        <v>0</v>
      </c>
      <c r="I67" s="246">
        <f t="shared" ref="I67:AA67" si="33">I45</f>
        <v>0</v>
      </c>
      <c r="J67" s="246">
        <f t="shared" si="33"/>
        <v>0</v>
      </c>
      <c r="K67" s="246">
        <f t="shared" si="33"/>
        <v>0</v>
      </c>
      <c r="L67" s="246">
        <f t="shared" si="33"/>
        <v>0</v>
      </c>
      <c r="M67" s="246">
        <f t="shared" si="33"/>
        <v>0</v>
      </c>
      <c r="N67" s="246">
        <f t="shared" si="33"/>
        <v>0</v>
      </c>
      <c r="O67" s="246">
        <f t="shared" si="33"/>
        <v>0</v>
      </c>
      <c r="P67" s="246">
        <f t="shared" si="33"/>
        <v>0</v>
      </c>
      <c r="Q67" s="246">
        <f t="shared" si="33"/>
        <v>0</v>
      </c>
      <c r="R67" s="246">
        <f t="shared" si="33"/>
        <v>0</v>
      </c>
      <c r="S67" s="246">
        <f t="shared" si="33"/>
        <v>0</v>
      </c>
      <c r="T67" s="246">
        <f t="shared" si="33"/>
        <v>0</v>
      </c>
      <c r="U67" s="246">
        <f t="shared" si="33"/>
        <v>0</v>
      </c>
      <c r="V67" s="246">
        <f t="shared" si="33"/>
        <v>0</v>
      </c>
      <c r="W67" s="246">
        <f t="shared" si="33"/>
        <v>0</v>
      </c>
      <c r="X67" s="246">
        <f t="shared" si="33"/>
        <v>0</v>
      </c>
      <c r="Y67" s="246">
        <f t="shared" si="33"/>
        <v>0</v>
      </c>
      <c r="Z67" s="246">
        <f t="shared" si="33"/>
        <v>0</v>
      </c>
      <c r="AA67" s="246">
        <f t="shared" si="33"/>
        <v>0</v>
      </c>
      <c r="AB67" s="433"/>
      <c r="AC67" s="434"/>
      <c r="AD67" s="434"/>
      <c r="AE67" s="434"/>
      <c r="AF67" s="434"/>
      <c r="AG67" s="434"/>
      <c r="AH67" s="434"/>
      <c r="AI67" s="434"/>
      <c r="AJ67" s="434"/>
      <c r="AK67" s="434"/>
      <c r="AL67" s="434"/>
      <c r="AM67" s="434"/>
      <c r="AN67" s="434"/>
      <c r="AO67" s="434"/>
      <c r="AP67" s="434"/>
      <c r="AQ67" s="434"/>
      <c r="AR67" s="434"/>
      <c r="AS67" s="434"/>
      <c r="AT67" s="434"/>
      <c r="AU67" s="434"/>
      <c r="AV67" s="434"/>
      <c r="AW67" s="434"/>
      <c r="AX67" s="434"/>
      <c r="AY67" s="434"/>
      <c r="AZ67" s="434"/>
      <c r="BA67" s="434"/>
      <c r="BB67" s="434"/>
      <c r="BC67" s="434"/>
      <c r="BD67" s="434"/>
      <c r="BE67" s="434"/>
    </row>
    <row r="68" spans="2:57" x14ac:dyDescent="0.2">
      <c r="B68" s="229">
        <f t="shared" si="23"/>
        <v>36</v>
      </c>
      <c r="C68" s="236" t="s">
        <v>716</v>
      </c>
      <c r="D68" s="236"/>
      <c r="E68" s="237" t="s">
        <v>712</v>
      </c>
      <c r="F68" s="238"/>
      <c r="G68" s="245">
        <f t="shared" si="28"/>
        <v>0</v>
      </c>
      <c r="H68" s="246">
        <f>H66</f>
        <v>0</v>
      </c>
      <c r="I68" s="246">
        <f t="shared" ref="I68:AA68" si="34">I66</f>
        <v>0</v>
      </c>
      <c r="J68" s="246">
        <f t="shared" si="34"/>
        <v>0</v>
      </c>
      <c r="K68" s="246">
        <f t="shared" si="34"/>
        <v>0</v>
      </c>
      <c r="L68" s="246">
        <f t="shared" si="34"/>
        <v>0</v>
      </c>
      <c r="M68" s="246">
        <f t="shared" si="34"/>
        <v>0</v>
      </c>
      <c r="N68" s="246">
        <f t="shared" si="34"/>
        <v>0</v>
      </c>
      <c r="O68" s="246">
        <f t="shared" si="34"/>
        <v>0</v>
      </c>
      <c r="P68" s="246">
        <f t="shared" si="34"/>
        <v>0</v>
      </c>
      <c r="Q68" s="246">
        <f t="shared" si="34"/>
        <v>0</v>
      </c>
      <c r="R68" s="246">
        <f t="shared" si="34"/>
        <v>0</v>
      </c>
      <c r="S68" s="246">
        <f t="shared" si="34"/>
        <v>0</v>
      </c>
      <c r="T68" s="246">
        <f t="shared" si="34"/>
        <v>0</v>
      </c>
      <c r="U68" s="246">
        <f t="shared" si="34"/>
        <v>0</v>
      </c>
      <c r="V68" s="246">
        <f t="shared" si="34"/>
        <v>0</v>
      </c>
      <c r="W68" s="246">
        <f t="shared" si="34"/>
        <v>0</v>
      </c>
      <c r="X68" s="246">
        <f t="shared" si="34"/>
        <v>0</v>
      </c>
      <c r="Y68" s="246">
        <f t="shared" si="34"/>
        <v>0</v>
      </c>
      <c r="Z68" s="246">
        <f t="shared" si="34"/>
        <v>0</v>
      </c>
      <c r="AA68" s="246">
        <f t="shared" si="34"/>
        <v>0</v>
      </c>
      <c r="AB68" s="433"/>
      <c r="AC68" s="434"/>
      <c r="AD68" s="434"/>
      <c r="AE68" s="434"/>
      <c r="AF68" s="434"/>
      <c r="AG68" s="434"/>
      <c r="AH68" s="434"/>
      <c r="AI68" s="434"/>
      <c r="AJ68" s="434"/>
      <c r="AK68" s="434"/>
      <c r="AL68" s="434"/>
      <c r="AM68" s="434"/>
      <c r="AN68" s="434"/>
      <c r="AO68" s="434"/>
      <c r="AP68" s="434"/>
      <c r="AQ68" s="434"/>
      <c r="AR68" s="434"/>
      <c r="AS68" s="434"/>
      <c r="AT68" s="434"/>
      <c r="AU68" s="434"/>
      <c r="AV68" s="434"/>
      <c r="AW68" s="434"/>
      <c r="AX68" s="434"/>
      <c r="AY68" s="434"/>
      <c r="AZ68" s="434"/>
      <c r="BA68" s="434"/>
      <c r="BB68" s="434"/>
      <c r="BC68" s="434"/>
      <c r="BD68" s="434"/>
      <c r="BE68" s="434"/>
    </row>
  </sheetData>
  <sheetProtection password="C9A4" sheet="1" objects="1" scenarios="1"/>
  <mergeCells count="10">
    <mergeCell ref="B2:G2"/>
    <mergeCell ref="B55:F55"/>
    <mergeCell ref="B43:F43"/>
    <mergeCell ref="B3:F3"/>
    <mergeCell ref="B9:B12"/>
    <mergeCell ref="B23:F23"/>
    <mergeCell ref="B29:B32"/>
    <mergeCell ref="B13:B17"/>
    <mergeCell ref="B33:B37"/>
    <mergeCell ref="B4:F4"/>
  </mergeCells>
  <conditionalFormatting sqref="H57:AA57">
    <cfRule type="cellIs" dxfId="44" priority="28" operator="greaterThan">
      <formula>24</formula>
    </cfRule>
    <cfRule type="cellIs" dxfId="43" priority="29" operator="lessThan">
      <formula>0</formula>
    </cfRule>
  </conditionalFormatting>
  <conditionalFormatting sqref="H17:AA17 H37:AA37">
    <cfRule type="cellIs" dxfId="42" priority="26" operator="greaterThan">
      <formula>1</formula>
    </cfRule>
    <cfRule type="cellIs" dxfId="41" priority="27" operator="lessThan">
      <formula>0</formula>
    </cfRule>
  </conditionalFormatting>
  <conditionalFormatting sqref="G51:G52 H58:AA59">
    <cfRule type="cellIs" dxfId="40" priority="25" operator="lessThan">
      <formula>0</formula>
    </cfRule>
  </conditionalFormatting>
  <conditionalFormatting sqref="G17 G37">
    <cfRule type="cellIs" dxfId="39" priority="24" operator="equal">
      <formula>"ERRO"</formula>
    </cfRule>
  </conditionalFormatting>
  <conditionalFormatting sqref="H58:AA58">
    <cfRule type="cellIs" dxfId="38" priority="16" operator="greaterThan">
      <formula>22</formula>
    </cfRule>
  </conditionalFormatting>
  <conditionalFormatting sqref="H59:AA59">
    <cfRule type="cellIs" dxfId="37" priority="15" operator="greaterThan">
      <formula>3</formula>
    </cfRule>
  </conditionalFormatting>
  <conditionalFormatting sqref="H58:AA59">
    <cfRule type="cellIs" dxfId="36" priority="1" operator="greaterThan">
      <formula>24</formula>
    </cfRule>
    <cfRule type="cellIs" dxfId="35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B2:Q101"/>
  <sheetViews>
    <sheetView showGridLines="0" zoomScale="90" zoomScaleNormal="90" workbookViewId="0">
      <pane ySplit="4" topLeftCell="A89" activePane="bottomLeft" state="frozen"/>
      <selection activeCell="H20" sqref="H20"/>
      <selection pane="bottomLeft" activeCell="C90" sqref="C90:H90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0.140625" style="409" bestFit="1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571"/>
      <c r="C2" s="572"/>
      <c r="D2" s="1158" t="s">
        <v>968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/>
      <c r="D8" s="1148"/>
      <c r="E8" s="1148"/>
      <c r="F8" s="1148"/>
      <c r="G8" s="1148"/>
      <c r="H8" s="726"/>
      <c r="I8" s="335"/>
      <c r="J8" s="546">
        <f>IFERROR(SMALL(K8:P8,1),0)</f>
        <v>0</v>
      </c>
      <c r="K8" s="343"/>
      <c r="L8" s="343"/>
      <c r="M8" s="343"/>
      <c r="N8" s="343"/>
      <c r="O8" s="343"/>
      <c r="P8" s="343"/>
    </row>
    <row r="9" spans="2:16" ht="15" customHeight="1" outlineLevel="1" x14ac:dyDescent="0.25">
      <c r="B9" s="175">
        <v>2</v>
      </c>
      <c r="C9" s="1147"/>
      <c r="D9" s="1148"/>
      <c r="E9" s="1148"/>
      <c r="F9" s="1148"/>
      <c r="G9" s="1148"/>
      <c r="H9" s="176"/>
      <c r="I9" s="336"/>
      <c r="J9" s="546">
        <f t="shared" ref="J9:J48" si="0">IFERROR(SMALL(K9:P9,1),0)</f>
        <v>0</v>
      </c>
      <c r="K9" s="343"/>
      <c r="L9" s="343"/>
      <c r="M9" s="343"/>
      <c r="N9" s="343"/>
      <c r="O9" s="343"/>
      <c r="P9" s="343"/>
    </row>
    <row r="10" spans="2:16" ht="15" customHeight="1" outlineLevel="1" x14ac:dyDescent="0.25">
      <c r="B10" s="173">
        <v>3</v>
      </c>
      <c r="C10" s="1147"/>
      <c r="D10" s="1148"/>
      <c r="E10" s="1148"/>
      <c r="F10" s="1148"/>
      <c r="G10" s="1148"/>
      <c r="H10" s="176"/>
      <c r="I10" s="336"/>
      <c r="J10" s="546">
        <f t="shared" si="0"/>
        <v>0</v>
      </c>
      <c r="K10" s="343"/>
      <c r="L10" s="343"/>
      <c r="M10" s="343" t="s">
        <v>267</v>
      </c>
      <c r="N10" s="343"/>
      <c r="O10" s="343"/>
      <c r="P10" s="343"/>
    </row>
    <row r="11" spans="2:16" ht="15" customHeight="1" outlineLevel="1" x14ac:dyDescent="0.25">
      <c r="B11" s="175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173">
        <v>5</v>
      </c>
      <c r="C12" s="1147"/>
      <c r="D12" s="1148"/>
      <c r="E12" s="1148"/>
      <c r="F12" s="1148"/>
      <c r="G12" s="1148"/>
      <c r="H12" s="176"/>
      <c r="I12" s="336"/>
      <c r="J12" s="546">
        <f t="shared" si="0"/>
        <v>0</v>
      </c>
      <c r="K12" s="343"/>
      <c r="L12" s="343"/>
      <c r="M12" s="343"/>
      <c r="N12" s="343"/>
      <c r="O12" s="343"/>
      <c r="P12" s="343"/>
    </row>
    <row r="13" spans="2:16" ht="15" customHeight="1" outlineLevel="1" x14ac:dyDescent="0.25">
      <c r="B13" s="175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 t="s">
        <v>267</v>
      </c>
      <c r="M13" s="343"/>
      <c r="N13" s="343"/>
      <c r="O13" s="343"/>
      <c r="P13" s="343"/>
    </row>
    <row r="14" spans="2:16" ht="15" customHeight="1" outlineLevel="1" x14ac:dyDescent="0.25">
      <c r="B14" s="173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 t="s">
        <v>267</v>
      </c>
      <c r="L14" s="343"/>
      <c r="M14" s="343"/>
      <c r="N14" s="343"/>
      <c r="O14" s="343"/>
      <c r="P14" s="343"/>
    </row>
    <row r="15" spans="2:16" ht="15" customHeight="1" outlineLevel="1" x14ac:dyDescent="0.25">
      <c r="B15" s="175">
        <v>8</v>
      </c>
      <c r="C15" s="1147"/>
      <c r="D15" s="1148"/>
      <c r="E15" s="1148"/>
      <c r="F15" s="1148"/>
      <c r="G15" s="1148"/>
      <c r="H15" s="176"/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173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175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173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175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 t="s">
        <v>267</v>
      </c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173"/>
      <c r="C48" s="1152" t="s">
        <v>289</v>
      </c>
      <c r="D48" s="1153"/>
      <c r="E48" s="1153"/>
      <c r="F48" s="1153"/>
      <c r="G48" s="1153"/>
      <c r="H48" s="177">
        <v>20</v>
      </c>
      <c r="I48" s="33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7" s="510" customFormat="1" ht="15" customHeight="1" x14ac:dyDescent="0.2">
      <c r="B49" s="516"/>
      <c r="C49" s="1007" t="s">
        <v>928</v>
      </c>
      <c r="D49" s="1007"/>
      <c r="E49" s="1007"/>
      <c r="F49" s="1007"/>
      <c r="G49" s="1007"/>
      <c r="H49" s="1007"/>
      <c r="I49" s="1007"/>
      <c r="J49" s="1007"/>
      <c r="K49" s="521" t="s">
        <v>917</v>
      </c>
      <c r="L49" s="521" t="s">
        <v>926</v>
      </c>
      <c r="M49" s="521" t="s">
        <v>927</v>
      </c>
      <c r="N49" s="521" t="s">
        <v>943</v>
      </c>
      <c r="O49" s="521" t="s">
        <v>944</v>
      </c>
      <c r="P49" s="521" t="s">
        <v>945</v>
      </c>
    </row>
    <row r="50" spans="2:17" s="509" customFormat="1" ht="15" customHeight="1" x14ac:dyDescent="0.2">
      <c r="B50" s="993" t="s">
        <v>918</v>
      </c>
      <c r="C50" s="994"/>
      <c r="D50" s="994"/>
      <c r="E50" s="994"/>
      <c r="F50" s="994"/>
      <c r="G50" s="994"/>
      <c r="H50" s="994"/>
      <c r="I50" s="994"/>
      <c r="J50" s="995"/>
      <c r="K50" s="535"/>
      <c r="L50" s="535"/>
      <c r="M50" s="535"/>
      <c r="N50" s="535"/>
      <c r="O50" s="535"/>
      <c r="P50" s="535"/>
      <c r="Q50" s="752"/>
    </row>
    <row r="51" spans="2:17" s="509" customFormat="1" ht="15" customHeight="1" x14ac:dyDescent="0.2">
      <c r="B51" s="993" t="s">
        <v>919</v>
      </c>
      <c r="C51" s="994"/>
      <c r="D51" s="994"/>
      <c r="E51" s="994"/>
      <c r="F51" s="994"/>
      <c r="G51" s="994"/>
      <c r="H51" s="994"/>
      <c r="I51" s="994"/>
      <c r="J51" s="995"/>
      <c r="K51" s="536"/>
      <c r="L51" s="536"/>
      <c r="M51" s="536"/>
      <c r="N51" s="536"/>
      <c r="O51" s="536"/>
      <c r="P51" s="536"/>
      <c r="Q51" s="752"/>
    </row>
    <row r="52" spans="2:17" s="509" customFormat="1" ht="15" customHeight="1" x14ac:dyDescent="0.2">
      <c r="B52" s="993" t="s">
        <v>920</v>
      </c>
      <c r="C52" s="994"/>
      <c r="D52" s="994"/>
      <c r="E52" s="994"/>
      <c r="F52" s="994"/>
      <c r="G52" s="994"/>
      <c r="H52" s="994"/>
      <c r="I52" s="994"/>
      <c r="J52" s="995"/>
      <c r="K52" s="537"/>
      <c r="L52" s="537"/>
      <c r="M52" s="537"/>
      <c r="N52" s="537"/>
      <c r="O52" s="537"/>
      <c r="P52" s="537"/>
      <c r="Q52" s="752"/>
    </row>
    <row r="53" spans="2:17" s="509" customFormat="1" ht="15" customHeight="1" x14ac:dyDescent="0.2">
      <c r="B53" s="993" t="s">
        <v>921</v>
      </c>
      <c r="C53" s="994"/>
      <c r="D53" s="994"/>
      <c r="E53" s="994"/>
      <c r="F53" s="994"/>
      <c r="G53" s="994"/>
      <c r="H53" s="994"/>
      <c r="I53" s="994"/>
      <c r="J53" s="995"/>
      <c r="K53" s="537"/>
      <c r="L53" s="537"/>
      <c r="M53" s="537"/>
      <c r="N53" s="537"/>
      <c r="O53" s="537"/>
      <c r="P53" s="537"/>
      <c r="Q53" s="752"/>
    </row>
    <row r="54" spans="2:17" s="509" customFormat="1" ht="15" customHeight="1" x14ac:dyDescent="0.2">
      <c r="B54" s="993" t="s">
        <v>922</v>
      </c>
      <c r="C54" s="994"/>
      <c r="D54" s="994"/>
      <c r="E54" s="994"/>
      <c r="F54" s="994"/>
      <c r="G54" s="994"/>
      <c r="H54" s="994"/>
      <c r="I54" s="994"/>
      <c r="J54" s="995"/>
      <c r="K54" s="535"/>
      <c r="L54" s="535"/>
      <c r="M54" s="535"/>
      <c r="N54" s="535"/>
      <c r="O54" s="535"/>
      <c r="P54" s="535"/>
      <c r="Q54" s="752"/>
    </row>
    <row r="55" spans="2:17" s="509" customFormat="1" x14ac:dyDescent="0.2">
      <c r="B55" s="993" t="s">
        <v>923</v>
      </c>
      <c r="C55" s="994"/>
      <c r="D55" s="994"/>
      <c r="E55" s="994"/>
      <c r="F55" s="994"/>
      <c r="G55" s="994"/>
      <c r="H55" s="994"/>
      <c r="I55" s="994"/>
      <c r="J55" s="995"/>
      <c r="K55" s="538"/>
      <c r="L55" s="538"/>
      <c r="M55" s="538"/>
      <c r="N55" s="538"/>
      <c r="O55" s="538"/>
      <c r="P55" s="538"/>
      <c r="Q55" s="752"/>
    </row>
    <row r="56" spans="2:17" s="509" customFormat="1" x14ac:dyDescent="0.2">
      <c r="B56" s="993" t="s">
        <v>924</v>
      </c>
      <c r="C56" s="994"/>
      <c r="D56" s="994"/>
      <c r="E56" s="994"/>
      <c r="F56" s="994"/>
      <c r="G56" s="994"/>
      <c r="H56" s="994"/>
      <c r="I56" s="994"/>
      <c r="J56" s="995"/>
      <c r="K56" s="539"/>
      <c r="L56" s="539"/>
      <c r="M56" s="539"/>
      <c r="N56" s="539"/>
      <c r="O56" s="539"/>
      <c r="P56" s="539"/>
      <c r="Q56" s="752"/>
    </row>
    <row r="57" spans="2:17" s="575" customFormat="1" ht="15" customHeight="1" x14ac:dyDescent="0.2">
      <c r="B57" s="1154" t="s">
        <v>925</v>
      </c>
      <c r="C57" s="1155"/>
      <c r="D57" s="1155"/>
      <c r="E57" s="1155"/>
      <c r="F57" s="1155"/>
      <c r="G57" s="1155"/>
      <c r="H57" s="1155"/>
      <c r="I57" s="1155"/>
      <c r="J57" s="1156"/>
      <c r="K57" s="1097" t="s">
        <v>915</v>
      </c>
      <c r="L57" s="1097"/>
      <c r="M57" s="1097"/>
      <c r="N57" s="1097" t="s">
        <v>915</v>
      </c>
      <c r="O57" s="1097"/>
      <c r="P57" s="1097"/>
    </row>
    <row r="58" spans="2:17" x14ac:dyDescent="0.25">
      <c r="B58" s="1161" t="s">
        <v>292</v>
      </c>
      <c r="C58" s="1162"/>
      <c r="D58" s="1162"/>
      <c r="E58" s="1162"/>
      <c r="F58" s="1162"/>
      <c r="G58" s="1162"/>
      <c r="H58" s="1162"/>
      <c r="I58" s="1162"/>
      <c r="J58" s="1163"/>
      <c r="K58" s="550" t="s">
        <v>917</v>
      </c>
      <c r="L58" s="550" t="s">
        <v>926</v>
      </c>
      <c r="M58" s="550" t="s">
        <v>927</v>
      </c>
      <c r="N58" s="550" t="s">
        <v>943</v>
      </c>
      <c r="O58" s="550" t="s">
        <v>944</v>
      </c>
      <c r="P58" s="550" t="s">
        <v>945</v>
      </c>
    </row>
    <row r="59" spans="2:17" ht="45" x14ac:dyDescent="0.25">
      <c r="B59" s="332"/>
      <c r="C59" s="1150" t="s">
        <v>294</v>
      </c>
      <c r="D59" s="1150"/>
      <c r="E59" s="1150"/>
      <c r="F59" s="1150"/>
      <c r="G59" s="1151"/>
      <c r="H59" s="127" t="s">
        <v>16</v>
      </c>
      <c r="I59" s="560" t="s">
        <v>295</v>
      </c>
      <c r="J59" s="560" t="s">
        <v>948</v>
      </c>
      <c r="K59" s="560" t="s">
        <v>949</v>
      </c>
      <c r="L59" s="560" t="s">
        <v>949</v>
      </c>
      <c r="M59" s="560" t="s">
        <v>949</v>
      </c>
      <c r="N59" s="560" t="s">
        <v>949</v>
      </c>
      <c r="O59" s="560" t="s">
        <v>949</v>
      </c>
      <c r="P59" s="560" t="s">
        <v>949</v>
      </c>
    </row>
    <row r="60" spans="2:17" ht="15" customHeight="1" x14ac:dyDescent="0.25">
      <c r="B60" s="173">
        <v>1</v>
      </c>
      <c r="C60" s="1149"/>
      <c r="D60" s="1149"/>
      <c r="E60" s="1149"/>
      <c r="F60" s="1149"/>
      <c r="G60" s="1147"/>
      <c r="H60" s="727"/>
      <c r="I60" s="335"/>
      <c r="J60" s="546">
        <f>IFERROR(SMALL(K60:P60,1),0)</f>
        <v>0</v>
      </c>
      <c r="K60" s="343"/>
      <c r="L60" s="343"/>
      <c r="M60" s="343"/>
      <c r="N60" s="343"/>
      <c r="O60" s="343"/>
      <c r="P60" s="343"/>
    </row>
    <row r="61" spans="2:17" ht="15" customHeight="1" x14ac:dyDescent="0.25">
      <c r="B61" s="175">
        <v>2</v>
      </c>
      <c r="C61" s="1149"/>
      <c r="D61" s="1149"/>
      <c r="E61" s="1149"/>
      <c r="F61" s="1149"/>
      <c r="G61" s="1147"/>
      <c r="H61" s="185"/>
      <c r="I61" s="336"/>
      <c r="J61" s="546">
        <f t="shared" ref="J61:J64" si="1">IFERROR(SMALL(K61:P61,1),0)</f>
        <v>0</v>
      </c>
      <c r="K61" s="343"/>
      <c r="L61" s="343"/>
      <c r="M61" s="343"/>
      <c r="N61" s="343"/>
      <c r="O61" s="343"/>
      <c r="P61" s="343"/>
    </row>
    <row r="62" spans="2:17" ht="15" customHeight="1" x14ac:dyDescent="0.25">
      <c r="B62" s="173">
        <v>3</v>
      </c>
      <c r="C62" s="1149"/>
      <c r="D62" s="1149"/>
      <c r="E62" s="1149"/>
      <c r="F62" s="1149"/>
      <c r="G62" s="1147"/>
      <c r="H62" s="185"/>
      <c r="I62" s="336"/>
      <c r="J62" s="546">
        <f t="shared" si="1"/>
        <v>0</v>
      </c>
      <c r="K62" s="343"/>
      <c r="L62" s="343"/>
      <c r="M62" s="343"/>
      <c r="N62" s="343"/>
      <c r="O62" s="343"/>
      <c r="P62" s="343"/>
    </row>
    <row r="63" spans="2:17" ht="15" customHeight="1" x14ac:dyDescent="0.25">
      <c r="B63" s="175">
        <v>4</v>
      </c>
      <c r="C63" s="1149"/>
      <c r="D63" s="1149"/>
      <c r="E63" s="1149"/>
      <c r="F63" s="1149"/>
      <c r="G63" s="1147"/>
      <c r="H63" s="185"/>
      <c r="I63" s="336"/>
      <c r="J63" s="546">
        <f t="shared" si="1"/>
        <v>0</v>
      </c>
      <c r="K63" s="343"/>
      <c r="L63" s="343"/>
      <c r="M63" s="343"/>
      <c r="N63" s="343"/>
      <c r="O63" s="343"/>
      <c r="P63" s="343"/>
    </row>
    <row r="64" spans="2:17" ht="15" customHeight="1" x14ac:dyDescent="0.25">
      <c r="B64" s="173">
        <v>5</v>
      </c>
      <c r="C64" s="1149"/>
      <c r="D64" s="1149"/>
      <c r="E64" s="1149"/>
      <c r="F64" s="1149"/>
      <c r="G64" s="1147"/>
      <c r="H64" s="185"/>
      <c r="I64" s="336"/>
      <c r="J64" s="546">
        <f t="shared" si="1"/>
        <v>0</v>
      </c>
      <c r="K64" s="343"/>
      <c r="L64" s="343"/>
      <c r="M64" s="343"/>
      <c r="N64" s="343"/>
      <c r="O64" s="343"/>
      <c r="P64" s="343"/>
    </row>
    <row r="65" spans="2:16" s="510" customFormat="1" ht="15" customHeight="1" x14ac:dyDescent="0.2">
      <c r="B65" s="516"/>
      <c r="C65" s="1007" t="s">
        <v>928</v>
      </c>
      <c r="D65" s="1007"/>
      <c r="E65" s="1007"/>
      <c r="F65" s="1007"/>
      <c r="G65" s="1007"/>
      <c r="H65" s="1007"/>
      <c r="I65" s="1007"/>
      <c r="J65" s="1007"/>
      <c r="K65" s="521" t="s">
        <v>917</v>
      </c>
      <c r="L65" s="521" t="s">
        <v>926</v>
      </c>
      <c r="M65" s="521" t="s">
        <v>927</v>
      </c>
      <c r="N65" s="521" t="s">
        <v>943</v>
      </c>
      <c r="O65" s="521" t="s">
        <v>944</v>
      </c>
      <c r="P65" s="521" t="s">
        <v>945</v>
      </c>
    </row>
    <row r="66" spans="2:16" s="509" customFormat="1" ht="15" customHeight="1" x14ac:dyDescent="0.2">
      <c r="B66" s="993" t="s">
        <v>918</v>
      </c>
      <c r="C66" s="994"/>
      <c r="D66" s="994"/>
      <c r="E66" s="994"/>
      <c r="F66" s="994"/>
      <c r="G66" s="994"/>
      <c r="H66" s="994"/>
      <c r="I66" s="994"/>
      <c r="J66" s="995"/>
      <c r="K66" s="535"/>
      <c r="L66" s="535"/>
      <c r="M66" s="535"/>
      <c r="N66" s="535"/>
      <c r="O66" s="535"/>
      <c r="P66" s="535"/>
    </row>
    <row r="67" spans="2:16" s="509" customFormat="1" ht="15" customHeight="1" x14ac:dyDescent="0.2">
      <c r="B67" s="993" t="s">
        <v>919</v>
      </c>
      <c r="C67" s="994"/>
      <c r="D67" s="994"/>
      <c r="E67" s="994"/>
      <c r="F67" s="994"/>
      <c r="G67" s="994"/>
      <c r="H67" s="994"/>
      <c r="I67" s="994"/>
      <c r="J67" s="995"/>
      <c r="K67" s="536"/>
      <c r="L67" s="536"/>
      <c r="M67" s="536"/>
      <c r="N67" s="536"/>
      <c r="O67" s="536"/>
      <c r="P67" s="536"/>
    </row>
    <row r="68" spans="2:16" s="509" customFormat="1" ht="15" customHeight="1" x14ac:dyDescent="0.2">
      <c r="B68" s="993" t="s">
        <v>920</v>
      </c>
      <c r="C68" s="994"/>
      <c r="D68" s="994"/>
      <c r="E68" s="994"/>
      <c r="F68" s="994"/>
      <c r="G68" s="994"/>
      <c r="H68" s="994"/>
      <c r="I68" s="994"/>
      <c r="J68" s="995"/>
      <c r="K68" s="537"/>
      <c r="L68" s="537"/>
      <c r="M68" s="537"/>
      <c r="N68" s="537"/>
      <c r="O68" s="537"/>
      <c r="P68" s="537"/>
    </row>
    <row r="69" spans="2:16" s="509" customFormat="1" ht="15" customHeight="1" x14ac:dyDescent="0.2">
      <c r="B69" s="993" t="s">
        <v>921</v>
      </c>
      <c r="C69" s="994"/>
      <c r="D69" s="994"/>
      <c r="E69" s="994"/>
      <c r="F69" s="994"/>
      <c r="G69" s="994"/>
      <c r="H69" s="994"/>
      <c r="I69" s="994"/>
      <c r="J69" s="995"/>
      <c r="K69" s="537"/>
      <c r="L69" s="537"/>
      <c r="M69" s="537"/>
      <c r="N69" s="537"/>
      <c r="O69" s="537"/>
      <c r="P69" s="537"/>
    </row>
    <row r="70" spans="2:16" s="509" customFormat="1" ht="15" customHeight="1" x14ac:dyDescent="0.2">
      <c r="B70" s="993" t="s">
        <v>922</v>
      </c>
      <c r="C70" s="994"/>
      <c r="D70" s="994"/>
      <c r="E70" s="994"/>
      <c r="F70" s="994"/>
      <c r="G70" s="994"/>
      <c r="H70" s="994"/>
      <c r="I70" s="994"/>
      <c r="J70" s="995"/>
      <c r="K70" s="535"/>
      <c r="L70" s="535"/>
      <c r="M70" s="535"/>
      <c r="N70" s="535"/>
      <c r="O70" s="535"/>
      <c r="P70" s="535"/>
    </row>
    <row r="71" spans="2:16" s="509" customFormat="1" x14ac:dyDescent="0.2">
      <c r="B71" s="993" t="s">
        <v>923</v>
      </c>
      <c r="C71" s="994"/>
      <c r="D71" s="994"/>
      <c r="E71" s="994"/>
      <c r="F71" s="994"/>
      <c r="G71" s="994"/>
      <c r="H71" s="994"/>
      <c r="I71" s="994"/>
      <c r="J71" s="995"/>
      <c r="K71" s="538"/>
      <c r="L71" s="538"/>
      <c r="M71" s="538"/>
      <c r="N71" s="538"/>
      <c r="O71" s="538"/>
      <c r="P71" s="538"/>
    </row>
    <row r="72" spans="2:16" s="509" customFormat="1" x14ac:dyDescent="0.2">
      <c r="B72" s="993" t="s">
        <v>924</v>
      </c>
      <c r="C72" s="994"/>
      <c r="D72" s="994"/>
      <c r="E72" s="994"/>
      <c r="F72" s="994"/>
      <c r="G72" s="994"/>
      <c r="H72" s="994"/>
      <c r="I72" s="994"/>
      <c r="J72" s="995"/>
      <c r="K72" s="539"/>
      <c r="L72" s="539"/>
      <c r="M72" s="539"/>
      <c r="N72" s="539"/>
      <c r="O72" s="539"/>
      <c r="P72" s="539"/>
    </row>
    <row r="73" spans="2:16" s="575" customFormat="1" ht="15" customHeight="1" x14ac:dyDescent="0.2">
      <c r="B73" s="1154" t="s">
        <v>925</v>
      </c>
      <c r="C73" s="1155"/>
      <c r="D73" s="1155"/>
      <c r="E73" s="1155"/>
      <c r="F73" s="1155"/>
      <c r="G73" s="1155"/>
      <c r="H73" s="1155"/>
      <c r="I73" s="1155"/>
      <c r="J73" s="1156"/>
      <c r="K73" s="1097" t="s">
        <v>915</v>
      </c>
      <c r="L73" s="1097"/>
      <c r="M73" s="1097"/>
      <c r="N73" s="1097" t="s">
        <v>915</v>
      </c>
      <c r="O73" s="1097"/>
      <c r="P73" s="1097"/>
    </row>
    <row r="74" spans="2:16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550" t="s">
        <v>917</v>
      </c>
      <c r="L74" s="550" t="s">
        <v>926</v>
      </c>
      <c r="M74" s="550" t="s">
        <v>927</v>
      </c>
      <c r="N74" s="550" t="s">
        <v>943</v>
      </c>
      <c r="O74" s="550" t="s">
        <v>944</v>
      </c>
      <c r="P74" s="550" t="s">
        <v>945</v>
      </c>
    </row>
    <row r="75" spans="2:16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560" t="s">
        <v>16</v>
      </c>
      <c r="J75" s="560" t="s">
        <v>947</v>
      </c>
      <c r="K75" s="560" t="s">
        <v>929</v>
      </c>
      <c r="L75" s="560" t="s">
        <v>929</v>
      </c>
      <c r="M75" s="560" t="s">
        <v>929</v>
      </c>
      <c r="N75" s="560" t="s">
        <v>929</v>
      </c>
      <c r="O75" s="560" t="s">
        <v>929</v>
      </c>
      <c r="P75" s="560" t="s">
        <v>929</v>
      </c>
    </row>
    <row r="76" spans="2:16" ht="15" customHeight="1" x14ac:dyDescent="0.25">
      <c r="B76" s="18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2">IFERROR(SMALL(K76:P76,1),0)</f>
        <v>0</v>
      </c>
      <c r="K76" s="343"/>
      <c r="L76" s="343"/>
      <c r="M76" s="343"/>
      <c r="N76" s="343"/>
      <c r="O76" s="343"/>
      <c r="P76" s="343"/>
    </row>
    <row r="77" spans="2:16" ht="15" customHeight="1" x14ac:dyDescent="0.25">
      <c r="B77" s="186">
        <v>2</v>
      </c>
      <c r="C77" s="1164"/>
      <c r="D77" s="1164"/>
      <c r="E77" s="1164"/>
      <c r="F77" s="1164"/>
      <c r="G77" s="1164"/>
      <c r="H77" s="1165"/>
      <c r="I77" s="336"/>
      <c r="J77" s="546">
        <f t="shared" si="2"/>
        <v>0</v>
      </c>
      <c r="K77" s="343"/>
      <c r="L77" s="343"/>
      <c r="M77" s="343"/>
      <c r="N77" s="343"/>
      <c r="O77" s="343"/>
      <c r="P77" s="343"/>
    </row>
    <row r="78" spans="2:16" ht="15" customHeight="1" x14ac:dyDescent="0.25">
      <c r="B78" s="186">
        <v>3</v>
      </c>
      <c r="C78" s="1164"/>
      <c r="D78" s="1164"/>
      <c r="E78" s="1164"/>
      <c r="F78" s="1164"/>
      <c r="G78" s="1164"/>
      <c r="H78" s="1165"/>
      <c r="I78" s="336"/>
      <c r="J78" s="546">
        <f t="shared" si="2"/>
        <v>0</v>
      </c>
      <c r="K78" s="343"/>
      <c r="L78" s="343"/>
      <c r="M78" s="343"/>
      <c r="N78" s="343"/>
      <c r="O78" s="343"/>
      <c r="P78" s="343"/>
    </row>
    <row r="79" spans="2:16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521" t="s">
        <v>917</v>
      </c>
      <c r="L79" s="521" t="s">
        <v>926</v>
      </c>
      <c r="M79" s="521" t="s">
        <v>927</v>
      </c>
      <c r="N79" s="521" t="s">
        <v>943</v>
      </c>
      <c r="O79" s="521" t="s">
        <v>944</v>
      </c>
      <c r="P79" s="521" t="s">
        <v>945</v>
      </c>
    </row>
    <row r="80" spans="2:16" s="509" customFormat="1" ht="15" customHeight="1" x14ac:dyDescent="0.2">
      <c r="B80" s="993" t="s">
        <v>918</v>
      </c>
      <c r="C80" s="994"/>
      <c r="D80" s="994"/>
      <c r="E80" s="994"/>
      <c r="F80" s="994"/>
      <c r="G80" s="994"/>
      <c r="H80" s="994"/>
      <c r="I80" s="994"/>
      <c r="J80" s="995"/>
      <c r="K80" s="535"/>
      <c r="L80" s="535"/>
      <c r="M80" s="535"/>
      <c r="N80" s="535"/>
      <c r="O80" s="535"/>
      <c r="P80" s="535"/>
    </row>
    <row r="81" spans="2:16" s="509" customFormat="1" ht="15" customHeight="1" x14ac:dyDescent="0.2">
      <c r="B81" s="993" t="s">
        <v>919</v>
      </c>
      <c r="C81" s="994"/>
      <c r="D81" s="994"/>
      <c r="E81" s="994"/>
      <c r="F81" s="994"/>
      <c r="G81" s="994"/>
      <c r="H81" s="994"/>
      <c r="I81" s="994"/>
      <c r="J81" s="995"/>
      <c r="K81" s="536"/>
      <c r="L81" s="536"/>
      <c r="M81" s="536"/>
      <c r="N81" s="536"/>
      <c r="O81" s="536"/>
      <c r="P81" s="536"/>
    </row>
    <row r="82" spans="2:16" s="509" customFormat="1" ht="15" customHeight="1" x14ac:dyDescent="0.2">
      <c r="B82" s="993" t="s">
        <v>920</v>
      </c>
      <c r="C82" s="994"/>
      <c r="D82" s="994"/>
      <c r="E82" s="994"/>
      <c r="F82" s="994"/>
      <c r="G82" s="994"/>
      <c r="H82" s="994"/>
      <c r="I82" s="994"/>
      <c r="J82" s="995"/>
      <c r="K82" s="537"/>
      <c r="L82" s="537"/>
      <c r="M82" s="537"/>
      <c r="N82" s="537"/>
      <c r="O82" s="537"/>
      <c r="P82" s="537"/>
    </row>
    <row r="83" spans="2:16" s="509" customFormat="1" ht="15" customHeight="1" x14ac:dyDescent="0.2">
      <c r="B83" s="993" t="s">
        <v>921</v>
      </c>
      <c r="C83" s="994"/>
      <c r="D83" s="994"/>
      <c r="E83" s="994"/>
      <c r="F83" s="994"/>
      <c r="G83" s="994"/>
      <c r="H83" s="994"/>
      <c r="I83" s="994"/>
      <c r="J83" s="995"/>
      <c r="K83" s="537"/>
      <c r="L83" s="537"/>
      <c r="M83" s="537"/>
      <c r="N83" s="537"/>
      <c r="O83" s="537"/>
      <c r="P83" s="537"/>
    </row>
    <row r="84" spans="2:16" s="509" customFormat="1" ht="15" customHeight="1" x14ac:dyDescent="0.2">
      <c r="B84" s="993" t="s">
        <v>922</v>
      </c>
      <c r="C84" s="994"/>
      <c r="D84" s="994"/>
      <c r="E84" s="994"/>
      <c r="F84" s="994"/>
      <c r="G84" s="994"/>
      <c r="H84" s="994"/>
      <c r="I84" s="994"/>
      <c r="J84" s="995"/>
      <c r="K84" s="535"/>
      <c r="L84" s="535"/>
      <c r="M84" s="535"/>
      <c r="N84" s="535"/>
      <c r="O84" s="535"/>
      <c r="P84" s="535"/>
    </row>
    <row r="85" spans="2:16" s="509" customFormat="1" x14ac:dyDescent="0.2">
      <c r="B85" s="993" t="s">
        <v>923</v>
      </c>
      <c r="C85" s="994"/>
      <c r="D85" s="994"/>
      <c r="E85" s="994"/>
      <c r="F85" s="994"/>
      <c r="G85" s="994"/>
      <c r="H85" s="994"/>
      <c r="I85" s="994"/>
      <c r="J85" s="995"/>
      <c r="K85" s="538"/>
      <c r="L85" s="538"/>
      <c r="M85" s="538"/>
      <c r="N85" s="538"/>
      <c r="O85" s="538"/>
      <c r="P85" s="538"/>
    </row>
    <row r="86" spans="2:16" s="509" customFormat="1" x14ac:dyDescent="0.2">
      <c r="B86" s="993" t="s">
        <v>924</v>
      </c>
      <c r="C86" s="994"/>
      <c r="D86" s="994"/>
      <c r="E86" s="994"/>
      <c r="F86" s="994"/>
      <c r="G86" s="994"/>
      <c r="H86" s="994"/>
      <c r="I86" s="994"/>
      <c r="J86" s="995"/>
      <c r="K86" s="539"/>
      <c r="L86" s="539"/>
      <c r="M86" s="539"/>
      <c r="N86" s="539"/>
      <c r="O86" s="539"/>
      <c r="P86" s="539"/>
    </row>
    <row r="87" spans="2:16" s="575" customFormat="1" ht="15" customHeight="1" x14ac:dyDescent="0.2">
      <c r="B87" s="1154" t="s">
        <v>925</v>
      </c>
      <c r="C87" s="1155"/>
      <c r="D87" s="1155"/>
      <c r="E87" s="1155"/>
      <c r="F87" s="1155"/>
      <c r="G87" s="1155"/>
      <c r="H87" s="1155"/>
      <c r="I87" s="1155"/>
      <c r="J87" s="1156"/>
      <c r="K87" s="1097" t="s">
        <v>915</v>
      </c>
      <c r="L87" s="1097"/>
      <c r="M87" s="1097"/>
      <c r="N87" s="1097" t="s">
        <v>915</v>
      </c>
      <c r="O87" s="1097"/>
      <c r="P87" s="1097"/>
    </row>
    <row r="88" spans="2:16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6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560" t="s">
        <v>16</v>
      </c>
      <c r="J89" s="560" t="s">
        <v>947</v>
      </c>
      <c r="K89" s="560" t="s">
        <v>929</v>
      </c>
      <c r="L89" s="560" t="s">
        <v>929</v>
      </c>
      <c r="M89" s="560" t="s">
        <v>929</v>
      </c>
      <c r="N89" s="560" t="s">
        <v>929</v>
      </c>
      <c r="O89" s="560" t="s">
        <v>929</v>
      </c>
      <c r="P89" s="560" t="s">
        <v>929</v>
      </c>
    </row>
    <row r="90" spans="2:16" ht="15" customHeight="1" x14ac:dyDescent="0.25">
      <c r="B90" s="186">
        <v>1</v>
      </c>
      <c r="C90" s="1164"/>
      <c r="D90" s="1164"/>
      <c r="E90" s="1164"/>
      <c r="F90" s="1164"/>
      <c r="G90" s="1164"/>
      <c r="H90" s="1165"/>
      <c r="I90" s="336"/>
      <c r="J90" s="546">
        <f t="shared" ref="J90:J92" si="3">IFERROR(SMALL(K90:P90,1),0)</f>
        <v>0</v>
      </c>
      <c r="K90" s="343"/>
      <c r="L90" s="343"/>
      <c r="M90" s="343"/>
      <c r="N90" s="343"/>
      <c r="O90" s="343"/>
      <c r="P90" s="343"/>
    </row>
    <row r="91" spans="2:16" ht="15" customHeight="1" x14ac:dyDescent="0.25">
      <c r="B91" s="186">
        <v>2</v>
      </c>
      <c r="C91" s="1164"/>
      <c r="D91" s="1164"/>
      <c r="E91" s="1164"/>
      <c r="F91" s="1164"/>
      <c r="G91" s="1164"/>
      <c r="H91" s="1165"/>
      <c r="I91" s="336"/>
      <c r="J91" s="546">
        <f t="shared" si="3"/>
        <v>0</v>
      </c>
      <c r="K91" s="343"/>
      <c r="L91" s="343"/>
      <c r="M91" s="343"/>
      <c r="N91" s="343"/>
      <c r="O91" s="343"/>
      <c r="P91" s="343"/>
    </row>
    <row r="92" spans="2:16" ht="15" customHeight="1" x14ac:dyDescent="0.25">
      <c r="B92" s="186">
        <v>3</v>
      </c>
      <c r="C92" s="1164"/>
      <c r="D92" s="1164"/>
      <c r="E92" s="1164"/>
      <c r="F92" s="1164"/>
      <c r="G92" s="1164"/>
      <c r="H92" s="1165"/>
      <c r="I92" s="336"/>
      <c r="J92" s="546">
        <f t="shared" si="3"/>
        <v>0</v>
      </c>
      <c r="K92" s="343"/>
      <c r="L92" s="343"/>
      <c r="M92" s="343"/>
      <c r="N92" s="343"/>
      <c r="O92" s="343"/>
      <c r="P92" s="343"/>
    </row>
    <row r="93" spans="2:16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750" t="s">
        <v>917</v>
      </c>
      <c r="L93" s="750" t="s">
        <v>926</v>
      </c>
      <c r="M93" s="750" t="s">
        <v>927</v>
      </c>
      <c r="N93" s="750" t="s">
        <v>943</v>
      </c>
      <c r="O93" s="750" t="s">
        <v>944</v>
      </c>
      <c r="P93" s="750" t="s">
        <v>945</v>
      </c>
    </row>
    <row r="94" spans="2:16" s="509" customFormat="1" ht="15" customHeight="1" x14ac:dyDescent="0.2">
      <c r="B94" s="993" t="s">
        <v>918</v>
      </c>
      <c r="C94" s="994"/>
      <c r="D94" s="994"/>
      <c r="E94" s="994"/>
      <c r="F94" s="994"/>
      <c r="G94" s="994"/>
      <c r="H94" s="994"/>
      <c r="I94" s="994"/>
      <c r="J94" s="995"/>
      <c r="K94" s="535"/>
      <c r="L94" s="535"/>
      <c r="M94" s="535"/>
      <c r="N94" s="535"/>
      <c r="O94" s="535"/>
      <c r="P94" s="535"/>
    </row>
    <row r="95" spans="2:16" s="509" customFormat="1" ht="15" customHeight="1" x14ac:dyDescent="0.2">
      <c r="B95" s="993" t="s">
        <v>919</v>
      </c>
      <c r="C95" s="994"/>
      <c r="D95" s="994"/>
      <c r="E95" s="994"/>
      <c r="F95" s="994"/>
      <c r="G95" s="994"/>
      <c r="H95" s="994"/>
      <c r="I95" s="994"/>
      <c r="J95" s="995"/>
      <c r="K95" s="536"/>
      <c r="L95" s="536"/>
      <c r="M95" s="536"/>
      <c r="N95" s="536"/>
      <c r="O95" s="536"/>
      <c r="P95" s="536"/>
    </row>
    <row r="96" spans="2:16" s="509" customFormat="1" ht="15" customHeight="1" x14ac:dyDescent="0.2">
      <c r="B96" s="993" t="s">
        <v>920</v>
      </c>
      <c r="C96" s="994"/>
      <c r="D96" s="994"/>
      <c r="E96" s="994"/>
      <c r="F96" s="994"/>
      <c r="G96" s="994"/>
      <c r="H96" s="994"/>
      <c r="I96" s="994"/>
      <c r="J96" s="995"/>
      <c r="K96" s="537"/>
      <c r="L96" s="537"/>
      <c r="M96" s="537"/>
      <c r="N96" s="537"/>
      <c r="O96" s="537"/>
      <c r="P96" s="537"/>
    </row>
    <row r="97" spans="2:16" s="509" customFormat="1" ht="15" customHeight="1" x14ac:dyDescent="0.2">
      <c r="B97" s="993" t="s">
        <v>921</v>
      </c>
      <c r="C97" s="994"/>
      <c r="D97" s="994"/>
      <c r="E97" s="994"/>
      <c r="F97" s="994"/>
      <c r="G97" s="994"/>
      <c r="H97" s="994"/>
      <c r="I97" s="994"/>
      <c r="J97" s="995"/>
      <c r="K97" s="537"/>
      <c r="L97" s="537"/>
      <c r="M97" s="537"/>
      <c r="N97" s="537"/>
      <c r="O97" s="537"/>
      <c r="P97" s="537"/>
    </row>
    <row r="98" spans="2:16" s="509" customFormat="1" ht="15" customHeight="1" x14ac:dyDescent="0.2">
      <c r="B98" s="993" t="s">
        <v>922</v>
      </c>
      <c r="C98" s="994"/>
      <c r="D98" s="994"/>
      <c r="E98" s="994"/>
      <c r="F98" s="994"/>
      <c r="G98" s="994"/>
      <c r="H98" s="994"/>
      <c r="I98" s="994"/>
      <c r="J98" s="995"/>
      <c r="K98" s="535"/>
      <c r="L98" s="535"/>
      <c r="M98" s="535"/>
      <c r="N98" s="535"/>
      <c r="O98" s="535"/>
      <c r="P98" s="535"/>
    </row>
    <row r="99" spans="2:16" s="509" customFormat="1" x14ac:dyDescent="0.2">
      <c r="B99" s="993" t="s">
        <v>923</v>
      </c>
      <c r="C99" s="994"/>
      <c r="D99" s="994"/>
      <c r="E99" s="994"/>
      <c r="F99" s="994"/>
      <c r="G99" s="994"/>
      <c r="H99" s="994"/>
      <c r="I99" s="994"/>
      <c r="J99" s="995"/>
      <c r="K99" s="538"/>
      <c r="L99" s="538"/>
      <c r="M99" s="538"/>
      <c r="N99" s="538"/>
      <c r="O99" s="538"/>
      <c r="P99" s="538"/>
    </row>
    <row r="100" spans="2:16" s="509" customFormat="1" x14ac:dyDescent="0.2">
      <c r="B100" s="993" t="s">
        <v>924</v>
      </c>
      <c r="C100" s="994"/>
      <c r="D100" s="994"/>
      <c r="E100" s="994"/>
      <c r="F100" s="994"/>
      <c r="G100" s="994"/>
      <c r="H100" s="994"/>
      <c r="I100" s="994"/>
      <c r="J100" s="995"/>
      <c r="K100" s="539"/>
      <c r="L100" s="539"/>
      <c r="M100" s="539"/>
      <c r="N100" s="539"/>
      <c r="O100" s="539"/>
      <c r="P100" s="539"/>
    </row>
    <row r="101" spans="2:16" s="575" customFormat="1" ht="15" customHeight="1" x14ac:dyDescent="0.2">
      <c r="B101" s="1154" t="s">
        <v>925</v>
      </c>
      <c r="C101" s="1155"/>
      <c r="D101" s="1155"/>
      <c r="E101" s="1155"/>
      <c r="F101" s="1155"/>
      <c r="G101" s="1155"/>
      <c r="H101" s="1155"/>
      <c r="I101" s="1155"/>
      <c r="J101" s="1156"/>
      <c r="K101" s="1097" t="s">
        <v>915</v>
      </c>
      <c r="L101" s="1097"/>
      <c r="M101" s="1097"/>
      <c r="N101" s="1097" t="s">
        <v>915</v>
      </c>
      <c r="O101" s="1097"/>
      <c r="P101" s="1097"/>
    </row>
  </sheetData>
  <sheetProtection password="C9A4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4:G44"/>
    <mergeCell ref="C45:G45"/>
    <mergeCell ref="C46:G46"/>
    <mergeCell ref="C47:G47"/>
    <mergeCell ref="C48:G48"/>
    <mergeCell ref="C49:J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D2:I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8">
    <tabColor theme="3"/>
  </sheetPr>
  <dimension ref="B2:Z87"/>
  <sheetViews>
    <sheetView showGridLines="0" zoomScale="90" zoomScaleNormal="90" workbookViewId="0">
      <pane ySplit="4" topLeftCell="A5" activePane="bottomLeft" state="frozen"/>
      <selection activeCell="H20" sqref="H20"/>
      <selection pane="bottomLeft" activeCell="M8" sqref="M8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6.85546875" style="409" bestFit="1" customWidth="1"/>
    <col min="15" max="16" width="3.42578125" style="409" customWidth="1"/>
    <col min="17" max="17" width="14.14062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6.85546875" style="418" bestFit="1" customWidth="1"/>
    <col min="26" max="16384" width="9.140625" style="409"/>
  </cols>
  <sheetData>
    <row r="2" spans="2:26" ht="22.5" customHeight="1" x14ac:dyDescent="0.25">
      <c r="B2" s="1157" t="s">
        <v>969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OUTROS SISTEMAS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355"/>
      <c r="Q5" s="356"/>
      <c r="R5" s="356"/>
      <c r="S5" s="356"/>
      <c r="T5" s="356"/>
      <c r="U5" s="356"/>
      <c r="V5" s="356"/>
      <c r="W5" s="356"/>
      <c r="X5" s="357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354" t="s">
        <v>285</v>
      </c>
      <c r="I7" s="354" t="s">
        <v>16</v>
      </c>
      <c r="J7" s="354" t="s">
        <v>239</v>
      </c>
      <c r="K7" s="172" t="s">
        <v>286</v>
      </c>
      <c r="L7" s="354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354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IF(ISBLANK('OutrosCusto (ORÇ)'!C8)," ",'OutrosCusto (ORÇ)'!C8)</f>
        <v xml:space="preserve"> </v>
      </c>
      <c r="D8" s="1214"/>
      <c r="E8" s="1214"/>
      <c r="F8" s="1214"/>
      <c r="G8" s="1175"/>
      <c r="H8" s="581">
        <f>'OutrosCusto (ORÇ)'!H8</f>
        <v>0</v>
      </c>
      <c r="I8" s="585">
        <f>'OutrosCusto (ORÇ)'!I8</f>
        <v>0</v>
      </c>
      <c r="J8" s="133">
        <f>'OutrosCusto (ORÇ)'!J8</f>
        <v>0</v>
      </c>
      <c r="K8" s="344">
        <f>I8*J8</f>
        <v>0</v>
      </c>
      <c r="L8" s="344">
        <f>K8-M8-N8</f>
        <v>0</v>
      </c>
      <c r="M8" s="343"/>
      <c r="N8" s="343"/>
      <c r="O8" s="410"/>
      <c r="P8" s="173">
        <f>B8</f>
        <v>1</v>
      </c>
      <c r="Q8" s="1177" t="str">
        <f>IF(OR(C8=0,C8=""),"",C8)</f>
        <v xml:space="preserve"> </v>
      </c>
      <c r="R8" s="1177"/>
      <c r="S8" s="1177"/>
      <c r="T8" s="1177"/>
      <c r="U8" s="1178"/>
      <c r="V8" s="174">
        <f>IF(H8="",0,H8)</f>
        <v>0</v>
      </c>
      <c r="W8" s="345">
        <f>IF(OR(V8="",V8=0),0,(Desc*((1+Desc)^V8))/(((1+Desc)^V8)-1))</f>
        <v>0</v>
      </c>
      <c r="X8" s="346">
        <f>IF(AND(K8&gt;0,'Custo Contábil'!$D$7&gt;0),ROUND(K8*('Custo Contábil'!$D$20/'Custo Contábil'!$D$7)*W8,2),0)</f>
        <v>0</v>
      </c>
      <c r="Y8" s="420">
        <f>V8*X8</f>
        <v>0</v>
      </c>
    </row>
    <row r="9" spans="2:26" ht="15" customHeight="1" outlineLevel="1" x14ac:dyDescent="0.25">
      <c r="B9" s="175">
        <v>2</v>
      </c>
      <c r="C9" s="1214" t="str">
        <f>IF(ISBLANK('OutrosCusto (ORÇ)'!C9)," ",'OutrosCusto (ORÇ)'!C9)</f>
        <v xml:space="preserve"> </v>
      </c>
      <c r="D9" s="1214"/>
      <c r="E9" s="1214"/>
      <c r="F9" s="1214"/>
      <c r="G9" s="1175"/>
      <c r="H9" s="581">
        <f>'OutrosCusto (ORÇ)'!H9</f>
        <v>0</v>
      </c>
      <c r="I9" s="585">
        <f>'OutrosCusto (ORÇ)'!I9</f>
        <v>0</v>
      </c>
      <c r="J9" s="133">
        <f>'OutrosCusto (ORÇ)'!J9</f>
        <v>0</v>
      </c>
      <c r="K9" s="344">
        <f t="shared" ref="K9:K48" si="0">I9*J9</f>
        <v>0</v>
      </c>
      <c r="L9" s="344">
        <f t="shared" ref="L9:L48" si="1">K9-M9-N9</f>
        <v>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 xml:space="preserve"> </v>
      </c>
      <c r="R9" s="1177"/>
      <c r="S9" s="1177"/>
      <c r="T9" s="1177"/>
      <c r="U9" s="1178"/>
      <c r="V9" s="174">
        <f t="shared" ref="V9:V47" si="4">IF(H9="",0,H9)</f>
        <v>0</v>
      </c>
      <c r="W9" s="345">
        <f t="shared" ref="W9:W48" si="5">IF(OR(V9="",V9=0),0,(Desc*((1+Desc)^V9))/(((1+Desc)^V9)-1))</f>
        <v>0</v>
      </c>
      <c r="X9" s="346">
        <f>IF(AND(K9&gt;0,'Custo Contábil'!$D$7&gt;0),ROUND(K9*('Custo Contábil'!$D$20/'Custo Contábil'!$D$7)*W9,2),0)</f>
        <v>0</v>
      </c>
      <c r="Y9" s="420">
        <f t="shared" ref="Y9:Y48" si="6">V9*X9</f>
        <v>0</v>
      </c>
    </row>
    <row r="10" spans="2:26" ht="15" customHeight="1" outlineLevel="1" x14ac:dyDescent="0.25">
      <c r="B10" s="173">
        <v>3</v>
      </c>
      <c r="C10" s="1214" t="str">
        <f>IF(ISBLANK('OutrosCusto (ORÇ)'!C10)," ",'OutrosCusto (ORÇ)'!C10)</f>
        <v xml:space="preserve"> </v>
      </c>
      <c r="D10" s="1214"/>
      <c r="E10" s="1214"/>
      <c r="F10" s="1214"/>
      <c r="G10" s="1175"/>
      <c r="H10" s="581">
        <f>'OutrosCusto (ORÇ)'!H10</f>
        <v>0</v>
      </c>
      <c r="I10" s="585">
        <f>'OutrosCusto (ORÇ)'!I10</f>
        <v>0</v>
      </c>
      <c r="J10" s="133">
        <f>'OutrosCusto (ORÇ)'!J10</f>
        <v>0</v>
      </c>
      <c r="K10" s="344">
        <f t="shared" si="0"/>
        <v>0</v>
      </c>
      <c r="L10" s="344">
        <f t="shared" si="1"/>
        <v>0</v>
      </c>
      <c r="M10" s="343"/>
      <c r="N10" s="343"/>
      <c r="O10" s="410"/>
      <c r="P10" s="173">
        <f t="shared" si="2"/>
        <v>3</v>
      </c>
      <c r="Q10" s="1177" t="str">
        <f t="shared" si="3"/>
        <v xml:space="preserve"> </v>
      </c>
      <c r="R10" s="1177"/>
      <c r="S10" s="1177"/>
      <c r="T10" s="1177"/>
      <c r="U10" s="1178"/>
      <c r="V10" s="174">
        <f t="shared" si="4"/>
        <v>0</v>
      </c>
      <c r="W10" s="345">
        <f t="shared" si="5"/>
        <v>0</v>
      </c>
      <c r="X10" s="346">
        <f>IF(AND(K10&gt;0,'Custo Contábil'!$D$7&gt;0),ROUND(K10*('Custo Contábil'!$D$20/'Custo Contábil'!$D$7)*W10,2),0)</f>
        <v>0</v>
      </c>
      <c r="Y10" s="420">
        <f t="shared" si="6"/>
        <v>0</v>
      </c>
    </row>
    <row r="11" spans="2:26" ht="15" customHeight="1" outlineLevel="1" x14ac:dyDescent="0.25">
      <c r="B11" s="175">
        <v>4</v>
      </c>
      <c r="C11" s="1214" t="str">
        <f>IF(ISBLANK('OutrosCusto (ORÇ)'!C11)," ",'OutrosCusto (ORÇ)'!C11)</f>
        <v xml:space="preserve"> </v>
      </c>
      <c r="D11" s="1214"/>
      <c r="E11" s="1214"/>
      <c r="F11" s="1214"/>
      <c r="G11" s="1175"/>
      <c r="H11" s="581">
        <f>'OutrosCusto (ORÇ)'!H11</f>
        <v>0</v>
      </c>
      <c r="I11" s="585">
        <f>'OutrosCusto (ORÇ)'!I11</f>
        <v>0</v>
      </c>
      <c r="J11" s="133">
        <f>'OutrosCusto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ht="15" customHeight="1" outlineLevel="1" x14ac:dyDescent="0.25">
      <c r="B12" s="173">
        <v>5</v>
      </c>
      <c r="C12" s="1214" t="str">
        <f>IF(ISBLANK('OutrosCusto (ORÇ)'!C12)," ",'OutrosCusto (ORÇ)'!C12)</f>
        <v xml:space="preserve"> </v>
      </c>
      <c r="D12" s="1214"/>
      <c r="E12" s="1214"/>
      <c r="F12" s="1214"/>
      <c r="G12" s="1175"/>
      <c r="H12" s="581">
        <f>'OutrosCusto (ORÇ)'!H12</f>
        <v>0</v>
      </c>
      <c r="I12" s="585">
        <f>'OutrosCusto (ORÇ)'!I12</f>
        <v>0</v>
      </c>
      <c r="J12" s="133">
        <f>'OutrosCusto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ht="15" customHeight="1" outlineLevel="1" x14ac:dyDescent="0.25">
      <c r="B13" s="175">
        <v>6</v>
      </c>
      <c r="C13" s="1214" t="str">
        <f>IF(ISBLANK('OutrosCusto (ORÇ)'!C13)," ",'OutrosCusto (ORÇ)'!C13)</f>
        <v xml:space="preserve"> </v>
      </c>
      <c r="D13" s="1214"/>
      <c r="E13" s="1214"/>
      <c r="F13" s="1214"/>
      <c r="G13" s="1175"/>
      <c r="H13" s="581">
        <f>'OutrosCusto (ORÇ)'!H13</f>
        <v>0</v>
      </c>
      <c r="I13" s="585">
        <f>'OutrosCusto (ORÇ)'!I13</f>
        <v>0</v>
      </c>
      <c r="J13" s="133">
        <f>'OutrosCusto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ht="15" customHeight="1" outlineLevel="1" x14ac:dyDescent="0.25">
      <c r="B14" s="173">
        <v>7</v>
      </c>
      <c r="C14" s="1214" t="str">
        <f>IF(ISBLANK('OutrosCusto (ORÇ)'!C14)," ",'OutrosCusto (ORÇ)'!C14)</f>
        <v xml:space="preserve"> </v>
      </c>
      <c r="D14" s="1214"/>
      <c r="E14" s="1214"/>
      <c r="F14" s="1214"/>
      <c r="G14" s="1175"/>
      <c r="H14" s="581">
        <f>'OutrosCusto (ORÇ)'!H14</f>
        <v>0</v>
      </c>
      <c r="I14" s="585">
        <f>'OutrosCusto (ORÇ)'!I14</f>
        <v>0</v>
      </c>
      <c r="J14" s="133">
        <f>'OutrosCusto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ht="15" customHeight="1" outlineLevel="1" x14ac:dyDescent="0.25">
      <c r="B15" s="175">
        <v>8</v>
      </c>
      <c r="C15" s="1214" t="str">
        <f>IF(ISBLANK('OutrosCusto (ORÇ)'!C15)," ",'OutrosCusto (ORÇ)'!C15)</f>
        <v xml:space="preserve"> </v>
      </c>
      <c r="D15" s="1214"/>
      <c r="E15" s="1214"/>
      <c r="F15" s="1214"/>
      <c r="G15" s="1175"/>
      <c r="H15" s="581">
        <f>'OutrosCusto (ORÇ)'!H15</f>
        <v>0</v>
      </c>
      <c r="I15" s="585">
        <f>'OutrosCusto (ORÇ)'!I15</f>
        <v>0</v>
      </c>
      <c r="J15" s="133">
        <f>'OutrosCusto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20">
        <f t="shared" si="6"/>
        <v>0</v>
      </c>
    </row>
    <row r="16" spans="2:26" ht="15" customHeight="1" outlineLevel="1" x14ac:dyDescent="0.25">
      <c r="B16" s="173">
        <v>9</v>
      </c>
      <c r="C16" s="1214" t="str">
        <f>IF(ISBLANK('OutrosCusto (ORÇ)'!C16)," ",'OutrosCusto (ORÇ)'!C16)</f>
        <v xml:space="preserve"> </v>
      </c>
      <c r="D16" s="1214"/>
      <c r="E16" s="1214"/>
      <c r="F16" s="1214"/>
      <c r="G16" s="1175"/>
      <c r="H16" s="581">
        <f>'OutrosCusto (ORÇ)'!H16</f>
        <v>0</v>
      </c>
      <c r="I16" s="585">
        <f>'OutrosCusto (ORÇ)'!I16</f>
        <v>0</v>
      </c>
      <c r="J16" s="133">
        <f>'OutrosCusto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IF(ISBLANK('OutrosCusto (ORÇ)'!C17)," ",'OutrosCusto (ORÇ)'!C17)</f>
        <v xml:space="preserve"> </v>
      </c>
      <c r="D17" s="1214"/>
      <c r="E17" s="1214"/>
      <c r="F17" s="1214"/>
      <c r="G17" s="1175"/>
      <c r="H17" s="581">
        <f>'OutrosCusto (ORÇ)'!H17</f>
        <v>0</v>
      </c>
      <c r="I17" s="585">
        <f>'OutrosCusto (ORÇ)'!I17</f>
        <v>0</v>
      </c>
      <c r="J17" s="133">
        <f>'OutrosCusto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IF(ISBLANK('OutrosCusto (ORÇ)'!C18)," ",'OutrosCusto (ORÇ)'!C18)</f>
        <v xml:space="preserve"> </v>
      </c>
      <c r="D18" s="1214"/>
      <c r="E18" s="1214"/>
      <c r="F18" s="1214"/>
      <c r="G18" s="1175"/>
      <c r="H18" s="581">
        <f>'OutrosCusto (ORÇ)'!H18</f>
        <v>0</v>
      </c>
      <c r="I18" s="585">
        <f>'OutrosCusto (ORÇ)'!I18</f>
        <v>0</v>
      </c>
      <c r="J18" s="133">
        <f>'OutrosCusto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IF(ISBLANK('OutrosCusto (ORÇ)'!C19)," ",'OutrosCusto (ORÇ)'!C19)</f>
        <v xml:space="preserve"> </v>
      </c>
      <c r="D19" s="1214"/>
      <c r="E19" s="1214"/>
      <c r="F19" s="1214"/>
      <c r="G19" s="1175"/>
      <c r="H19" s="581">
        <f>'OutrosCusto (ORÇ)'!H19</f>
        <v>0</v>
      </c>
      <c r="I19" s="585">
        <f>'OutrosCusto (ORÇ)'!I19</f>
        <v>0</v>
      </c>
      <c r="J19" s="133">
        <f>'OutrosCusto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IF(ISBLANK('OutrosCusto (ORÇ)'!C20)," ",'OutrosCusto (ORÇ)'!C20)</f>
        <v xml:space="preserve"> </v>
      </c>
      <c r="D20" s="1214"/>
      <c r="E20" s="1214"/>
      <c r="F20" s="1214"/>
      <c r="G20" s="1175"/>
      <c r="H20" s="581" t="str">
        <f>'OutrosCusto (ORÇ)'!H20</f>
        <v xml:space="preserve"> </v>
      </c>
      <c r="I20" s="585">
        <f>'OutrosCusto (ORÇ)'!I20</f>
        <v>0</v>
      </c>
      <c r="J20" s="133">
        <f>'OutrosCusto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 t="str">
        <f t="shared" si="4"/>
        <v xml:space="preserve"> </v>
      </c>
      <c r="W20" s="345" t="e">
        <f t="shared" si="5"/>
        <v>#VALUE!</v>
      </c>
      <c r="X20" s="346">
        <f>IF(AND(K20&gt;0,'Custo Contábil'!$D$7&gt;0),ROUND(K20*('Custo Contábil'!$D$20/'Custo Contábil'!$D$7)*W20,2),0)</f>
        <v>0</v>
      </c>
      <c r="Y20" s="420" t="e">
        <f t="shared" si="6"/>
        <v>#VALUE!</v>
      </c>
    </row>
    <row r="21" spans="2:25" outlineLevel="1" x14ac:dyDescent="0.25">
      <c r="B21" s="175">
        <v>14</v>
      </c>
      <c r="C21" s="1214" t="str">
        <f>IF(ISBLANK('OutrosCusto (ORÇ)'!C21)," ",'OutrosCusto (ORÇ)'!C21)</f>
        <v xml:space="preserve"> </v>
      </c>
      <c r="D21" s="1214"/>
      <c r="E21" s="1214"/>
      <c r="F21" s="1214"/>
      <c r="G21" s="1175"/>
      <c r="H21" s="581">
        <f>'OutrosCusto (ORÇ)'!H21</f>
        <v>0</v>
      </c>
      <c r="I21" s="585">
        <f>'OutrosCusto (ORÇ)'!I21</f>
        <v>0</v>
      </c>
      <c r="J21" s="133">
        <f>'OutrosCusto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IF(ISBLANK('OutrosCusto (ORÇ)'!C22)," ",'OutrosCusto (ORÇ)'!C22)</f>
        <v xml:space="preserve"> </v>
      </c>
      <c r="D22" s="1214"/>
      <c r="E22" s="1214"/>
      <c r="F22" s="1214"/>
      <c r="G22" s="1175"/>
      <c r="H22" s="581">
        <f>'OutrosCusto (ORÇ)'!H22</f>
        <v>0</v>
      </c>
      <c r="I22" s="585">
        <f>'OutrosCusto (ORÇ)'!I22</f>
        <v>0</v>
      </c>
      <c r="J22" s="133">
        <f>'OutrosCusto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IF(ISBLANK('OutrosCusto (ORÇ)'!C23)," ",'OutrosCusto (ORÇ)'!C23)</f>
        <v xml:space="preserve"> </v>
      </c>
      <c r="D23" s="1214"/>
      <c r="E23" s="1214"/>
      <c r="F23" s="1214"/>
      <c r="G23" s="1175"/>
      <c r="H23" s="581">
        <f>'OutrosCusto (ORÇ)'!H23</f>
        <v>0</v>
      </c>
      <c r="I23" s="585">
        <f>'OutrosCusto (ORÇ)'!I23</f>
        <v>0</v>
      </c>
      <c r="J23" s="133">
        <f>'OutrosCusto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IF(ISBLANK('OutrosCusto (ORÇ)'!C24)," ",'OutrosCusto (ORÇ)'!C24)</f>
        <v xml:space="preserve"> </v>
      </c>
      <c r="D24" s="1214"/>
      <c r="E24" s="1214"/>
      <c r="F24" s="1214"/>
      <c r="G24" s="1175"/>
      <c r="H24" s="581">
        <f>'OutrosCusto (ORÇ)'!H24</f>
        <v>0</v>
      </c>
      <c r="I24" s="585">
        <f>'OutrosCusto (ORÇ)'!I24</f>
        <v>0</v>
      </c>
      <c r="J24" s="133">
        <f>'OutrosCusto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IF(ISBLANK('OutrosCusto (ORÇ)'!C25)," ",'OutrosCusto (ORÇ)'!C25)</f>
        <v xml:space="preserve"> </v>
      </c>
      <c r="D25" s="1214"/>
      <c r="E25" s="1214"/>
      <c r="F25" s="1214"/>
      <c r="G25" s="1175"/>
      <c r="H25" s="581">
        <f>'OutrosCusto (ORÇ)'!H25</f>
        <v>0</v>
      </c>
      <c r="I25" s="585">
        <f>'OutrosCusto (ORÇ)'!I25</f>
        <v>0</v>
      </c>
      <c r="J25" s="133">
        <f>'OutrosCusto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IF(ISBLANK('OutrosCusto (ORÇ)'!C26)," ",'OutrosCusto (ORÇ)'!C26)</f>
        <v xml:space="preserve"> </v>
      </c>
      <c r="D26" s="1214"/>
      <c r="E26" s="1214"/>
      <c r="F26" s="1214"/>
      <c r="G26" s="1175"/>
      <c r="H26" s="581">
        <f>'OutrosCusto (ORÇ)'!H26</f>
        <v>0</v>
      </c>
      <c r="I26" s="585">
        <f>'OutrosCusto (ORÇ)'!I26</f>
        <v>0</v>
      </c>
      <c r="J26" s="133">
        <f>'OutrosCusto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IF(ISBLANK('OutrosCusto (ORÇ)'!C27)," ",'OutrosCusto (ORÇ)'!C27)</f>
        <v xml:space="preserve"> </v>
      </c>
      <c r="D27" s="1214"/>
      <c r="E27" s="1214"/>
      <c r="F27" s="1214"/>
      <c r="G27" s="1175"/>
      <c r="H27" s="581">
        <f>'OutrosCusto (ORÇ)'!H27</f>
        <v>0</v>
      </c>
      <c r="I27" s="585">
        <f>'OutrosCusto (ORÇ)'!I27</f>
        <v>0</v>
      </c>
      <c r="J27" s="133">
        <f>'OutrosCusto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IF(ISBLANK('OutrosCusto (ORÇ)'!C28)," ",'OutrosCusto (ORÇ)'!C28)</f>
        <v xml:space="preserve"> </v>
      </c>
      <c r="D28" s="1214"/>
      <c r="E28" s="1214"/>
      <c r="F28" s="1214"/>
      <c r="G28" s="1175"/>
      <c r="H28" s="581">
        <f>'OutrosCusto (ORÇ)'!H28</f>
        <v>0</v>
      </c>
      <c r="I28" s="585">
        <f>'OutrosCusto (ORÇ)'!I28</f>
        <v>0</v>
      </c>
      <c r="J28" s="133">
        <f>'OutrosCusto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IF(ISBLANK('OutrosCusto (ORÇ)'!C29)," ",'OutrosCusto (ORÇ)'!C29)</f>
        <v xml:space="preserve"> </v>
      </c>
      <c r="D29" s="1214"/>
      <c r="E29" s="1214"/>
      <c r="F29" s="1214"/>
      <c r="G29" s="1175"/>
      <c r="H29" s="581">
        <f>'OutrosCusto (ORÇ)'!H29</f>
        <v>0</v>
      </c>
      <c r="I29" s="585">
        <f>'OutrosCusto (ORÇ)'!I29</f>
        <v>0</v>
      </c>
      <c r="J29" s="133">
        <f>'OutrosCusto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IF(ISBLANK('OutrosCusto (ORÇ)'!C30)," ",'OutrosCusto (ORÇ)'!C30)</f>
        <v xml:space="preserve"> </v>
      </c>
      <c r="D30" s="1214"/>
      <c r="E30" s="1214"/>
      <c r="F30" s="1214"/>
      <c r="G30" s="1175"/>
      <c r="H30" s="581">
        <f>'OutrosCusto (ORÇ)'!H30</f>
        <v>0</v>
      </c>
      <c r="I30" s="585">
        <f>'OutrosCusto (ORÇ)'!I30</f>
        <v>0</v>
      </c>
      <c r="J30" s="133">
        <f>'OutrosCusto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ht="18" customHeight="1" outlineLevel="1" x14ac:dyDescent="0.25">
      <c r="B31" s="175">
        <v>24</v>
      </c>
      <c r="C31" s="1214" t="str">
        <f>IF(ISBLANK('OutrosCusto (ORÇ)'!C31)," ",'OutrosCusto (ORÇ)'!C31)</f>
        <v xml:space="preserve"> </v>
      </c>
      <c r="D31" s="1214"/>
      <c r="E31" s="1214"/>
      <c r="F31" s="1214"/>
      <c r="G31" s="1175"/>
      <c r="H31" s="581">
        <f>'OutrosCusto (ORÇ)'!H31</f>
        <v>0</v>
      </c>
      <c r="I31" s="585">
        <f>'OutrosCusto (ORÇ)'!I31</f>
        <v>0</v>
      </c>
      <c r="J31" s="133">
        <f>'OutrosCusto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ht="18" customHeight="1" outlineLevel="1" x14ac:dyDescent="0.25">
      <c r="B32" s="173">
        <v>25</v>
      </c>
      <c r="C32" s="1214" t="str">
        <f>IF(ISBLANK('OutrosCusto (ORÇ)'!C32)," ",'OutrosCusto (ORÇ)'!C32)</f>
        <v xml:space="preserve"> </v>
      </c>
      <c r="D32" s="1214"/>
      <c r="E32" s="1214"/>
      <c r="F32" s="1214"/>
      <c r="G32" s="1175"/>
      <c r="H32" s="581">
        <f>'OutrosCusto (ORÇ)'!H32</f>
        <v>0</v>
      </c>
      <c r="I32" s="585">
        <f>'OutrosCusto (ORÇ)'!I32</f>
        <v>0</v>
      </c>
      <c r="J32" s="133">
        <f>'OutrosCusto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ht="15" customHeight="1" outlineLevel="1" x14ac:dyDescent="0.25">
      <c r="B33" s="175">
        <v>26</v>
      </c>
      <c r="C33" s="1214" t="str">
        <f>IF(ISBLANK('OutrosCusto (ORÇ)'!C33)," ",'OutrosCusto (ORÇ)'!C33)</f>
        <v xml:space="preserve"> </v>
      </c>
      <c r="D33" s="1214"/>
      <c r="E33" s="1214"/>
      <c r="F33" s="1214"/>
      <c r="G33" s="1175"/>
      <c r="H33" s="581">
        <f>'OutrosCusto (ORÇ)'!H33</f>
        <v>0</v>
      </c>
      <c r="I33" s="585">
        <f>'OutrosCusto (ORÇ)'!I33</f>
        <v>0</v>
      </c>
      <c r="J33" s="133">
        <f>'OutrosCusto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outlineLevel="1" x14ac:dyDescent="0.25">
      <c r="B34" s="173">
        <v>27</v>
      </c>
      <c r="C34" s="1214" t="str">
        <f>IF(ISBLANK('OutrosCusto (ORÇ)'!C34)," ",'OutrosCusto (ORÇ)'!C34)</f>
        <v xml:space="preserve"> </v>
      </c>
      <c r="D34" s="1214"/>
      <c r="E34" s="1214"/>
      <c r="F34" s="1214"/>
      <c r="G34" s="1175"/>
      <c r="H34" s="581">
        <f>'OutrosCusto (ORÇ)'!H34</f>
        <v>0</v>
      </c>
      <c r="I34" s="585">
        <f>'OutrosCusto (ORÇ)'!I34</f>
        <v>0</v>
      </c>
      <c r="J34" s="133">
        <f>'OutrosCusto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IF(ISBLANK('OutrosCusto (ORÇ)'!C35)," ",'OutrosCusto (ORÇ)'!C35)</f>
        <v xml:space="preserve"> </v>
      </c>
      <c r="D35" s="1214"/>
      <c r="E35" s="1214"/>
      <c r="F35" s="1214"/>
      <c r="G35" s="1175"/>
      <c r="H35" s="581">
        <f>'OutrosCusto (ORÇ)'!H35</f>
        <v>0</v>
      </c>
      <c r="I35" s="585">
        <f>'OutrosCusto (ORÇ)'!I35</f>
        <v>0</v>
      </c>
      <c r="J35" s="133">
        <f>'OutrosCusto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IF(ISBLANK('OutrosCusto (ORÇ)'!C36)," ",'OutrosCusto (ORÇ)'!C36)</f>
        <v xml:space="preserve"> </v>
      </c>
      <c r="D36" s="1214"/>
      <c r="E36" s="1214"/>
      <c r="F36" s="1214"/>
      <c r="G36" s="1175"/>
      <c r="H36" s="581">
        <f>'OutrosCusto (ORÇ)'!H36</f>
        <v>0</v>
      </c>
      <c r="I36" s="585">
        <f>'OutrosCusto (ORÇ)'!I36</f>
        <v>0</v>
      </c>
      <c r="J36" s="133">
        <f>'OutrosCusto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IF(ISBLANK('OutrosCusto (ORÇ)'!C37)," ",'OutrosCusto (ORÇ)'!C37)</f>
        <v xml:space="preserve"> </v>
      </c>
      <c r="D37" s="1214"/>
      <c r="E37" s="1214"/>
      <c r="F37" s="1214"/>
      <c r="G37" s="1175"/>
      <c r="H37" s="581">
        <f>'OutrosCusto (ORÇ)'!H37</f>
        <v>0</v>
      </c>
      <c r="I37" s="585">
        <f>'OutrosCusto (ORÇ)'!I37</f>
        <v>0</v>
      </c>
      <c r="J37" s="133">
        <f>'OutrosCusto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IF(ISBLANK('OutrosCusto (ORÇ)'!C38)," ",'OutrosCusto (ORÇ)'!C38)</f>
        <v xml:space="preserve"> </v>
      </c>
      <c r="D38" s="1214"/>
      <c r="E38" s="1214"/>
      <c r="F38" s="1214"/>
      <c r="G38" s="1175"/>
      <c r="H38" s="581">
        <f>'OutrosCusto (ORÇ)'!H38</f>
        <v>0</v>
      </c>
      <c r="I38" s="585">
        <f>'OutrosCusto (ORÇ)'!I38</f>
        <v>0</v>
      </c>
      <c r="J38" s="133">
        <f>'OutrosCusto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ht="15" customHeight="1" outlineLevel="1" x14ac:dyDescent="0.25">
      <c r="B39" s="175">
        <v>32</v>
      </c>
      <c r="C39" s="1214" t="str">
        <f>IF(ISBLANK('OutrosCusto (ORÇ)'!C39)," ",'OutrosCusto (ORÇ)'!C39)</f>
        <v xml:space="preserve"> </v>
      </c>
      <c r="D39" s="1214"/>
      <c r="E39" s="1214"/>
      <c r="F39" s="1214"/>
      <c r="G39" s="1175"/>
      <c r="H39" s="581">
        <f>'OutrosCusto (ORÇ)'!H39</f>
        <v>0</v>
      </c>
      <c r="I39" s="585">
        <f>'OutrosCusto (ORÇ)'!I39</f>
        <v>0</v>
      </c>
      <c r="J39" s="133">
        <f>'OutrosCusto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IF(ISBLANK('OutrosCusto (ORÇ)'!C40)," ",'OutrosCusto (ORÇ)'!C40)</f>
        <v xml:space="preserve"> </v>
      </c>
      <c r="D40" s="1214"/>
      <c r="E40" s="1214"/>
      <c r="F40" s="1214"/>
      <c r="G40" s="1175"/>
      <c r="H40" s="581">
        <f>'OutrosCusto (ORÇ)'!H40</f>
        <v>0</v>
      </c>
      <c r="I40" s="585">
        <f>'OutrosCusto (ORÇ)'!I40</f>
        <v>0</v>
      </c>
      <c r="J40" s="133">
        <f>'OutrosCusto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IF(ISBLANK('OutrosCusto (ORÇ)'!C41)," ",'OutrosCusto (ORÇ)'!C41)</f>
        <v xml:space="preserve"> </v>
      </c>
      <c r="D41" s="1214"/>
      <c r="E41" s="1214"/>
      <c r="F41" s="1214"/>
      <c r="G41" s="1175"/>
      <c r="H41" s="581">
        <f>'OutrosCusto (ORÇ)'!H41</f>
        <v>0</v>
      </c>
      <c r="I41" s="585">
        <f>'OutrosCusto (ORÇ)'!I41</f>
        <v>0</v>
      </c>
      <c r="J41" s="133">
        <f>'OutrosCusto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IF(ISBLANK('OutrosCusto (ORÇ)'!C42)," ",'OutrosCusto (ORÇ)'!C42)</f>
        <v xml:space="preserve"> </v>
      </c>
      <c r="D42" s="1214"/>
      <c r="E42" s="1214"/>
      <c r="F42" s="1214"/>
      <c r="G42" s="1175"/>
      <c r="H42" s="581">
        <f>'OutrosCusto (ORÇ)'!H42</f>
        <v>0</v>
      </c>
      <c r="I42" s="585">
        <f>'OutrosCusto (ORÇ)'!I42</f>
        <v>0</v>
      </c>
      <c r="J42" s="133">
        <f>'OutrosCusto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ht="15" customHeight="1" outlineLevel="1" x14ac:dyDescent="0.25">
      <c r="B43" s="175">
        <v>36</v>
      </c>
      <c r="C43" s="1214" t="str">
        <f>IF(ISBLANK('OutrosCusto (ORÇ)'!C43)," ",'OutrosCusto (ORÇ)'!C43)</f>
        <v xml:space="preserve"> </v>
      </c>
      <c r="D43" s="1214"/>
      <c r="E43" s="1214"/>
      <c r="F43" s="1214"/>
      <c r="G43" s="1175"/>
      <c r="H43" s="581">
        <f>'OutrosCusto (ORÇ)'!H43</f>
        <v>0</v>
      </c>
      <c r="I43" s="585">
        <f>'OutrosCusto (ORÇ)'!I43</f>
        <v>0</v>
      </c>
      <c r="J43" s="133">
        <f>'OutrosCusto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IF(ISBLANK('OutrosCusto (ORÇ)'!C44)," ",'OutrosCusto (ORÇ)'!C44)</f>
        <v xml:space="preserve"> </v>
      </c>
      <c r="D44" s="1214"/>
      <c r="E44" s="1214"/>
      <c r="F44" s="1214"/>
      <c r="G44" s="1175"/>
      <c r="H44" s="581">
        <f>'OutrosCusto (ORÇ)'!H44</f>
        <v>0</v>
      </c>
      <c r="I44" s="585">
        <f>'OutrosCusto (ORÇ)'!I44</f>
        <v>0</v>
      </c>
      <c r="J44" s="133">
        <f>'OutrosCusto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IF(ISBLANK('OutrosCusto (ORÇ)'!C45)," ",'OutrosCusto (ORÇ)'!C45)</f>
        <v xml:space="preserve"> </v>
      </c>
      <c r="D45" s="1214"/>
      <c r="E45" s="1214"/>
      <c r="F45" s="1214"/>
      <c r="G45" s="1175"/>
      <c r="H45" s="581">
        <f>'OutrosCusto (ORÇ)'!H45</f>
        <v>0</v>
      </c>
      <c r="I45" s="585">
        <f>'OutrosCusto (ORÇ)'!I45</f>
        <v>0</v>
      </c>
      <c r="J45" s="133">
        <f>'OutrosCusto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IF(ISBLANK('OutrosCusto (ORÇ)'!C46)," ",'OutrosCusto (ORÇ)'!C46)</f>
        <v xml:space="preserve"> </v>
      </c>
      <c r="D46" s="1214"/>
      <c r="E46" s="1214"/>
      <c r="F46" s="1214"/>
      <c r="G46" s="1175"/>
      <c r="H46" s="581">
        <f>'OutrosCusto (ORÇ)'!H46</f>
        <v>0</v>
      </c>
      <c r="I46" s="585">
        <f>'OutrosCusto (ORÇ)'!I46</f>
        <v>0</v>
      </c>
      <c r="J46" s="133">
        <f>'OutrosCusto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ht="15" customHeight="1" outlineLevel="1" x14ac:dyDescent="0.25">
      <c r="B47" s="175">
        <v>40</v>
      </c>
      <c r="C47" s="1214" t="str">
        <f>IF(ISBLANK('OutrosCusto (ORÇ)'!C47)," ",'OutrosCusto (ORÇ)'!C47)</f>
        <v xml:space="preserve"> </v>
      </c>
      <c r="D47" s="1214"/>
      <c r="E47" s="1214"/>
      <c r="F47" s="1214"/>
      <c r="G47" s="1175"/>
      <c r="H47" s="581">
        <f>'OutrosCusto (ORÇ)'!H47</f>
        <v>0</v>
      </c>
      <c r="I47" s="585">
        <f>'OutrosCusto (ORÇ)'!I47</f>
        <v>0</v>
      </c>
      <c r="J47" s="133">
        <f>'OutrosCusto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IF(ISBLANK('OutrosCusto (ORÇ)'!C48)," ",'OutrosCusto (ORÇ)'!C48)</f>
        <v>Acessórios</v>
      </c>
      <c r="D48" s="1214"/>
      <c r="E48" s="1214"/>
      <c r="F48" s="1214"/>
      <c r="G48" s="1175"/>
      <c r="H48" s="581">
        <f>'OutrosCusto (ORÇ)'!H48</f>
        <v>20</v>
      </c>
      <c r="I48" s="585">
        <f>'OutrosCusto (ORÇ)'!I48</f>
        <v>0</v>
      </c>
      <c r="J48" s="133">
        <f>'OutrosCusto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20</v>
      </c>
      <c r="W48" s="345">
        <f t="shared" si="5"/>
        <v>0.10185220882315059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843</v>
      </c>
      <c r="D49" s="1186"/>
      <c r="E49" s="1186"/>
      <c r="F49" s="1186"/>
      <c r="G49" s="1186"/>
      <c r="H49" s="1186"/>
      <c r="I49" s="1186"/>
      <c r="J49" s="1187"/>
      <c r="K49" s="178">
        <f>SUM(K8:K48)</f>
        <v>0</v>
      </c>
      <c r="L49" s="178">
        <f>SUM(L8:L48)</f>
        <v>0</v>
      </c>
      <c r="M49" s="178">
        <f>SUM(M8:M48)</f>
        <v>0</v>
      </c>
      <c r="N49" s="178">
        <f>SUM(N8:N48)</f>
        <v>0</v>
      </c>
      <c r="O49" s="410"/>
      <c r="P49" s="1170" t="s">
        <v>852</v>
      </c>
      <c r="Q49" s="1171"/>
      <c r="R49" s="1171"/>
      <c r="S49" s="1171"/>
      <c r="T49" s="1171"/>
      <c r="U49" s="1171"/>
      <c r="V49" s="1172"/>
      <c r="W49" s="179" t="s">
        <v>856</v>
      </c>
      <c r="X49" s="180">
        <f>SUM(X8:X48)</f>
        <v>0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853</v>
      </c>
      <c r="Q50" s="1171"/>
      <c r="R50" s="1171"/>
      <c r="S50" s="1171"/>
      <c r="T50" s="1171"/>
      <c r="U50" s="1171"/>
      <c r="V50" s="1172"/>
      <c r="W50" s="179" t="s">
        <v>857</v>
      </c>
      <c r="X50" s="180">
        <f>IFERROR(X49*($L$86/$K$86),0)</f>
        <v>0</v>
      </c>
    </row>
    <row r="51" spans="2:24" ht="15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5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0</v>
      </c>
      <c r="L52" s="344">
        <f>'Custo Contábil'!J39</f>
        <v>0</v>
      </c>
      <c r="M52" s="344">
        <v>0</v>
      </c>
      <c r="N52" s="344">
        <v>0</v>
      </c>
      <c r="O52" s="410"/>
      <c r="P52" s="360" t="s">
        <v>854</v>
      </c>
      <c r="Q52" s="339"/>
      <c r="R52" s="184">
        <f>RCB!G11</f>
        <v>0</v>
      </c>
      <c r="T52" s="1212" t="s">
        <v>709</v>
      </c>
      <c r="U52" s="1213"/>
      <c r="V52" s="340">
        <f>IFERROR(SUM(Y8:Y48)/X49,0)</f>
        <v>0</v>
      </c>
    </row>
    <row r="53" spans="2:24" ht="18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0</v>
      </c>
      <c r="L53" s="344">
        <f>Diagnóstico!M19</f>
        <v>0</v>
      </c>
      <c r="M53" s="344">
        <f>Diagnóstico!N19</f>
        <v>0</v>
      </c>
      <c r="N53" s="344">
        <f>Diagnóstico!O19</f>
        <v>0</v>
      </c>
      <c r="O53" s="410"/>
      <c r="P53" s="360" t="s">
        <v>855</v>
      </c>
      <c r="Q53" s="339"/>
      <c r="R53" s="184">
        <f>RCB!J11</f>
        <v>0</v>
      </c>
    </row>
    <row r="54" spans="2:24" ht="15" customHeight="1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354" t="s">
        <v>295</v>
      </c>
      <c r="J54" s="354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ht="15" customHeight="1" x14ac:dyDescent="0.25">
      <c r="B55" s="173">
        <v>1</v>
      </c>
      <c r="C55" s="1214" t="str">
        <f>IF(ISBLANK('OutrosCusto (ORÇ)'!C60)," ",'OutrosCusto (ORÇ)'!C60)</f>
        <v xml:space="preserve"> </v>
      </c>
      <c r="D55" s="1214"/>
      <c r="E55" s="1214"/>
      <c r="F55" s="1214"/>
      <c r="G55" s="1175"/>
      <c r="H55" s="581">
        <f>'OutrosCusto (ORÇ)'!H60</f>
        <v>0</v>
      </c>
      <c r="I55" s="585">
        <f>'OutrosCusto (ORÇ)'!I60</f>
        <v>0</v>
      </c>
      <c r="J55" s="133">
        <f>'OutrosCusto (ORÇ)'!J60</f>
        <v>0</v>
      </c>
      <c r="K55" s="344">
        <f>H55*I55*J55</f>
        <v>0</v>
      </c>
      <c r="L55" s="344">
        <f>K55-M55-N55</f>
        <v>0</v>
      </c>
      <c r="M55" s="343"/>
      <c r="N55" s="343"/>
      <c r="O55" s="410"/>
    </row>
    <row r="56" spans="2:24" ht="15" customHeight="1" x14ac:dyDescent="0.25">
      <c r="B56" s="175">
        <v>2</v>
      </c>
      <c r="C56" s="1214" t="str">
        <f>IF(ISBLANK('OutrosCusto (ORÇ)'!C61)," ",'OutrosCusto (ORÇ)'!C61)</f>
        <v xml:space="preserve"> </v>
      </c>
      <c r="D56" s="1214"/>
      <c r="E56" s="1214"/>
      <c r="F56" s="1214"/>
      <c r="G56" s="1175"/>
      <c r="H56" s="581">
        <f>'OutrosCusto (ORÇ)'!H61</f>
        <v>0</v>
      </c>
      <c r="I56" s="585">
        <f>'OutrosCusto (ORÇ)'!I61</f>
        <v>0</v>
      </c>
      <c r="J56" s="133">
        <f>'OutrosCusto (ORÇ)'!J61</f>
        <v>0</v>
      </c>
      <c r="K56" s="344">
        <f>H56*I56*J56</f>
        <v>0</v>
      </c>
      <c r="L56" s="344">
        <f>K56-M56-N56</f>
        <v>0</v>
      </c>
      <c r="M56" s="343"/>
      <c r="N56" s="343"/>
      <c r="O56" s="410"/>
    </row>
    <row r="57" spans="2:24" ht="15" customHeight="1" x14ac:dyDescent="0.25">
      <c r="B57" s="173">
        <v>3</v>
      </c>
      <c r="C57" s="1214" t="str">
        <f>IF(ISBLANK('OutrosCusto (ORÇ)'!C62)," ",'OutrosCusto (ORÇ)'!C62)</f>
        <v xml:space="preserve"> </v>
      </c>
      <c r="D57" s="1214"/>
      <c r="E57" s="1214"/>
      <c r="F57" s="1214"/>
      <c r="G57" s="1175"/>
      <c r="H57" s="581">
        <f>'OutrosCusto (ORÇ)'!H62</f>
        <v>0</v>
      </c>
      <c r="I57" s="585">
        <f>'OutrosCusto (ORÇ)'!I62</f>
        <v>0</v>
      </c>
      <c r="J57" s="133">
        <f>'OutrosCusto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x14ac:dyDescent="0.25">
      <c r="B58" s="175">
        <v>4</v>
      </c>
      <c r="C58" s="1214" t="str">
        <f>IF(ISBLANK('OutrosCusto (ORÇ)'!C63)," ",'OutrosCusto (ORÇ)'!C63)</f>
        <v xml:space="preserve"> </v>
      </c>
      <c r="D58" s="1214"/>
      <c r="E58" s="1214"/>
      <c r="F58" s="1214"/>
      <c r="G58" s="1175"/>
      <c r="H58" s="581">
        <f>'OutrosCusto (ORÇ)'!H63</f>
        <v>0</v>
      </c>
      <c r="I58" s="585">
        <f>'OutrosCusto (ORÇ)'!I63</f>
        <v>0</v>
      </c>
      <c r="J58" s="133">
        <f>'OutrosCusto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x14ac:dyDescent="0.25">
      <c r="B59" s="173">
        <v>5</v>
      </c>
      <c r="C59" s="1214" t="str">
        <f>IF(ISBLANK('OutrosCusto (ORÇ)'!C64)," ",'OutrosCusto (ORÇ)'!C64)</f>
        <v xml:space="preserve"> </v>
      </c>
      <c r="D59" s="1214"/>
      <c r="E59" s="1214"/>
      <c r="F59" s="1214"/>
      <c r="G59" s="1175"/>
      <c r="H59" s="581">
        <f>'OutrosCusto (ORÇ)'!H64</f>
        <v>0</v>
      </c>
      <c r="I59" s="585">
        <f>'OutrosCusto (ORÇ)'!I64</f>
        <v>0</v>
      </c>
      <c r="J59" s="133">
        <f>'OutrosCusto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x14ac:dyDescent="0.25">
      <c r="B60" s="181"/>
      <c r="C60" s="1184" t="s">
        <v>844</v>
      </c>
      <c r="D60" s="1184"/>
      <c r="E60" s="1184"/>
      <c r="F60" s="1184"/>
      <c r="G60" s="1184"/>
      <c r="H60" s="1184"/>
      <c r="I60" s="1184"/>
      <c r="J60" s="1185"/>
      <c r="K60" s="344">
        <f>SUM(K55:K59)</f>
        <v>0</v>
      </c>
      <c r="L60" s="344">
        <f>SUM(L55:L59)</f>
        <v>0</v>
      </c>
      <c r="M60" s="344">
        <f>SUM(M55:M59)</f>
        <v>0</v>
      </c>
      <c r="N60" s="344">
        <f>SUM(N55:N59)</f>
        <v>0</v>
      </c>
      <c r="O60" s="410"/>
    </row>
    <row r="61" spans="2:24" ht="15" customHeight="1" x14ac:dyDescent="0.25">
      <c r="B61" s="337"/>
      <c r="C61" s="1186" t="s">
        <v>845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0</v>
      </c>
      <c r="L61" s="293">
        <f>SUM(L60,L52:L53)</f>
        <v>0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0</v>
      </c>
      <c r="L64" s="347">
        <f>'Custo Contábil'!J41</f>
        <v>0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354" t="s">
        <v>16</v>
      </c>
      <c r="J65" s="354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IF(ISBLANK('OutrosCusto (ORÇ)'!C76)," ",'OutrosCusto (ORÇ)'!C76)</f>
        <v xml:space="preserve"> </v>
      </c>
      <c r="D66" s="1174"/>
      <c r="E66" s="1174"/>
      <c r="F66" s="1174"/>
      <c r="G66" s="1174"/>
      <c r="H66" s="1183"/>
      <c r="I66" s="585">
        <f>'OutrosCusto (ORÇ)'!I76</f>
        <v>0</v>
      </c>
      <c r="J66" s="133">
        <f>'OutrosCusto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x14ac:dyDescent="0.25">
      <c r="B67" s="186">
        <v>2</v>
      </c>
      <c r="C67" s="1174" t="str">
        <f>IF(ISBLANK('OutrosCusto (ORÇ)'!C77)," ",'OutrosCusto (ORÇ)'!C77)</f>
        <v xml:space="preserve"> </v>
      </c>
      <c r="D67" s="1174"/>
      <c r="E67" s="1174"/>
      <c r="F67" s="1174"/>
      <c r="G67" s="1174"/>
      <c r="H67" s="1183"/>
      <c r="I67" s="585">
        <f>'OutrosCusto (ORÇ)'!I77</f>
        <v>0</v>
      </c>
      <c r="J67" s="133">
        <f>'OutrosCusto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IF(ISBLANK('OutrosCusto (ORÇ)'!C78)," ",'OutrosCusto (ORÇ)'!C78)</f>
        <v xml:space="preserve"> </v>
      </c>
      <c r="D68" s="1174"/>
      <c r="E68" s="1174"/>
      <c r="F68" s="1174"/>
      <c r="G68" s="1174"/>
      <c r="H68" s="1183"/>
      <c r="I68" s="585">
        <f>'OutrosCusto (ORÇ)'!I78</f>
        <v>0</v>
      </c>
      <c r="J68" s="133">
        <f>'OutrosCusto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846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847</v>
      </c>
      <c r="D70" s="1186"/>
      <c r="E70" s="1186"/>
      <c r="F70" s="1186"/>
      <c r="G70" s="1186"/>
      <c r="H70" s="1186"/>
      <c r="I70" s="1186"/>
      <c r="J70" s="1187"/>
      <c r="K70" s="178">
        <f>SUM(K64,K69)</f>
        <v>0</v>
      </c>
      <c r="L70" s="178">
        <f>SUM(L64,L69)</f>
        <v>0</v>
      </c>
      <c r="M70" s="178">
        <f>SUM(M64,M69)</f>
        <v>0</v>
      </c>
      <c r="N70" s="178">
        <f>SUM(N64,N69)</f>
        <v>0</v>
      </c>
      <c r="O70" s="410"/>
    </row>
    <row r="71" spans="2:16" x14ac:dyDescent="0.25">
      <c r="B71" s="341"/>
      <c r="C71" s="1179" t="s">
        <v>848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0</v>
      </c>
      <c r="L71" s="139">
        <f>SUM(L49,L61,L70)</f>
        <v>0</v>
      </c>
      <c r="M71" s="139">
        <f>SUM(M49,M61,M70)</f>
        <v>0</v>
      </c>
      <c r="N71" s="139">
        <f>SUM(N49,N61,N70)</f>
        <v>0</v>
      </c>
      <c r="O71" s="410"/>
    </row>
    <row r="72" spans="2:16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7">SUM(L74:N74)</f>
        <v>0</v>
      </c>
      <c r="L74" s="344">
        <f>'Custo Contábil'!$J$37*'Custo Contábil'!F13</f>
        <v>0</v>
      </c>
      <c r="M74" s="344">
        <v>0</v>
      </c>
      <c r="N74" s="344">
        <v>0</v>
      </c>
      <c r="O74" s="410"/>
    </row>
    <row r="75" spans="2:16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7"/>
        <v>0</v>
      </c>
      <c r="L75" s="344">
        <f>'Custo Contábil'!J45</f>
        <v>0</v>
      </c>
      <c r="M75" s="344">
        <v>0</v>
      </c>
      <c r="N75" s="344">
        <v>0</v>
      </c>
      <c r="O75" s="410"/>
    </row>
    <row r="76" spans="2:16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7"/>
        <v>0</v>
      </c>
      <c r="L76" s="344">
        <f>Marketing!L24</f>
        <v>0</v>
      </c>
      <c r="M76" s="344">
        <f>Marketing!M24</f>
        <v>0</v>
      </c>
      <c r="N76" s="344">
        <f>Marketing!N24</f>
        <v>0</v>
      </c>
      <c r="O76" s="410"/>
    </row>
    <row r="77" spans="2:16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7"/>
        <v>0</v>
      </c>
      <c r="L77" s="344">
        <f>Treinamento!L38</f>
        <v>0</v>
      </c>
      <c r="M77" s="344">
        <f>Treinamento!M38</f>
        <v>0</v>
      </c>
      <c r="N77" s="344">
        <f>Treinamento!N38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7"/>
        <v>0</v>
      </c>
      <c r="L78" s="344">
        <f>Descarte!L95</f>
        <v>0</v>
      </c>
      <c r="M78" s="344">
        <f>Descarte!M95</f>
        <v>0</v>
      </c>
      <c r="N78" s="344">
        <f>Descarte!N95</f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7"/>
        <v>0</v>
      </c>
      <c r="L79" s="344">
        <f>'M&amp;V'!N442</f>
        <v>0</v>
      </c>
      <c r="M79" s="344">
        <f>'M&amp;V'!O442</f>
        <v>0</v>
      </c>
      <c r="N79" s="344">
        <f>'M&amp;V'!P442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354" t="s">
        <v>16</v>
      </c>
      <c r="J80" s="354" t="s">
        <v>301</v>
      </c>
      <c r="K80" s="172" t="s">
        <v>286</v>
      </c>
      <c r="L80" s="354" t="s">
        <v>796</v>
      </c>
      <c r="M80" s="127" t="s">
        <v>240</v>
      </c>
      <c r="N80" s="127" t="s">
        <v>241</v>
      </c>
      <c r="O80" s="410"/>
    </row>
    <row r="81" spans="2:15" x14ac:dyDescent="0.25">
      <c r="B81" s="186">
        <v>1</v>
      </c>
      <c r="C81" s="1174" t="str">
        <f>IF(ISBLANK('OutrosCusto (ORÇ)'!C90)," ",'OutrosCusto (ORÇ)'!C90)</f>
        <v xml:space="preserve"> </v>
      </c>
      <c r="D81" s="1174"/>
      <c r="E81" s="1174"/>
      <c r="F81" s="1174"/>
      <c r="G81" s="1174"/>
      <c r="H81" s="1183"/>
      <c r="I81" s="585">
        <f>'OutrosCusto (ORÇ)'!I90</f>
        <v>0</v>
      </c>
      <c r="J81" s="133">
        <f>'OutrosCusto (ORÇ)'!J90</f>
        <v>0</v>
      </c>
      <c r="K81" s="344">
        <f>I81*J81</f>
        <v>0</v>
      </c>
      <c r="L81" s="344">
        <f>K81-M81-N81</f>
        <v>0</v>
      </c>
      <c r="M81" s="343"/>
      <c r="N81" s="343"/>
      <c r="O81" s="410"/>
    </row>
    <row r="82" spans="2:15" x14ac:dyDescent="0.25">
      <c r="B82" s="186">
        <v>2</v>
      </c>
      <c r="C82" s="1174" t="str">
        <f>IF(ISBLANK('OutrosCusto (ORÇ)'!C91)," ",'OutrosCusto (ORÇ)'!C91)</f>
        <v xml:space="preserve"> </v>
      </c>
      <c r="D82" s="1174"/>
      <c r="E82" s="1174"/>
      <c r="F82" s="1174"/>
      <c r="G82" s="1174"/>
      <c r="H82" s="1183"/>
      <c r="I82" s="585">
        <f>'OutrosCusto (ORÇ)'!I91</f>
        <v>0</v>
      </c>
      <c r="J82" s="133">
        <f>'OutrosCusto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IF(ISBLANK('OutrosCusto (ORÇ)'!C92)," ",'OutrosCusto (ORÇ)'!C92)</f>
        <v xml:space="preserve"> </v>
      </c>
      <c r="D83" s="1174"/>
      <c r="E83" s="1174"/>
      <c r="F83" s="1174"/>
      <c r="G83" s="1174"/>
      <c r="H83" s="1183"/>
      <c r="I83" s="585">
        <f>'OutrosCusto (ORÇ)'!I92</f>
        <v>0</v>
      </c>
      <c r="J83" s="133">
        <f>'OutrosCusto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x14ac:dyDescent="0.25">
      <c r="B84" s="181"/>
      <c r="C84" s="1184" t="s">
        <v>849</v>
      </c>
      <c r="D84" s="1184"/>
      <c r="E84" s="1184"/>
      <c r="F84" s="1184"/>
      <c r="G84" s="1184"/>
      <c r="H84" s="1184"/>
      <c r="I84" s="1184"/>
      <c r="J84" s="1185"/>
      <c r="K84" s="344">
        <f>SUM(K81:K83)</f>
        <v>0</v>
      </c>
      <c r="L84" s="344">
        <f>SUM(L81:L83)</f>
        <v>0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850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0</v>
      </c>
      <c r="L85" s="294">
        <f>SUM(L74:L79,L84)</f>
        <v>0</v>
      </c>
      <c r="M85" s="294">
        <f>SUM(M74:M79,M84)</f>
        <v>0</v>
      </c>
      <c r="N85" s="294">
        <f>SUM(N74:N79,N84)</f>
        <v>0</v>
      </c>
    </row>
    <row r="86" spans="2:15" x14ac:dyDescent="0.25">
      <c r="B86" s="187"/>
      <c r="C86" s="1181" t="s">
        <v>851</v>
      </c>
      <c r="D86" s="1181"/>
      <c r="E86" s="1181"/>
      <c r="F86" s="1181"/>
      <c r="G86" s="1181"/>
      <c r="H86" s="1181"/>
      <c r="I86" s="1181"/>
      <c r="J86" s="1182"/>
      <c r="K86" s="180">
        <f>SUM(K71,K85)</f>
        <v>0</v>
      </c>
      <c r="L86" s="180">
        <f>SUM(L71,L85)</f>
        <v>0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sheetProtection algorithmName="SHA-512" hashValue="fy75ssjVO47axuxgmoT32s1TJuejjrISq8W2hfhpjErjd+ZEIS4cuBQq47IcHSlkvBtYSc26tqypjSyVMsFxqg==" saltValue="+3ZNZNR1yhJCxgYkuGYF7w==" spinCount="100000" sheet="1" objects="1" scenarios="1"/>
  <mergeCells count="133">
    <mergeCell ref="C83:H83"/>
    <mergeCell ref="C84:J84"/>
    <mergeCell ref="C85:J85"/>
    <mergeCell ref="C86:J86"/>
    <mergeCell ref="C78:J78"/>
    <mergeCell ref="C79:J79"/>
    <mergeCell ref="B80:H80"/>
    <mergeCell ref="C81:H81"/>
    <mergeCell ref="C82:H82"/>
    <mergeCell ref="B73:G73"/>
    <mergeCell ref="C74:J74"/>
    <mergeCell ref="C75:J75"/>
    <mergeCell ref="C76:J76"/>
    <mergeCell ref="C77:J77"/>
    <mergeCell ref="C68:H68"/>
    <mergeCell ref="C69:J69"/>
    <mergeCell ref="C70:J70"/>
    <mergeCell ref="C71:J71"/>
    <mergeCell ref="B72:N72"/>
    <mergeCell ref="B63:G63"/>
    <mergeCell ref="C64:J64"/>
    <mergeCell ref="C65:H65"/>
    <mergeCell ref="C66:H66"/>
    <mergeCell ref="C67:H67"/>
    <mergeCell ref="C57:G57"/>
    <mergeCell ref="C58:G58"/>
    <mergeCell ref="C59:G59"/>
    <mergeCell ref="C60:J60"/>
    <mergeCell ref="B62:N62"/>
    <mergeCell ref="C61:J61"/>
    <mergeCell ref="P49:V49"/>
    <mergeCell ref="P50:V50"/>
    <mergeCell ref="B51:G51"/>
    <mergeCell ref="C52:G52"/>
    <mergeCell ref="T52:U52"/>
    <mergeCell ref="C46:G46"/>
    <mergeCell ref="Q46:U46"/>
    <mergeCell ref="C47:G47"/>
    <mergeCell ref="Q47:U47"/>
    <mergeCell ref="C48:G48"/>
    <mergeCell ref="Q48:U48"/>
    <mergeCell ref="C49:J49"/>
    <mergeCell ref="B50:N50"/>
    <mergeCell ref="C43:G43"/>
    <mergeCell ref="Q43:U43"/>
    <mergeCell ref="C44:G44"/>
    <mergeCell ref="Q44:U44"/>
    <mergeCell ref="C45:G45"/>
    <mergeCell ref="Q45:U45"/>
    <mergeCell ref="C40:G40"/>
    <mergeCell ref="Q40:U40"/>
    <mergeCell ref="C41:G41"/>
    <mergeCell ref="Q41:U41"/>
    <mergeCell ref="C42:G42"/>
    <mergeCell ref="Q42:U42"/>
    <mergeCell ref="Q36:U36"/>
    <mergeCell ref="Q37:U37"/>
    <mergeCell ref="Q38:U38"/>
    <mergeCell ref="C39:G39"/>
    <mergeCell ref="Q39:U39"/>
    <mergeCell ref="Q32:U32"/>
    <mergeCell ref="C33:G33"/>
    <mergeCell ref="Q33:U33"/>
    <mergeCell ref="Q34:U34"/>
    <mergeCell ref="Q35:U35"/>
    <mergeCell ref="Q31:U31"/>
    <mergeCell ref="C32:G32"/>
    <mergeCell ref="C19:G19"/>
    <mergeCell ref="Q19:U19"/>
    <mergeCell ref="C20:G20"/>
    <mergeCell ref="Q20:U20"/>
    <mergeCell ref="C21:G21"/>
    <mergeCell ref="Q21:U21"/>
    <mergeCell ref="C22:G22"/>
    <mergeCell ref="Q22:U22"/>
    <mergeCell ref="C23:G23"/>
    <mergeCell ref="Q23:U23"/>
    <mergeCell ref="C53:G53"/>
    <mergeCell ref="C54:G54"/>
    <mergeCell ref="C55:G55"/>
    <mergeCell ref="C56:G56"/>
    <mergeCell ref="C24:G24"/>
    <mergeCell ref="Q24:U24"/>
    <mergeCell ref="C34:G34"/>
    <mergeCell ref="C35:G35"/>
    <mergeCell ref="C37:G37"/>
    <mergeCell ref="C36:G36"/>
    <mergeCell ref="C27:G27"/>
    <mergeCell ref="Q27:U27"/>
    <mergeCell ref="C25:G25"/>
    <mergeCell ref="Q25:U25"/>
    <mergeCell ref="C26:G26"/>
    <mergeCell ref="Q26:U26"/>
    <mergeCell ref="C29:G29"/>
    <mergeCell ref="Q29:U29"/>
    <mergeCell ref="C38:G38"/>
    <mergeCell ref="Q28:U28"/>
    <mergeCell ref="C28:G28"/>
    <mergeCell ref="C30:G30"/>
    <mergeCell ref="Q30:U30"/>
    <mergeCell ref="C31:G31"/>
    <mergeCell ref="C16:G16"/>
    <mergeCell ref="Q16:U16"/>
    <mergeCell ref="C17:G17"/>
    <mergeCell ref="Q17:U17"/>
    <mergeCell ref="C18:G18"/>
    <mergeCell ref="Q18:U18"/>
    <mergeCell ref="C13:G13"/>
    <mergeCell ref="Q13:U13"/>
    <mergeCell ref="C14:G14"/>
    <mergeCell ref="Q14:U14"/>
    <mergeCell ref="C15:G15"/>
    <mergeCell ref="Q15:U15"/>
    <mergeCell ref="C10:G10"/>
    <mergeCell ref="Q10:U10"/>
    <mergeCell ref="C11:G11"/>
    <mergeCell ref="Q11:U11"/>
    <mergeCell ref="C12:G12"/>
    <mergeCell ref="Q12:U12"/>
    <mergeCell ref="B2:N2"/>
    <mergeCell ref="C9:G9"/>
    <mergeCell ref="Q9:U9"/>
    <mergeCell ref="B3:K4"/>
    <mergeCell ref="B5:N5"/>
    <mergeCell ref="P6:X6"/>
    <mergeCell ref="B7:G7"/>
    <mergeCell ref="P7:U7"/>
    <mergeCell ref="C8:G8"/>
    <mergeCell ref="Q8:U8"/>
    <mergeCell ref="P2:X2"/>
    <mergeCell ref="L3:N3"/>
    <mergeCell ref="P3:X4"/>
    <mergeCell ref="B6:N6"/>
  </mergeCells>
  <conditionalFormatting sqref="R29:R30 R88:R89">
    <cfRule type="cellIs" dxfId="34" priority="4" operator="lessThan">
      <formula>0</formula>
    </cfRule>
  </conditionalFormatting>
  <conditionalFormatting sqref="R29:R30 R88:R89">
    <cfRule type="cellIs" dxfId="33" priority="3" operator="lessThan">
      <formula>0</formula>
    </cfRule>
  </conditionalFormatting>
  <conditionalFormatting sqref="R31:R32">
    <cfRule type="cellIs" dxfId="32" priority="2" operator="lessThan">
      <formula>0</formula>
    </cfRule>
  </conditionalFormatting>
  <conditionalFormatting sqref="R52:R53">
    <cfRule type="cellIs" dxfId="31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9">
    <tabColor theme="3"/>
  </sheetPr>
  <dimension ref="B2:BE62"/>
  <sheetViews>
    <sheetView showGridLines="0" zoomScale="80" zoomScaleNormal="80" workbookViewId="0">
      <pane xSplit="7" ySplit="2" topLeftCell="H3" activePane="bottomRight" state="frozen"/>
      <selection activeCell="H20" sqref="H20"/>
      <selection pane="topRight" activeCell="H20" sqref="H20"/>
      <selection pane="bottomLeft" activeCell="H20" sqref="H20"/>
      <selection pane="bottomRight" activeCell="H5" sqref="H5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42578125" style="424" customWidth="1"/>
    <col min="4" max="4" width="11.425781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27" width="11.42578125" style="424" customWidth="1"/>
    <col min="28" max="16384" width="9.140625" style="424"/>
  </cols>
  <sheetData>
    <row r="2" spans="2:27" ht="22.5" customHeight="1" x14ac:dyDescent="0.2">
      <c r="B2" s="1190" t="s">
        <v>794</v>
      </c>
      <c r="C2" s="1190"/>
      <c r="D2" s="1190"/>
      <c r="E2" s="1190"/>
      <c r="F2" s="1190"/>
      <c r="G2" s="1190"/>
    </row>
    <row r="3" spans="2:27" x14ac:dyDescent="0.2">
      <c r="B3" s="1191" t="s">
        <v>689</v>
      </c>
      <c r="C3" s="1192"/>
      <c r="D3" s="1192"/>
      <c r="E3" s="1192"/>
      <c r="F3" s="1192"/>
      <c r="G3" s="358" t="s">
        <v>31</v>
      </c>
      <c r="H3" s="428" t="s">
        <v>641</v>
      </c>
      <c r="I3" s="428" t="s">
        <v>642</v>
      </c>
      <c r="J3" s="428" t="s">
        <v>643</v>
      </c>
      <c r="K3" s="428" t="s">
        <v>644</v>
      </c>
      <c r="L3" s="428" t="s">
        <v>645</v>
      </c>
      <c r="M3" s="428" t="s">
        <v>646</v>
      </c>
      <c r="N3" s="428" t="s">
        <v>647</v>
      </c>
      <c r="O3" s="428" t="s">
        <v>648</v>
      </c>
      <c r="P3" s="428" t="s">
        <v>649</v>
      </c>
      <c r="Q3" s="428" t="s">
        <v>650</v>
      </c>
      <c r="R3" s="428" t="s">
        <v>651</v>
      </c>
      <c r="S3" s="428" t="s">
        <v>652</v>
      </c>
      <c r="T3" s="428" t="s">
        <v>653</v>
      </c>
      <c r="U3" s="428" t="s">
        <v>654</v>
      </c>
      <c r="V3" s="428" t="s">
        <v>655</v>
      </c>
      <c r="W3" s="428" t="s">
        <v>656</v>
      </c>
      <c r="X3" s="428" t="s">
        <v>657</v>
      </c>
      <c r="Y3" s="428" t="s">
        <v>658</v>
      </c>
      <c r="Z3" s="428" t="s">
        <v>659</v>
      </c>
      <c r="AA3" s="428" t="s">
        <v>660</v>
      </c>
    </row>
    <row r="4" spans="2:27" s="423" customFormat="1" x14ac:dyDescent="0.2">
      <c r="B4" s="1191" t="s">
        <v>862</v>
      </c>
      <c r="C4" s="1192"/>
      <c r="D4" s="1192"/>
      <c r="E4" s="1192"/>
      <c r="F4" s="1192"/>
      <c r="G4" s="192" t="s">
        <v>31</v>
      </c>
      <c r="H4" s="193" t="s">
        <v>641</v>
      </c>
      <c r="I4" s="193" t="s">
        <v>642</v>
      </c>
      <c r="J4" s="193" t="s">
        <v>643</v>
      </c>
      <c r="K4" s="193" t="s">
        <v>644</v>
      </c>
      <c r="L4" s="193" t="s">
        <v>645</v>
      </c>
      <c r="M4" s="193" t="s">
        <v>646</v>
      </c>
      <c r="N4" s="193" t="s">
        <v>647</v>
      </c>
      <c r="O4" s="193" t="s">
        <v>648</v>
      </c>
      <c r="P4" s="193" t="s">
        <v>649</v>
      </c>
      <c r="Q4" s="193" t="s">
        <v>650</v>
      </c>
      <c r="R4" s="193" t="s">
        <v>651</v>
      </c>
      <c r="S4" s="193" t="s">
        <v>652</v>
      </c>
      <c r="T4" s="193" t="s">
        <v>653</v>
      </c>
      <c r="U4" s="193" t="s">
        <v>654</v>
      </c>
      <c r="V4" s="193" t="s">
        <v>655</v>
      </c>
      <c r="W4" s="193" t="s">
        <v>656</v>
      </c>
      <c r="X4" s="193" t="s">
        <v>657</v>
      </c>
      <c r="Y4" s="193" t="s">
        <v>658</v>
      </c>
      <c r="Z4" s="193" t="s">
        <v>659</v>
      </c>
      <c r="AA4" s="193" t="s">
        <v>660</v>
      </c>
    </row>
    <row r="5" spans="2:27" x14ac:dyDescent="0.2">
      <c r="B5" s="189">
        <v>1</v>
      </c>
      <c r="C5" s="194" t="s">
        <v>359</v>
      </c>
      <c r="D5" s="194"/>
      <c r="E5" s="195"/>
      <c r="F5" s="196"/>
      <c r="G5" s="197"/>
      <c r="H5" s="736"/>
      <c r="I5" s="736"/>
      <c r="J5" s="736"/>
      <c r="K5" s="736"/>
      <c r="L5" s="736"/>
      <c r="M5" s="736"/>
      <c r="N5" s="736"/>
      <c r="O5" s="736"/>
      <c r="P5" s="736"/>
      <c r="Q5" s="736"/>
      <c r="R5" s="736"/>
      <c r="S5" s="736"/>
      <c r="T5" s="736"/>
      <c r="U5" s="736"/>
      <c r="V5" s="736"/>
      <c r="W5" s="736"/>
      <c r="X5" s="736"/>
      <c r="Y5" s="736"/>
      <c r="Z5" s="736"/>
      <c r="AA5" s="736"/>
    </row>
    <row r="6" spans="2:27" ht="18" x14ac:dyDescent="0.2">
      <c r="B6" s="189">
        <f>B5+1</f>
        <v>2</v>
      </c>
      <c r="C6" s="194" t="s">
        <v>661</v>
      </c>
      <c r="D6" s="194"/>
      <c r="E6" s="199" t="s">
        <v>362</v>
      </c>
      <c r="F6" s="200" t="s">
        <v>405</v>
      </c>
      <c r="G6" s="209">
        <f>SUM(H6:AA6)</f>
        <v>0</v>
      </c>
      <c r="H6" s="764"/>
      <c r="I6" s="764"/>
      <c r="J6" s="764"/>
      <c r="K6" s="764"/>
      <c r="L6" s="764"/>
      <c r="M6" s="764"/>
      <c r="N6" s="764"/>
      <c r="O6" s="764"/>
      <c r="P6" s="764"/>
      <c r="Q6" s="764"/>
      <c r="R6" s="764"/>
      <c r="S6" s="764"/>
      <c r="T6" s="764"/>
      <c r="U6" s="764"/>
      <c r="V6" s="764"/>
      <c r="W6" s="764"/>
      <c r="X6" s="764"/>
      <c r="Y6" s="764"/>
      <c r="Z6" s="764"/>
      <c r="AA6" s="764"/>
    </row>
    <row r="7" spans="2:27" ht="18" x14ac:dyDescent="0.2">
      <c r="B7" s="189">
        <f>B6+1</f>
        <v>3</v>
      </c>
      <c r="C7" s="194" t="s">
        <v>16</v>
      </c>
      <c r="D7" s="194"/>
      <c r="E7" s="199"/>
      <c r="F7" s="200" t="s">
        <v>404</v>
      </c>
      <c r="G7" s="202">
        <f>SUM(H7:AA7)</f>
        <v>0</v>
      </c>
      <c r="H7" s="739"/>
      <c r="I7" s="739"/>
      <c r="J7" s="739"/>
      <c r="K7" s="739"/>
      <c r="L7" s="739"/>
      <c r="M7" s="739"/>
      <c r="N7" s="739"/>
      <c r="O7" s="739"/>
      <c r="P7" s="739"/>
      <c r="Q7" s="739"/>
      <c r="R7" s="739"/>
      <c r="S7" s="739"/>
      <c r="T7" s="739"/>
      <c r="U7" s="739"/>
      <c r="V7" s="739"/>
      <c r="W7" s="739"/>
      <c r="X7" s="739"/>
      <c r="Y7" s="739"/>
      <c r="Z7" s="739"/>
      <c r="AA7" s="739"/>
    </row>
    <row r="8" spans="2:27" ht="18" x14ac:dyDescent="0.2">
      <c r="B8" s="247">
        <f>B7+1</f>
        <v>4</v>
      </c>
      <c r="C8" s="194" t="s">
        <v>368</v>
      </c>
      <c r="D8" s="194"/>
      <c r="E8" s="199" t="s">
        <v>369</v>
      </c>
      <c r="F8" s="200" t="s">
        <v>370</v>
      </c>
      <c r="G8" s="209">
        <f>SUM(H8:AA8)</f>
        <v>0</v>
      </c>
      <c r="H8" s="203">
        <f>H6*H7*0.001</f>
        <v>0</v>
      </c>
      <c r="I8" s="203">
        <f t="shared" ref="I8:AA8" si="0">I6*I7*0.001</f>
        <v>0</v>
      </c>
      <c r="J8" s="203">
        <f t="shared" si="0"/>
        <v>0</v>
      </c>
      <c r="K8" s="203">
        <f t="shared" si="0"/>
        <v>0</v>
      </c>
      <c r="L8" s="203">
        <f t="shared" si="0"/>
        <v>0</v>
      </c>
      <c r="M8" s="203">
        <f t="shared" si="0"/>
        <v>0</v>
      </c>
      <c r="N8" s="203">
        <f t="shared" si="0"/>
        <v>0</v>
      </c>
      <c r="O8" s="203">
        <f t="shared" si="0"/>
        <v>0</v>
      </c>
      <c r="P8" s="203">
        <f t="shared" si="0"/>
        <v>0</v>
      </c>
      <c r="Q8" s="203">
        <f t="shared" si="0"/>
        <v>0</v>
      </c>
      <c r="R8" s="203">
        <f t="shared" si="0"/>
        <v>0</v>
      </c>
      <c r="S8" s="203">
        <f t="shared" si="0"/>
        <v>0</v>
      </c>
      <c r="T8" s="203">
        <f t="shared" si="0"/>
        <v>0</v>
      </c>
      <c r="U8" s="203">
        <f t="shared" si="0"/>
        <v>0</v>
      </c>
      <c r="V8" s="203">
        <f t="shared" si="0"/>
        <v>0</v>
      </c>
      <c r="W8" s="203">
        <f t="shared" si="0"/>
        <v>0</v>
      </c>
      <c r="X8" s="203">
        <f t="shared" si="0"/>
        <v>0</v>
      </c>
      <c r="Y8" s="203">
        <f t="shared" si="0"/>
        <v>0</v>
      </c>
      <c r="Z8" s="203">
        <f t="shared" si="0"/>
        <v>0</v>
      </c>
      <c r="AA8" s="203">
        <f t="shared" si="0"/>
        <v>0</v>
      </c>
    </row>
    <row r="9" spans="2:27" x14ac:dyDescent="0.2">
      <c r="B9" s="1195">
        <f>B8+1</f>
        <v>5</v>
      </c>
      <c r="C9" s="194" t="s">
        <v>371</v>
      </c>
      <c r="D9" s="194"/>
      <c r="E9" s="199" t="s">
        <v>372</v>
      </c>
      <c r="F9" s="200"/>
      <c r="G9" s="204"/>
      <c r="H9" s="740"/>
      <c r="I9" s="740"/>
      <c r="J9" s="740"/>
      <c r="K9" s="740"/>
      <c r="L9" s="740"/>
      <c r="M9" s="740"/>
      <c r="N9" s="740"/>
      <c r="O9" s="740"/>
      <c r="P9" s="740"/>
      <c r="Q9" s="740"/>
      <c r="R9" s="740"/>
      <c r="S9" s="740"/>
      <c r="T9" s="740"/>
      <c r="U9" s="740"/>
      <c r="V9" s="740"/>
      <c r="W9" s="740"/>
      <c r="X9" s="740"/>
      <c r="Y9" s="740"/>
      <c r="Z9" s="740"/>
      <c r="AA9" s="740"/>
    </row>
    <row r="10" spans="2:27" x14ac:dyDescent="0.2">
      <c r="B10" s="1196"/>
      <c r="C10" s="205" t="s">
        <v>373</v>
      </c>
      <c r="D10" s="205"/>
      <c r="E10" s="206" t="s">
        <v>374</v>
      </c>
      <c r="F10" s="200"/>
      <c r="G10" s="204"/>
      <c r="H10" s="741"/>
      <c r="I10" s="741"/>
      <c r="J10" s="741"/>
      <c r="K10" s="741"/>
      <c r="L10" s="741"/>
      <c r="M10" s="741"/>
      <c r="N10" s="741"/>
      <c r="O10" s="741"/>
      <c r="P10" s="741"/>
      <c r="Q10" s="741"/>
      <c r="R10" s="741"/>
      <c r="S10" s="741"/>
      <c r="T10" s="741"/>
      <c r="U10" s="741"/>
      <c r="V10" s="741"/>
      <c r="W10" s="741"/>
      <c r="X10" s="741"/>
      <c r="Y10" s="741"/>
      <c r="Z10" s="741"/>
      <c r="AA10" s="741"/>
    </row>
    <row r="11" spans="2:27" ht="18" x14ac:dyDescent="0.2">
      <c r="B11" s="1197"/>
      <c r="C11" s="194" t="s">
        <v>375</v>
      </c>
      <c r="D11" s="194"/>
      <c r="E11" s="199" t="s">
        <v>376</v>
      </c>
      <c r="F11" s="200" t="s">
        <v>377</v>
      </c>
      <c r="G11" s="204"/>
      <c r="H11" s="207">
        <f>H9*H10</f>
        <v>0</v>
      </c>
      <c r="I11" s="207">
        <f t="shared" ref="I11:AA11" si="1">I9*I10</f>
        <v>0</v>
      </c>
      <c r="J11" s="207">
        <f t="shared" si="1"/>
        <v>0</v>
      </c>
      <c r="K11" s="207">
        <f t="shared" si="1"/>
        <v>0</v>
      </c>
      <c r="L11" s="207">
        <f t="shared" si="1"/>
        <v>0</v>
      </c>
      <c r="M11" s="207">
        <f t="shared" si="1"/>
        <v>0</v>
      </c>
      <c r="N11" s="207">
        <f t="shared" si="1"/>
        <v>0</v>
      </c>
      <c r="O11" s="207">
        <f t="shared" si="1"/>
        <v>0</v>
      </c>
      <c r="P11" s="207">
        <f t="shared" si="1"/>
        <v>0</v>
      </c>
      <c r="Q11" s="207">
        <f t="shared" si="1"/>
        <v>0</v>
      </c>
      <c r="R11" s="207">
        <f t="shared" si="1"/>
        <v>0</v>
      </c>
      <c r="S11" s="207">
        <f t="shared" si="1"/>
        <v>0</v>
      </c>
      <c r="T11" s="207">
        <f t="shared" si="1"/>
        <v>0</v>
      </c>
      <c r="U11" s="207">
        <f t="shared" si="1"/>
        <v>0</v>
      </c>
      <c r="V11" s="207">
        <f t="shared" si="1"/>
        <v>0</v>
      </c>
      <c r="W11" s="207">
        <f t="shared" si="1"/>
        <v>0</v>
      </c>
      <c r="X11" s="207">
        <f t="shared" si="1"/>
        <v>0</v>
      </c>
      <c r="Y11" s="207">
        <f t="shared" si="1"/>
        <v>0</v>
      </c>
      <c r="Z11" s="207">
        <f t="shared" si="1"/>
        <v>0</v>
      </c>
      <c r="AA11" s="207">
        <f t="shared" si="1"/>
        <v>0</v>
      </c>
    </row>
    <row r="12" spans="2:27" x14ac:dyDescent="0.2">
      <c r="B12" s="1195">
        <f>B9+1</f>
        <v>6</v>
      </c>
      <c r="C12" s="194" t="s">
        <v>702</v>
      </c>
      <c r="D12" s="194"/>
      <c r="E12" s="199" t="s">
        <v>279</v>
      </c>
      <c r="F12" s="200" t="s">
        <v>697</v>
      </c>
      <c r="G12" s="299">
        <v>12</v>
      </c>
      <c r="H12" s="739"/>
      <c r="I12" s="739"/>
      <c r="J12" s="739"/>
      <c r="K12" s="739"/>
      <c r="L12" s="739"/>
      <c r="M12" s="739"/>
      <c r="N12" s="739"/>
      <c r="O12" s="739"/>
      <c r="P12" s="739"/>
      <c r="Q12" s="739"/>
      <c r="R12" s="739"/>
      <c r="S12" s="739"/>
      <c r="T12" s="739"/>
      <c r="U12" s="739"/>
      <c r="V12" s="739"/>
      <c r="W12" s="739"/>
      <c r="X12" s="739"/>
      <c r="Y12" s="739"/>
      <c r="Z12" s="739"/>
      <c r="AA12" s="739"/>
    </row>
    <row r="13" spans="2:27" x14ac:dyDescent="0.2">
      <c r="B13" s="1196"/>
      <c r="C13" s="194" t="s">
        <v>703</v>
      </c>
      <c r="D13" s="194"/>
      <c r="E13" s="195" t="s">
        <v>700</v>
      </c>
      <c r="F13" s="200" t="s">
        <v>698</v>
      </c>
      <c r="G13" s="299">
        <v>22</v>
      </c>
      <c r="H13" s="739"/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</row>
    <row r="14" spans="2:27" x14ac:dyDescent="0.2">
      <c r="B14" s="1196"/>
      <c r="C14" s="194" t="s">
        <v>704</v>
      </c>
      <c r="D14" s="194"/>
      <c r="E14" s="195" t="s">
        <v>701</v>
      </c>
      <c r="F14" s="200" t="s">
        <v>699</v>
      </c>
      <c r="G14" s="299">
        <v>3</v>
      </c>
      <c r="H14" s="739"/>
      <c r="I14" s="739"/>
      <c r="J14" s="739"/>
      <c r="K14" s="739"/>
      <c r="L14" s="739"/>
      <c r="M14" s="739"/>
      <c r="N14" s="739"/>
      <c r="O14" s="739"/>
      <c r="P14" s="739"/>
      <c r="Q14" s="739"/>
      <c r="R14" s="739"/>
      <c r="S14" s="739"/>
      <c r="T14" s="739"/>
      <c r="U14" s="739"/>
      <c r="V14" s="739"/>
      <c r="W14" s="739"/>
      <c r="X14" s="739"/>
      <c r="Y14" s="739"/>
      <c r="Z14" s="739"/>
      <c r="AA14" s="739"/>
    </row>
    <row r="15" spans="2:27" ht="18" x14ac:dyDescent="0.2">
      <c r="B15" s="1196"/>
      <c r="C15" s="194" t="s">
        <v>378</v>
      </c>
      <c r="D15" s="194"/>
      <c r="E15" s="199" t="s">
        <v>362</v>
      </c>
      <c r="F15" s="200" t="s">
        <v>379</v>
      </c>
      <c r="G15" s="209">
        <f>SUM(H15:AA15)</f>
        <v>0</v>
      </c>
      <c r="H15" s="208">
        <f>H8*((H13*H12*H14)/($G$12*$G$13*$G$14))</f>
        <v>0</v>
      </c>
      <c r="I15" s="208">
        <f t="shared" ref="I15:AA15" si="2">I8*((I13*I12*I14)/($G$12*$G$13*$G$14))</f>
        <v>0</v>
      </c>
      <c r="J15" s="208">
        <f t="shared" si="2"/>
        <v>0</v>
      </c>
      <c r="K15" s="208">
        <f t="shared" si="2"/>
        <v>0</v>
      </c>
      <c r="L15" s="208">
        <f t="shared" si="2"/>
        <v>0</v>
      </c>
      <c r="M15" s="208">
        <f t="shared" si="2"/>
        <v>0</v>
      </c>
      <c r="N15" s="208">
        <f t="shared" si="2"/>
        <v>0</v>
      </c>
      <c r="O15" s="208">
        <f t="shared" si="2"/>
        <v>0</v>
      </c>
      <c r="P15" s="208">
        <f t="shared" si="2"/>
        <v>0</v>
      </c>
      <c r="Q15" s="208">
        <f t="shared" si="2"/>
        <v>0</v>
      </c>
      <c r="R15" s="208">
        <f t="shared" si="2"/>
        <v>0</v>
      </c>
      <c r="S15" s="208">
        <f t="shared" si="2"/>
        <v>0</v>
      </c>
      <c r="T15" s="208">
        <f t="shared" si="2"/>
        <v>0</v>
      </c>
      <c r="U15" s="208">
        <f t="shared" si="2"/>
        <v>0</v>
      </c>
      <c r="V15" s="208">
        <f t="shared" si="2"/>
        <v>0</v>
      </c>
      <c r="W15" s="208">
        <f t="shared" si="2"/>
        <v>0</v>
      </c>
      <c r="X15" s="208">
        <f t="shared" si="2"/>
        <v>0</v>
      </c>
      <c r="Y15" s="208">
        <f t="shared" si="2"/>
        <v>0</v>
      </c>
      <c r="Z15" s="208">
        <f t="shared" si="2"/>
        <v>0</v>
      </c>
      <c r="AA15" s="208">
        <f t="shared" si="2"/>
        <v>0</v>
      </c>
    </row>
    <row r="16" spans="2:27" ht="18" x14ac:dyDescent="0.2">
      <c r="B16" s="1197"/>
      <c r="C16" s="194" t="s">
        <v>380</v>
      </c>
      <c r="D16" s="194"/>
      <c r="E16" s="194"/>
      <c r="F16" s="200" t="s">
        <v>381</v>
      </c>
      <c r="G16" s="204" t="str">
        <f>IF(LARGE(H16:AA16,1)&gt;1,"ERRO","")</f>
        <v/>
      </c>
      <c r="H16" s="208">
        <f>IFERROR(H15/H8,0)</f>
        <v>0</v>
      </c>
      <c r="I16" s="208">
        <f t="shared" ref="I16:AA16" si="3">IFERROR(I15/I8,0)</f>
        <v>0</v>
      </c>
      <c r="J16" s="208">
        <f t="shared" si="3"/>
        <v>0</v>
      </c>
      <c r="K16" s="208">
        <f t="shared" si="3"/>
        <v>0</v>
      </c>
      <c r="L16" s="208">
        <f t="shared" si="3"/>
        <v>0</v>
      </c>
      <c r="M16" s="208">
        <f t="shared" si="3"/>
        <v>0</v>
      </c>
      <c r="N16" s="208">
        <f t="shared" si="3"/>
        <v>0</v>
      </c>
      <c r="O16" s="208">
        <f t="shared" si="3"/>
        <v>0</v>
      </c>
      <c r="P16" s="208">
        <f t="shared" si="3"/>
        <v>0</v>
      </c>
      <c r="Q16" s="208">
        <f t="shared" si="3"/>
        <v>0</v>
      </c>
      <c r="R16" s="208">
        <f t="shared" si="3"/>
        <v>0</v>
      </c>
      <c r="S16" s="208">
        <f t="shared" si="3"/>
        <v>0</v>
      </c>
      <c r="T16" s="208">
        <f t="shared" si="3"/>
        <v>0</v>
      </c>
      <c r="U16" s="208">
        <f t="shared" si="3"/>
        <v>0</v>
      </c>
      <c r="V16" s="208">
        <f t="shared" si="3"/>
        <v>0</v>
      </c>
      <c r="W16" s="208">
        <f t="shared" si="3"/>
        <v>0</v>
      </c>
      <c r="X16" s="208">
        <f t="shared" si="3"/>
        <v>0</v>
      </c>
      <c r="Y16" s="208">
        <f t="shared" si="3"/>
        <v>0</v>
      </c>
      <c r="Z16" s="208">
        <f t="shared" si="3"/>
        <v>0</v>
      </c>
      <c r="AA16" s="208">
        <f t="shared" si="3"/>
        <v>0</v>
      </c>
    </row>
    <row r="17" spans="2:27" ht="18" x14ac:dyDescent="0.2">
      <c r="B17" s="189">
        <f>B12+1</f>
        <v>7</v>
      </c>
      <c r="C17" s="194" t="s">
        <v>382</v>
      </c>
      <c r="D17" s="194"/>
      <c r="E17" s="199" t="s">
        <v>383</v>
      </c>
      <c r="F17" s="200" t="s">
        <v>384</v>
      </c>
      <c r="G17" s="209">
        <f>SUM(H17:AA17)</f>
        <v>0</v>
      </c>
      <c r="H17" s="207">
        <f>H8*H11*0.001</f>
        <v>0</v>
      </c>
      <c r="I17" s="207">
        <f t="shared" ref="I17:AA17" si="4">I8*I11*0.001</f>
        <v>0</v>
      </c>
      <c r="J17" s="207">
        <f t="shared" si="4"/>
        <v>0</v>
      </c>
      <c r="K17" s="207">
        <f t="shared" si="4"/>
        <v>0</v>
      </c>
      <c r="L17" s="207">
        <f t="shared" si="4"/>
        <v>0</v>
      </c>
      <c r="M17" s="207">
        <f t="shared" si="4"/>
        <v>0</v>
      </c>
      <c r="N17" s="207">
        <f t="shared" si="4"/>
        <v>0</v>
      </c>
      <c r="O17" s="207">
        <f t="shared" si="4"/>
        <v>0</v>
      </c>
      <c r="P17" s="207">
        <f t="shared" si="4"/>
        <v>0</v>
      </c>
      <c r="Q17" s="207">
        <f t="shared" si="4"/>
        <v>0</v>
      </c>
      <c r="R17" s="207">
        <f t="shared" si="4"/>
        <v>0</v>
      </c>
      <c r="S17" s="207">
        <f t="shared" si="4"/>
        <v>0</v>
      </c>
      <c r="T17" s="207">
        <f t="shared" si="4"/>
        <v>0</v>
      </c>
      <c r="U17" s="207">
        <f t="shared" si="4"/>
        <v>0</v>
      </c>
      <c r="V17" s="207">
        <f t="shared" si="4"/>
        <v>0</v>
      </c>
      <c r="W17" s="207">
        <f t="shared" si="4"/>
        <v>0</v>
      </c>
      <c r="X17" s="207">
        <f t="shared" si="4"/>
        <v>0</v>
      </c>
      <c r="Y17" s="207">
        <f t="shared" si="4"/>
        <v>0</v>
      </c>
      <c r="Z17" s="207">
        <f t="shared" si="4"/>
        <v>0</v>
      </c>
      <c r="AA17" s="207">
        <f t="shared" si="4"/>
        <v>0</v>
      </c>
    </row>
    <row r="18" spans="2:27" ht="18" x14ac:dyDescent="0.2">
      <c r="B18" s="189">
        <f>B17+1</f>
        <v>8</v>
      </c>
      <c r="C18" s="194" t="s">
        <v>385</v>
      </c>
      <c r="D18" s="194"/>
      <c r="E18" s="195" t="s">
        <v>369</v>
      </c>
      <c r="F18" s="200" t="s">
        <v>386</v>
      </c>
      <c r="G18" s="210">
        <f>SUM(H18:AA18)</f>
        <v>0</v>
      </c>
      <c r="H18" s="211">
        <f>H8*H16</f>
        <v>0</v>
      </c>
      <c r="I18" s="211">
        <f t="shared" ref="I18:AA18" si="5">I8*I16</f>
        <v>0</v>
      </c>
      <c r="J18" s="211">
        <f t="shared" si="5"/>
        <v>0</v>
      </c>
      <c r="K18" s="211">
        <f t="shared" si="5"/>
        <v>0</v>
      </c>
      <c r="L18" s="211">
        <f t="shared" si="5"/>
        <v>0</v>
      </c>
      <c r="M18" s="211">
        <f t="shared" si="5"/>
        <v>0</v>
      </c>
      <c r="N18" s="211">
        <f t="shared" si="5"/>
        <v>0</v>
      </c>
      <c r="O18" s="211">
        <f t="shared" si="5"/>
        <v>0</v>
      </c>
      <c r="P18" s="211">
        <f t="shared" si="5"/>
        <v>0</v>
      </c>
      <c r="Q18" s="211">
        <f t="shared" si="5"/>
        <v>0</v>
      </c>
      <c r="R18" s="211">
        <f t="shared" si="5"/>
        <v>0</v>
      </c>
      <c r="S18" s="211">
        <f t="shared" si="5"/>
        <v>0</v>
      </c>
      <c r="T18" s="211">
        <f t="shared" si="5"/>
        <v>0</v>
      </c>
      <c r="U18" s="211">
        <f t="shared" si="5"/>
        <v>0</v>
      </c>
      <c r="V18" s="211">
        <f t="shared" si="5"/>
        <v>0</v>
      </c>
      <c r="W18" s="211">
        <f t="shared" si="5"/>
        <v>0</v>
      </c>
      <c r="X18" s="211">
        <f t="shared" si="5"/>
        <v>0</v>
      </c>
      <c r="Y18" s="211">
        <f t="shared" si="5"/>
        <v>0</v>
      </c>
      <c r="Z18" s="211">
        <f t="shared" si="5"/>
        <v>0</v>
      </c>
      <c r="AA18" s="211">
        <f t="shared" si="5"/>
        <v>0</v>
      </c>
    </row>
    <row r="20" spans="2:27" x14ac:dyDescent="0.2">
      <c r="B20" s="1191" t="s">
        <v>864</v>
      </c>
      <c r="C20" s="1192"/>
      <c r="D20" s="1192"/>
      <c r="E20" s="1192"/>
      <c r="F20" s="1200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</row>
    <row r="21" spans="2:27" s="423" customFormat="1" x14ac:dyDescent="0.2">
      <c r="B21" s="189"/>
      <c r="C21" s="190"/>
      <c r="D21" s="190"/>
      <c r="E21" s="190"/>
      <c r="F21" s="191"/>
      <c r="G21" s="192" t="s">
        <v>31</v>
      </c>
      <c r="H21" s="193" t="s">
        <v>641</v>
      </c>
      <c r="I21" s="193" t="s">
        <v>642</v>
      </c>
      <c r="J21" s="193" t="s">
        <v>643</v>
      </c>
      <c r="K21" s="193" t="s">
        <v>644</v>
      </c>
      <c r="L21" s="193" t="s">
        <v>645</v>
      </c>
      <c r="M21" s="193" t="s">
        <v>646</v>
      </c>
      <c r="N21" s="193" t="s">
        <v>647</v>
      </c>
      <c r="O21" s="193" t="s">
        <v>648</v>
      </c>
      <c r="P21" s="193" t="s">
        <v>649</v>
      </c>
      <c r="Q21" s="193" t="s">
        <v>650</v>
      </c>
      <c r="R21" s="193" t="s">
        <v>651</v>
      </c>
      <c r="S21" s="193" t="s">
        <v>652</v>
      </c>
      <c r="T21" s="193" t="s">
        <v>653</v>
      </c>
      <c r="U21" s="193" t="s">
        <v>654</v>
      </c>
      <c r="V21" s="193" t="s">
        <v>655</v>
      </c>
      <c r="W21" s="193" t="s">
        <v>656</v>
      </c>
      <c r="X21" s="193" t="s">
        <v>657</v>
      </c>
      <c r="Y21" s="193" t="s">
        <v>658</v>
      </c>
      <c r="Z21" s="193" t="s">
        <v>659</v>
      </c>
      <c r="AA21" s="193" t="s">
        <v>660</v>
      </c>
    </row>
    <row r="22" spans="2:27" x14ac:dyDescent="0.2">
      <c r="B22" s="189">
        <f>B18+1</f>
        <v>9</v>
      </c>
      <c r="C22" s="194" t="s">
        <v>359</v>
      </c>
      <c r="D22" s="194"/>
      <c r="E22" s="195"/>
      <c r="F22" s="196"/>
      <c r="G22" s="197"/>
      <c r="H22" s="736"/>
      <c r="I22" s="736"/>
      <c r="J22" s="736"/>
      <c r="K22" s="736"/>
      <c r="L22" s="736"/>
      <c r="M22" s="736"/>
      <c r="N22" s="736"/>
      <c r="O22" s="736"/>
      <c r="P22" s="736"/>
      <c r="Q22" s="736"/>
      <c r="R22" s="736"/>
      <c r="S22" s="736"/>
      <c r="T22" s="736"/>
      <c r="U22" s="736"/>
      <c r="V22" s="736"/>
      <c r="W22" s="736"/>
      <c r="X22" s="736"/>
      <c r="Y22" s="736"/>
      <c r="Z22" s="736"/>
      <c r="AA22" s="736"/>
    </row>
    <row r="23" spans="2:27" ht="18" x14ac:dyDescent="0.2">
      <c r="B23" s="189">
        <f>B22+1</f>
        <v>10</v>
      </c>
      <c r="C23" s="194" t="s">
        <v>661</v>
      </c>
      <c r="D23" s="194"/>
      <c r="E23" s="199" t="s">
        <v>362</v>
      </c>
      <c r="F23" s="200" t="s">
        <v>407</v>
      </c>
      <c r="G23" s="209">
        <f>SUM(H23:AA23)</f>
        <v>0</v>
      </c>
      <c r="H23" s="764"/>
      <c r="I23" s="764"/>
      <c r="J23" s="764"/>
      <c r="K23" s="764"/>
      <c r="L23" s="764"/>
      <c r="M23" s="764"/>
      <c r="N23" s="764"/>
      <c r="O23" s="764"/>
      <c r="P23" s="764"/>
      <c r="Q23" s="764"/>
      <c r="R23" s="764"/>
      <c r="S23" s="764"/>
      <c r="T23" s="764"/>
      <c r="U23" s="764"/>
      <c r="V23" s="764"/>
      <c r="W23" s="764"/>
      <c r="X23" s="764"/>
      <c r="Y23" s="764"/>
      <c r="Z23" s="764"/>
      <c r="AA23" s="764"/>
    </row>
    <row r="24" spans="2:27" ht="18" x14ac:dyDescent="0.2">
      <c r="B24" s="189">
        <f>B23+1</f>
        <v>11</v>
      </c>
      <c r="C24" s="194" t="s">
        <v>16</v>
      </c>
      <c r="D24" s="194"/>
      <c r="E24" s="199"/>
      <c r="F24" s="200" t="s">
        <v>406</v>
      </c>
      <c r="G24" s="202">
        <f>SUM(H24:AA24)</f>
        <v>0</v>
      </c>
      <c r="H24" s="739"/>
      <c r="I24" s="739"/>
      <c r="J24" s="739"/>
      <c r="K24" s="739"/>
      <c r="L24" s="739"/>
      <c r="M24" s="739"/>
      <c r="N24" s="739"/>
      <c r="O24" s="739"/>
      <c r="P24" s="739"/>
      <c r="Q24" s="739"/>
      <c r="R24" s="739"/>
      <c r="S24" s="739"/>
      <c r="T24" s="739"/>
      <c r="U24" s="739"/>
      <c r="V24" s="739"/>
      <c r="W24" s="739"/>
      <c r="X24" s="739"/>
      <c r="Y24" s="739"/>
      <c r="Z24" s="739"/>
      <c r="AA24" s="739"/>
    </row>
    <row r="25" spans="2:27" ht="18" x14ac:dyDescent="0.2">
      <c r="B25" s="308">
        <f>B24+1</f>
        <v>12</v>
      </c>
      <c r="C25" s="194" t="s">
        <v>368</v>
      </c>
      <c r="D25" s="194"/>
      <c r="E25" s="199" t="s">
        <v>369</v>
      </c>
      <c r="F25" s="200" t="s">
        <v>391</v>
      </c>
      <c r="G25" s="209">
        <f>SUM(H25:AA25)</f>
        <v>0</v>
      </c>
      <c r="H25" s="203">
        <f>H23*H24*0.001</f>
        <v>0</v>
      </c>
      <c r="I25" s="203">
        <f t="shared" ref="I25:AA25" si="6">I23*I24*0.001</f>
        <v>0</v>
      </c>
      <c r="J25" s="203">
        <f t="shared" si="6"/>
        <v>0</v>
      </c>
      <c r="K25" s="203">
        <f t="shared" si="6"/>
        <v>0</v>
      </c>
      <c r="L25" s="203">
        <f t="shared" si="6"/>
        <v>0</v>
      </c>
      <c r="M25" s="203">
        <f t="shared" si="6"/>
        <v>0</v>
      </c>
      <c r="N25" s="203">
        <f t="shared" si="6"/>
        <v>0</v>
      </c>
      <c r="O25" s="203">
        <f t="shared" si="6"/>
        <v>0</v>
      </c>
      <c r="P25" s="203">
        <f t="shared" si="6"/>
        <v>0</v>
      </c>
      <c r="Q25" s="203">
        <f t="shared" si="6"/>
        <v>0</v>
      </c>
      <c r="R25" s="203">
        <f t="shared" si="6"/>
        <v>0</v>
      </c>
      <c r="S25" s="203">
        <f t="shared" si="6"/>
        <v>0</v>
      </c>
      <c r="T25" s="203">
        <f t="shared" si="6"/>
        <v>0</v>
      </c>
      <c r="U25" s="203">
        <f t="shared" si="6"/>
        <v>0</v>
      </c>
      <c r="V25" s="203">
        <f t="shared" si="6"/>
        <v>0</v>
      </c>
      <c r="W25" s="203">
        <f t="shared" si="6"/>
        <v>0</v>
      </c>
      <c r="X25" s="203">
        <f t="shared" si="6"/>
        <v>0</v>
      </c>
      <c r="Y25" s="203">
        <f t="shared" si="6"/>
        <v>0</v>
      </c>
      <c r="Z25" s="203">
        <f t="shared" si="6"/>
        <v>0</v>
      </c>
      <c r="AA25" s="203">
        <f t="shared" si="6"/>
        <v>0</v>
      </c>
    </row>
    <row r="26" spans="2:27" x14ac:dyDescent="0.2">
      <c r="B26" s="1195">
        <f>B25+1</f>
        <v>13</v>
      </c>
      <c r="C26" s="194" t="s">
        <v>371</v>
      </c>
      <c r="D26" s="194"/>
      <c r="E26" s="199" t="s">
        <v>372</v>
      </c>
      <c r="F26" s="200"/>
      <c r="G26" s="204"/>
      <c r="H26" s="740"/>
      <c r="I26" s="740"/>
      <c r="J26" s="740"/>
      <c r="K26" s="740"/>
      <c r="L26" s="740"/>
      <c r="M26" s="740"/>
      <c r="N26" s="740"/>
      <c r="O26" s="740"/>
      <c r="P26" s="740"/>
      <c r="Q26" s="740"/>
      <c r="R26" s="740"/>
      <c r="S26" s="740"/>
      <c r="T26" s="740"/>
      <c r="U26" s="740"/>
      <c r="V26" s="740"/>
      <c r="W26" s="740"/>
      <c r="X26" s="740"/>
      <c r="Y26" s="740"/>
      <c r="Z26" s="740"/>
      <c r="AA26" s="740"/>
    </row>
    <row r="27" spans="2:27" x14ac:dyDescent="0.2">
      <c r="B27" s="1196"/>
      <c r="C27" s="205" t="s">
        <v>373</v>
      </c>
      <c r="D27" s="205"/>
      <c r="E27" s="206" t="s">
        <v>374</v>
      </c>
      <c r="F27" s="200"/>
      <c r="G27" s="204"/>
      <c r="H27" s="741"/>
      <c r="I27" s="741"/>
      <c r="J27" s="741"/>
      <c r="K27" s="741"/>
      <c r="L27" s="741"/>
      <c r="M27" s="741"/>
      <c r="N27" s="741"/>
      <c r="O27" s="741"/>
      <c r="P27" s="741"/>
      <c r="Q27" s="741"/>
      <c r="R27" s="741"/>
      <c r="S27" s="741"/>
      <c r="T27" s="741"/>
      <c r="U27" s="741"/>
      <c r="V27" s="741"/>
      <c r="W27" s="741"/>
      <c r="X27" s="741"/>
      <c r="Y27" s="741"/>
      <c r="Z27" s="741"/>
      <c r="AA27" s="741"/>
    </row>
    <row r="28" spans="2:27" ht="18" x14ac:dyDescent="0.2">
      <c r="B28" s="1197"/>
      <c r="C28" s="194" t="s">
        <v>375</v>
      </c>
      <c r="D28" s="194"/>
      <c r="E28" s="199" t="s">
        <v>376</v>
      </c>
      <c r="F28" s="200" t="s">
        <v>392</v>
      </c>
      <c r="G28" s="204"/>
      <c r="H28" s="207">
        <f>H26*H27</f>
        <v>0</v>
      </c>
      <c r="I28" s="207">
        <f t="shared" ref="I28:AA28" si="7">I26*I27</f>
        <v>0</v>
      </c>
      <c r="J28" s="207">
        <f t="shared" si="7"/>
        <v>0</v>
      </c>
      <c r="K28" s="207">
        <f t="shared" si="7"/>
        <v>0</v>
      </c>
      <c r="L28" s="207">
        <f t="shared" si="7"/>
        <v>0</v>
      </c>
      <c r="M28" s="207">
        <f t="shared" si="7"/>
        <v>0</v>
      </c>
      <c r="N28" s="207">
        <f t="shared" si="7"/>
        <v>0</v>
      </c>
      <c r="O28" s="207">
        <f t="shared" si="7"/>
        <v>0</v>
      </c>
      <c r="P28" s="207">
        <f t="shared" si="7"/>
        <v>0</v>
      </c>
      <c r="Q28" s="207">
        <f t="shared" si="7"/>
        <v>0</v>
      </c>
      <c r="R28" s="207">
        <f t="shared" si="7"/>
        <v>0</v>
      </c>
      <c r="S28" s="207">
        <f t="shared" si="7"/>
        <v>0</v>
      </c>
      <c r="T28" s="207">
        <f t="shared" si="7"/>
        <v>0</v>
      </c>
      <c r="U28" s="207">
        <f t="shared" si="7"/>
        <v>0</v>
      </c>
      <c r="V28" s="207">
        <f t="shared" si="7"/>
        <v>0</v>
      </c>
      <c r="W28" s="207">
        <f t="shared" si="7"/>
        <v>0</v>
      </c>
      <c r="X28" s="207">
        <f t="shared" si="7"/>
        <v>0</v>
      </c>
      <c r="Y28" s="207">
        <f t="shared" si="7"/>
        <v>0</v>
      </c>
      <c r="Z28" s="207">
        <f t="shared" si="7"/>
        <v>0</v>
      </c>
      <c r="AA28" s="207">
        <f t="shared" si="7"/>
        <v>0</v>
      </c>
    </row>
    <row r="29" spans="2:27" x14ac:dyDescent="0.2">
      <c r="B29" s="1195">
        <f>B26+1</f>
        <v>14</v>
      </c>
      <c r="C29" s="194" t="s">
        <v>702</v>
      </c>
      <c r="D29" s="194"/>
      <c r="E29" s="199" t="s">
        <v>279</v>
      </c>
      <c r="F29" s="200" t="s">
        <v>697</v>
      </c>
      <c r="G29" s="299">
        <v>12</v>
      </c>
      <c r="H29" s="739"/>
      <c r="I29" s="739"/>
      <c r="J29" s="739"/>
      <c r="K29" s="739"/>
      <c r="L29" s="739"/>
      <c r="M29" s="739"/>
      <c r="N29" s="739"/>
      <c r="O29" s="739"/>
      <c r="P29" s="739"/>
      <c r="Q29" s="739"/>
      <c r="R29" s="739"/>
      <c r="S29" s="739"/>
      <c r="T29" s="739"/>
      <c r="U29" s="739"/>
      <c r="V29" s="739"/>
      <c r="W29" s="739"/>
      <c r="X29" s="739"/>
      <c r="Y29" s="739"/>
      <c r="Z29" s="739"/>
      <c r="AA29" s="739"/>
    </row>
    <row r="30" spans="2:27" x14ac:dyDescent="0.2">
      <c r="B30" s="1196"/>
      <c r="C30" s="194" t="s">
        <v>703</v>
      </c>
      <c r="D30" s="194"/>
      <c r="E30" s="195" t="s">
        <v>700</v>
      </c>
      <c r="F30" s="200" t="s">
        <v>698</v>
      </c>
      <c r="G30" s="299">
        <v>22</v>
      </c>
      <c r="H30" s="739"/>
      <c r="I30" s="739"/>
      <c r="J30" s="739"/>
      <c r="K30" s="739"/>
      <c r="L30" s="739"/>
      <c r="M30" s="739"/>
      <c r="N30" s="739"/>
      <c r="O30" s="739"/>
      <c r="P30" s="739"/>
      <c r="Q30" s="739"/>
      <c r="R30" s="739"/>
      <c r="S30" s="739"/>
      <c r="T30" s="739"/>
      <c r="U30" s="739"/>
      <c r="V30" s="739"/>
      <c r="W30" s="739"/>
      <c r="X30" s="739"/>
      <c r="Y30" s="739"/>
      <c r="Z30" s="739"/>
      <c r="AA30" s="739"/>
    </row>
    <row r="31" spans="2:27" x14ac:dyDescent="0.2">
      <c r="B31" s="1196"/>
      <c r="C31" s="194" t="s">
        <v>704</v>
      </c>
      <c r="D31" s="194"/>
      <c r="E31" s="195" t="s">
        <v>701</v>
      </c>
      <c r="F31" s="200" t="s">
        <v>699</v>
      </c>
      <c r="G31" s="299">
        <v>3</v>
      </c>
      <c r="H31" s="739"/>
      <c r="I31" s="739"/>
      <c r="J31" s="739"/>
      <c r="K31" s="739"/>
      <c r="L31" s="739"/>
      <c r="M31" s="739"/>
      <c r="N31" s="739"/>
      <c r="O31" s="739"/>
      <c r="P31" s="739"/>
      <c r="Q31" s="739"/>
      <c r="R31" s="739"/>
      <c r="S31" s="739"/>
      <c r="T31" s="739"/>
      <c r="U31" s="739"/>
      <c r="V31" s="739"/>
      <c r="W31" s="739"/>
      <c r="X31" s="739"/>
      <c r="Y31" s="739"/>
      <c r="Z31" s="739"/>
      <c r="AA31" s="739"/>
    </row>
    <row r="32" spans="2:27" ht="18" x14ac:dyDescent="0.2">
      <c r="B32" s="1196"/>
      <c r="C32" s="194" t="s">
        <v>378</v>
      </c>
      <c r="D32" s="194"/>
      <c r="E32" s="199" t="s">
        <v>362</v>
      </c>
      <c r="F32" s="200" t="s">
        <v>393</v>
      </c>
      <c r="G32" s="209">
        <f>SUM(H32:AA32)</f>
        <v>0</v>
      </c>
      <c r="H32" s="208">
        <f>H25*((H30*H29*H31)/($G$29*$G$30*$G$31))</f>
        <v>0</v>
      </c>
      <c r="I32" s="208">
        <f t="shared" ref="I32:AA32" si="8">I25*((I30*I29*I31)/($G$29*$G$30*$G$31))</f>
        <v>0</v>
      </c>
      <c r="J32" s="208">
        <f t="shared" si="8"/>
        <v>0</v>
      </c>
      <c r="K32" s="208">
        <f t="shared" si="8"/>
        <v>0</v>
      </c>
      <c r="L32" s="208">
        <f t="shared" si="8"/>
        <v>0</v>
      </c>
      <c r="M32" s="208">
        <f t="shared" si="8"/>
        <v>0</v>
      </c>
      <c r="N32" s="208">
        <f t="shared" si="8"/>
        <v>0</v>
      </c>
      <c r="O32" s="208">
        <f t="shared" si="8"/>
        <v>0</v>
      </c>
      <c r="P32" s="208">
        <f t="shared" si="8"/>
        <v>0</v>
      </c>
      <c r="Q32" s="208">
        <f t="shared" si="8"/>
        <v>0</v>
      </c>
      <c r="R32" s="208">
        <f t="shared" si="8"/>
        <v>0</v>
      </c>
      <c r="S32" s="208">
        <f t="shared" si="8"/>
        <v>0</v>
      </c>
      <c r="T32" s="208">
        <f t="shared" si="8"/>
        <v>0</v>
      </c>
      <c r="U32" s="208">
        <f t="shared" si="8"/>
        <v>0</v>
      </c>
      <c r="V32" s="208">
        <f t="shared" si="8"/>
        <v>0</v>
      </c>
      <c r="W32" s="208">
        <f t="shared" si="8"/>
        <v>0</v>
      </c>
      <c r="X32" s="208">
        <f t="shared" si="8"/>
        <v>0</v>
      </c>
      <c r="Y32" s="208">
        <f t="shared" si="8"/>
        <v>0</v>
      </c>
      <c r="Z32" s="208">
        <f t="shared" si="8"/>
        <v>0</v>
      </c>
      <c r="AA32" s="208">
        <f t="shared" si="8"/>
        <v>0</v>
      </c>
    </row>
    <row r="33" spans="2:27" ht="18" x14ac:dyDescent="0.2">
      <c r="B33" s="1197"/>
      <c r="C33" s="194" t="s">
        <v>380</v>
      </c>
      <c r="D33" s="194"/>
      <c r="E33" s="194"/>
      <c r="F33" s="200" t="s">
        <v>394</v>
      </c>
      <c r="G33" s="204" t="str">
        <f>IF(LARGE(H33:AA33,1)&gt;1,"ERRO","")</f>
        <v/>
      </c>
      <c r="H33" s="208">
        <f>IFERROR(H32/H25,0)</f>
        <v>0</v>
      </c>
      <c r="I33" s="208">
        <f t="shared" ref="I33:AA33" si="9">IFERROR(I32/I25,0)</f>
        <v>0</v>
      </c>
      <c r="J33" s="208">
        <f t="shared" si="9"/>
        <v>0</v>
      </c>
      <c r="K33" s="208">
        <f t="shared" si="9"/>
        <v>0</v>
      </c>
      <c r="L33" s="208">
        <f t="shared" si="9"/>
        <v>0</v>
      </c>
      <c r="M33" s="208">
        <f t="shared" si="9"/>
        <v>0</v>
      </c>
      <c r="N33" s="208">
        <f t="shared" si="9"/>
        <v>0</v>
      </c>
      <c r="O33" s="208">
        <f t="shared" si="9"/>
        <v>0</v>
      </c>
      <c r="P33" s="208">
        <f t="shared" si="9"/>
        <v>0</v>
      </c>
      <c r="Q33" s="208">
        <f t="shared" si="9"/>
        <v>0</v>
      </c>
      <c r="R33" s="208">
        <f t="shared" si="9"/>
        <v>0</v>
      </c>
      <c r="S33" s="208">
        <f t="shared" si="9"/>
        <v>0</v>
      </c>
      <c r="T33" s="208">
        <f t="shared" si="9"/>
        <v>0</v>
      </c>
      <c r="U33" s="208">
        <f t="shared" si="9"/>
        <v>0</v>
      </c>
      <c r="V33" s="208">
        <f t="shared" si="9"/>
        <v>0</v>
      </c>
      <c r="W33" s="208">
        <f t="shared" si="9"/>
        <v>0</v>
      </c>
      <c r="X33" s="208">
        <f t="shared" si="9"/>
        <v>0</v>
      </c>
      <c r="Y33" s="208">
        <f t="shared" si="9"/>
        <v>0</v>
      </c>
      <c r="Z33" s="208">
        <f t="shared" si="9"/>
        <v>0</v>
      </c>
      <c r="AA33" s="208">
        <f t="shared" si="9"/>
        <v>0</v>
      </c>
    </row>
    <row r="34" spans="2:27" ht="18" x14ac:dyDescent="0.2">
      <c r="B34" s="189">
        <f>B29+1</f>
        <v>15</v>
      </c>
      <c r="C34" s="194" t="s">
        <v>382</v>
      </c>
      <c r="D34" s="194"/>
      <c r="E34" s="199" t="s">
        <v>383</v>
      </c>
      <c r="F34" s="200" t="s">
        <v>395</v>
      </c>
      <c r="G34" s="209">
        <f>SUM(H34:AA34)</f>
        <v>0</v>
      </c>
      <c r="H34" s="207">
        <f>H25*H28*0.001</f>
        <v>0</v>
      </c>
      <c r="I34" s="207">
        <f t="shared" ref="I34:AA34" si="10">I25*I28*0.001</f>
        <v>0</v>
      </c>
      <c r="J34" s="207">
        <f t="shared" si="10"/>
        <v>0</v>
      </c>
      <c r="K34" s="207">
        <f t="shared" si="10"/>
        <v>0</v>
      </c>
      <c r="L34" s="207">
        <f t="shared" si="10"/>
        <v>0</v>
      </c>
      <c r="M34" s="207">
        <f t="shared" si="10"/>
        <v>0</v>
      </c>
      <c r="N34" s="207">
        <f t="shared" si="10"/>
        <v>0</v>
      </c>
      <c r="O34" s="207">
        <f t="shared" si="10"/>
        <v>0</v>
      </c>
      <c r="P34" s="207">
        <f t="shared" si="10"/>
        <v>0</v>
      </c>
      <c r="Q34" s="207">
        <f t="shared" si="10"/>
        <v>0</v>
      </c>
      <c r="R34" s="207">
        <f t="shared" si="10"/>
        <v>0</v>
      </c>
      <c r="S34" s="207">
        <f t="shared" si="10"/>
        <v>0</v>
      </c>
      <c r="T34" s="207">
        <f t="shared" si="10"/>
        <v>0</v>
      </c>
      <c r="U34" s="207">
        <f t="shared" si="10"/>
        <v>0</v>
      </c>
      <c r="V34" s="207">
        <f t="shared" si="10"/>
        <v>0</v>
      </c>
      <c r="W34" s="207">
        <f t="shared" si="10"/>
        <v>0</v>
      </c>
      <c r="X34" s="207">
        <f t="shared" si="10"/>
        <v>0</v>
      </c>
      <c r="Y34" s="207">
        <f t="shared" si="10"/>
        <v>0</v>
      </c>
      <c r="Z34" s="207">
        <f t="shared" si="10"/>
        <v>0</v>
      </c>
      <c r="AA34" s="207">
        <f t="shared" si="10"/>
        <v>0</v>
      </c>
    </row>
    <row r="35" spans="2:27" ht="18" x14ac:dyDescent="0.2">
      <c r="B35" s="189">
        <f>B34+1</f>
        <v>16</v>
      </c>
      <c r="C35" s="194" t="s">
        <v>385</v>
      </c>
      <c r="D35" s="194"/>
      <c r="E35" s="195" t="s">
        <v>369</v>
      </c>
      <c r="F35" s="200" t="s">
        <v>396</v>
      </c>
      <c r="G35" s="210">
        <f>SUM(H35:AA35)</f>
        <v>0</v>
      </c>
      <c r="H35" s="211">
        <f>H25*H33</f>
        <v>0</v>
      </c>
      <c r="I35" s="211">
        <f t="shared" ref="I35:AA35" si="11">I25*I33</f>
        <v>0</v>
      </c>
      <c r="J35" s="211">
        <f t="shared" si="11"/>
        <v>0</v>
      </c>
      <c r="K35" s="211">
        <f t="shared" si="11"/>
        <v>0</v>
      </c>
      <c r="L35" s="211">
        <f t="shared" si="11"/>
        <v>0</v>
      </c>
      <c r="M35" s="211">
        <f t="shared" si="11"/>
        <v>0</v>
      </c>
      <c r="N35" s="211">
        <f t="shared" si="11"/>
        <v>0</v>
      </c>
      <c r="O35" s="211">
        <f t="shared" si="11"/>
        <v>0</v>
      </c>
      <c r="P35" s="211">
        <f t="shared" si="11"/>
        <v>0</v>
      </c>
      <c r="Q35" s="211">
        <f t="shared" si="11"/>
        <v>0</v>
      </c>
      <c r="R35" s="211">
        <f t="shared" si="11"/>
        <v>0</v>
      </c>
      <c r="S35" s="211">
        <f t="shared" si="11"/>
        <v>0</v>
      </c>
      <c r="T35" s="211">
        <f t="shared" si="11"/>
        <v>0</v>
      </c>
      <c r="U35" s="211">
        <f t="shared" si="11"/>
        <v>0</v>
      </c>
      <c r="V35" s="211">
        <f t="shared" si="11"/>
        <v>0</v>
      </c>
      <c r="W35" s="211">
        <f t="shared" si="11"/>
        <v>0</v>
      </c>
      <c r="X35" s="211">
        <f t="shared" si="11"/>
        <v>0</v>
      </c>
      <c r="Y35" s="211">
        <f t="shared" si="11"/>
        <v>0</v>
      </c>
      <c r="Z35" s="211">
        <f t="shared" si="11"/>
        <v>0</v>
      </c>
      <c r="AA35" s="211">
        <f t="shared" si="11"/>
        <v>0</v>
      </c>
    </row>
    <row r="37" spans="2:27" x14ac:dyDescent="0.2">
      <c r="B37" s="1199" t="s">
        <v>865</v>
      </c>
      <c r="C37" s="1199"/>
      <c r="D37" s="1199"/>
      <c r="E37" s="1199"/>
      <c r="F37" s="1199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</row>
    <row r="38" spans="2:27" s="423" customFormat="1" x14ac:dyDescent="0.2">
      <c r="B38" s="189"/>
      <c r="C38" s="214"/>
      <c r="D38" s="214"/>
      <c r="E38" s="214"/>
      <c r="F38" s="212"/>
      <c r="G38" s="192" t="s">
        <v>31</v>
      </c>
      <c r="H38" s="193" t="s">
        <v>641</v>
      </c>
      <c r="I38" s="193" t="s">
        <v>642</v>
      </c>
      <c r="J38" s="193" t="s">
        <v>643</v>
      </c>
      <c r="K38" s="193" t="s">
        <v>644</v>
      </c>
      <c r="L38" s="193" t="s">
        <v>645</v>
      </c>
      <c r="M38" s="193" t="s">
        <v>646</v>
      </c>
      <c r="N38" s="193" t="s">
        <v>647</v>
      </c>
      <c r="O38" s="193" t="s">
        <v>648</v>
      </c>
      <c r="P38" s="193" t="s">
        <v>649</v>
      </c>
      <c r="Q38" s="193" t="s">
        <v>650</v>
      </c>
      <c r="R38" s="193" t="s">
        <v>651</v>
      </c>
      <c r="S38" s="193" t="s">
        <v>652</v>
      </c>
      <c r="T38" s="193" t="s">
        <v>653</v>
      </c>
      <c r="U38" s="193" t="s">
        <v>654</v>
      </c>
      <c r="V38" s="193" t="s">
        <v>655</v>
      </c>
      <c r="W38" s="193" t="s">
        <v>656</v>
      </c>
      <c r="X38" s="193" t="s">
        <v>657</v>
      </c>
      <c r="Y38" s="193" t="s">
        <v>658</v>
      </c>
      <c r="Z38" s="193" t="s">
        <v>659</v>
      </c>
      <c r="AA38" s="193" t="s">
        <v>660</v>
      </c>
    </row>
    <row r="39" spans="2:27" ht="18" x14ac:dyDescent="0.2">
      <c r="B39" s="189">
        <f>B35+1</f>
        <v>17</v>
      </c>
      <c r="C39" s="215" t="s">
        <v>218</v>
      </c>
      <c r="D39" s="215"/>
      <c r="E39" s="216" t="s">
        <v>369</v>
      </c>
      <c r="F39" s="200" t="s">
        <v>397</v>
      </c>
      <c r="G39" s="210">
        <f>SUM(H39:AA39)</f>
        <v>0</v>
      </c>
      <c r="H39" s="207">
        <f>H18-H35</f>
        <v>0</v>
      </c>
      <c r="I39" s="207">
        <f t="shared" ref="I39:AA39" si="12">I18-I35</f>
        <v>0</v>
      </c>
      <c r="J39" s="207">
        <f t="shared" si="12"/>
        <v>0</v>
      </c>
      <c r="K39" s="207">
        <f t="shared" si="12"/>
        <v>0</v>
      </c>
      <c r="L39" s="207">
        <f t="shared" si="12"/>
        <v>0</v>
      </c>
      <c r="M39" s="207">
        <f t="shared" si="12"/>
        <v>0</v>
      </c>
      <c r="N39" s="207">
        <f t="shared" si="12"/>
        <v>0</v>
      </c>
      <c r="O39" s="207">
        <f t="shared" si="12"/>
        <v>0</v>
      </c>
      <c r="P39" s="207">
        <f t="shared" si="12"/>
        <v>0</v>
      </c>
      <c r="Q39" s="207">
        <f t="shared" si="12"/>
        <v>0</v>
      </c>
      <c r="R39" s="207">
        <f t="shared" si="12"/>
        <v>0</v>
      </c>
      <c r="S39" s="207">
        <f t="shared" si="12"/>
        <v>0</v>
      </c>
      <c r="T39" s="207">
        <f t="shared" si="12"/>
        <v>0</v>
      </c>
      <c r="U39" s="207">
        <f t="shared" si="12"/>
        <v>0</v>
      </c>
      <c r="V39" s="207">
        <f t="shared" si="12"/>
        <v>0</v>
      </c>
      <c r="W39" s="207">
        <f t="shared" si="12"/>
        <v>0</v>
      </c>
      <c r="X39" s="207">
        <f t="shared" si="12"/>
        <v>0</v>
      </c>
      <c r="Y39" s="207">
        <f t="shared" si="12"/>
        <v>0</v>
      </c>
      <c r="Z39" s="207">
        <f t="shared" si="12"/>
        <v>0</v>
      </c>
      <c r="AA39" s="207">
        <f t="shared" si="12"/>
        <v>0</v>
      </c>
    </row>
    <row r="40" spans="2:27" ht="18" x14ac:dyDescent="0.2">
      <c r="B40" s="189">
        <f>B39+1</f>
        <v>18</v>
      </c>
      <c r="C40" s="217" t="s">
        <v>398</v>
      </c>
      <c r="D40" s="218">
        <f>CED</f>
        <v>972.17356799999993</v>
      </c>
      <c r="E40" s="206" t="s">
        <v>3</v>
      </c>
      <c r="F40" s="200" t="s">
        <v>399</v>
      </c>
      <c r="G40" s="219">
        <f>IF(G18=0,0,G39/G18)</f>
        <v>0</v>
      </c>
      <c r="H40" s="220">
        <f>IFERROR(H39/H18,0)</f>
        <v>0</v>
      </c>
      <c r="I40" s="220">
        <f t="shared" ref="I40:AA40" si="13">IFERROR(I39/I18,0)</f>
        <v>0</v>
      </c>
      <c r="J40" s="220">
        <f t="shared" si="13"/>
        <v>0</v>
      </c>
      <c r="K40" s="220">
        <f t="shared" si="13"/>
        <v>0</v>
      </c>
      <c r="L40" s="220">
        <f t="shared" si="13"/>
        <v>0</v>
      </c>
      <c r="M40" s="220">
        <f t="shared" si="13"/>
        <v>0</v>
      </c>
      <c r="N40" s="220">
        <f t="shared" si="13"/>
        <v>0</v>
      </c>
      <c r="O40" s="220">
        <f t="shared" si="13"/>
        <v>0</v>
      </c>
      <c r="P40" s="220">
        <f t="shared" si="13"/>
        <v>0</v>
      </c>
      <c r="Q40" s="220">
        <f t="shared" si="13"/>
        <v>0</v>
      </c>
      <c r="R40" s="220">
        <f t="shared" si="13"/>
        <v>0</v>
      </c>
      <c r="S40" s="220">
        <f t="shared" si="13"/>
        <v>0</v>
      </c>
      <c r="T40" s="220">
        <f t="shared" si="13"/>
        <v>0</v>
      </c>
      <c r="U40" s="220">
        <f t="shared" si="13"/>
        <v>0</v>
      </c>
      <c r="V40" s="220">
        <f t="shared" si="13"/>
        <v>0</v>
      </c>
      <c r="W40" s="220">
        <f t="shared" si="13"/>
        <v>0</v>
      </c>
      <c r="X40" s="220">
        <f t="shared" si="13"/>
        <v>0</v>
      </c>
      <c r="Y40" s="220">
        <f t="shared" si="13"/>
        <v>0</v>
      </c>
      <c r="Z40" s="220">
        <f t="shared" si="13"/>
        <v>0</v>
      </c>
      <c r="AA40" s="220">
        <f t="shared" si="13"/>
        <v>0</v>
      </c>
    </row>
    <row r="41" spans="2:27" ht="18" x14ac:dyDescent="0.2">
      <c r="B41" s="189">
        <f>B40+1</f>
        <v>19</v>
      </c>
      <c r="C41" s="215" t="s">
        <v>217</v>
      </c>
      <c r="D41" s="215"/>
      <c r="E41" s="216" t="s">
        <v>383</v>
      </c>
      <c r="F41" s="200" t="s">
        <v>400</v>
      </c>
      <c r="G41" s="210">
        <f>SUM(H41:AA41)</f>
        <v>0</v>
      </c>
      <c r="H41" s="207">
        <f>H17-H34</f>
        <v>0</v>
      </c>
      <c r="I41" s="207">
        <f t="shared" ref="I41:AA41" si="14">I17-I34</f>
        <v>0</v>
      </c>
      <c r="J41" s="207">
        <f t="shared" si="14"/>
        <v>0</v>
      </c>
      <c r="K41" s="207">
        <f t="shared" si="14"/>
        <v>0</v>
      </c>
      <c r="L41" s="207">
        <f t="shared" si="14"/>
        <v>0</v>
      </c>
      <c r="M41" s="207">
        <f t="shared" si="14"/>
        <v>0</v>
      </c>
      <c r="N41" s="207">
        <f t="shared" si="14"/>
        <v>0</v>
      </c>
      <c r="O41" s="207">
        <f t="shared" si="14"/>
        <v>0</v>
      </c>
      <c r="P41" s="207">
        <f t="shared" si="14"/>
        <v>0</v>
      </c>
      <c r="Q41" s="207">
        <f t="shared" si="14"/>
        <v>0</v>
      </c>
      <c r="R41" s="207">
        <f t="shared" si="14"/>
        <v>0</v>
      </c>
      <c r="S41" s="207">
        <f t="shared" si="14"/>
        <v>0</v>
      </c>
      <c r="T41" s="207">
        <f t="shared" si="14"/>
        <v>0</v>
      </c>
      <c r="U41" s="207">
        <f t="shared" si="14"/>
        <v>0</v>
      </c>
      <c r="V41" s="207">
        <f t="shared" si="14"/>
        <v>0</v>
      </c>
      <c r="W41" s="207">
        <f t="shared" si="14"/>
        <v>0</v>
      </c>
      <c r="X41" s="207">
        <f t="shared" si="14"/>
        <v>0</v>
      </c>
      <c r="Y41" s="207">
        <f t="shared" si="14"/>
        <v>0</v>
      </c>
      <c r="Z41" s="207">
        <f t="shared" si="14"/>
        <v>0</v>
      </c>
      <c r="AA41" s="207">
        <f t="shared" si="14"/>
        <v>0</v>
      </c>
    </row>
    <row r="42" spans="2:27" ht="18" x14ac:dyDescent="0.2">
      <c r="B42" s="189">
        <f>B41+1</f>
        <v>20</v>
      </c>
      <c r="C42" s="217" t="s">
        <v>401</v>
      </c>
      <c r="D42" s="218">
        <f>CEE</f>
        <v>308.04024884085311</v>
      </c>
      <c r="E42" s="206" t="s">
        <v>3</v>
      </c>
      <c r="F42" s="200" t="s">
        <v>402</v>
      </c>
      <c r="G42" s="219">
        <f>IF(G17=0,0,G41/G17)</f>
        <v>0</v>
      </c>
      <c r="H42" s="220">
        <f>IFERROR(H41/H17,0)</f>
        <v>0</v>
      </c>
      <c r="I42" s="220">
        <f t="shared" ref="I42:AA42" si="15">IFERROR(I41/I17,0)</f>
        <v>0</v>
      </c>
      <c r="J42" s="220">
        <f t="shared" si="15"/>
        <v>0</v>
      </c>
      <c r="K42" s="220">
        <f t="shared" si="15"/>
        <v>0</v>
      </c>
      <c r="L42" s="220">
        <f t="shared" si="15"/>
        <v>0</v>
      </c>
      <c r="M42" s="220">
        <f t="shared" si="15"/>
        <v>0</v>
      </c>
      <c r="N42" s="220">
        <f t="shared" si="15"/>
        <v>0</v>
      </c>
      <c r="O42" s="220">
        <f t="shared" si="15"/>
        <v>0</v>
      </c>
      <c r="P42" s="220">
        <f t="shared" si="15"/>
        <v>0</v>
      </c>
      <c r="Q42" s="220">
        <f t="shared" si="15"/>
        <v>0</v>
      </c>
      <c r="R42" s="220">
        <f t="shared" si="15"/>
        <v>0</v>
      </c>
      <c r="S42" s="220">
        <f t="shared" si="15"/>
        <v>0</v>
      </c>
      <c r="T42" s="220">
        <f t="shared" si="15"/>
        <v>0</v>
      </c>
      <c r="U42" s="220">
        <f t="shared" si="15"/>
        <v>0</v>
      </c>
      <c r="V42" s="220">
        <f t="shared" si="15"/>
        <v>0</v>
      </c>
      <c r="W42" s="220">
        <f t="shared" si="15"/>
        <v>0</v>
      </c>
      <c r="X42" s="220">
        <f t="shared" si="15"/>
        <v>0</v>
      </c>
      <c r="Y42" s="220">
        <f t="shared" si="15"/>
        <v>0</v>
      </c>
      <c r="Z42" s="220">
        <f t="shared" si="15"/>
        <v>0</v>
      </c>
      <c r="AA42" s="220">
        <f t="shared" si="15"/>
        <v>0</v>
      </c>
    </row>
    <row r="43" spans="2:27" ht="18" x14ac:dyDescent="0.2">
      <c r="B43" s="221"/>
      <c r="C43" s="222" t="s">
        <v>868</v>
      </c>
      <c r="D43" s="222"/>
      <c r="E43" s="223" t="s">
        <v>2</v>
      </c>
      <c r="F43" s="224" t="s">
        <v>662</v>
      </c>
      <c r="G43" s="225">
        <f>SUM(H43:AA43)</f>
        <v>0</v>
      </c>
      <c r="H43" s="226">
        <f>H39*$D$40+H41*$D$42</f>
        <v>0</v>
      </c>
      <c r="I43" s="226">
        <f t="shared" ref="I43:AA43" si="16">I39*$D$40+I41*$D$42</f>
        <v>0</v>
      </c>
      <c r="J43" s="226">
        <f t="shared" si="16"/>
        <v>0</v>
      </c>
      <c r="K43" s="226">
        <f t="shared" si="16"/>
        <v>0</v>
      </c>
      <c r="L43" s="226">
        <f t="shared" si="16"/>
        <v>0</v>
      </c>
      <c r="M43" s="226">
        <f t="shared" si="16"/>
        <v>0</v>
      </c>
      <c r="N43" s="226">
        <f t="shared" si="16"/>
        <v>0</v>
      </c>
      <c r="O43" s="226">
        <f t="shared" si="16"/>
        <v>0</v>
      </c>
      <c r="P43" s="226">
        <f t="shared" si="16"/>
        <v>0</v>
      </c>
      <c r="Q43" s="226">
        <f t="shared" si="16"/>
        <v>0</v>
      </c>
      <c r="R43" s="226">
        <f t="shared" si="16"/>
        <v>0</v>
      </c>
      <c r="S43" s="226">
        <f t="shared" si="16"/>
        <v>0</v>
      </c>
      <c r="T43" s="226">
        <f t="shared" si="16"/>
        <v>0</v>
      </c>
      <c r="U43" s="226">
        <f t="shared" si="16"/>
        <v>0</v>
      </c>
      <c r="V43" s="226">
        <f t="shared" si="16"/>
        <v>0</v>
      </c>
      <c r="W43" s="226">
        <f t="shared" si="16"/>
        <v>0</v>
      </c>
      <c r="X43" s="226">
        <f t="shared" si="16"/>
        <v>0</v>
      </c>
      <c r="Y43" s="226">
        <f t="shared" si="16"/>
        <v>0</v>
      </c>
      <c r="Z43" s="226">
        <f t="shared" si="16"/>
        <v>0</v>
      </c>
      <c r="AA43" s="226">
        <f t="shared" si="16"/>
        <v>0</v>
      </c>
    </row>
    <row r="45" spans="2:27" ht="18" x14ac:dyDescent="0.35">
      <c r="E45" s="360" t="s">
        <v>854</v>
      </c>
      <c r="F45" s="183"/>
      <c r="G45" s="184">
        <f>RCB!G11</f>
        <v>0</v>
      </c>
    </row>
    <row r="46" spans="2:27" ht="18" x14ac:dyDescent="0.35">
      <c r="E46" s="360" t="s">
        <v>855</v>
      </c>
      <c r="F46" s="183"/>
      <c r="G46" s="184">
        <f>RCB!J11</f>
        <v>0</v>
      </c>
    </row>
    <row r="48" spans="2:27" x14ac:dyDescent="0.2">
      <c r="H48" s="427"/>
      <c r="I48" s="427"/>
    </row>
    <row r="49" spans="2:57" x14ac:dyDescent="0.2">
      <c r="B49" s="1198" t="s">
        <v>783</v>
      </c>
      <c r="C49" s="1198"/>
      <c r="D49" s="1198"/>
      <c r="E49" s="1198"/>
      <c r="F49" s="1198"/>
      <c r="G49" s="227"/>
      <c r="H49" s="228"/>
      <c r="I49" s="228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</row>
    <row r="50" spans="2:57" x14ac:dyDescent="0.2">
      <c r="B50" s="229"/>
      <c r="C50" s="230"/>
      <c r="D50" s="231"/>
      <c r="E50" s="232"/>
      <c r="F50" s="233"/>
      <c r="G50" s="234" t="s">
        <v>31</v>
      </c>
      <c r="H50" s="235" t="s">
        <v>641</v>
      </c>
      <c r="I50" s="235" t="s">
        <v>642</v>
      </c>
      <c r="J50" s="235" t="s">
        <v>643</v>
      </c>
      <c r="K50" s="235" t="s">
        <v>644</v>
      </c>
      <c r="L50" s="235" t="s">
        <v>645</v>
      </c>
      <c r="M50" s="235" t="s">
        <v>646</v>
      </c>
      <c r="N50" s="235" t="s">
        <v>647</v>
      </c>
      <c r="O50" s="235" t="s">
        <v>648</v>
      </c>
      <c r="P50" s="235" t="s">
        <v>649</v>
      </c>
      <c r="Q50" s="235" t="s">
        <v>650</v>
      </c>
      <c r="R50" s="235" t="s">
        <v>651</v>
      </c>
      <c r="S50" s="235" t="s">
        <v>652</v>
      </c>
      <c r="T50" s="235" t="s">
        <v>653</v>
      </c>
      <c r="U50" s="235" t="s">
        <v>654</v>
      </c>
      <c r="V50" s="235" t="s">
        <v>655</v>
      </c>
      <c r="W50" s="235" t="s">
        <v>656</v>
      </c>
      <c r="X50" s="235" t="s">
        <v>657</v>
      </c>
      <c r="Y50" s="235" t="s">
        <v>658</v>
      </c>
      <c r="Z50" s="235" t="s">
        <v>659</v>
      </c>
      <c r="AA50" s="235" t="s">
        <v>660</v>
      </c>
    </row>
    <row r="51" spans="2:57" x14ac:dyDescent="0.2">
      <c r="B51" s="229">
        <f>B42+1</f>
        <v>21</v>
      </c>
      <c r="C51" s="236" t="s">
        <v>371</v>
      </c>
      <c r="D51" s="236"/>
      <c r="E51" s="237" t="s">
        <v>372</v>
      </c>
      <c r="F51" s="238"/>
      <c r="G51" s="239"/>
      <c r="H51" s="240">
        <f>H26</f>
        <v>0</v>
      </c>
      <c r="I51" s="240">
        <f t="shared" ref="I51:AA51" si="17">I26</f>
        <v>0</v>
      </c>
      <c r="J51" s="240">
        <f t="shared" si="17"/>
        <v>0</v>
      </c>
      <c r="K51" s="240">
        <f t="shared" si="17"/>
        <v>0</v>
      </c>
      <c r="L51" s="240">
        <f t="shared" si="17"/>
        <v>0</v>
      </c>
      <c r="M51" s="240">
        <f t="shared" si="17"/>
        <v>0</v>
      </c>
      <c r="N51" s="240">
        <f t="shared" si="17"/>
        <v>0</v>
      </c>
      <c r="O51" s="240">
        <f t="shared" si="17"/>
        <v>0</v>
      </c>
      <c r="P51" s="240">
        <f t="shared" si="17"/>
        <v>0</v>
      </c>
      <c r="Q51" s="240">
        <f t="shared" si="17"/>
        <v>0</v>
      </c>
      <c r="R51" s="240">
        <f t="shared" si="17"/>
        <v>0</v>
      </c>
      <c r="S51" s="240">
        <f t="shared" si="17"/>
        <v>0</v>
      </c>
      <c r="T51" s="240">
        <f t="shared" si="17"/>
        <v>0</v>
      </c>
      <c r="U51" s="240">
        <f t="shared" si="17"/>
        <v>0</v>
      </c>
      <c r="V51" s="240">
        <f t="shared" si="17"/>
        <v>0</v>
      </c>
      <c r="W51" s="240">
        <f t="shared" si="17"/>
        <v>0</v>
      </c>
      <c r="X51" s="240">
        <f t="shared" si="17"/>
        <v>0</v>
      </c>
      <c r="Y51" s="240">
        <f t="shared" si="17"/>
        <v>0</v>
      </c>
      <c r="Z51" s="240">
        <f t="shared" si="17"/>
        <v>0</v>
      </c>
      <c r="AA51" s="240">
        <f t="shared" si="17"/>
        <v>0</v>
      </c>
    </row>
    <row r="52" spans="2:57" x14ac:dyDescent="0.2">
      <c r="B52" s="229">
        <f>B51+1</f>
        <v>22</v>
      </c>
      <c r="C52" s="236" t="s">
        <v>408</v>
      </c>
      <c r="D52" s="236"/>
      <c r="E52" s="241">
        <v>22</v>
      </c>
      <c r="F52" s="242"/>
      <c r="G52" s="239"/>
      <c r="H52" s="240">
        <f>H30</f>
        <v>0</v>
      </c>
      <c r="I52" s="240">
        <f t="shared" ref="I52:AA52" si="18">I30</f>
        <v>0</v>
      </c>
      <c r="J52" s="240">
        <f t="shared" si="18"/>
        <v>0</v>
      </c>
      <c r="K52" s="240">
        <f t="shared" si="18"/>
        <v>0</v>
      </c>
      <c r="L52" s="240">
        <f t="shared" si="18"/>
        <v>0</v>
      </c>
      <c r="M52" s="240">
        <f t="shared" si="18"/>
        <v>0</v>
      </c>
      <c r="N52" s="240">
        <f t="shared" si="18"/>
        <v>0</v>
      </c>
      <c r="O52" s="240">
        <f t="shared" si="18"/>
        <v>0</v>
      </c>
      <c r="P52" s="240">
        <f t="shared" si="18"/>
        <v>0</v>
      </c>
      <c r="Q52" s="240">
        <f t="shared" si="18"/>
        <v>0</v>
      </c>
      <c r="R52" s="240">
        <f t="shared" si="18"/>
        <v>0</v>
      </c>
      <c r="S52" s="240">
        <f t="shared" si="18"/>
        <v>0</v>
      </c>
      <c r="T52" s="240">
        <f t="shared" si="18"/>
        <v>0</v>
      </c>
      <c r="U52" s="240">
        <f t="shared" si="18"/>
        <v>0</v>
      </c>
      <c r="V52" s="240">
        <f t="shared" si="18"/>
        <v>0</v>
      </c>
      <c r="W52" s="240">
        <f t="shared" si="18"/>
        <v>0</v>
      </c>
      <c r="X52" s="240">
        <f t="shared" si="18"/>
        <v>0</v>
      </c>
      <c r="Y52" s="240">
        <f t="shared" si="18"/>
        <v>0</v>
      </c>
      <c r="Z52" s="240">
        <f t="shared" si="18"/>
        <v>0</v>
      </c>
      <c r="AA52" s="240">
        <f t="shared" si="18"/>
        <v>0</v>
      </c>
    </row>
    <row r="53" spans="2:57" x14ac:dyDescent="0.2">
      <c r="B53" s="229">
        <f t="shared" ref="B53:B62" si="19">B52+1</f>
        <v>23</v>
      </c>
      <c r="C53" s="236" t="s">
        <v>409</v>
      </c>
      <c r="D53" s="236"/>
      <c r="E53" s="241">
        <v>3</v>
      </c>
      <c r="F53" s="242"/>
      <c r="G53" s="239"/>
      <c r="H53" s="240">
        <f>H31</f>
        <v>0</v>
      </c>
      <c r="I53" s="240">
        <f t="shared" ref="I53:AA53" si="20">I31</f>
        <v>0</v>
      </c>
      <c r="J53" s="240">
        <f t="shared" si="20"/>
        <v>0</v>
      </c>
      <c r="K53" s="240">
        <f t="shared" si="20"/>
        <v>0</v>
      </c>
      <c r="L53" s="240">
        <f t="shared" si="20"/>
        <v>0</v>
      </c>
      <c r="M53" s="240">
        <f t="shared" si="20"/>
        <v>0</v>
      </c>
      <c r="N53" s="240">
        <f t="shared" si="20"/>
        <v>0</v>
      </c>
      <c r="O53" s="240">
        <f t="shared" si="20"/>
        <v>0</v>
      </c>
      <c r="P53" s="240">
        <f t="shared" si="20"/>
        <v>0</v>
      </c>
      <c r="Q53" s="240">
        <f t="shared" si="20"/>
        <v>0</v>
      </c>
      <c r="R53" s="240">
        <f t="shared" si="20"/>
        <v>0</v>
      </c>
      <c r="S53" s="240">
        <f t="shared" si="20"/>
        <v>0</v>
      </c>
      <c r="T53" s="240">
        <f t="shared" si="20"/>
        <v>0</v>
      </c>
      <c r="U53" s="240">
        <f t="shared" si="20"/>
        <v>0</v>
      </c>
      <c r="V53" s="240">
        <f t="shared" si="20"/>
        <v>0</v>
      </c>
      <c r="W53" s="240">
        <f t="shared" si="20"/>
        <v>0</v>
      </c>
      <c r="X53" s="240">
        <f t="shared" si="20"/>
        <v>0</v>
      </c>
      <c r="Y53" s="240">
        <f t="shared" si="20"/>
        <v>0</v>
      </c>
      <c r="Z53" s="240">
        <f t="shared" si="20"/>
        <v>0</v>
      </c>
      <c r="AA53" s="240">
        <f t="shared" si="20"/>
        <v>0</v>
      </c>
    </row>
    <row r="54" spans="2:57" x14ac:dyDescent="0.2">
      <c r="B54" s="229">
        <f t="shared" si="19"/>
        <v>24</v>
      </c>
      <c r="C54" s="236" t="s">
        <v>410</v>
      </c>
      <c r="D54" s="236"/>
      <c r="E54" s="237" t="s">
        <v>3</v>
      </c>
      <c r="F54" s="238"/>
      <c r="G54" s="243"/>
      <c r="H54" s="244">
        <f>H52/30</f>
        <v>0</v>
      </c>
      <c r="I54" s="244">
        <f t="shared" ref="I54:AA54" si="21">I52/30</f>
        <v>0</v>
      </c>
      <c r="J54" s="244">
        <f t="shared" si="21"/>
        <v>0</v>
      </c>
      <c r="K54" s="244">
        <f t="shared" si="21"/>
        <v>0</v>
      </c>
      <c r="L54" s="244">
        <f t="shared" si="21"/>
        <v>0</v>
      </c>
      <c r="M54" s="244">
        <f t="shared" si="21"/>
        <v>0</v>
      </c>
      <c r="N54" s="244">
        <f t="shared" si="21"/>
        <v>0</v>
      </c>
      <c r="O54" s="244">
        <f t="shared" si="21"/>
        <v>0</v>
      </c>
      <c r="P54" s="244">
        <f t="shared" si="21"/>
        <v>0</v>
      </c>
      <c r="Q54" s="244">
        <f t="shared" si="21"/>
        <v>0</v>
      </c>
      <c r="R54" s="244">
        <f t="shared" si="21"/>
        <v>0</v>
      </c>
      <c r="S54" s="244">
        <f t="shared" si="21"/>
        <v>0</v>
      </c>
      <c r="T54" s="244">
        <f t="shared" si="21"/>
        <v>0</v>
      </c>
      <c r="U54" s="244">
        <f t="shared" si="21"/>
        <v>0</v>
      </c>
      <c r="V54" s="244">
        <f t="shared" si="21"/>
        <v>0</v>
      </c>
      <c r="W54" s="244">
        <f t="shared" si="21"/>
        <v>0</v>
      </c>
      <c r="X54" s="244">
        <f t="shared" si="21"/>
        <v>0</v>
      </c>
      <c r="Y54" s="244">
        <f t="shared" si="21"/>
        <v>0</v>
      </c>
      <c r="Z54" s="244">
        <f t="shared" si="21"/>
        <v>0</v>
      </c>
      <c r="AA54" s="244">
        <f t="shared" si="21"/>
        <v>0</v>
      </c>
    </row>
    <row r="55" spans="2:57" x14ac:dyDescent="0.2">
      <c r="B55" s="229">
        <f t="shared" si="19"/>
        <v>25</v>
      </c>
      <c r="C55" s="236" t="s">
        <v>411</v>
      </c>
      <c r="D55" s="236"/>
      <c r="E55" s="237" t="s">
        <v>3</v>
      </c>
      <c r="F55" s="238"/>
      <c r="G55" s="243"/>
      <c r="H55" s="244">
        <f>IFERROR(H53/H51,0)</f>
        <v>0</v>
      </c>
      <c r="I55" s="244">
        <f t="shared" ref="I55:AA55" si="22">IFERROR(I53/I51,0)</f>
        <v>0</v>
      </c>
      <c r="J55" s="244">
        <f t="shared" si="22"/>
        <v>0</v>
      </c>
      <c r="K55" s="244">
        <f t="shared" si="22"/>
        <v>0</v>
      </c>
      <c r="L55" s="244">
        <f t="shared" si="22"/>
        <v>0</v>
      </c>
      <c r="M55" s="244">
        <f t="shared" si="22"/>
        <v>0</v>
      </c>
      <c r="N55" s="244">
        <f t="shared" si="22"/>
        <v>0</v>
      </c>
      <c r="O55" s="244">
        <f t="shared" si="22"/>
        <v>0</v>
      </c>
      <c r="P55" s="244">
        <f t="shared" si="22"/>
        <v>0</v>
      </c>
      <c r="Q55" s="244">
        <f t="shared" si="22"/>
        <v>0</v>
      </c>
      <c r="R55" s="244">
        <f t="shared" si="22"/>
        <v>0</v>
      </c>
      <c r="S55" s="244">
        <f t="shared" si="22"/>
        <v>0</v>
      </c>
      <c r="T55" s="244">
        <f t="shared" si="22"/>
        <v>0</v>
      </c>
      <c r="U55" s="244">
        <f t="shared" si="22"/>
        <v>0</v>
      </c>
      <c r="V55" s="244">
        <f t="shared" si="22"/>
        <v>0</v>
      </c>
      <c r="W55" s="244">
        <f t="shared" si="22"/>
        <v>0</v>
      </c>
      <c r="X55" s="244">
        <f t="shared" si="22"/>
        <v>0</v>
      </c>
      <c r="Y55" s="244">
        <f t="shared" si="22"/>
        <v>0</v>
      </c>
      <c r="Z55" s="244">
        <f t="shared" si="22"/>
        <v>0</v>
      </c>
      <c r="AA55" s="244">
        <f t="shared" si="22"/>
        <v>0</v>
      </c>
    </row>
    <row r="56" spans="2:57" x14ac:dyDescent="0.2">
      <c r="B56" s="229">
        <f t="shared" si="19"/>
        <v>26</v>
      </c>
      <c r="C56" s="236" t="s">
        <v>412</v>
      </c>
      <c r="D56" s="236"/>
      <c r="E56" s="237" t="s">
        <v>3</v>
      </c>
      <c r="F56" s="238"/>
      <c r="G56" s="243"/>
      <c r="H56" s="244">
        <f>H54*H55</f>
        <v>0</v>
      </c>
      <c r="I56" s="244">
        <f t="shared" ref="I56:AA56" si="23">I54*I55</f>
        <v>0</v>
      </c>
      <c r="J56" s="244">
        <f t="shared" si="23"/>
        <v>0</v>
      </c>
      <c r="K56" s="244">
        <f t="shared" si="23"/>
        <v>0</v>
      </c>
      <c r="L56" s="244">
        <f t="shared" si="23"/>
        <v>0</v>
      </c>
      <c r="M56" s="244">
        <f t="shared" si="23"/>
        <v>0</v>
      </c>
      <c r="N56" s="244">
        <f t="shared" si="23"/>
        <v>0</v>
      </c>
      <c r="O56" s="244">
        <f t="shared" si="23"/>
        <v>0</v>
      </c>
      <c r="P56" s="244">
        <f t="shared" si="23"/>
        <v>0</v>
      </c>
      <c r="Q56" s="244">
        <f t="shared" si="23"/>
        <v>0</v>
      </c>
      <c r="R56" s="244">
        <f t="shared" si="23"/>
        <v>0</v>
      </c>
      <c r="S56" s="244">
        <f t="shared" si="23"/>
        <v>0</v>
      </c>
      <c r="T56" s="244">
        <f t="shared" si="23"/>
        <v>0</v>
      </c>
      <c r="U56" s="244">
        <f t="shared" si="23"/>
        <v>0</v>
      </c>
      <c r="V56" s="244">
        <f t="shared" si="23"/>
        <v>0</v>
      </c>
      <c r="W56" s="244">
        <f t="shared" si="23"/>
        <v>0</v>
      </c>
      <c r="X56" s="244">
        <f t="shared" si="23"/>
        <v>0</v>
      </c>
      <c r="Y56" s="244">
        <f t="shared" si="23"/>
        <v>0</v>
      </c>
      <c r="Z56" s="244">
        <f t="shared" si="23"/>
        <v>0</v>
      </c>
      <c r="AA56" s="244">
        <f t="shared" si="23"/>
        <v>0</v>
      </c>
    </row>
    <row r="57" spans="2:57" x14ac:dyDescent="0.2">
      <c r="B57" s="229">
        <f t="shared" si="19"/>
        <v>27</v>
      </c>
      <c r="C57" s="236" t="s">
        <v>413</v>
      </c>
      <c r="D57" s="236"/>
      <c r="E57" s="301" t="s">
        <v>718</v>
      </c>
      <c r="F57" s="238"/>
      <c r="G57" s="245">
        <f t="shared" ref="G57:G62" si="24">ROUND(SUM(H57:BE57),2)</f>
        <v>0</v>
      </c>
      <c r="H57" s="246">
        <f>H41/12</f>
        <v>0</v>
      </c>
      <c r="I57" s="246">
        <f t="shared" ref="I57:AA57" si="25">I41/12</f>
        <v>0</v>
      </c>
      <c r="J57" s="246">
        <f t="shared" si="25"/>
        <v>0</v>
      </c>
      <c r="K57" s="246">
        <f t="shared" si="25"/>
        <v>0</v>
      </c>
      <c r="L57" s="246">
        <f t="shared" si="25"/>
        <v>0</v>
      </c>
      <c r="M57" s="246">
        <f t="shared" si="25"/>
        <v>0</v>
      </c>
      <c r="N57" s="246">
        <f t="shared" si="25"/>
        <v>0</v>
      </c>
      <c r="O57" s="246">
        <f t="shared" si="25"/>
        <v>0</v>
      </c>
      <c r="P57" s="246">
        <f t="shared" si="25"/>
        <v>0</v>
      </c>
      <c r="Q57" s="246">
        <f t="shared" si="25"/>
        <v>0</v>
      </c>
      <c r="R57" s="246">
        <f t="shared" si="25"/>
        <v>0</v>
      </c>
      <c r="S57" s="246">
        <f t="shared" si="25"/>
        <v>0</v>
      </c>
      <c r="T57" s="246">
        <f t="shared" si="25"/>
        <v>0</v>
      </c>
      <c r="U57" s="246">
        <f t="shared" si="25"/>
        <v>0</v>
      </c>
      <c r="V57" s="246">
        <f t="shared" si="25"/>
        <v>0</v>
      </c>
      <c r="W57" s="246">
        <f t="shared" si="25"/>
        <v>0</v>
      </c>
      <c r="X57" s="246">
        <f t="shared" si="25"/>
        <v>0</v>
      </c>
      <c r="Y57" s="246">
        <f t="shared" si="25"/>
        <v>0</v>
      </c>
      <c r="Z57" s="246">
        <f t="shared" si="25"/>
        <v>0</v>
      </c>
      <c r="AA57" s="246">
        <f t="shared" si="25"/>
        <v>0</v>
      </c>
    </row>
    <row r="58" spans="2:57" x14ac:dyDescent="0.2">
      <c r="B58" s="229">
        <f t="shared" si="19"/>
        <v>28</v>
      </c>
      <c r="C58" s="236" t="s">
        <v>414</v>
      </c>
      <c r="D58" s="236"/>
      <c r="E58" s="301" t="s">
        <v>718</v>
      </c>
      <c r="F58" s="238"/>
      <c r="G58" s="245">
        <f t="shared" si="24"/>
        <v>0</v>
      </c>
      <c r="H58" s="246">
        <f>H57*H56</f>
        <v>0</v>
      </c>
      <c r="I58" s="246">
        <f t="shared" ref="I58:AA58" si="26">I57*I56</f>
        <v>0</v>
      </c>
      <c r="J58" s="246">
        <f t="shared" si="26"/>
        <v>0</v>
      </c>
      <c r="K58" s="246">
        <f t="shared" si="26"/>
        <v>0</v>
      </c>
      <c r="L58" s="246">
        <f t="shared" si="26"/>
        <v>0</v>
      </c>
      <c r="M58" s="246">
        <f t="shared" si="26"/>
        <v>0</v>
      </c>
      <c r="N58" s="246">
        <f t="shared" si="26"/>
        <v>0</v>
      </c>
      <c r="O58" s="246">
        <f t="shared" si="26"/>
        <v>0</v>
      </c>
      <c r="P58" s="246">
        <f t="shared" si="26"/>
        <v>0</v>
      </c>
      <c r="Q58" s="246">
        <f t="shared" si="26"/>
        <v>0</v>
      </c>
      <c r="R58" s="246">
        <f t="shared" si="26"/>
        <v>0</v>
      </c>
      <c r="S58" s="246">
        <f t="shared" si="26"/>
        <v>0</v>
      </c>
      <c r="T58" s="246">
        <f t="shared" si="26"/>
        <v>0</v>
      </c>
      <c r="U58" s="246">
        <f t="shared" si="26"/>
        <v>0</v>
      </c>
      <c r="V58" s="246">
        <f t="shared" si="26"/>
        <v>0</v>
      </c>
      <c r="W58" s="246">
        <f t="shared" si="26"/>
        <v>0</v>
      </c>
      <c r="X58" s="246">
        <f t="shared" si="26"/>
        <v>0</v>
      </c>
      <c r="Y58" s="246">
        <f t="shared" si="26"/>
        <v>0</v>
      </c>
      <c r="Z58" s="246">
        <f t="shared" si="26"/>
        <v>0</v>
      </c>
      <c r="AA58" s="246">
        <f t="shared" si="26"/>
        <v>0</v>
      </c>
    </row>
    <row r="59" spans="2:57" x14ac:dyDescent="0.2">
      <c r="B59" s="229">
        <f t="shared" si="19"/>
        <v>29</v>
      </c>
      <c r="C59" s="236" t="s">
        <v>415</v>
      </c>
      <c r="D59" s="236"/>
      <c r="E59" s="301" t="s">
        <v>718</v>
      </c>
      <c r="F59" s="238"/>
      <c r="G59" s="245">
        <f t="shared" si="24"/>
        <v>0</v>
      </c>
      <c r="H59" s="246">
        <f>H57-H58</f>
        <v>0</v>
      </c>
      <c r="I59" s="246">
        <f t="shared" ref="I59:AA59" si="27">I57-I58</f>
        <v>0</v>
      </c>
      <c r="J59" s="246">
        <f t="shared" si="27"/>
        <v>0</v>
      </c>
      <c r="K59" s="246">
        <f t="shared" si="27"/>
        <v>0</v>
      </c>
      <c r="L59" s="246">
        <f t="shared" si="27"/>
        <v>0</v>
      </c>
      <c r="M59" s="246">
        <f t="shared" si="27"/>
        <v>0</v>
      </c>
      <c r="N59" s="246">
        <f t="shared" si="27"/>
        <v>0</v>
      </c>
      <c r="O59" s="246">
        <f t="shared" si="27"/>
        <v>0</v>
      </c>
      <c r="P59" s="246">
        <f t="shared" si="27"/>
        <v>0</v>
      </c>
      <c r="Q59" s="246">
        <f t="shared" si="27"/>
        <v>0</v>
      </c>
      <c r="R59" s="246">
        <f t="shared" si="27"/>
        <v>0</v>
      </c>
      <c r="S59" s="246">
        <f t="shared" si="27"/>
        <v>0</v>
      </c>
      <c r="T59" s="246">
        <f t="shared" si="27"/>
        <v>0</v>
      </c>
      <c r="U59" s="246">
        <f t="shared" si="27"/>
        <v>0</v>
      </c>
      <c r="V59" s="246">
        <f t="shared" si="27"/>
        <v>0</v>
      </c>
      <c r="W59" s="246">
        <f t="shared" si="27"/>
        <v>0</v>
      </c>
      <c r="X59" s="246">
        <f t="shared" si="27"/>
        <v>0</v>
      </c>
      <c r="Y59" s="246">
        <f t="shared" si="27"/>
        <v>0</v>
      </c>
      <c r="Z59" s="246">
        <f t="shared" si="27"/>
        <v>0</v>
      </c>
      <c r="AA59" s="246">
        <f t="shared" si="27"/>
        <v>0</v>
      </c>
    </row>
    <row r="60" spans="2:57" x14ac:dyDescent="0.2">
      <c r="B60" s="229">
        <f t="shared" si="19"/>
        <v>30</v>
      </c>
      <c r="C60" s="236" t="s">
        <v>711</v>
      </c>
      <c r="D60" s="236"/>
      <c r="E60" s="237" t="s">
        <v>712</v>
      </c>
      <c r="F60" s="238"/>
      <c r="G60" s="245">
        <f t="shared" si="24"/>
        <v>0</v>
      </c>
      <c r="H60" s="246">
        <f>H8-H25</f>
        <v>0</v>
      </c>
      <c r="I60" s="246">
        <f t="shared" ref="I60:AA60" si="28">I8-I25</f>
        <v>0</v>
      </c>
      <c r="J60" s="246">
        <f t="shared" si="28"/>
        <v>0</v>
      </c>
      <c r="K60" s="246">
        <f t="shared" si="28"/>
        <v>0</v>
      </c>
      <c r="L60" s="246">
        <f t="shared" si="28"/>
        <v>0</v>
      </c>
      <c r="M60" s="246">
        <f t="shared" si="28"/>
        <v>0</v>
      </c>
      <c r="N60" s="246">
        <f t="shared" si="28"/>
        <v>0</v>
      </c>
      <c r="O60" s="246">
        <f t="shared" si="28"/>
        <v>0</v>
      </c>
      <c r="P60" s="246">
        <f t="shared" si="28"/>
        <v>0</v>
      </c>
      <c r="Q60" s="246">
        <f t="shared" si="28"/>
        <v>0</v>
      </c>
      <c r="R60" s="246">
        <f t="shared" si="28"/>
        <v>0</v>
      </c>
      <c r="S60" s="246">
        <f t="shared" si="28"/>
        <v>0</v>
      </c>
      <c r="T60" s="246">
        <f t="shared" si="28"/>
        <v>0</v>
      </c>
      <c r="U60" s="246">
        <f t="shared" si="28"/>
        <v>0</v>
      </c>
      <c r="V60" s="246">
        <f t="shared" si="28"/>
        <v>0</v>
      </c>
      <c r="W60" s="246">
        <f t="shared" si="28"/>
        <v>0</v>
      </c>
      <c r="X60" s="246">
        <f t="shared" si="28"/>
        <v>0</v>
      </c>
      <c r="Y60" s="246">
        <f t="shared" si="28"/>
        <v>0</v>
      </c>
      <c r="Z60" s="246">
        <f t="shared" si="28"/>
        <v>0</v>
      </c>
      <c r="AA60" s="246">
        <f t="shared" si="28"/>
        <v>0</v>
      </c>
      <c r="AB60" s="433"/>
      <c r="AC60" s="434"/>
      <c r="AD60" s="434"/>
      <c r="AE60" s="434"/>
      <c r="AF60" s="434"/>
      <c r="AG60" s="434"/>
      <c r="AH60" s="434"/>
      <c r="AI60" s="434"/>
      <c r="AJ60" s="434"/>
      <c r="AK60" s="434"/>
      <c r="AL60" s="434"/>
      <c r="AM60" s="434"/>
      <c r="AN60" s="434"/>
      <c r="AO60" s="434"/>
      <c r="AP60" s="434"/>
      <c r="AQ60" s="434"/>
      <c r="AR60" s="434"/>
      <c r="AS60" s="434"/>
      <c r="AT60" s="434"/>
      <c r="AU60" s="434"/>
      <c r="AV60" s="434"/>
      <c r="AW60" s="434"/>
      <c r="AX60" s="434"/>
      <c r="AY60" s="434"/>
      <c r="AZ60" s="434"/>
      <c r="BA60" s="434"/>
      <c r="BB60" s="434"/>
      <c r="BC60" s="434"/>
      <c r="BD60" s="434"/>
      <c r="BE60" s="434"/>
    </row>
    <row r="61" spans="2:57" x14ac:dyDescent="0.2">
      <c r="B61" s="229">
        <f t="shared" si="19"/>
        <v>31</v>
      </c>
      <c r="C61" s="236" t="s">
        <v>715</v>
      </c>
      <c r="D61" s="236"/>
      <c r="E61" s="237" t="s">
        <v>712</v>
      </c>
      <c r="F61" s="238"/>
      <c r="G61" s="245">
        <f t="shared" si="24"/>
        <v>0</v>
      </c>
      <c r="H61" s="246">
        <f>H39</f>
        <v>0</v>
      </c>
      <c r="I61" s="246">
        <f t="shared" ref="I61:AA61" si="29">I39</f>
        <v>0</v>
      </c>
      <c r="J61" s="246">
        <f t="shared" si="29"/>
        <v>0</v>
      </c>
      <c r="K61" s="246">
        <f t="shared" si="29"/>
        <v>0</v>
      </c>
      <c r="L61" s="246">
        <f t="shared" si="29"/>
        <v>0</v>
      </c>
      <c r="M61" s="246">
        <f t="shared" si="29"/>
        <v>0</v>
      </c>
      <c r="N61" s="246">
        <f t="shared" si="29"/>
        <v>0</v>
      </c>
      <c r="O61" s="246">
        <f t="shared" si="29"/>
        <v>0</v>
      </c>
      <c r="P61" s="246">
        <f t="shared" si="29"/>
        <v>0</v>
      </c>
      <c r="Q61" s="246">
        <f t="shared" si="29"/>
        <v>0</v>
      </c>
      <c r="R61" s="246">
        <f t="shared" si="29"/>
        <v>0</v>
      </c>
      <c r="S61" s="246">
        <f t="shared" si="29"/>
        <v>0</v>
      </c>
      <c r="T61" s="246">
        <f t="shared" si="29"/>
        <v>0</v>
      </c>
      <c r="U61" s="246">
        <f t="shared" si="29"/>
        <v>0</v>
      </c>
      <c r="V61" s="246">
        <f t="shared" si="29"/>
        <v>0</v>
      </c>
      <c r="W61" s="246">
        <f t="shared" si="29"/>
        <v>0</v>
      </c>
      <c r="X61" s="246">
        <f t="shared" si="29"/>
        <v>0</v>
      </c>
      <c r="Y61" s="246">
        <f t="shared" si="29"/>
        <v>0</v>
      </c>
      <c r="Z61" s="246">
        <f t="shared" si="29"/>
        <v>0</v>
      </c>
      <c r="AA61" s="246">
        <f t="shared" si="29"/>
        <v>0</v>
      </c>
      <c r="AB61" s="433"/>
      <c r="AC61" s="434"/>
      <c r="AD61" s="434"/>
      <c r="AE61" s="434"/>
      <c r="AF61" s="434"/>
      <c r="AG61" s="434"/>
      <c r="AH61" s="434"/>
      <c r="AI61" s="434"/>
      <c r="AJ61" s="434"/>
      <c r="AK61" s="434"/>
      <c r="AL61" s="434"/>
      <c r="AM61" s="434"/>
      <c r="AN61" s="434"/>
      <c r="AO61" s="434"/>
      <c r="AP61" s="434"/>
      <c r="AQ61" s="434"/>
      <c r="AR61" s="434"/>
      <c r="AS61" s="434"/>
      <c r="AT61" s="434"/>
      <c r="AU61" s="434"/>
      <c r="AV61" s="434"/>
      <c r="AW61" s="434"/>
      <c r="AX61" s="434"/>
      <c r="AY61" s="434"/>
      <c r="AZ61" s="434"/>
      <c r="BA61" s="434"/>
      <c r="BB61" s="434"/>
      <c r="BC61" s="434"/>
      <c r="BD61" s="434"/>
      <c r="BE61" s="434"/>
    </row>
    <row r="62" spans="2:57" x14ac:dyDescent="0.2">
      <c r="B62" s="229">
        <f t="shared" si="19"/>
        <v>32</v>
      </c>
      <c r="C62" s="236" t="s">
        <v>716</v>
      </c>
      <c r="D62" s="236"/>
      <c r="E62" s="237" t="s">
        <v>712</v>
      </c>
      <c r="F62" s="238"/>
      <c r="G62" s="245">
        <f t="shared" si="24"/>
        <v>0</v>
      </c>
      <c r="H62" s="246">
        <f>H60</f>
        <v>0</v>
      </c>
      <c r="I62" s="246">
        <f t="shared" ref="I62:AA62" si="30">I60</f>
        <v>0</v>
      </c>
      <c r="J62" s="246">
        <f t="shared" si="30"/>
        <v>0</v>
      </c>
      <c r="K62" s="246">
        <f t="shared" si="30"/>
        <v>0</v>
      </c>
      <c r="L62" s="246">
        <f t="shared" si="30"/>
        <v>0</v>
      </c>
      <c r="M62" s="246">
        <f t="shared" si="30"/>
        <v>0</v>
      </c>
      <c r="N62" s="246">
        <f t="shared" si="30"/>
        <v>0</v>
      </c>
      <c r="O62" s="246">
        <f t="shared" si="30"/>
        <v>0</v>
      </c>
      <c r="P62" s="246">
        <f t="shared" si="30"/>
        <v>0</v>
      </c>
      <c r="Q62" s="246">
        <f t="shared" si="30"/>
        <v>0</v>
      </c>
      <c r="R62" s="246">
        <f t="shared" si="30"/>
        <v>0</v>
      </c>
      <c r="S62" s="246">
        <f t="shared" si="30"/>
        <v>0</v>
      </c>
      <c r="T62" s="246">
        <f t="shared" si="30"/>
        <v>0</v>
      </c>
      <c r="U62" s="246">
        <f t="shared" si="30"/>
        <v>0</v>
      </c>
      <c r="V62" s="246">
        <f t="shared" si="30"/>
        <v>0</v>
      </c>
      <c r="W62" s="246">
        <f t="shared" si="30"/>
        <v>0</v>
      </c>
      <c r="X62" s="246">
        <f t="shared" si="30"/>
        <v>0</v>
      </c>
      <c r="Y62" s="246">
        <f t="shared" si="30"/>
        <v>0</v>
      </c>
      <c r="Z62" s="246">
        <f t="shared" si="30"/>
        <v>0</v>
      </c>
      <c r="AA62" s="246">
        <f t="shared" si="30"/>
        <v>0</v>
      </c>
      <c r="AB62" s="433"/>
      <c r="AC62" s="434"/>
      <c r="AD62" s="434"/>
      <c r="AE62" s="434"/>
      <c r="AF62" s="434"/>
      <c r="AG62" s="434"/>
      <c r="AH62" s="434"/>
      <c r="AI62" s="434"/>
      <c r="AJ62" s="434"/>
      <c r="AK62" s="434"/>
      <c r="AL62" s="434"/>
      <c r="AM62" s="434"/>
      <c r="AN62" s="434"/>
      <c r="AO62" s="434"/>
      <c r="AP62" s="434"/>
      <c r="AQ62" s="434"/>
      <c r="AR62" s="434"/>
      <c r="AS62" s="434"/>
      <c r="AT62" s="434"/>
      <c r="AU62" s="434"/>
      <c r="AV62" s="434"/>
      <c r="AW62" s="434"/>
      <c r="AX62" s="434"/>
      <c r="AY62" s="434"/>
      <c r="AZ62" s="434"/>
      <c r="BA62" s="434"/>
      <c r="BB62" s="434"/>
      <c r="BC62" s="434"/>
      <c r="BD62" s="434"/>
      <c r="BE62" s="434"/>
    </row>
  </sheetData>
  <sheetProtection password="C9A4" sheet="1" objects="1" scenarios="1"/>
  <mergeCells count="10">
    <mergeCell ref="B2:G2"/>
    <mergeCell ref="B49:F49"/>
    <mergeCell ref="B37:F37"/>
    <mergeCell ref="B29:B33"/>
    <mergeCell ref="B3:F3"/>
    <mergeCell ref="B9:B11"/>
    <mergeCell ref="B20:F20"/>
    <mergeCell ref="B26:B28"/>
    <mergeCell ref="B12:B16"/>
    <mergeCell ref="B4:F4"/>
  </mergeCells>
  <conditionalFormatting sqref="H9:AA9 H26:AA26 H51:AA51">
    <cfRule type="cellIs" dxfId="30" priority="27" operator="greaterThan">
      <formula>24</formula>
    </cfRule>
    <cfRule type="cellIs" dxfId="29" priority="28" operator="lessThan">
      <formula>0</formula>
    </cfRule>
  </conditionalFormatting>
  <conditionalFormatting sqref="H16:AA16 H33:AA33">
    <cfRule type="cellIs" dxfId="28" priority="25" operator="greaterThan">
      <formula>1</formula>
    </cfRule>
    <cfRule type="cellIs" dxfId="27" priority="26" operator="lessThan">
      <formula>0</formula>
    </cfRule>
  </conditionalFormatting>
  <conditionalFormatting sqref="G45:G46 H52:AA53">
    <cfRule type="cellIs" dxfId="26" priority="24" operator="lessThan">
      <formula>0</formula>
    </cfRule>
  </conditionalFormatting>
  <conditionalFormatting sqref="G16 G33">
    <cfRule type="cellIs" dxfId="25" priority="23" operator="equal">
      <formula>"ERRO"</formula>
    </cfRule>
  </conditionalFormatting>
  <conditionalFormatting sqref="H52:AA52">
    <cfRule type="cellIs" dxfId="24" priority="15" operator="greaterThan">
      <formula>22</formula>
    </cfRule>
  </conditionalFormatting>
  <conditionalFormatting sqref="H53:AA53">
    <cfRule type="cellIs" dxfId="23" priority="14" operator="greaterThan">
      <formula>3</formula>
    </cfRule>
  </conditionalFormatting>
  <conditionalFormatting sqref="H52:AA53">
    <cfRule type="cellIs" dxfId="22" priority="1" operator="greaterThan">
      <formula>24</formula>
    </cfRule>
    <cfRule type="cellIs" dxfId="21" priority="2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workbookViewId="0">
      <selection activeCell="F8" sqref="F8:G8"/>
    </sheetView>
  </sheetViews>
  <sheetFormatPr defaultColWidth="9.140625" defaultRowHeight="12.75" x14ac:dyDescent="0.2"/>
  <cols>
    <col min="1" max="2" width="2.85546875" style="600" customWidth="1"/>
    <col min="3" max="4" width="9.140625" style="600"/>
    <col min="5" max="5" width="11.42578125" style="600" customWidth="1"/>
    <col min="6" max="7" width="12.85546875" style="600" customWidth="1"/>
    <col min="8" max="8" width="1.85546875" style="600" customWidth="1"/>
    <col min="9" max="11" width="9.140625" style="600"/>
    <col min="12" max="13" width="12.85546875" style="600" customWidth="1"/>
    <col min="14" max="14" width="2.85546875" style="600" customWidth="1"/>
    <col min="15" max="16384" width="9.140625" style="600"/>
  </cols>
  <sheetData>
    <row r="2" spans="2:14" ht="22.5" customHeight="1" x14ac:dyDescent="0.2">
      <c r="B2" s="946" t="s">
        <v>1035</v>
      </c>
      <c r="C2" s="947"/>
      <c r="D2" s="947"/>
      <c r="E2" s="947"/>
      <c r="F2" s="947"/>
      <c r="G2" s="947"/>
      <c r="H2" s="947"/>
      <c r="I2" s="947"/>
      <c r="J2" s="947"/>
      <c r="K2" s="947"/>
      <c r="L2" s="947"/>
      <c r="M2" s="947"/>
      <c r="N2" s="948"/>
    </row>
    <row r="3" spans="2:14" ht="15" x14ac:dyDescent="0.2">
      <c r="B3" s="650"/>
      <c r="C3" s="651" t="s">
        <v>1034</v>
      </c>
      <c r="D3" s="652"/>
      <c r="E3" s="652"/>
      <c r="F3" s="652"/>
      <c r="G3" s="652"/>
      <c r="H3" s="652"/>
      <c r="I3" s="652"/>
      <c r="J3" s="652"/>
      <c r="K3" s="652"/>
      <c r="L3" s="652"/>
      <c r="M3" s="652"/>
      <c r="N3" s="654"/>
    </row>
    <row r="4" spans="2:14" ht="15" x14ac:dyDescent="0.2">
      <c r="B4" s="614"/>
      <c r="C4" s="683" t="s">
        <v>52</v>
      </c>
      <c r="D4" s="951" t="str">
        <f>IF(Apresentação!E10="","",Apresentação!E10)</f>
        <v xml:space="preserve">Fundação Univercidade Federal do Piauí - Colégio Agricola de </v>
      </c>
      <c r="E4" s="951"/>
      <c r="F4" s="951"/>
      <c r="G4" s="951"/>
      <c r="H4" s="951"/>
      <c r="I4" s="951"/>
      <c r="J4" s="951"/>
      <c r="K4" s="951"/>
      <c r="L4" s="951"/>
      <c r="M4" s="951"/>
      <c r="N4" s="617"/>
    </row>
    <row r="5" spans="2:14" ht="15" customHeight="1" x14ac:dyDescent="0.2">
      <c r="B5" s="614"/>
      <c r="C5" s="683" t="s">
        <v>53</v>
      </c>
      <c r="D5" s="951" t="str">
        <f>IF(Apresentação!E11="","",Apresentação!E11)</f>
        <v>ENDEREÇO DO CONSUMIDOR</v>
      </c>
      <c r="E5" s="951"/>
      <c r="F5" s="951"/>
      <c r="G5" s="951"/>
      <c r="H5" s="951"/>
      <c r="I5" s="951"/>
      <c r="J5" s="951"/>
      <c r="K5" s="951"/>
      <c r="L5" s="951"/>
      <c r="M5" s="951"/>
      <c r="N5" s="617"/>
    </row>
    <row r="6" spans="2:14" ht="15" x14ac:dyDescent="0.25">
      <c r="B6" s="614"/>
      <c r="C6" s="683" t="s">
        <v>54</v>
      </c>
      <c r="D6" s="952">
        <f>IF(Apresentação!E12="","",Apresentação!E12)</f>
        <v>6517387000134</v>
      </c>
      <c r="E6" s="952"/>
      <c r="F6" s="952"/>
      <c r="G6" s="952"/>
      <c r="H6" s="952"/>
      <c r="I6" s="619"/>
      <c r="J6" s="685"/>
      <c r="K6" s="619"/>
      <c r="L6" s="685"/>
      <c r="M6" s="685"/>
      <c r="N6" s="617"/>
    </row>
    <row r="7" spans="2:14" ht="6" customHeight="1" x14ac:dyDescent="0.25">
      <c r="B7" s="614"/>
      <c r="C7" s="685"/>
      <c r="D7" s="685"/>
      <c r="E7" s="685"/>
      <c r="F7" s="685"/>
      <c r="G7" s="685"/>
      <c r="H7" s="685"/>
      <c r="I7" s="685"/>
      <c r="J7" s="685"/>
      <c r="K7" s="685"/>
      <c r="L7" s="685"/>
      <c r="M7" s="685"/>
      <c r="N7" s="617"/>
    </row>
    <row r="8" spans="2:14" ht="18.75" customHeight="1" x14ac:dyDescent="0.25">
      <c r="B8" s="686"/>
      <c r="C8" s="949" t="s">
        <v>1036</v>
      </c>
      <c r="D8" s="949"/>
      <c r="E8" s="949"/>
      <c r="F8" s="950"/>
      <c r="G8" s="950"/>
      <c r="H8" s="687"/>
      <c r="I8" s="949" t="s">
        <v>1040</v>
      </c>
      <c r="J8" s="949"/>
      <c r="K8" s="949"/>
      <c r="L8" s="950"/>
      <c r="M8" s="950"/>
      <c r="N8" s="688"/>
    </row>
    <row r="9" spans="2:14" ht="3" customHeight="1" x14ac:dyDescent="0.25">
      <c r="B9" s="686"/>
      <c r="C9" s="685"/>
      <c r="D9" s="685"/>
      <c r="E9" s="685"/>
      <c r="F9" s="707"/>
      <c r="G9" s="707"/>
      <c r="H9" s="685"/>
      <c r="I9" s="685"/>
      <c r="J9" s="685"/>
      <c r="K9" s="685"/>
      <c r="L9" s="707"/>
      <c r="M9" s="707"/>
      <c r="N9" s="688"/>
    </row>
    <row r="10" spans="2:14" ht="18.75" customHeight="1" x14ac:dyDescent="0.25">
      <c r="B10" s="686"/>
      <c r="C10" s="949" t="s">
        <v>1037</v>
      </c>
      <c r="D10" s="949"/>
      <c r="E10" s="949"/>
      <c r="F10" s="950"/>
      <c r="G10" s="950"/>
      <c r="H10" s="687"/>
      <c r="I10" s="949" t="s">
        <v>1041</v>
      </c>
      <c r="J10" s="949"/>
      <c r="K10" s="949"/>
      <c r="L10" s="950"/>
      <c r="M10" s="950"/>
      <c r="N10" s="688"/>
    </row>
    <row r="11" spans="2:14" ht="3" customHeight="1" x14ac:dyDescent="0.25">
      <c r="B11" s="686"/>
      <c r="C11" s="685"/>
      <c r="D11" s="685"/>
      <c r="E11" s="685"/>
      <c r="F11" s="707"/>
      <c r="G11" s="707"/>
      <c r="H11" s="685"/>
      <c r="I11" s="685"/>
      <c r="J11" s="685"/>
      <c r="K11" s="685"/>
      <c r="L11" s="707"/>
      <c r="M11" s="707"/>
      <c r="N11" s="688"/>
    </row>
    <row r="12" spans="2:14" ht="18.75" customHeight="1" x14ac:dyDescent="0.25">
      <c r="B12" s="686"/>
      <c r="C12" s="949" t="s">
        <v>1039</v>
      </c>
      <c r="D12" s="949"/>
      <c r="E12" s="949"/>
      <c r="F12" s="950"/>
      <c r="G12" s="950"/>
      <c r="H12" s="687"/>
      <c r="I12" s="949" t="s">
        <v>1038</v>
      </c>
      <c r="J12" s="949"/>
      <c r="K12" s="949"/>
      <c r="L12" s="950"/>
      <c r="M12" s="950"/>
      <c r="N12" s="688"/>
    </row>
    <row r="13" spans="2:14" ht="15" x14ac:dyDescent="0.25">
      <c r="B13" s="686"/>
      <c r="C13" s="685"/>
      <c r="D13" s="685"/>
      <c r="E13" s="685"/>
      <c r="F13" s="685"/>
      <c r="G13" s="685"/>
      <c r="H13" s="685"/>
      <c r="I13" s="685"/>
      <c r="J13" s="685"/>
      <c r="K13" s="685"/>
      <c r="L13" s="685"/>
      <c r="M13" s="685"/>
      <c r="N13" s="688"/>
    </row>
    <row r="14" spans="2:14" ht="18.75" customHeight="1" x14ac:dyDescent="0.25">
      <c r="B14" s="686"/>
      <c r="C14" s="949" t="s">
        <v>1042</v>
      </c>
      <c r="D14" s="949"/>
      <c r="E14" s="949"/>
      <c r="F14" s="955" t="str">
        <f>IF(F10="","",IFERROR((F10+F12)/(L8+L10),""))</f>
        <v/>
      </c>
      <c r="G14" s="955"/>
      <c r="H14" s="689"/>
      <c r="I14" s="953" t="s">
        <v>1045</v>
      </c>
      <c r="J14" s="953"/>
      <c r="K14" s="953"/>
      <c r="L14" s="953"/>
      <c r="M14" s="953"/>
      <c r="N14" s="688"/>
    </row>
    <row r="15" spans="2:14" ht="3" customHeight="1" x14ac:dyDescent="0.25">
      <c r="B15" s="686"/>
      <c r="C15" s="685"/>
      <c r="D15" s="685"/>
      <c r="E15" s="685"/>
      <c r="F15" s="685"/>
      <c r="G15" s="685"/>
      <c r="H15" s="685"/>
      <c r="I15" s="954" t="str">
        <f>IF(F8="","",IF(F8&lt;(0.1*'Custo Contábil'!D20),"Patrimônio Líquido é menor do que o exigido pelo Edital da Chamada Pública",IF(SUM(IF(IndFinanceiro!F14&gt;1,1,0),IF(IndFinanceiro!F16&gt;1,1,0),IF(IndFinanceiro!F18&gt;1,1,0))&gt;=2,"Situação Financeira OK","O Proponente não possui pelo menos dois dos indicadores solicitados maiores que 1 (um)")))</f>
        <v/>
      </c>
      <c r="J15" s="954"/>
      <c r="K15" s="954"/>
      <c r="L15" s="954"/>
      <c r="M15" s="954"/>
      <c r="N15" s="688"/>
    </row>
    <row r="16" spans="2:14" ht="18.75" customHeight="1" x14ac:dyDescent="0.25">
      <c r="B16" s="686"/>
      <c r="C16" s="949" t="s">
        <v>1043</v>
      </c>
      <c r="D16" s="949"/>
      <c r="E16" s="949"/>
      <c r="F16" s="955" t="str">
        <f>IF(F10="","",IFERROR((F10)/(L8),""))</f>
        <v/>
      </c>
      <c r="G16" s="955"/>
      <c r="H16" s="685"/>
      <c r="I16" s="954"/>
      <c r="J16" s="954"/>
      <c r="K16" s="954"/>
      <c r="L16" s="954"/>
      <c r="M16" s="954"/>
      <c r="N16" s="688"/>
    </row>
    <row r="17" spans="2:14" ht="3" customHeight="1" x14ac:dyDescent="0.25">
      <c r="B17" s="686"/>
      <c r="C17" s="685"/>
      <c r="D17" s="685"/>
      <c r="E17" s="685"/>
      <c r="F17" s="685"/>
      <c r="G17" s="685"/>
      <c r="H17" s="685"/>
      <c r="I17" s="954"/>
      <c r="J17" s="954"/>
      <c r="K17" s="954"/>
      <c r="L17" s="954"/>
      <c r="M17" s="954"/>
      <c r="N17" s="688"/>
    </row>
    <row r="18" spans="2:14" ht="18.75" customHeight="1" x14ac:dyDescent="0.25">
      <c r="B18" s="686"/>
      <c r="C18" s="949" t="s">
        <v>1044</v>
      </c>
      <c r="D18" s="949"/>
      <c r="E18" s="949"/>
      <c r="F18" s="955" t="str">
        <f>IF(F10="","",IFERROR((L12)/(L8+L10),""))</f>
        <v/>
      </c>
      <c r="G18" s="955"/>
      <c r="H18" s="685"/>
      <c r="I18" s="954"/>
      <c r="J18" s="954"/>
      <c r="K18" s="954"/>
      <c r="L18" s="954"/>
      <c r="M18" s="954"/>
      <c r="N18" s="688"/>
    </row>
    <row r="19" spans="2:14" ht="3" customHeight="1" x14ac:dyDescent="0.25">
      <c r="B19" s="690"/>
      <c r="C19" s="691"/>
      <c r="D19" s="691"/>
      <c r="E19" s="691"/>
      <c r="F19" s="691"/>
      <c r="G19" s="691"/>
      <c r="H19" s="691"/>
      <c r="I19" s="691"/>
      <c r="J19" s="691"/>
      <c r="K19" s="691"/>
      <c r="L19" s="691"/>
      <c r="M19" s="691"/>
      <c r="N19" s="692"/>
    </row>
    <row r="20" spans="2:14" ht="15" x14ac:dyDescent="0.25">
      <c r="B20" s="684"/>
      <c r="C20" s="684"/>
      <c r="D20" s="684"/>
      <c r="E20" s="684"/>
      <c r="F20" s="684"/>
      <c r="G20" s="684"/>
      <c r="H20" s="684"/>
      <c r="I20" s="684"/>
      <c r="J20" s="684"/>
      <c r="K20" s="684"/>
      <c r="L20" s="684"/>
      <c r="M20" s="684"/>
      <c r="N20" s="684"/>
    </row>
    <row r="21" spans="2:14" ht="15" x14ac:dyDescent="0.25">
      <c r="B21" s="684"/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4"/>
      <c r="N21" s="684"/>
    </row>
    <row r="22" spans="2:14" ht="15" x14ac:dyDescent="0.25">
      <c r="B22" s="684"/>
      <c r="C22" s="684"/>
      <c r="D22" s="684"/>
      <c r="E22" s="684"/>
      <c r="F22" s="684"/>
      <c r="G22" s="684"/>
      <c r="H22" s="684"/>
      <c r="I22" s="684"/>
      <c r="J22" s="684"/>
      <c r="K22" s="684"/>
      <c r="L22" s="684"/>
      <c r="M22" s="684"/>
      <c r="N22" s="684"/>
    </row>
  </sheetData>
  <sheetProtection algorithmName="SHA-512" hashValue="BaxVTe7NOy1PzE9AXen9v7zvUABoZpGLbfm8SDELzZYYbQrNN10dvDN0UOo/KZW/JgWEQ+egNE8Px/26Dmv4xw==" saltValue="GH3eEOrhDJXolGmIm3AnHA==" spinCount="100000" sheet="1" objects="1" scenarios="1"/>
  <mergeCells count="24">
    <mergeCell ref="C16:E16"/>
    <mergeCell ref="C18:E18"/>
    <mergeCell ref="F14:G14"/>
    <mergeCell ref="F16:G16"/>
    <mergeCell ref="F18:G18"/>
    <mergeCell ref="C14:E14"/>
    <mergeCell ref="I14:M14"/>
    <mergeCell ref="I15:M18"/>
    <mergeCell ref="F10:G10"/>
    <mergeCell ref="F12:G12"/>
    <mergeCell ref="L8:M8"/>
    <mergeCell ref="L10:M10"/>
    <mergeCell ref="L12:M12"/>
    <mergeCell ref="B2:N2"/>
    <mergeCell ref="C8:E8"/>
    <mergeCell ref="C10:E10"/>
    <mergeCell ref="C12:E12"/>
    <mergeCell ref="I8:K8"/>
    <mergeCell ref="I10:K10"/>
    <mergeCell ref="I12:K12"/>
    <mergeCell ref="F8:G8"/>
    <mergeCell ref="D4:M4"/>
    <mergeCell ref="D5:M5"/>
    <mergeCell ref="D6:H6"/>
  </mergeCells>
  <conditionalFormatting sqref="F14:G14">
    <cfRule type="cellIs" dxfId="161" priority="8" operator="lessThanOrEqual">
      <formula>1</formula>
    </cfRule>
    <cfRule type="cellIs" dxfId="160" priority="9" operator="greaterThan">
      <formula>1</formula>
    </cfRule>
  </conditionalFormatting>
  <conditionalFormatting sqref="F16:G16">
    <cfRule type="cellIs" dxfId="159" priority="6" operator="lessThanOrEqual">
      <formula>1</formula>
    </cfRule>
    <cfRule type="cellIs" dxfId="158" priority="7" operator="greaterThan">
      <formula>1</formula>
    </cfRule>
  </conditionalFormatting>
  <conditionalFormatting sqref="F18:G18">
    <cfRule type="cellIs" dxfId="157" priority="4" operator="lessThanOrEqual">
      <formula>1</formula>
    </cfRule>
    <cfRule type="cellIs" dxfId="156" priority="5" operator="greaterThan">
      <formula>1</formula>
    </cfRule>
  </conditionalFormatting>
  <conditionalFormatting sqref="I15:M18">
    <cfRule type="cellIs" dxfId="155" priority="1" operator="equal">
      <formula>"Patrimônio Líquido é menor do que o exigido pelo Edital da Chamada Pública"</formula>
    </cfRule>
    <cfRule type="cellIs" dxfId="154" priority="2" operator="equal">
      <formula>"Situação Financeira OK"</formula>
    </cfRule>
    <cfRule type="cellIs" dxfId="153" priority="3" operator="equal">
      <formula>"O Proponente não possui pelo menos dois dos indicadores solicitados maiores que 1 (um)"</formula>
    </cfRule>
  </conditionalFormatting>
  <dataValidations count="4">
    <dataValidation allowBlank="1" showErrorMessage="1" prompt="Informe o Endereço completo do consumidor proponente" sqref="D5:M5"/>
    <dataValidation allowBlank="1" showErrorMessage="1" prompt="Informe o número do CNPJ do proponente" sqref="D6:H6"/>
    <dataValidation allowBlank="1" showErrorMessage="1" prompt="Digite o nome do consumidor proponente do projeto" sqref="D4:M4"/>
    <dataValidation allowBlank="1" showInputMessage="1" showErrorMessage="1" error="Escolha uma das opções determinadas na célula" sqref="K3"/>
  </dataValidations>
  <pageMargins left="0.511811024" right="0.511811024" top="0.78740157499999996" bottom="0.78740157499999996" header="0.31496062000000002" footer="0.31496062000000002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/>
  </sheetPr>
  <dimension ref="B2:P101"/>
  <sheetViews>
    <sheetView showGridLines="0" zoomScale="80" zoomScaleNormal="80" workbookViewId="0">
      <pane ySplit="4" topLeftCell="A56" activePane="bottomLeft" state="frozen"/>
      <selection activeCell="H20" sqref="H20"/>
      <selection pane="bottomLeft" activeCell="K62" sqref="K62"/>
    </sheetView>
  </sheetViews>
  <sheetFormatPr defaultColWidth="9.140625" defaultRowHeight="15" customHeight="1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20.140625" style="409" bestFit="1" customWidth="1"/>
    <col min="11" max="16" width="28.42578125" style="409" customWidth="1"/>
    <col min="17" max="16384" width="9.140625" style="409"/>
  </cols>
  <sheetData>
    <row r="2" spans="2:16" ht="22.5" customHeight="1" x14ac:dyDescent="0.25">
      <c r="B2" s="571"/>
      <c r="C2" s="572"/>
      <c r="D2" s="1158" t="s">
        <v>970</v>
      </c>
      <c r="E2" s="1158"/>
      <c r="F2" s="1158"/>
      <c r="G2" s="1158"/>
      <c r="H2" s="1158"/>
      <c r="I2" s="1158"/>
      <c r="J2" s="572"/>
      <c r="K2" s="572"/>
      <c r="L2" s="572"/>
      <c r="M2" s="573"/>
      <c r="N2" s="572"/>
      <c r="O2" s="572"/>
      <c r="P2" s="573"/>
    </row>
    <row r="3" spans="2:1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8"/>
      <c r="K3" s="1066" t="s">
        <v>946</v>
      </c>
      <c r="L3" s="1067"/>
      <c r="M3" s="1067"/>
      <c r="N3" s="1067"/>
      <c r="O3" s="1067"/>
      <c r="P3" s="1068"/>
    </row>
    <row r="4" spans="2:1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10"/>
      <c r="K4" s="328" t="s">
        <v>917</v>
      </c>
      <c r="L4" s="328" t="s">
        <v>926</v>
      </c>
      <c r="M4" s="328" t="s">
        <v>927</v>
      </c>
      <c r="N4" s="328" t="s">
        <v>943</v>
      </c>
      <c r="O4" s="328" t="s">
        <v>944</v>
      </c>
      <c r="P4" s="529" t="s">
        <v>945</v>
      </c>
    </row>
    <row r="5" spans="2:1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569"/>
      <c r="L5" s="569"/>
      <c r="M5" s="570"/>
      <c r="N5" s="569"/>
      <c r="O5" s="569"/>
      <c r="P5" s="570"/>
    </row>
    <row r="6" spans="2:1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3"/>
      <c r="K6" s="550" t="s">
        <v>917</v>
      </c>
      <c r="L6" s="550" t="s">
        <v>926</v>
      </c>
      <c r="M6" s="550" t="s">
        <v>927</v>
      </c>
      <c r="N6" s="550" t="s">
        <v>943</v>
      </c>
      <c r="O6" s="550" t="s">
        <v>944</v>
      </c>
      <c r="P6" s="550" t="s">
        <v>945</v>
      </c>
    </row>
    <row r="7" spans="2:16" ht="15" customHeight="1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947</v>
      </c>
      <c r="K7" s="560" t="s">
        <v>929</v>
      </c>
      <c r="L7" s="560" t="s">
        <v>929</v>
      </c>
      <c r="M7" s="560" t="s">
        <v>929</v>
      </c>
      <c r="N7" s="560" t="s">
        <v>929</v>
      </c>
      <c r="O7" s="560" t="s">
        <v>929</v>
      </c>
      <c r="P7" s="560" t="s">
        <v>929</v>
      </c>
    </row>
    <row r="8" spans="2:16" ht="15" customHeight="1" outlineLevel="1" x14ac:dyDescent="0.25">
      <c r="B8" s="173">
        <v>1</v>
      </c>
      <c r="C8" s="1147" t="s">
        <v>1387</v>
      </c>
      <c r="D8" s="1148"/>
      <c r="E8" s="1148"/>
      <c r="F8" s="1148"/>
      <c r="G8" s="1148"/>
      <c r="H8" s="726">
        <v>20</v>
      </c>
      <c r="I8" s="807">
        <v>62</v>
      </c>
      <c r="J8" s="546">
        <f>IFERROR(SMALL(K8:P8,1),0)</f>
        <v>1100</v>
      </c>
      <c r="K8" s="343">
        <v>1100</v>
      </c>
      <c r="L8" s="343">
        <v>1200</v>
      </c>
      <c r="M8" s="343">
        <f>85800/I8</f>
        <v>1383.8709677419354</v>
      </c>
      <c r="N8" s="343"/>
      <c r="O8" s="343"/>
      <c r="P8" s="343"/>
    </row>
    <row r="9" spans="2:16" ht="15" customHeight="1" outlineLevel="1" x14ac:dyDescent="0.25">
      <c r="B9" s="175">
        <v>2</v>
      </c>
      <c r="C9" s="1147" t="s">
        <v>1388</v>
      </c>
      <c r="D9" s="1148"/>
      <c r="E9" s="1148"/>
      <c r="F9" s="1148"/>
      <c r="G9" s="1148"/>
      <c r="H9" s="808">
        <v>10</v>
      </c>
      <c r="I9" s="809">
        <v>1</v>
      </c>
      <c r="J9" s="546">
        <f t="shared" ref="J9:J48" si="0">IFERROR(SMALL(K9:P9,1),0)</f>
        <v>15000</v>
      </c>
      <c r="K9" s="343">
        <v>15000</v>
      </c>
      <c r="L9" s="343">
        <v>20000</v>
      </c>
      <c r="M9" s="343">
        <v>25000</v>
      </c>
      <c r="N9" s="343"/>
      <c r="O9" s="343"/>
      <c r="P9" s="343"/>
    </row>
    <row r="10" spans="2:16" ht="15" customHeight="1" outlineLevel="1" x14ac:dyDescent="0.25">
      <c r="B10" s="173">
        <v>3</v>
      </c>
      <c r="C10" s="1147" t="s">
        <v>1389</v>
      </c>
      <c r="D10" s="1148"/>
      <c r="E10" s="1148"/>
      <c r="F10" s="1148"/>
      <c r="G10" s="1148"/>
      <c r="H10" s="808">
        <v>20</v>
      </c>
      <c r="I10" s="809">
        <v>1</v>
      </c>
      <c r="J10" s="546">
        <f t="shared" si="0"/>
        <v>4849.59</v>
      </c>
      <c r="K10" s="343">
        <v>4849.59</v>
      </c>
      <c r="L10" s="343">
        <v>11091.86</v>
      </c>
      <c r="M10" s="343">
        <v>5277.04</v>
      </c>
      <c r="N10" s="343"/>
      <c r="O10" s="343"/>
      <c r="P10" s="343"/>
    </row>
    <row r="11" spans="2:16" ht="15" customHeight="1" outlineLevel="1" x14ac:dyDescent="0.25">
      <c r="B11" s="175">
        <v>4</v>
      </c>
      <c r="C11" s="1147"/>
      <c r="D11" s="1148"/>
      <c r="E11" s="1148"/>
      <c r="F11" s="1148"/>
      <c r="G11" s="1148"/>
      <c r="H11" s="176"/>
      <c r="I11" s="336"/>
      <c r="J11" s="546">
        <f t="shared" si="0"/>
        <v>0</v>
      </c>
      <c r="K11" s="343"/>
      <c r="L11" s="343"/>
      <c r="M11" s="343"/>
      <c r="N11" s="343"/>
      <c r="O11" s="343"/>
      <c r="P11" s="343"/>
    </row>
    <row r="12" spans="2:16" ht="15" customHeight="1" outlineLevel="1" x14ac:dyDescent="0.25">
      <c r="B12" s="173">
        <v>5</v>
      </c>
      <c r="C12" s="1147"/>
      <c r="D12" s="1148"/>
      <c r="E12" s="1148"/>
      <c r="F12" s="1148"/>
      <c r="G12" s="1148"/>
      <c r="H12" s="176"/>
      <c r="I12" s="336"/>
      <c r="J12" s="546">
        <f t="shared" si="0"/>
        <v>0</v>
      </c>
      <c r="K12" s="343"/>
      <c r="L12" s="343"/>
      <c r="M12" s="343"/>
      <c r="N12" s="343"/>
      <c r="O12" s="343"/>
      <c r="P12" s="343"/>
    </row>
    <row r="13" spans="2:16" ht="15" customHeight="1" outlineLevel="1" x14ac:dyDescent="0.25">
      <c r="B13" s="175">
        <v>6</v>
      </c>
      <c r="C13" s="1147"/>
      <c r="D13" s="1148"/>
      <c r="E13" s="1148"/>
      <c r="F13" s="1148"/>
      <c r="G13" s="1148"/>
      <c r="H13" s="176"/>
      <c r="I13" s="336"/>
      <c r="J13" s="546">
        <f t="shared" si="0"/>
        <v>0</v>
      </c>
      <c r="K13" s="343"/>
      <c r="L13" s="343"/>
      <c r="M13" s="343"/>
      <c r="N13" s="343"/>
      <c r="O13" s="343"/>
      <c r="P13" s="343"/>
    </row>
    <row r="14" spans="2:16" ht="15" customHeight="1" outlineLevel="1" x14ac:dyDescent="0.25">
      <c r="B14" s="173">
        <v>7</v>
      </c>
      <c r="C14" s="1147"/>
      <c r="D14" s="1148"/>
      <c r="E14" s="1148"/>
      <c r="F14" s="1148"/>
      <c r="G14" s="1148"/>
      <c r="H14" s="176"/>
      <c r="I14" s="336"/>
      <c r="J14" s="546">
        <f t="shared" si="0"/>
        <v>0</v>
      </c>
      <c r="K14" s="343"/>
      <c r="L14" s="343"/>
      <c r="M14" s="343"/>
      <c r="N14" s="343"/>
      <c r="O14" s="343"/>
      <c r="P14" s="343"/>
    </row>
    <row r="15" spans="2:16" ht="15" customHeight="1" outlineLevel="1" x14ac:dyDescent="0.25">
      <c r="B15" s="175">
        <v>8</v>
      </c>
      <c r="C15" s="1147"/>
      <c r="D15" s="1148"/>
      <c r="E15" s="1148"/>
      <c r="F15" s="1148"/>
      <c r="G15" s="1148"/>
      <c r="H15" s="176"/>
      <c r="I15" s="336"/>
      <c r="J15" s="546">
        <f t="shared" si="0"/>
        <v>0</v>
      </c>
      <c r="K15" s="343"/>
      <c r="L15" s="343"/>
      <c r="M15" s="343"/>
      <c r="N15" s="343"/>
      <c r="O15" s="343"/>
      <c r="P15" s="343"/>
    </row>
    <row r="16" spans="2:16" ht="15" customHeight="1" outlineLevel="1" x14ac:dyDescent="0.25">
      <c r="B16" s="173">
        <v>9</v>
      </c>
      <c r="C16" s="1147"/>
      <c r="D16" s="1148"/>
      <c r="E16" s="1148"/>
      <c r="F16" s="1148"/>
      <c r="G16" s="1148"/>
      <c r="H16" s="176"/>
      <c r="I16" s="336"/>
      <c r="J16" s="546">
        <f t="shared" si="0"/>
        <v>0</v>
      </c>
      <c r="K16" s="343"/>
      <c r="L16" s="343"/>
      <c r="M16" s="343"/>
      <c r="N16" s="343"/>
      <c r="O16" s="343"/>
      <c r="P16" s="343"/>
    </row>
    <row r="17" spans="2:16" ht="15" customHeight="1" outlineLevel="1" x14ac:dyDescent="0.25">
      <c r="B17" s="175">
        <v>10</v>
      </c>
      <c r="C17" s="1147"/>
      <c r="D17" s="1148"/>
      <c r="E17" s="1148"/>
      <c r="F17" s="1148"/>
      <c r="G17" s="1148"/>
      <c r="H17" s="176"/>
      <c r="I17" s="336"/>
      <c r="J17" s="546">
        <f t="shared" si="0"/>
        <v>0</v>
      </c>
      <c r="K17" s="343"/>
      <c r="L17" s="343"/>
      <c r="M17" s="343"/>
      <c r="N17" s="343"/>
      <c r="O17" s="343"/>
      <c r="P17" s="343"/>
    </row>
    <row r="18" spans="2:16" ht="15" customHeight="1" outlineLevel="1" x14ac:dyDescent="0.25">
      <c r="B18" s="173">
        <v>11</v>
      </c>
      <c r="C18" s="1147"/>
      <c r="D18" s="1148"/>
      <c r="E18" s="1148"/>
      <c r="F18" s="1148"/>
      <c r="G18" s="1148"/>
      <c r="H18" s="176"/>
      <c r="I18" s="336"/>
      <c r="J18" s="546">
        <f t="shared" si="0"/>
        <v>0</v>
      </c>
      <c r="K18" s="343"/>
      <c r="L18" s="343"/>
      <c r="M18" s="343"/>
      <c r="N18" s="343"/>
      <c r="O18" s="343"/>
      <c r="P18" s="343"/>
    </row>
    <row r="19" spans="2:16" ht="15" customHeight="1" outlineLevel="1" x14ac:dyDescent="0.25">
      <c r="B19" s="175">
        <v>12</v>
      </c>
      <c r="C19" s="1147"/>
      <c r="D19" s="1148"/>
      <c r="E19" s="1148"/>
      <c r="F19" s="1148"/>
      <c r="G19" s="1148"/>
      <c r="H19" s="176"/>
      <c r="I19" s="336"/>
      <c r="J19" s="546">
        <f t="shared" si="0"/>
        <v>0</v>
      </c>
      <c r="K19" s="343"/>
      <c r="L19" s="343"/>
      <c r="M19" s="343"/>
      <c r="N19" s="343"/>
      <c r="O19" s="343"/>
      <c r="P19" s="343"/>
    </row>
    <row r="20" spans="2:16" ht="15" customHeight="1" outlineLevel="1" x14ac:dyDescent="0.25">
      <c r="B20" s="173">
        <v>13</v>
      </c>
      <c r="C20" s="1147"/>
      <c r="D20" s="1148"/>
      <c r="E20" s="1148"/>
      <c r="F20" s="1148"/>
      <c r="G20" s="1148"/>
      <c r="H20" s="176"/>
      <c r="I20" s="336"/>
      <c r="J20" s="546">
        <f t="shared" si="0"/>
        <v>0</v>
      </c>
      <c r="K20" s="343"/>
      <c r="L20" s="343"/>
      <c r="M20" s="343"/>
      <c r="N20" s="343"/>
      <c r="O20" s="343"/>
      <c r="P20" s="343"/>
    </row>
    <row r="21" spans="2:16" ht="15" customHeight="1" outlineLevel="1" x14ac:dyDescent="0.25">
      <c r="B21" s="175">
        <v>14</v>
      </c>
      <c r="C21" s="1147"/>
      <c r="D21" s="1148"/>
      <c r="E21" s="1148"/>
      <c r="F21" s="1148"/>
      <c r="G21" s="1148"/>
      <c r="H21" s="176"/>
      <c r="I21" s="336"/>
      <c r="J21" s="546">
        <f t="shared" si="0"/>
        <v>0</v>
      </c>
      <c r="K21" s="343"/>
      <c r="L21" s="343"/>
      <c r="M21" s="343"/>
      <c r="N21" s="343"/>
      <c r="O21" s="343"/>
      <c r="P21" s="343"/>
    </row>
    <row r="22" spans="2:16" ht="15" customHeight="1" outlineLevel="1" x14ac:dyDescent="0.25">
      <c r="B22" s="173">
        <v>15</v>
      </c>
      <c r="C22" s="1147"/>
      <c r="D22" s="1148"/>
      <c r="E22" s="1148"/>
      <c r="F22" s="1148"/>
      <c r="G22" s="1148"/>
      <c r="H22" s="176"/>
      <c r="I22" s="336"/>
      <c r="J22" s="546">
        <f t="shared" si="0"/>
        <v>0</v>
      </c>
      <c r="K22" s="343"/>
      <c r="L22" s="343"/>
      <c r="M22" s="343"/>
      <c r="N22" s="343"/>
      <c r="O22" s="343"/>
      <c r="P22" s="343"/>
    </row>
    <row r="23" spans="2:16" ht="15" customHeight="1" outlineLevel="1" x14ac:dyDescent="0.25">
      <c r="B23" s="175">
        <v>16</v>
      </c>
      <c r="C23" s="1147"/>
      <c r="D23" s="1148"/>
      <c r="E23" s="1148"/>
      <c r="F23" s="1148"/>
      <c r="G23" s="1148"/>
      <c r="H23" s="176"/>
      <c r="I23" s="336"/>
      <c r="J23" s="546">
        <f t="shared" si="0"/>
        <v>0</v>
      </c>
      <c r="K23" s="343"/>
      <c r="L23" s="343"/>
      <c r="M23" s="343"/>
      <c r="N23" s="343"/>
      <c r="O23" s="343"/>
      <c r="P23" s="343"/>
    </row>
    <row r="24" spans="2:16" ht="15" customHeight="1" outlineLevel="1" x14ac:dyDescent="0.25">
      <c r="B24" s="173">
        <v>17</v>
      </c>
      <c r="C24" s="1147"/>
      <c r="D24" s="1148"/>
      <c r="E24" s="1148"/>
      <c r="F24" s="1148"/>
      <c r="G24" s="1148"/>
      <c r="H24" s="176"/>
      <c r="I24" s="336"/>
      <c r="J24" s="546">
        <f t="shared" si="0"/>
        <v>0</v>
      </c>
      <c r="K24" s="343"/>
      <c r="L24" s="343"/>
      <c r="M24" s="343"/>
      <c r="N24" s="343"/>
      <c r="O24" s="343"/>
      <c r="P24" s="343"/>
    </row>
    <row r="25" spans="2:16" ht="15" customHeight="1" outlineLevel="1" x14ac:dyDescent="0.25">
      <c r="B25" s="175">
        <v>18</v>
      </c>
      <c r="C25" s="1147"/>
      <c r="D25" s="1148"/>
      <c r="E25" s="1148"/>
      <c r="F25" s="1148"/>
      <c r="G25" s="1148"/>
      <c r="H25" s="176"/>
      <c r="I25" s="336"/>
      <c r="J25" s="546">
        <f t="shared" si="0"/>
        <v>0</v>
      </c>
      <c r="K25" s="343"/>
      <c r="L25" s="343"/>
      <c r="M25" s="343"/>
      <c r="N25" s="343"/>
      <c r="O25" s="343"/>
      <c r="P25" s="343"/>
    </row>
    <row r="26" spans="2:16" ht="15" customHeight="1" outlineLevel="1" x14ac:dyDescent="0.25">
      <c r="B26" s="173">
        <v>19</v>
      </c>
      <c r="C26" s="1147"/>
      <c r="D26" s="1148"/>
      <c r="E26" s="1148"/>
      <c r="F26" s="1148"/>
      <c r="G26" s="1148"/>
      <c r="H26" s="176"/>
      <c r="I26" s="336"/>
      <c r="J26" s="546">
        <f t="shared" si="0"/>
        <v>0</v>
      </c>
      <c r="K26" s="343"/>
      <c r="L26" s="343"/>
      <c r="M26" s="343"/>
      <c r="N26" s="343"/>
      <c r="O26" s="343"/>
      <c r="P26" s="343"/>
    </row>
    <row r="27" spans="2:16" ht="15" customHeight="1" outlineLevel="1" x14ac:dyDescent="0.25">
      <c r="B27" s="175">
        <v>20</v>
      </c>
      <c r="C27" s="1147"/>
      <c r="D27" s="1148"/>
      <c r="E27" s="1148"/>
      <c r="F27" s="1148"/>
      <c r="G27" s="1148"/>
      <c r="H27" s="176"/>
      <c r="I27" s="336"/>
      <c r="J27" s="546">
        <f t="shared" si="0"/>
        <v>0</v>
      </c>
      <c r="K27" s="343"/>
      <c r="L27" s="343"/>
      <c r="M27" s="343"/>
      <c r="N27" s="343"/>
      <c r="O27" s="343"/>
      <c r="P27" s="343"/>
    </row>
    <row r="28" spans="2:16" ht="15" customHeight="1" outlineLevel="1" x14ac:dyDescent="0.25">
      <c r="B28" s="173">
        <v>21</v>
      </c>
      <c r="C28" s="1147"/>
      <c r="D28" s="1148"/>
      <c r="E28" s="1148"/>
      <c r="F28" s="1148"/>
      <c r="G28" s="1148"/>
      <c r="H28" s="176"/>
      <c r="I28" s="336"/>
      <c r="J28" s="546">
        <f t="shared" si="0"/>
        <v>0</v>
      </c>
      <c r="K28" s="343"/>
      <c r="L28" s="343"/>
      <c r="M28" s="343"/>
      <c r="N28" s="343"/>
      <c r="O28" s="343"/>
      <c r="P28" s="343"/>
    </row>
    <row r="29" spans="2:16" ht="15" customHeight="1" outlineLevel="1" x14ac:dyDescent="0.25">
      <c r="B29" s="175">
        <v>22</v>
      </c>
      <c r="C29" s="1147"/>
      <c r="D29" s="1148"/>
      <c r="E29" s="1148"/>
      <c r="F29" s="1148"/>
      <c r="G29" s="1148"/>
      <c r="H29" s="176"/>
      <c r="I29" s="336"/>
      <c r="J29" s="546">
        <f t="shared" si="0"/>
        <v>0</v>
      </c>
      <c r="K29" s="343"/>
      <c r="L29" s="343"/>
      <c r="M29" s="343"/>
      <c r="N29" s="343"/>
      <c r="O29" s="343"/>
      <c r="P29" s="343"/>
    </row>
    <row r="30" spans="2:16" ht="15" customHeight="1" outlineLevel="1" x14ac:dyDescent="0.25">
      <c r="B30" s="173">
        <v>23</v>
      </c>
      <c r="C30" s="1147"/>
      <c r="D30" s="1148"/>
      <c r="E30" s="1148"/>
      <c r="F30" s="1148"/>
      <c r="G30" s="1148"/>
      <c r="H30" s="176"/>
      <c r="I30" s="336"/>
      <c r="J30" s="546">
        <f t="shared" si="0"/>
        <v>0</v>
      </c>
      <c r="K30" s="343"/>
      <c r="L30" s="343"/>
      <c r="M30" s="343"/>
      <c r="N30" s="343"/>
      <c r="O30" s="343"/>
      <c r="P30" s="343"/>
    </row>
    <row r="31" spans="2:16" ht="15" customHeight="1" outlineLevel="1" x14ac:dyDescent="0.25">
      <c r="B31" s="175">
        <v>24</v>
      </c>
      <c r="C31" s="1147"/>
      <c r="D31" s="1148"/>
      <c r="E31" s="1148"/>
      <c r="F31" s="1148"/>
      <c r="G31" s="1148"/>
      <c r="H31" s="176"/>
      <c r="I31" s="336"/>
      <c r="J31" s="546">
        <f t="shared" si="0"/>
        <v>0</v>
      </c>
      <c r="K31" s="343"/>
      <c r="L31" s="343"/>
      <c r="M31" s="343"/>
      <c r="N31" s="343"/>
      <c r="O31" s="343"/>
      <c r="P31" s="343"/>
    </row>
    <row r="32" spans="2:16" ht="15" customHeight="1" outlineLevel="1" x14ac:dyDescent="0.25">
      <c r="B32" s="173">
        <v>25</v>
      </c>
      <c r="C32" s="1147"/>
      <c r="D32" s="1148"/>
      <c r="E32" s="1148"/>
      <c r="F32" s="1148"/>
      <c r="G32" s="1148"/>
      <c r="H32" s="176"/>
      <c r="I32" s="336"/>
      <c r="J32" s="546">
        <f t="shared" si="0"/>
        <v>0</v>
      </c>
      <c r="K32" s="343"/>
      <c r="L32" s="343"/>
      <c r="M32" s="343"/>
      <c r="N32" s="343"/>
      <c r="O32" s="343"/>
      <c r="P32" s="343"/>
    </row>
    <row r="33" spans="2:16" ht="15" customHeight="1" outlineLevel="1" x14ac:dyDescent="0.25">
      <c r="B33" s="175">
        <v>26</v>
      </c>
      <c r="C33" s="1147"/>
      <c r="D33" s="1148"/>
      <c r="E33" s="1148"/>
      <c r="F33" s="1148"/>
      <c r="G33" s="1148"/>
      <c r="H33" s="176"/>
      <c r="I33" s="336"/>
      <c r="J33" s="546">
        <f t="shared" si="0"/>
        <v>0</v>
      </c>
      <c r="K33" s="343"/>
      <c r="L33" s="343"/>
      <c r="M33" s="343"/>
      <c r="N33" s="343"/>
      <c r="O33" s="343"/>
      <c r="P33" s="343"/>
    </row>
    <row r="34" spans="2:16" ht="15" customHeight="1" outlineLevel="1" x14ac:dyDescent="0.25">
      <c r="B34" s="173">
        <v>27</v>
      </c>
      <c r="C34" s="1147"/>
      <c r="D34" s="1148"/>
      <c r="E34" s="1148"/>
      <c r="F34" s="1148"/>
      <c r="G34" s="1148"/>
      <c r="H34" s="176"/>
      <c r="I34" s="336"/>
      <c r="J34" s="546">
        <f t="shared" si="0"/>
        <v>0</v>
      </c>
      <c r="K34" s="343"/>
      <c r="L34" s="343"/>
      <c r="M34" s="343"/>
      <c r="N34" s="343"/>
      <c r="O34" s="343"/>
      <c r="P34" s="343"/>
    </row>
    <row r="35" spans="2:16" ht="15" customHeight="1" outlineLevel="1" x14ac:dyDescent="0.25">
      <c r="B35" s="175">
        <v>28</v>
      </c>
      <c r="C35" s="1147"/>
      <c r="D35" s="1148"/>
      <c r="E35" s="1148"/>
      <c r="F35" s="1148"/>
      <c r="G35" s="1148"/>
      <c r="H35" s="176"/>
      <c r="I35" s="336"/>
      <c r="J35" s="546">
        <f t="shared" si="0"/>
        <v>0</v>
      </c>
      <c r="K35" s="343"/>
      <c r="L35" s="343"/>
      <c r="M35" s="343"/>
      <c r="N35" s="343"/>
      <c r="O35" s="343"/>
      <c r="P35" s="343"/>
    </row>
    <row r="36" spans="2:16" ht="15" customHeight="1" outlineLevel="1" x14ac:dyDescent="0.25">
      <c r="B36" s="173">
        <v>29</v>
      </c>
      <c r="C36" s="1147"/>
      <c r="D36" s="1148"/>
      <c r="E36" s="1148"/>
      <c r="F36" s="1148"/>
      <c r="G36" s="1148"/>
      <c r="H36" s="176"/>
      <c r="I36" s="336"/>
      <c r="J36" s="546">
        <f t="shared" si="0"/>
        <v>0</v>
      </c>
      <c r="K36" s="343"/>
      <c r="L36" s="343"/>
      <c r="M36" s="343"/>
      <c r="N36" s="343"/>
      <c r="O36" s="343"/>
      <c r="P36" s="343"/>
    </row>
    <row r="37" spans="2:16" ht="15" customHeight="1" outlineLevel="1" x14ac:dyDescent="0.25">
      <c r="B37" s="175">
        <v>30</v>
      </c>
      <c r="C37" s="1147"/>
      <c r="D37" s="1148"/>
      <c r="E37" s="1148"/>
      <c r="F37" s="1148"/>
      <c r="G37" s="1148"/>
      <c r="H37" s="176"/>
      <c r="I37" s="336"/>
      <c r="J37" s="546">
        <f t="shared" si="0"/>
        <v>0</v>
      </c>
      <c r="K37" s="343"/>
      <c r="L37" s="343"/>
      <c r="M37" s="343"/>
      <c r="N37" s="343"/>
      <c r="O37" s="343"/>
      <c r="P37" s="343"/>
    </row>
    <row r="38" spans="2:16" ht="15" customHeight="1" outlineLevel="1" x14ac:dyDescent="0.25">
      <c r="B38" s="173">
        <v>31</v>
      </c>
      <c r="C38" s="1147"/>
      <c r="D38" s="1148"/>
      <c r="E38" s="1148"/>
      <c r="F38" s="1148"/>
      <c r="G38" s="1148"/>
      <c r="H38" s="176"/>
      <c r="I38" s="336"/>
      <c r="J38" s="546">
        <f t="shared" si="0"/>
        <v>0</v>
      </c>
      <c r="K38" s="343"/>
      <c r="L38" s="343"/>
      <c r="M38" s="343"/>
      <c r="N38" s="343"/>
      <c r="O38" s="343"/>
      <c r="P38" s="343"/>
    </row>
    <row r="39" spans="2:16" ht="15" customHeight="1" outlineLevel="1" x14ac:dyDescent="0.25">
      <c r="B39" s="175">
        <v>32</v>
      </c>
      <c r="C39" s="1147"/>
      <c r="D39" s="1148"/>
      <c r="E39" s="1148"/>
      <c r="F39" s="1148"/>
      <c r="G39" s="1148"/>
      <c r="H39" s="176"/>
      <c r="I39" s="336"/>
      <c r="J39" s="546">
        <f t="shared" si="0"/>
        <v>0</v>
      </c>
      <c r="K39" s="343"/>
      <c r="L39" s="343"/>
      <c r="M39" s="343"/>
      <c r="N39" s="343"/>
      <c r="O39" s="343"/>
      <c r="P39" s="343"/>
    </row>
    <row r="40" spans="2:16" ht="15" customHeight="1" outlineLevel="1" x14ac:dyDescent="0.25">
      <c r="B40" s="173">
        <v>33</v>
      </c>
      <c r="C40" s="1147"/>
      <c r="D40" s="1148"/>
      <c r="E40" s="1148"/>
      <c r="F40" s="1148"/>
      <c r="G40" s="1148"/>
      <c r="H40" s="176"/>
      <c r="I40" s="336"/>
      <c r="J40" s="546">
        <f t="shared" si="0"/>
        <v>0</v>
      </c>
      <c r="K40" s="343"/>
      <c r="L40" s="343"/>
      <c r="M40" s="343"/>
      <c r="N40" s="343"/>
      <c r="O40" s="343"/>
      <c r="P40" s="343"/>
    </row>
    <row r="41" spans="2:16" ht="15" customHeight="1" outlineLevel="1" x14ac:dyDescent="0.25">
      <c r="B41" s="175">
        <v>34</v>
      </c>
      <c r="C41" s="1147"/>
      <c r="D41" s="1148"/>
      <c r="E41" s="1148"/>
      <c r="F41" s="1148"/>
      <c r="G41" s="1148"/>
      <c r="H41" s="176"/>
      <c r="I41" s="336"/>
      <c r="J41" s="546">
        <f t="shared" si="0"/>
        <v>0</v>
      </c>
      <c r="K41" s="343"/>
      <c r="L41" s="343"/>
      <c r="M41" s="343"/>
      <c r="N41" s="343"/>
      <c r="O41" s="343"/>
      <c r="P41" s="343"/>
    </row>
    <row r="42" spans="2:16" ht="15" customHeight="1" outlineLevel="1" x14ac:dyDescent="0.25">
      <c r="B42" s="173">
        <v>35</v>
      </c>
      <c r="C42" s="1147"/>
      <c r="D42" s="1148"/>
      <c r="E42" s="1148"/>
      <c r="F42" s="1148"/>
      <c r="G42" s="1148"/>
      <c r="H42" s="176"/>
      <c r="I42" s="336"/>
      <c r="J42" s="546">
        <f t="shared" si="0"/>
        <v>0</v>
      </c>
      <c r="K42" s="343"/>
      <c r="L42" s="343"/>
      <c r="M42" s="343"/>
      <c r="N42" s="343"/>
      <c r="O42" s="343"/>
      <c r="P42" s="343"/>
    </row>
    <row r="43" spans="2:16" ht="15" customHeight="1" outlineLevel="1" x14ac:dyDescent="0.25">
      <c r="B43" s="175">
        <v>36</v>
      </c>
      <c r="C43" s="1147"/>
      <c r="D43" s="1148"/>
      <c r="E43" s="1148"/>
      <c r="F43" s="1148"/>
      <c r="G43" s="1148"/>
      <c r="H43" s="176"/>
      <c r="I43" s="336"/>
      <c r="J43" s="546">
        <f t="shared" si="0"/>
        <v>0</v>
      </c>
      <c r="K43" s="343"/>
      <c r="L43" s="343"/>
      <c r="M43" s="343"/>
      <c r="N43" s="343"/>
      <c r="O43" s="343"/>
      <c r="P43" s="343"/>
    </row>
    <row r="44" spans="2:16" ht="15" customHeight="1" outlineLevel="1" x14ac:dyDescent="0.25">
      <c r="B44" s="173">
        <v>37</v>
      </c>
      <c r="C44" s="1147"/>
      <c r="D44" s="1148"/>
      <c r="E44" s="1148"/>
      <c r="F44" s="1148"/>
      <c r="G44" s="1148"/>
      <c r="H44" s="176"/>
      <c r="I44" s="336"/>
      <c r="J44" s="546">
        <f t="shared" si="0"/>
        <v>0</v>
      </c>
      <c r="K44" s="343"/>
      <c r="L44" s="343"/>
      <c r="M44" s="343"/>
      <c r="N44" s="343"/>
      <c r="O44" s="343"/>
      <c r="P44" s="343"/>
    </row>
    <row r="45" spans="2:16" ht="15" customHeight="1" outlineLevel="1" x14ac:dyDescent="0.25">
      <c r="B45" s="175">
        <v>38</v>
      </c>
      <c r="C45" s="1147"/>
      <c r="D45" s="1148"/>
      <c r="E45" s="1148"/>
      <c r="F45" s="1148"/>
      <c r="G45" s="1148"/>
      <c r="H45" s="176"/>
      <c r="I45" s="336"/>
      <c r="J45" s="546">
        <f t="shared" si="0"/>
        <v>0</v>
      </c>
      <c r="K45" s="343"/>
      <c r="L45" s="343"/>
      <c r="M45" s="343"/>
      <c r="N45" s="343"/>
      <c r="O45" s="343"/>
      <c r="P45" s="343"/>
    </row>
    <row r="46" spans="2:16" ht="15" customHeight="1" outlineLevel="1" x14ac:dyDescent="0.25">
      <c r="B46" s="173">
        <v>39</v>
      </c>
      <c r="C46" s="1147"/>
      <c r="D46" s="1148"/>
      <c r="E46" s="1148"/>
      <c r="F46" s="1148"/>
      <c r="G46" s="1148"/>
      <c r="H46" s="176"/>
      <c r="I46" s="336"/>
      <c r="J46" s="546">
        <f t="shared" si="0"/>
        <v>0</v>
      </c>
      <c r="K46" s="343"/>
      <c r="L46" s="343"/>
      <c r="M46" s="343"/>
      <c r="N46" s="343"/>
      <c r="O46" s="343"/>
      <c r="P46" s="343"/>
    </row>
    <row r="47" spans="2:16" ht="15" customHeight="1" outlineLevel="1" x14ac:dyDescent="0.25">
      <c r="B47" s="175">
        <v>40</v>
      </c>
      <c r="C47" s="1147"/>
      <c r="D47" s="1148"/>
      <c r="E47" s="1148"/>
      <c r="F47" s="1148"/>
      <c r="G47" s="1148"/>
      <c r="H47" s="176"/>
      <c r="I47" s="336"/>
      <c r="J47" s="546">
        <f t="shared" si="0"/>
        <v>0</v>
      </c>
      <c r="K47" s="343"/>
      <c r="L47" s="343"/>
      <c r="M47" s="343"/>
      <c r="N47" s="343"/>
      <c r="O47" s="343"/>
      <c r="P47" s="343"/>
    </row>
    <row r="48" spans="2:16" x14ac:dyDescent="0.25">
      <c r="B48" s="173"/>
      <c r="C48" s="1152" t="s">
        <v>289</v>
      </c>
      <c r="D48" s="1153"/>
      <c r="E48" s="1153"/>
      <c r="F48" s="1153"/>
      <c r="G48" s="1153"/>
      <c r="H48" s="177"/>
      <c r="I48" s="766"/>
      <c r="J48" s="546">
        <f t="shared" si="0"/>
        <v>0</v>
      </c>
      <c r="K48" s="343"/>
      <c r="L48" s="343"/>
      <c r="M48" s="343"/>
      <c r="N48" s="343"/>
      <c r="O48" s="343"/>
      <c r="P48" s="343"/>
    </row>
    <row r="49" spans="2:16" s="510" customFormat="1" ht="15" customHeight="1" x14ac:dyDescent="0.2">
      <c r="B49" s="516"/>
      <c r="C49" s="1007" t="s">
        <v>928</v>
      </c>
      <c r="D49" s="1007"/>
      <c r="E49" s="1007"/>
      <c r="F49" s="1007"/>
      <c r="G49" s="1007"/>
      <c r="H49" s="1007"/>
      <c r="I49" s="1007"/>
      <c r="J49" s="1007"/>
      <c r="K49" s="521" t="s">
        <v>917</v>
      </c>
      <c r="L49" s="521" t="s">
        <v>926</v>
      </c>
      <c r="M49" s="521" t="s">
        <v>927</v>
      </c>
      <c r="N49" s="521" t="s">
        <v>943</v>
      </c>
      <c r="O49" s="521" t="s">
        <v>944</v>
      </c>
      <c r="P49" s="521" t="s">
        <v>945</v>
      </c>
    </row>
    <row r="50" spans="2:16" s="509" customFormat="1" ht="15" customHeight="1" x14ac:dyDescent="0.2">
      <c r="B50" s="993" t="s">
        <v>918</v>
      </c>
      <c r="C50" s="994"/>
      <c r="D50" s="994"/>
      <c r="E50" s="994"/>
      <c r="F50" s="994"/>
      <c r="G50" s="994"/>
      <c r="H50" s="994"/>
      <c r="I50" s="994"/>
      <c r="J50" s="995"/>
      <c r="K50" s="535" t="s">
        <v>1390</v>
      </c>
      <c r="L50" s="535" t="s">
        <v>1391</v>
      </c>
      <c r="M50" s="535" t="s">
        <v>1416</v>
      </c>
      <c r="N50" s="535"/>
      <c r="O50" s="535"/>
      <c r="P50" s="535"/>
    </row>
    <row r="51" spans="2:16" s="509" customFormat="1" ht="15" customHeight="1" x14ac:dyDescent="0.2">
      <c r="B51" s="993" t="s">
        <v>919</v>
      </c>
      <c r="C51" s="994"/>
      <c r="D51" s="994"/>
      <c r="E51" s="994"/>
      <c r="F51" s="994"/>
      <c r="G51" s="994"/>
      <c r="H51" s="994"/>
      <c r="I51" s="994"/>
      <c r="J51" s="995"/>
      <c r="K51" s="810">
        <v>70112000549</v>
      </c>
      <c r="L51" s="810">
        <v>13329758000110</v>
      </c>
      <c r="M51" s="536">
        <v>27090983000150</v>
      </c>
      <c r="N51" s="536"/>
      <c r="O51" s="536"/>
      <c r="P51" s="536"/>
    </row>
    <row r="52" spans="2:16" s="509" customFormat="1" ht="15" customHeight="1" x14ac:dyDescent="0.2">
      <c r="B52" s="993" t="s">
        <v>920</v>
      </c>
      <c r="C52" s="994"/>
      <c r="D52" s="994"/>
      <c r="E52" s="994"/>
      <c r="F52" s="994"/>
      <c r="G52" s="994"/>
      <c r="H52" s="994"/>
      <c r="I52" s="994"/>
      <c r="J52" s="995"/>
      <c r="K52" s="537">
        <v>44729</v>
      </c>
      <c r="L52" s="537">
        <v>44728</v>
      </c>
      <c r="M52" s="537">
        <v>44728</v>
      </c>
      <c r="N52" s="537"/>
      <c r="O52" s="537"/>
      <c r="P52" s="537"/>
    </row>
    <row r="53" spans="2:16" s="509" customFormat="1" ht="15" customHeight="1" x14ac:dyDescent="0.2">
      <c r="B53" s="993" t="s">
        <v>921</v>
      </c>
      <c r="C53" s="994"/>
      <c r="D53" s="994"/>
      <c r="E53" s="994"/>
      <c r="F53" s="994"/>
      <c r="G53" s="994"/>
      <c r="H53" s="994"/>
      <c r="I53" s="994"/>
      <c r="J53" s="995"/>
      <c r="K53" s="537">
        <v>44759</v>
      </c>
      <c r="L53" s="537">
        <v>44738</v>
      </c>
      <c r="M53" s="537">
        <v>44758</v>
      </c>
      <c r="N53" s="537"/>
      <c r="O53" s="537"/>
      <c r="P53" s="537"/>
    </row>
    <row r="54" spans="2:16" s="509" customFormat="1" ht="15" customHeight="1" x14ac:dyDescent="0.2">
      <c r="B54" s="993" t="s">
        <v>922</v>
      </c>
      <c r="C54" s="994"/>
      <c r="D54" s="994"/>
      <c r="E54" s="994"/>
      <c r="F54" s="994"/>
      <c r="G54" s="994"/>
      <c r="H54" s="994"/>
      <c r="I54" s="994"/>
      <c r="J54" s="995"/>
      <c r="K54" s="535" t="s">
        <v>1392</v>
      </c>
      <c r="L54" s="535" t="s">
        <v>1393</v>
      </c>
      <c r="M54" s="535" t="s">
        <v>1417</v>
      </c>
      <c r="N54" s="535"/>
      <c r="O54" s="535"/>
      <c r="P54" s="535"/>
    </row>
    <row r="55" spans="2:16" s="509" customFormat="1" x14ac:dyDescent="0.2">
      <c r="B55" s="993" t="s">
        <v>923</v>
      </c>
      <c r="C55" s="994"/>
      <c r="D55" s="994"/>
      <c r="E55" s="994"/>
      <c r="F55" s="994"/>
      <c r="G55" s="994"/>
      <c r="H55" s="994"/>
      <c r="I55" s="994"/>
      <c r="J55" s="995"/>
      <c r="K55" s="811" t="s">
        <v>1394</v>
      </c>
      <c r="L55" s="811" t="s">
        <v>1395</v>
      </c>
      <c r="M55" s="538" t="s">
        <v>1418</v>
      </c>
      <c r="N55" s="538"/>
      <c r="O55" s="538"/>
      <c r="P55" s="538"/>
    </row>
    <row r="56" spans="2:16" s="509" customFormat="1" x14ac:dyDescent="0.2">
      <c r="B56" s="993" t="s">
        <v>924</v>
      </c>
      <c r="C56" s="994"/>
      <c r="D56" s="994"/>
      <c r="E56" s="994"/>
      <c r="F56" s="994"/>
      <c r="G56" s="994"/>
      <c r="H56" s="994"/>
      <c r="I56" s="994"/>
      <c r="J56" s="995"/>
      <c r="K56" s="539" t="s">
        <v>1396</v>
      </c>
      <c r="L56" s="539" t="s">
        <v>1397</v>
      </c>
      <c r="M56" s="539" t="s">
        <v>1419</v>
      </c>
      <c r="N56" s="539"/>
      <c r="O56" s="539"/>
      <c r="P56" s="539"/>
    </row>
    <row r="57" spans="2:16" s="575" customFormat="1" ht="15" customHeight="1" x14ac:dyDescent="0.2">
      <c r="B57" s="1154" t="s">
        <v>925</v>
      </c>
      <c r="C57" s="1155"/>
      <c r="D57" s="1155"/>
      <c r="E57" s="1155"/>
      <c r="F57" s="1155"/>
      <c r="G57" s="1155"/>
      <c r="H57" s="1155"/>
      <c r="I57" s="1155"/>
      <c r="J57" s="1156"/>
      <c r="K57" s="1097" t="s">
        <v>915</v>
      </c>
      <c r="L57" s="1097"/>
      <c r="M57" s="1097"/>
      <c r="N57" s="1097" t="s">
        <v>915</v>
      </c>
      <c r="O57" s="1097"/>
      <c r="P57" s="1097"/>
    </row>
    <row r="58" spans="2:16" x14ac:dyDescent="0.25">
      <c r="B58" s="1161" t="s">
        <v>292</v>
      </c>
      <c r="C58" s="1162"/>
      <c r="D58" s="1162"/>
      <c r="E58" s="1162"/>
      <c r="F58" s="1162"/>
      <c r="G58" s="1162"/>
      <c r="H58" s="1162"/>
      <c r="I58" s="1162"/>
      <c r="J58" s="1163"/>
      <c r="K58" s="550" t="s">
        <v>917</v>
      </c>
      <c r="L58" s="550" t="s">
        <v>926</v>
      </c>
      <c r="M58" s="550" t="s">
        <v>927</v>
      </c>
      <c r="N58" s="550" t="s">
        <v>943</v>
      </c>
      <c r="O58" s="550" t="s">
        <v>944</v>
      </c>
      <c r="P58" s="550" t="s">
        <v>945</v>
      </c>
    </row>
    <row r="59" spans="2:16" ht="45" x14ac:dyDescent="0.25">
      <c r="B59" s="332"/>
      <c r="C59" s="1150" t="s">
        <v>294</v>
      </c>
      <c r="D59" s="1150"/>
      <c r="E59" s="1150"/>
      <c r="F59" s="1150"/>
      <c r="G59" s="1151"/>
      <c r="H59" s="127" t="s">
        <v>16</v>
      </c>
      <c r="I59" s="560" t="s">
        <v>295</v>
      </c>
      <c r="J59" s="560" t="s">
        <v>948</v>
      </c>
      <c r="K59" s="560" t="s">
        <v>949</v>
      </c>
      <c r="L59" s="560" t="s">
        <v>949</v>
      </c>
      <c r="M59" s="560" t="s">
        <v>949</v>
      </c>
      <c r="N59" s="560" t="s">
        <v>949</v>
      </c>
      <c r="O59" s="560" t="s">
        <v>949</v>
      </c>
      <c r="P59" s="560" t="s">
        <v>949</v>
      </c>
    </row>
    <row r="60" spans="2:16" ht="15" customHeight="1" x14ac:dyDescent="0.25">
      <c r="B60" s="173">
        <v>1</v>
      </c>
      <c r="C60" s="1149" t="s">
        <v>1424</v>
      </c>
      <c r="D60" s="1149"/>
      <c r="E60" s="1149"/>
      <c r="F60" s="1149"/>
      <c r="G60" s="1147"/>
      <c r="H60" s="727">
        <v>1</v>
      </c>
      <c r="I60" s="335">
        <v>20</v>
      </c>
      <c r="J60" s="546">
        <f>IFERROR(SMALL(K60:P60,1),0)</f>
        <v>140</v>
      </c>
      <c r="K60" s="343">
        <v>140</v>
      </c>
      <c r="L60" s="343">
        <f>K60*I60</f>
        <v>2800</v>
      </c>
      <c r="M60" s="343"/>
      <c r="N60" s="343"/>
      <c r="O60" s="343"/>
      <c r="P60" s="343"/>
    </row>
    <row r="61" spans="2:16" ht="15" customHeight="1" x14ac:dyDescent="0.25">
      <c r="B61" s="175">
        <v>2</v>
      </c>
      <c r="C61" s="1149" t="s">
        <v>1425</v>
      </c>
      <c r="D61" s="1149"/>
      <c r="E61" s="1149"/>
      <c r="F61" s="1149"/>
      <c r="G61" s="1147"/>
      <c r="H61" s="185">
        <v>4</v>
      </c>
      <c r="I61" s="336">
        <v>78.12</v>
      </c>
      <c r="J61" s="546">
        <f t="shared" ref="J61:J64" si="1">IFERROR(SMALL(K61:P61,1),0)</f>
        <v>130</v>
      </c>
      <c r="K61" s="343">
        <v>130</v>
      </c>
      <c r="L61" s="343"/>
      <c r="M61" s="343"/>
      <c r="N61" s="343"/>
      <c r="O61" s="343"/>
      <c r="P61" s="343"/>
    </row>
    <row r="62" spans="2:16" ht="15" customHeight="1" x14ac:dyDescent="0.25">
      <c r="B62" s="173">
        <v>3</v>
      </c>
      <c r="C62" s="1149"/>
      <c r="D62" s="1149"/>
      <c r="E62" s="1149"/>
      <c r="F62" s="1149"/>
      <c r="G62" s="1147"/>
      <c r="H62" s="185"/>
      <c r="I62" s="336"/>
      <c r="J62" s="546">
        <f t="shared" si="1"/>
        <v>0</v>
      </c>
      <c r="K62" s="343"/>
      <c r="L62" s="343"/>
      <c r="M62" s="343"/>
      <c r="N62" s="343"/>
      <c r="O62" s="343"/>
      <c r="P62" s="343"/>
    </row>
    <row r="63" spans="2:16" ht="15" customHeight="1" x14ac:dyDescent="0.25">
      <c r="B63" s="175">
        <v>4</v>
      </c>
      <c r="C63" s="1149"/>
      <c r="D63" s="1149"/>
      <c r="E63" s="1149"/>
      <c r="F63" s="1149"/>
      <c r="G63" s="1147"/>
      <c r="H63" s="185"/>
      <c r="I63" s="336"/>
      <c r="J63" s="546">
        <f t="shared" si="1"/>
        <v>0</v>
      </c>
      <c r="K63" s="343"/>
      <c r="L63" s="343"/>
      <c r="M63" s="343"/>
      <c r="N63" s="343"/>
      <c r="O63" s="343"/>
      <c r="P63" s="343"/>
    </row>
    <row r="64" spans="2:16" ht="15" customHeight="1" x14ac:dyDescent="0.25">
      <c r="B64" s="173">
        <v>5</v>
      </c>
      <c r="C64" s="1149"/>
      <c r="D64" s="1149"/>
      <c r="E64" s="1149"/>
      <c r="F64" s="1149"/>
      <c r="G64" s="1147"/>
      <c r="H64" s="185"/>
      <c r="I64" s="336"/>
      <c r="J64" s="546">
        <f t="shared" si="1"/>
        <v>0</v>
      </c>
      <c r="K64" s="343"/>
      <c r="L64" s="343"/>
      <c r="M64" s="343"/>
      <c r="N64" s="343"/>
      <c r="O64" s="343"/>
      <c r="P64" s="343"/>
    </row>
    <row r="65" spans="2:16" s="510" customFormat="1" ht="15" customHeight="1" x14ac:dyDescent="0.2">
      <c r="B65" s="516"/>
      <c r="C65" s="1007" t="s">
        <v>928</v>
      </c>
      <c r="D65" s="1007"/>
      <c r="E65" s="1007"/>
      <c r="F65" s="1007"/>
      <c r="G65" s="1007"/>
      <c r="H65" s="1007"/>
      <c r="I65" s="1007"/>
      <c r="J65" s="1007"/>
      <c r="K65" s="521" t="s">
        <v>917</v>
      </c>
      <c r="L65" s="521" t="s">
        <v>926</v>
      </c>
      <c r="M65" s="521" t="s">
        <v>927</v>
      </c>
      <c r="N65" s="521" t="s">
        <v>943</v>
      </c>
      <c r="O65" s="521" t="s">
        <v>944</v>
      </c>
      <c r="P65" s="521" t="s">
        <v>945</v>
      </c>
    </row>
    <row r="66" spans="2:16" s="509" customFormat="1" ht="15" customHeight="1" x14ac:dyDescent="0.2">
      <c r="B66" s="993" t="s">
        <v>918</v>
      </c>
      <c r="C66" s="994"/>
      <c r="D66" s="994"/>
      <c r="E66" s="994"/>
      <c r="F66" s="994"/>
      <c r="G66" s="994"/>
      <c r="H66" s="994"/>
      <c r="I66" s="994"/>
      <c r="J66" s="995"/>
      <c r="K66" s="810" t="s">
        <v>1420</v>
      </c>
      <c r="L66" s="535"/>
      <c r="M66" s="535"/>
      <c r="N66" s="535"/>
      <c r="O66" s="535"/>
      <c r="P66" s="535"/>
    </row>
    <row r="67" spans="2:16" s="509" customFormat="1" ht="15" customHeight="1" x14ac:dyDescent="0.2">
      <c r="B67" s="993" t="s">
        <v>919</v>
      </c>
      <c r="C67" s="994"/>
      <c r="D67" s="994"/>
      <c r="E67" s="994"/>
      <c r="F67" s="994"/>
      <c r="G67" s="994"/>
      <c r="H67" s="994"/>
      <c r="I67" s="994"/>
      <c r="J67" s="995"/>
      <c r="K67" s="810">
        <v>30849093000194</v>
      </c>
      <c r="L67" s="536"/>
      <c r="M67" s="536"/>
      <c r="N67" s="536"/>
      <c r="O67" s="536"/>
      <c r="P67" s="536"/>
    </row>
    <row r="68" spans="2:16" s="509" customFormat="1" ht="15" customHeight="1" x14ac:dyDescent="0.2">
      <c r="B68" s="993" t="s">
        <v>920</v>
      </c>
      <c r="C68" s="994"/>
      <c r="D68" s="994"/>
      <c r="E68" s="994"/>
      <c r="F68" s="994"/>
      <c r="G68" s="994"/>
      <c r="H68" s="994"/>
      <c r="I68" s="994"/>
      <c r="J68" s="995"/>
      <c r="K68" s="537">
        <v>44729</v>
      </c>
      <c r="L68" s="537"/>
      <c r="M68" s="537"/>
      <c r="N68" s="537"/>
      <c r="O68" s="537"/>
      <c r="P68" s="537"/>
    </row>
    <row r="69" spans="2:16" s="509" customFormat="1" ht="15" customHeight="1" x14ac:dyDescent="0.2">
      <c r="B69" s="993" t="s">
        <v>921</v>
      </c>
      <c r="C69" s="994"/>
      <c r="D69" s="994"/>
      <c r="E69" s="994"/>
      <c r="F69" s="994"/>
      <c r="G69" s="994"/>
      <c r="H69" s="994"/>
      <c r="I69" s="994"/>
      <c r="J69" s="995"/>
      <c r="K69" s="537">
        <v>44821</v>
      </c>
      <c r="L69" s="537"/>
      <c r="M69" s="537"/>
      <c r="N69" s="537"/>
      <c r="O69" s="537"/>
      <c r="P69" s="537"/>
    </row>
    <row r="70" spans="2:16" s="509" customFormat="1" ht="15" customHeight="1" x14ac:dyDescent="0.2">
      <c r="B70" s="993" t="s">
        <v>922</v>
      </c>
      <c r="C70" s="994"/>
      <c r="D70" s="994"/>
      <c r="E70" s="994"/>
      <c r="F70" s="994"/>
      <c r="G70" s="994"/>
      <c r="H70" s="994"/>
      <c r="I70" s="994"/>
      <c r="J70" s="995"/>
      <c r="K70" s="535" t="s">
        <v>1421</v>
      </c>
      <c r="L70" s="535"/>
      <c r="M70" s="535"/>
      <c r="N70" s="535"/>
      <c r="O70" s="535"/>
      <c r="P70" s="535"/>
    </row>
    <row r="71" spans="2:16" s="509" customFormat="1" x14ac:dyDescent="0.2">
      <c r="B71" s="993" t="s">
        <v>923</v>
      </c>
      <c r="C71" s="994"/>
      <c r="D71" s="994"/>
      <c r="E71" s="994"/>
      <c r="F71" s="994"/>
      <c r="G71" s="994"/>
      <c r="H71" s="994"/>
      <c r="I71" s="994"/>
      <c r="J71" s="995"/>
      <c r="K71" s="811" t="s">
        <v>1422</v>
      </c>
      <c r="L71" s="538"/>
      <c r="M71" s="538"/>
      <c r="N71" s="538"/>
      <c r="O71" s="538"/>
      <c r="P71" s="538"/>
    </row>
    <row r="72" spans="2:16" s="509" customFormat="1" x14ac:dyDescent="0.2">
      <c r="B72" s="993" t="s">
        <v>924</v>
      </c>
      <c r="C72" s="994"/>
      <c r="D72" s="994"/>
      <c r="E72" s="994"/>
      <c r="F72" s="994"/>
      <c r="G72" s="994"/>
      <c r="H72" s="994"/>
      <c r="I72" s="994"/>
      <c r="J72" s="995"/>
      <c r="K72" s="539" t="s">
        <v>1423</v>
      </c>
      <c r="L72" s="539"/>
      <c r="M72" s="539"/>
      <c r="N72" s="539"/>
      <c r="O72" s="539"/>
      <c r="P72" s="539"/>
    </row>
    <row r="73" spans="2:16" s="575" customFormat="1" ht="15" customHeight="1" x14ac:dyDescent="0.2">
      <c r="B73" s="1154" t="s">
        <v>925</v>
      </c>
      <c r="C73" s="1155"/>
      <c r="D73" s="1155"/>
      <c r="E73" s="1155"/>
      <c r="F73" s="1155"/>
      <c r="G73" s="1155"/>
      <c r="H73" s="1155"/>
      <c r="I73" s="1155"/>
      <c r="J73" s="1156"/>
      <c r="K73" s="1097" t="s">
        <v>915</v>
      </c>
      <c r="L73" s="1097"/>
      <c r="M73" s="1097"/>
      <c r="N73" s="1097" t="s">
        <v>915</v>
      </c>
      <c r="O73" s="1097"/>
      <c r="P73" s="1097"/>
    </row>
    <row r="74" spans="2:16" ht="15" customHeight="1" x14ac:dyDescent="0.25">
      <c r="B74" s="1161" t="s">
        <v>300</v>
      </c>
      <c r="C74" s="1162"/>
      <c r="D74" s="1162"/>
      <c r="E74" s="1162"/>
      <c r="F74" s="1162"/>
      <c r="G74" s="1162"/>
      <c r="H74" s="1162"/>
      <c r="I74" s="1162"/>
      <c r="J74" s="1163"/>
      <c r="K74" s="550" t="s">
        <v>917</v>
      </c>
      <c r="L74" s="550" t="s">
        <v>926</v>
      </c>
      <c r="M74" s="550" t="s">
        <v>927</v>
      </c>
      <c r="N74" s="550" t="s">
        <v>943</v>
      </c>
      <c r="O74" s="550" t="s">
        <v>944</v>
      </c>
      <c r="P74" s="550" t="s">
        <v>945</v>
      </c>
    </row>
    <row r="75" spans="2:16" ht="15" customHeight="1" x14ac:dyDescent="0.25">
      <c r="B75" s="332"/>
      <c r="C75" s="1166" t="s">
        <v>178</v>
      </c>
      <c r="D75" s="1166"/>
      <c r="E75" s="1166"/>
      <c r="F75" s="1166"/>
      <c r="G75" s="1166"/>
      <c r="H75" s="1167"/>
      <c r="I75" s="560" t="s">
        <v>16</v>
      </c>
      <c r="J75" s="560" t="s">
        <v>947</v>
      </c>
      <c r="K75" s="560" t="s">
        <v>929</v>
      </c>
      <c r="L75" s="560" t="s">
        <v>929</v>
      </c>
      <c r="M75" s="560" t="s">
        <v>929</v>
      </c>
      <c r="N75" s="560" t="s">
        <v>929</v>
      </c>
      <c r="O75" s="560" t="s">
        <v>929</v>
      </c>
      <c r="P75" s="560" t="s">
        <v>929</v>
      </c>
    </row>
    <row r="76" spans="2:16" ht="15" customHeight="1" x14ac:dyDescent="0.25">
      <c r="B76" s="186">
        <v>1</v>
      </c>
      <c r="C76" s="1164"/>
      <c r="D76" s="1164"/>
      <c r="E76" s="1164"/>
      <c r="F76" s="1164"/>
      <c r="G76" s="1164"/>
      <c r="H76" s="1165"/>
      <c r="I76" s="336"/>
      <c r="J76" s="546">
        <f t="shared" ref="J76:J78" si="2">IFERROR(SMALL(K76:P76,1),0)</f>
        <v>0</v>
      </c>
      <c r="K76" s="343"/>
      <c r="L76" s="343"/>
      <c r="M76" s="343"/>
      <c r="N76" s="343"/>
      <c r="O76" s="343"/>
      <c r="P76" s="343"/>
    </row>
    <row r="77" spans="2:16" ht="15" customHeight="1" x14ac:dyDescent="0.25">
      <c r="B77" s="186">
        <v>2</v>
      </c>
      <c r="C77" s="1164"/>
      <c r="D77" s="1164"/>
      <c r="E77" s="1164"/>
      <c r="F77" s="1164"/>
      <c r="G77" s="1164"/>
      <c r="H77" s="1165"/>
      <c r="I77" s="336"/>
      <c r="J77" s="546">
        <f t="shared" si="2"/>
        <v>0</v>
      </c>
      <c r="K77" s="343"/>
      <c r="L77" s="343"/>
      <c r="M77" s="343"/>
      <c r="N77" s="343"/>
      <c r="O77" s="343"/>
      <c r="P77" s="343"/>
    </row>
    <row r="78" spans="2:16" ht="15" customHeight="1" x14ac:dyDescent="0.25">
      <c r="B78" s="186">
        <v>3</v>
      </c>
      <c r="C78" s="1164"/>
      <c r="D78" s="1164"/>
      <c r="E78" s="1164"/>
      <c r="F78" s="1164"/>
      <c r="G78" s="1164"/>
      <c r="H78" s="1165"/>
      <c r="I78" s="336"/>
      <c r="J78" s="546">
        <f t="shared" si="2"/>
        <v>0</v>
      </c>
      <c r="K78" s="343"/>
      <c r="L78" s="343"/>
      <c r="M78" s="343"/>
      <c r="N78" s="343"/>
      <c r="O78" s="343"/>
      <c r="P78" s="343"/>
    </row>
    <row r="79" spans="2:16" s="510" customFormat="1" ht="15" customHeight="1" x14ac:dyDescent="0.2">
      <c r="B79" s="516"/>
      <c r="C79" s="1007" t="s">
        <v>928</v>
      </c>
      <c r="D79" s="1007"/>
      <c r="E79" s="1007"/>
      <c r="F79" s="1007"/>
      <c r="G79" s="1007"/>
      <c r="H79" s="1007"/>
      <c r="I79" s="1007"/>
      <c r="J79" s="1007"/>
      <c r="K79" s="521" t="s">
        <v>917</v>
      </c>
      <c r="L79" s="521" t="s">
        <v>926</v>
      </c>
      <c r="M79" s="521" t="s">
        <v>927</v>
      </c>
      <c r="N79" s="521" t="s">
        <v>943</v>
      </c>
      <c r="O79" s="521" t="s">
        <v>944</v>
      </c>
      <c r="P79" s="521" t="s">
        <v>945</v>
      </c>
    </row>
    <row r="80" spans="2:16" s="509" customFormat="1" ht="15" customHeight="1" x14ac:dyDescent="0.2">
      <c r="B80" s="993" t="s">
        <v>918</v>
      </c>
      <c r="C80" s="994"/>
      <c r="D80" s="994"/>
      <c r="E80" s="994"/>
      <c r="F80" s="994"/>
      <c r="G80" s="994"/>
      <c r="H80" s="994"/>
      <c r="I80" s="994"/>
      <c r="J80" s="995"/>
      <c r="K80" s="535"/>
      <c r="L80" s="535"/>
      <c r="M80" s="535"/>
      <c r="N80" s="535"/>
      <c r="O80" s="535"/>
      <c r="P80" s="535"/>
    </row>
    <row r="81" spans="2:16" s="509" customFormat="1" ht="15" customHeight="1" x14ac:dyDescent="0.2">
      <c r="B81" s="993" t="s">
        <v>919</v>
      </c>
      <c r="C81" s="994"/>
      <c r="D81" s="994"/>
      <c r="E81" s="994"/>
      <c r="F81" s="994"/>
      <c r="G81" s="994"/>
      <c r="H81" s="994"/>
      <c r="I81" s="994"/>
      <c r="J81" s="995"/>
      <c r="K81" s="536"/>
      <c r="L81" s="536"/>
      <c r="M81" s="536"/>
      <c r="N81" s="536"/>
      <c r="O81" s="536"/>
      <c r="P81" s="536"/>
    </row>
    <row r="82" spans="2:16" s="509" customFormat="1" ht="15" customHeight="1" x14ac:dyDescent="0.2">
      <c r="B82" s="993" t="s">
        <v>920</v>
      </c>
      <c r="C82" s="994"/>
      <c r="D82" s="994"/>
      <c r="E82" s="994"/>
      <c r="F82" s="994"/>
      <c r="G82" s="994"/>
      <c r="H82" s="994"/>
      <c r="I82" s="994"/>
      <c r="J82" s="995"/>
      <c r="K82" s="537"/>
      <c r="L82" s="537"/>
      <c r="M82" s="537"/>
      <c r="N82" s="537"/>
      <c r="O82" s="537"/>
      <c r="P82" s="537"/>
    </row>
    <row r="83" spans="2:16" s="509" customFormat="1" ht="15" customHeight="1" x14ac:dyDescent="0.2">
      <c r="B83" s="993" t="s">
        <v>921</v>
      </c>
      <c r="C83" s="994"/>
      <c r="D83" s="994"/>
      <c r="E83" s="994"/>
      <c r="F83" s="994"/>
      <c r="G83" s="994"/>
      <c r="H83" s="994"/>
      <c r="I83" s="994"/>
      <c r="J83" s="995"/>
      <c r="K83" s="537"/>
      <c r="L83" s="537"/>
      <c r="M83" s="537"/>
      <c r="N83" s="537"/>
      <c r="O83" s="537"/>
      <c r="P83" s="537"/>
    </row>
    <row r="84" spans="2:16" s="509" customFormat="1" ht="15" customHeight="1" x14ac:dyDescent="0.2">
      <c r="B84" s="993" t="s">
        <v>922</v>
      </c>
      <c r="C84" s="994"/>
      <c r="D84" s="994"/>
      <c r="E84" s="994"/>
      <c r="F84" s="994"/>
      <c r="G84" s="994"/>
      <c r="H84" s="994"/>
      <c r="I84" s="994"/>
      <c r="J84" s="995"/>
      <c r="K84" s="535"/>
      <c r="L84" s="535"/>
      <c r="M84" s="535"/>
      <c r="N84" s="535"/>
      <c r="O84" s="535"/>
      <c r="P84" s="535"/>
    </row>
    <row r="85" spans="2:16" s="509" customFormat="1" x14ac:dyDescent="0.2">
      <c r="B85" s="993" t="s">
        <v>923</v>
      </c>
      <c r="C85" s="994"/>
      <c r="D85" s="994"/>
      <c r="E85" s="994"/>
      <c r="F85" s="994"/>
      <c r="G85" s="994"/>
      <c r="H85" s="994"/>
      <c r="I85" s="994"/>
      <c r="J85" s="995"/>
      <c r="K85" s="538"/>
      <c r="L85" s="538"/>
      <c r="M85" s="538"/>
      <c r="N85" s="538"/>
      <c r="O85" s="538"/>
      <c r="P85" s="538"/>
    </row>
    <row r="86" spans="2:16" s="509" customFormat="1" x14ac:dyDescent="0.2">
      <c r="B86" s="993" t="s">
        <v>924</v>
      </c>
      <c r="C86" s="994"/>
      <c r="D86" s="994"/>
      <c r="E86" s="994"/>
      <c r="F86" s="994"/>
      <c r="G86" s="994"/>
      <c r="H86" s="994"/>
      <c r="I86" s="994"/>
      <c r="J86" s="995"/>
      <c r="K86" s="539"/>
      <c r="L86" s="539"/>
      <c r="M86" s="539"/>
      <c r="N86" s="539"/>
      <c r="O86" s="539"/>
      <c r="P86" s="539"/>
    </row>
    <row r="87" spans="2:16" s="575" customFormat="1" ht="15" customHeight="1" x14ac:dyDescent="0.2">
      <c r="B87" s="1154" t="s">
        <v>925</v>
      </c>
      <c r="C87" s="1155"/>
      <c r="D87" s="1155"/>
      <c r="E87" s="1155"/>
      <c r="F87" s="1155"/>
      <c r="G87" s="1155"/>
      <c r="H87" s="1155"/>
      <c r="I87" s="1155"/>
      <c r="J87" s="1156"/>
      <c r="K87" s="1097" t="s">
        <v>915</v>
      </c>
      <c r="L87" s="1097"/>
      <c r="M87" s="1097"/>
      <c r="N87" s="1097" t="s">
        <v>915</v>
      </c>
      <c r="O87" s="1097"/>
      <c r="P87" s="1097"/>
    </row>
    <row r="88" spans="2:16" ht="15" customHeight="1" x14ac:dyDescent="0.25">
      <c r="B88" s="1159" t="s">
        <v>707</v>
      </c>
      <c r="C88" s="1160"/>
      <c r="D88" s="1160"/>
      <c r="E88" s="1160"/>
      <c r="F88" s="1160"/>
      <c r="G88" s="1160"/>
      <c r="H88" s="1160"/>
      <c r="I88" s="1160"/>
      <c r="J88" s="1168"/>
      <c r="K88" s="551" t="s">
        <v>917</v>
      </c>
      <c r="L88" s="551" t="s">
        <v>926</v>
      </c>
      <c r="M88" s="551" t="s">
        <v>927</v>
      </c>
      <c r="N88" s="551" t="s">
        <v>943</v>
      </c>
      <c r="O88" s="551" t="s">
        <v>944</v>
      </c>
      <c r="P88" s="551" t="s">
        <v>945</v>
      </c>
    </row>
    <row r="89" spans="2:16" ht="15" customHeight="1" x14ac:dyDescent="0.25">
      <c r="B89" s="1169" t="s">
        <v>15</v>
      </c>
      <c r="C89" s="1166"/>
      <c r="D89" s="1166"/>
      <c r="E89" s="1166"/>
      <c r="F89" s="1166"/>
      <c r="G89" s="1166"/>
      <c r="H89" s="1167"/>
      <c r="I89" s="560" t="s">
        <v>16</v>
      </c>
      <c r="J89" s="560" t="s">
        <v>947</v>
      </c>
      <c r="K89" s="560" t="s">
        <v>929</v>
      </c>
      <c r="L89" s="560" t="s">
        <v>929</v>
      </c>
      <c r="M89" s="560" t="s">
        <v>929</v>
      </c>
      <c r="N89" s="560" t="s">
        <v>929</v>
      </c>
      <c r="O89" s="560" t="s">
        <v>929</v>
      </c>
      <c r="P89" s="560" t="s">
        <v>929</v>
      </c>
    </row>
    <row r="90" spans="2:16" ht="15" customHeight="1" x14ac:dyDescent="0.25">
      <c r="B90" s="186">
        <v>1</v>
      </c>
      <c r="C90" s="1164" t="s">
        <v>1430</v>
      </c>
      <c r="D90" s="1164"/>
      <c r="E90" s="1164"/>
      <c r="F90" s="1164"/>
      <c r="G90" s="1164"/>
      <c r="H90" s="1165"/>
      <c r="I90" s="336">
        <v>1</v>
      </c>
      <c r="J90" s="546">
        <f t="shared" ref="J90:J92" si="3">IFERROR(SMALL(K90:P90,1),0)</f>
        <v>4831.3999999999996</v>
      </c>
      <c r="K90" s="343">
        <v>4831.3999999999996</v>
      </c>
      <c r="L90" s="343"/>
      <c r="M90" s="343"/>
      <c r="N90" s="343"/>
      <c r="O90" s="343"/>
      <c r="P90" s="343"/>
    </row>
    <row r="91" spans="2:16" ht="15" customHeight="1" x14ac:dyDescent="0.25">
      <c r="B91" s="186">
        <v>2</v>
      </c>
      <c r="C91" s="1164"/>
      <c r="D91" s="1164"/>
      <c r="E91" s="1164"/>
      <c r="F91" s="1164"/>
      <c r="G91" s="1164"/>
      <c r="H91" s="1165"/>
      <c r="I91" s="336"/>
      <c r="J91" s="546">
        <f t="shared" si="3"/>
        <v>0</v>
      </c>
      <c r="K91" s="343"/>
      <c r="L91" s="343"/>
      <c r="M91" s="343"/>
      <c r="N91" s="343"/>
      <c r="O91" s="343"/>
      <c r="P91" s="343"/>
    </row>
    <row r="92" spans="2:16" ht="15" customHeight="1" x14ac:dyDescent="0.25">
      <c r="B92" s="186">
        <v>3</v>
      </c>
      <c r="C92" s="1164"/>
      <c r="D92" s="1164"/>
      <c r="E92" s="1164"/>
      <c r="F92" s="1164"/>
      <c r="G92" s="1164"/>
      <c r="H92" s="1165"/>
      <c r="I92" s="336"/>
      <c r="J92" s="546">
        <f t="shared" si="3"/>
        <v>0</v>
      </c>
      <c r="K92" s="343"/>
      <c r="L92" s="343"/>
      <c r="M92" s="343"/>
      <c r="N92" s="343"/>
      <c r="O92" s="343"/>
      <c r="P92" s="343"/>
    </row>
    <row r="93" spans="2:16" s="510" customFormat="1" ht="15" customHeight="1" x14ac:dyDescent="0.2">
      <c r="B93" s="516"/>
      <c r="C93" s="1007" t="s">
        <v>928</v>
      </c>
      <c r="D93" s="1007"/>
      <c r="E93" s="1007"/>
      <c r="F93" s="1007"/>
      <c r="G93" s="1007"/>
      <c r="H93" s="1007"/>
      <c r="I93" s="1007"/>
      <c r="J93" s="1007"/>
      <c r="K93" s="521" t="s">
        <v>917</v>
      </c>
      <c r="L93" s="521" t="s">
        <v>926</v>
      </c>
      <c r="M93" s="521" t="s">
        <v>927</v>
      </c>
      <c r="N93" s="521" t="s">
        <v>943</v>
      </c>
      <c r="O93" s="521" t="s">
        <v>944</v>
      </c>
      <c r="P93" s="521" t="s">
        <v>945</v>
      </c>
    </row>
    <row r="94" spans="2:16" s="509" customFormat="1" ht="15" customHeight="1" x14ac:dyDescent="0.2">
      <c r="B94" s="993" t="s">
        <v>918</v>
      </c>
      <c r="C94" s="994"/>
      <c r="D94" s="994"/>
      <c r="E94" s="994"/>
      <c r="F94" s="994"/>
      <c r="G94" s="994"/>
      <c r="H94" s="994"/>
      <c r="I94" s="994"/>
      <c r="J94" s="995"/>
      <c r="K94" s="535"/>
      <c r="L94" s="535"/>
      <c r="M94" s="535"/>
      <c r="N94" s="535"/>
      <c r="O94" s="535"/>
      <c r="P94" s="535"/>
    </row>
    <row r="95" spans="2:16" s="509" customFormat="1" ht="15" customHeight="1" x14ac:dyDescent="0.2">
      <c r="B95" s="993" t="s">
        <v>919</v>
      </c>
      <c r="C95" s="994"/>
      <c r="D95" s="994"/>
      <c r="E95" s="994"/>
      <c r="F95" s="994"/>
      <c r="G95" s="994"/>
      <c r="H95" s="994"/>
      <c r="I95" s="994"/>
      <c r="J95" s="995"/>
      <c r="K95" s="536"/>
      <c r="L95" s="536"/>
      <c r="M95" s="536"/>
      <c r="N95" s="536"/>
      <c r="O95" s="536"/>
      <c r="P95" s="536"/>
    </row>
    <row r="96" spans="2:16" s="509" customFormat="1" ht="15" customHeight="1" x14ac:dyDescent="0.2">
      <c r="B96" s="993" t="s">
        <v>920</v>
      </c>
      <c r="C96" s="994"/>
      <c r="D96" s="994"/>
      <c r="E96" s="994"/>
      <c r="F96" s="994"/>
      <c r="G96" s="994"/>
      <c r="H96" s="994"/>
      <c r="I96" s="994"/>
      <c r="J96" s="995"/>
      <c r="K96" s="537"/>
      <c r="L96" s="537"/>
      <c r="M96" s="537"/>
      <c r="N96" s="537"/>
      <c r="O96" s="537"/>
      <c r="P96" s="537"/>
    </row>
    <row r="97" spans="2:16" s="509" customFormat="1" ht="15" customHeight="1" x14ac:dyDescent="0.2">
      <c r="B97" s="993" t="s">
        <v>921</v>
      </c>
      <c r="C97" s="994"/>
      <c r="D97" s="994"/>
      <c r="E97" s="994"/>
      <c r="F97" s="994"/>
      <c r="G97" s="994"/>
      <c r="H97" s="994"/>
      <c r="I97" s="994"/>
      <c r="J97" s="995"/>
      <c r="K97" s="537"/>
      <c r="L97" s="537"/>
      <c r="M97" s="537"/>
      <c r="N97" s="537"/>
      <c r="O97" s="537"/>
      <c r="P97" s="537"/>
    </row>
    <row r="98" spans="2:16" s="509" customFormat="1" ht="15" customHeight="1" x14ac:dyDescent="0.2">
      <c r="B98" s="993" t="s">
        <v>922</v>
      </c>
      <c r="C98" s="994"/>
      <c r="D98" s="994"/>
      <c r="E98" s="994"/>
      <c r="F98" s="994"/>
      <c r="G98" s="994"/>
      <c r="H98" s="994"/>
      <c r="I98" s="994"/>
      <c r="J98" s="995"/>
      <c r="K98" s="535"/>
      <c r="L98" s="535"/>
      <c r="M98" s="535"/>
      <c r="N98" s="535"/>
      <c r="O98" s="535"/>
      <c r="P98" s="535"/>
    </row>
    <row r="99" spans="2:16" s="509" customFormat="1" x14ac:dyDescent="0.2">
      <c r="B99" s="993" t="s">
        <v>923</v>
      </c>
      <c r="C99" s="994"/>
      <c r="D99" s="994"/>
      <c r="E99" s="994"/>
      <c r="F99" s="994"/>
      <c r="G99" s="994"/>
      <c r="H99" s="994"/>
      <c r="I99" s="994"/>
      <c r="J99" s="995"/>
      <c r="K99" s="538"/>
      <c r="L99" s="538"/>
      <c r="M99" s="538"/>
      <c r="N99" s="538"/>
      <c r="O99" s="538"/>
      <c r="P99" s="538"/>
    </row>
    <row r="100" spans="2:16" s="509" customFormat="1" x14ac:dyDescent="0.2">
      <c r="B100" s="993" t="s">
        <v>924</v>
      </c>
      <c r="C100" s="994"/>
      <c r="D100" s="994"/>
      <c r="E100" s="994"/>
      <c r="F100" s="994"/>
      <c r="G100" s="994"/>
      <c r="H100" s="994"/>
      <c r="I100" s="994"/>
      <c r="J100" s="995"/>
      <c r="K100" s="539"/>
      <c r="L100" s="539"/>
      <c r="M100" s="539"/>
      <c r="N100" s="539"/>
      <c r="O100" s="539"/>
      <c r="P100" s="539"/>
    </row>
    <row r="101" spans="2:16" s="575" customFormat="1" ht="15" customHeight="1" x14ac:dyDescent="0.2">
      <c r="B101" s="1154" t="s">
        <v>925</v>
      </c>
      <c r="C101" s="1155"/>
      <c r="D101" s="1155"/>
      <c r="E101" s="1155"/>
      <c r="F101" s="1155"/>
      <c r="G101" s="1155"/>
      <c r="H101" s="1155"/>
      <c r="I101" s="1155"/>
      <c r="J101" s="1156"/>
      <c r="K101" s="1097" t="s">
        <v>915</v>
      </c>
      <c r="L101" s="1097"/>
      <c r="M101" s="1097"/>
      <c r="N101" s="1097" t="s">
        <v>915</v>
      </c>
      <c r="O101" s="1097"/>
      <c r="P101" s="1097"/>
    </row>
  </sheetData>
  <sheetProtection password="C9E8" sheet="1" objects="1" scenarios="1"/>
  <mergeCells count="108">
    <mergeCell ref="B98:J98"/>
    <mergeCell ref="B99:J99"/>
    <mergeCell ref="B100:J100"/>
    <mergeCell ref="B101:J101"/>
    <mergeCell ref="K101:M101"/>
    <mergeCell ref="N101:P101"/>
    <mergeCell ref="C92:H92"/>
    <mergeCell ref="C93:J93"/>
    <mergeCell ref="B94:J94"/>
    <mergeCell ref="B95:J95"/>
    <mergeCell ref="B96:J96"/>
    <mergeCell ref="B97:J97"/>
    <mergeCell ref="K87:M87"/>
    <mergeCell ref="N87:P87"/>
    <mergeCell ref="B88:J88"/>
    <mergeCell ref="B89:H89"/>
    <mergeCell ref="C90:H90"/>
    <mergeCell ref="C91:H91"/>
    <mergeCell ref="B82:J82"/>
    <mergeCell ref="B83:J83"/>
    <mergeCell ref="B84:J84"/>
    <mergeCell ref="B85:J85"/>
    <mergeCell ref="B86:J86"/>
    <mergeCell ref="B87:J87"/>
    <mergeCell ref="C76:H76"/>
    <mergeCell ref="C77:H77"/>
    <mergeCell ref="C78:H78"/>
    <mergeCell ref="C79:J79"/>
    <mergeCell ref="B80:J80"/>
    <mergeCell ref="B81:J81"/>
    <mergeCell ref="B72:J72"/>
    <mergeCell ref="B73:J73"/>
    <mergeCell ref="K73:M73"/>
    <mergeCell ref="N73:P73"/>
    <mergeCell ref="B74:J74"/>
    <mergeCell ref="C75:H75"/>
    <mergeCell ref="B66:J66"/>
    <mergeCell ref="B67:J67"/>
    <mergeCell ref="B68:J68"/>
    <mergeCell ref="B69:J69"/>
    <mergeCell ref="B70:J70"/>
    <mergeCell ref="B71:J71"/>
    <mergeCell ref="C60:G60"/>
    <mergeCell ref="C61:G61"/>
    <mergeCell ref="C62:G62"/>
    <mergeCell ref="C63:G63"/>
    <mergeCell ref="C64:G64"/>
    <mergeCell ref="C65:J65"/>
    <mergeCell ref="B56:J56"/>
    <mergeCell ref="B57:J57"/>
    <mergeCell ref="K57:M57"/>
    <mergeCell ref="N57:P57"/>
    <mergeCell ref="B58:J58"/>
    <mergeCell ref="C59:G59"/>
    <mergeCell ref="B50:J50"/>
    <mergeCell ref="B51:J51"/>
    <mergeCell ref="B52:J52"/>
    <mergeCell ref="B53:J53"/>
    <mergeCell ref="B54:J54"/>
    <mergeCell ref="B55:J55"/>
    <mergeCell ref="C44:G44"/>
    <mergeCell ref="C45:G45"/>
    <mergeCell ref="C46:G46"/>
    <mergeCell ref="C47:G47"/>
    <mergeCell ref="C48:G48"/>
    <mergeCell ref="C49:J49"/>
    <mergeCell ref="C38:G38"/>
    <mergeCell ref="C39:G39"/>
    <mergeCell ref="C40:G40"/>
    <mergeCell ref="C41:G41"/>
    <mergeCell ref="C42:G42"/>
    <mergeCell ref="C43:G43"/>
    <mergeCell ref="C32:G32"/>
    <mergeCell ref="C33:G33"/>
    <mergeCell ref="C34:G34"/>
    <mergeCell ref="C35:G35"/>
    <mergeCell ref="C36:G36"/>
    <mergeCell ref="C37:G37"/>
    <mergeCell ref="C26:G26"/>
    <mergeCell ref="C27:G27"/>
    <mergeCell ref="C28:G28"/>
    <mergeCell ref="C29:G29"/>
    <mergeCell ref="C30:G30"/>
    <mergeCell ref="C31:G31"/>
    <mergeCell ref="C20:G20"/>
    <mergeCell ref="C21:G21"/>
    <mergeCell ref="C22:G22"/>
    <mergeCell ref="C23:G23"/>
    <mergeCell ref="C24:G24"/>
    <mergeCell ref="C25:G25"/>
    <mergeCell ref="C14:G14"/>
    <mergeCell ref="C15:G15"/>
    <mergeCell ref="C16:G16"/>
    <mergeCell ref="C17:G17"/>
    <mergeCell ref="C18:G18"/>
    <mergeCell ref="C19:G19"/>
    <mergeCell ref="C8:G8"/>
    <mergeCell ref="C9:G9"/>
    <mergeCell ref="C10:G10"/>
    <mergeCell ref="C11:G11"/>
    <mergeCell ref="C12:G12"/>
    <mergeCell ref="C13:G13"/>
    <mergeCell ref="D2:I2"/>
    <mergeCell ref="B3:J4"/>
    <mergeCell ref="K3:P3"/>
    <mergeCell ref="B5:J5"/>
    <mergeCell ref="B6:J6"/>
    <mergeCell ref="B7:G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/>
  </sheetPr>
  <dimension ref="B2:Z87"/>
  <sheetViews>
    <sheetView showGridLines="0" topLeftCell="C1" zoomScale="90" zoomScaleNormal="90" workbookViewId="0">
      <pane ySplit="4" topLeftCell="A44" activePane="bottomLeft" state="frozen"/>
      <selection activeCell="H20" sqref="H20"/>
      <selection pane="bottomLeft" activeCell="K59" sqref="K59"/>
    </sheetView>
  </sheetViews>
  <sheetFormatPr defaultColWidth="9.140625" defaultRowHeight="15" outlineLevelRow="1" x14ac:dyDescent="0.25"/>
  <cols>
    <col min="1" max="2" width="3.42578125" style="409" customWidth="1"/>
    <col min="3" max="7" width="10.42578125" style="409" customWidth="1"/>
    <col min="8" max="9" width="11.42578125" style="409" customWidth="1"/>
    <col min="10" max="10" width="13.42578125" style="409" customWidth="1"/>
    <col min="11" max="11" width="17.42578125" style="409" customWidth="1"/>
    <col min="12" max="12" width="16.85546875" style="409" bestFit="1" customWidth="1"/>
    <col min="13" max="13" width="14.42578125" style="409" customWidth="1"/>
    <col min="14" max="14" width="16.85546875" style="409" bestFit="1" customWidth="1"/>
    <col min="15" max="16" width="3.42578125" style="409" customWidth="1"/>
    <col min="17" max="17" width="14.140625" style="409" customWidth="1"/>
    <col min="18" max="21" width="10.42578125" style="409" customWidth="1"/>
    <col min="22" max="22" width="11.42578125" style="409" customWidth="1"/>
    <col min="23" max="23" width="10.42578125" style="409" customWidth="1"/>
    <col min="24" max="24" width="18.42578125" style="409" customWidth="1"/>
    <col min="25" max="25" width="16.85546875" style="418" bestFit="1" customWidth="1"/>
    <col min="26" max="16384" width="9.140625" style="409"/>
  </cols>
  <sheetData>
    <row r="2" spans="2:26" ht="22.5" customHeight="1" x14ac:dyDescent="0.25">
      <c r="B2" s="1157" t="s">
        <v>971</v>
      </c>
      <c r="C2" s="1158"/>
      <c r="D2" s="1158"/>
      <c r="E2" s="1158"/>
      <c r="F2" s="1158"/>
      <c r="G2" s="1158"/>
      <c r="H2" s="1158"/>
      <c r="I2" s="1158"/>
      <c r="J2" s="1158"/>
      <c r="K2" s="1158"/>
      <c r="L2" s="1158"/>
      <c r="M2" s="1158"/>
      <c r="N2" s="1173"/>
      <c r="P2" s="1157" t="str">
        <f>B2</f>
        <v>CUSTOS - FONTES INCENTIVADAS (ORIGEM DOS RECURSOS)</v>
      </c>
      <c r="Q2" s="1158"/>
      <c r="R2" s="1158"/>
      <c r="S2" s="1158"/>
      <c r="T2" s="1158"/>
      <c r="U2" s="1158"/>
      <c r="V2" s="1158"/>
      <c r="W2" s="1158"/>
      <c r="X2" s="1173"/>
      <c r="Y2" s="419"/>
      <c r="Z2" s="416"/>
    </row>
    <row r="3" spans="2:26" ht="15" customHeight="1" x14ac:dyDescent="0.25">
      <c r="B3" s="1066" t="s">
        <v>799</v>
      </c>
      <c r="C3" s="1067"/>
      <c r="D3" s="1067"/>
      <c r="E3" s="1067"/>
      <c r="F3" s="1067"/>
      <c r="G3" s="1067"/>
      <c r="H3" s="1067"/>
      <c r="I3" s="1067"/>
      <c r="J3" s="1067"/>
      <c r="K3" s="1068"/>
      <c r="L3" s="1066" t="s">
        <v>214</v>
      </c>
      <c r="M3" s="1067"/>
      <c r="N3" s="1068"/>
      <c r="O3" s="410"/>
      <c r="P3" s="1066" t="s">
        <v>696</v>
      </c>
      <c r="Q3" s="1067"/>
      <c r="R3" s="1067"/>
      <c r="S3" s="1067"/>
      <c r="T3" s="1067"/>
      <c r="U3" s="1067"/>
      <c r="V3" s="1067"/>
      <c r="W3" s="1067"/>
      <c r="X3" s="1068"/>
    </row>
    <row r="4" spans="2:26" ht="15" customHeight="1" x14ac:dyDescent="0.25">
      <c r="B4" s="1108"/>
      <c r="C4" s="1109"/>
      <c r="D4" s="1109"/>
      <c r="E4" s="1109"/>
      <c r="F4" s="1109"/>
      <c r="G4" s="1109"/>
      <c r="H4" s="1109"/>
      <c r="I4" s="1109"/>
      <c r="J4" s="1109"/>
      <c r="K4" s="1110"/>
      <c r="L4" s="328" t="s">
        <v>796</v>
      </c>
      <c r="M4" s="328" t="s">
        <v>240</v>
      </c>
      <c r="N4" s="329" t="s">
        <v>241</v>
      </c>
      <c r="O4" s="410"/>
      <c r="P4" s="1108"/>
      <c r="Q4" s="1109"/>
      <c r="R4" s="1109"/>
      <c r="S4" s="1109"/>
      <c r="T4" s="1109"/>
      <c r="U4" s="1109"/>
      <c r="V4" s="1109"/>
      <c r="W4" s="1109"/>
      <c r="X4" s="1110"/>
    </row>
    <row r="5" spans="2:26" ht="15" customHeight="1" x14ac:dyDescent="0.25">
      <c r="B5" s="1159" t="s">
        <v>693</v>
      </c>
      <c r="C5" s="1160"/>
      <c r="D5" s="1160"/>
      <c r="E5" s="1160"/>
      <c r="F5" s="1160"/>
      <c r="G5" s="1160"/>
      <c r="H5" s="1160"/>
      <c r="I5" s="1160"/>
      <c r="J5" s="1160"/>
      <c r="K5" s="1160"/>
      <c r="L5" s="1160"/>
      <c r="M5" s="1160"/>
      <c r="N5" s="1168"/>
      <c r="O5" s="410"/>
      <c r="P5" s="561"/>
      <c r="Q5" s="562"/>
      <c r="R5" s="562"/>
      <c r="S5" s="562"/>
      <c r="T5" s="562"/>
      <c r="U5" s="562"/>
      <c r="V5" s="562"/>
      <c r="W5" s="562"/>
      <c r="X5" s="563"/>
    </row>
    <row r="6" spans="2:26" x14ac:dyDescent="0.25">
      <c r="B6" s="1161" t="s">
        <v>283</v>
      </c>
      <c r="C6" s="1162"/>
      <c r="D6" s="1162"/>
      <c r="E6" s="1162"/>
      <c r="F6" s="1162"/>
      <c r="G6" s="1162"/>
      <c r="H6" s="1162"/>
      <c r="I6" s="1162"/>
      <c r="J6" s="1162"/>
      <c r="K6" s="1162"/>
      <c r="L6" s="1162"/>
      <c r="M6" s="1162"/>
      <c r="N6" s="1163"/>
      <c r="O6" s="410"/>
      <c r="P6" s="1161" t="s">
        <v>283</v>
      </c>
      <c r="Q6" s="1162"/>
      <c r="R6" s="1162"/>
      <c r="S6" s="1162"/>
      <c r="T6" s="1162"/>
      <c r="U6" s="1162"/>
      <c r="V6" s="1162"/>
      <c r="W6" s="1162"/>
      <c r="X6" s="1163"/>
    </row>
    <row r="7" spans="2:26" ht="30" x14ac:dyDescent="0.25">
      <c r="B7" s="1145" t="s">
        <v>284</v>
      </c>
      <c r="C7" s="1145"/>
      <c r="D7" s="1145"/>
      <c r="E7" s="1146"/>
      <c r="F7" s="1146"/>
      <c r="G7" s="1146"/>
      <c r="H7" s="560" t="s">
        <v>285</v>
      </c>
      <c r="I7" s="560" t="s">
        <v>16</v>
      </c>
      <c r="J7" s="560" t="s">
        <v>239</v>
      </c>
      <c r="K7" s="172" t="s">
        <v>286</v>
      </c>
      <c r="L7" s="560" t="s">
        <v>796</v>
      </c>
      <c r="M7" s="127" t="s">
        <v>240</v>
      </c>
      <c r="N7" s="127" t="s">
        <v>241</v>
      </c>
      <c r="O7" s="410"/>
      <c r="P7" s="1145" t="str">
        <f>B7</f>
        <v>Materiais e equipamentos</v>
      </c>
      <c r="Q7" s="1145"/>
      <c r="R7" s="1145"/>
      <c r="S7" s="1146"/>
      <c r="T7" s="1146"/>
      <c r="U7" s="1146"/>
      <c r="V7" s="560" t="s">
        <v>285</v>
      </c>
      <c r="W7" s="172" t="s">
        <v>287</v>
      </c>
      <c r="X7" s="172" t="s">
        <v>288</v>
      </c>
    </row>
    <row r="8" spans="2:26" ht="15" customHeight="1" outlineLevel="1" x14ac:dyDescent="0.25">
      <c r="B8" s="173">
        <v>1</v>
      </c>
      <c r="C8" s="1214" t="str">
        <f>IF(ISBLANK('FICusto (ORÇ)'!C8)," ",'FICusto (ORÇ)'!C8)</f>
        <v>Modulo fotovoltaico</v>
      </c>
      <c r="D8" s="1214"/>
      <c r="E8" s="1214"/>
      <c r="F8" s="1214"/>
      <c r="G8" s="1175"/>
      <c r="H8" s="581">
        <f>'FICusto (ORÇ)'!H8</f>
        <v>20</v>
      </c>
      <c r="I8" s="585">
        <f>'FICusto (ORÇ)'!I8</f>
        <v>62</v>
      </c>
      <c r="J8" s="133">
        <f>'FICusto (ORÇ)'!J8</f>
        <v>1100</v>
      </c>
      <c r="K8" s="344">
        <f>I8*J8</f>
        <v>68200</v>
      </c>
      <c r="L8" s="344">
        <f>K8-M8-N8</f>
        <v>68200</v>
      </c>
      <c r="M8" s="343"/>
      <c r="N8" s="343"/>
      <c r="O8" s="410"/>
      <c r="P8" s="173">
        <f>B8</f>
        <v>1</v>
      </c>
      <c r="Q8" s="1177" t="str">
        <f>IF(OR(C8=0,C8=""),"",C8)</f>
        <v>Modulo fotovoltaico</v>
      </c>
      <c r="R8" s="1177"/>
      <c r="S8" s="1177"/>
      <c r="T8" s="1177"/>
      <c r="U8" s="1178"/>
      <c r="V8" s="174">
        <f>IF(H8="",0,H8)</f>
        <v>20</v>
      </c>
      <c r="W8" s="345">
        <f>IF(OR(V8="",V8=0),0,(Desc*((1+Desc)^V8))/(((1+Desc)^V8)-1))</f>
        <v>0.10185220882315059</v>
      </c>
      <c r="X8" s="346">
        <f>IF(AND(K8&gt;0,'Custo Contábil'!$D$7&gt;0),ROUND(K8*('Custo Contábil'!$D$20/'Custo Contábil'!$D$7)*W8,2),0)</f>
        <v>14163.3</v>
      </c>
      <c r="Y8" s="420">
        <f>V8*X8</f>
        <v>283266</v>
      </c>
    </row>
    <row r="9" spans="2:26" ht="15" customHeight="1" outlineLevel="1" x14ac:dyDescent="0.25">
      <c r="B9" s="175">
        <v>2</v>
      </c>
      <c r="C9" s="1214" t="str">
        <f>IF(ISBLANK('FICusto (ORÇ)'!C9)," ",'FICusto (ORÇ)'!C9)</f>
        <v>Inversor</v>
      </c>
      <c r="D9" s="1214"/>
      <c r="E9" s="1214"/>
      <c r="F9" s="1214"/>
      <c r="G9" s="1175"/>
      <c r="H9" s="581">
        <f>'FICusto (ORÇ)'!H9</f>
        <v>10</v>
      </c>
      <c r="I9" s="585">
        <f>'FICusto (ORÇ)'!I9</f>
        <v>1</v>
      </c>
      <c r="J9" s="133">
        <f>'FICusto (ORÇ)'!J9</f>
        <v>15000</v>
      </c>
      <c r="K9" s="344">
        <f t="shared" ref="K9:K48" si="0">I9*J9</f>
        <v>15000</v>
      </c>
      <c r="L9" s="344">
        <f t="shared" ref="L9:L48" si="1">K9-M9-N9</f>
        <v>15000</v>
      </c>
      <c r="M9" s="343"/>
      <c r="N9" s="343"/>
      <c r="O9" s="410"/>
      <c r="P9" s="173">
        <f t="shared" ref="P9:P47" si="2">B9</f>
        <v>2</v>
      </c>
      <c r="Q9" s="1177" t="str">
        <f t="shared" ref="Q9:Q47" si="3">IF(OR(C9=0,C9=""),"",C9)</f>
        <v>Inversor</v>
      </c>
      <c r="R9" s="1177"/>
      <c r="S9" s="1177"/>
      <c r="T9" s="1177"/>
      <c r="U9" s="1178"/>
      <c r="V9" s="174">
        <f t="shared" ref="V9:V47" si="4">IF(H9="",0,H9)</f>
        <v>10</v>
      </c>
      <c r="W9" s="345">
        <f t="shared" ref="W9:W48" si="5">IF(OR(V9="",V9=0),0,(Desc*((1+Desc)^V9))/(((1+Desc)^V9)-1))</f>
        <v>0.14902948869707539</v>
      </c>
      <c r="X9" s="346">
        <f>IF(AND(K9&gt;0,'Custo Contábil'!$D$7&gt;0),ROUND(K9*('Custo Contábil'!$D$20/'Custo Contábil'!$D$7)*W9,2),0)</f>
        <v>4557.99</v>
      </c>
      <c r="Y9" s="420">
        <f t="shared" ref="Y9:Y48" si="6">V9*X9</f>
        <v>45579.899999999994</v>
      </c>
    </row>
    <row r="10" spans="2:26" ht="15" customHeight="1" outlineLevel="1" x14ac:dyDescent="0.25">
      <c r="B10" s="173">
        <v>3</v>
      </c>
      <c r="C10" s="1214" t="str">
        <f>IF(ISBLANK('FICusto (ORÇ)'!C10)," ",'FICusto (ORÇ)'!C10)</f>
        <v>Demais componentes do kit</v>
      </c>
      <c r="D10" s="1214"/>
      <c r="E10" s="1214"/>
      <c r="F10" s="1214"/>
      <c r="G10" s="1175"/>
      <c r="H10" s="581">
        <f>'FICusto (ORÇ)'!H10</f>
        <v>20</v>
      </c>
      <c r="I10" s="585">
        <f>'FICusto (ORÇ)'!I10</f>
        <v>1</v>
      </c>
      <c r="J10" s="133">
        <f>'FICusto (ORÇ)'!J10</f>
        <v>4849.59</v>
      </c>
      <c r="K10" s="344">
        <f t="shared" si="0"/>
        <v>4849.59</v>
      </c>
      <c r="L10" s="344">
        <f t="shared" si="1"/>
        <v>4849.59</v>
      </c>
      <c r="M10" s="343"/>
      <c r="N10" s="343"/>
      <c r="O10" s="410"/>
      <c r="P10" s="173">
        <f t="shared" si="2"/>
        <v>3</v>
      </c>
      <c r="Q10" s="1177" t="str">
        <f t="shared" si="3"/>
        <v>Demais componentes do kit</v>
      </c>
      <c r="R10" s="1177"/>
      <c r="S10" s="1177"/>
      <c r="T10" s="1177"/>
      <c r="U10" s="1178"/>
      <c r="V10" s="174">
        <f t="shared" si="4"/>
        <v>20</v>
      </c>
      <c r="W10" s="345">
        <f t="shared" si="5"/>
        <v>0.10185220882315059</v>
      </c>
      <c r="X10" s="346">
        <f>IF(AND(K10&gt;0,'Custo Contábil'!$D$7&gt;0),ROUND(K10*('Custo Contábil'!$D$20/'Custo Contábil'!$D$7)*W10,2),0)</f>
        <v>1007.13</v>
      </c>
      <c r="Y10" s="420">
        <f t="shared" si="6"/>
        <v>20142.599999999999</v>
      </c>
    </row>
    <row r="11" spans="2:26" ht="15" customHeight="1" outlineLevel="1" x14ac:dyDescent="0.25">
      <c r="B11" s="175">
        <v>4</v>
      </c>
      <c r="C11" s="1214" t="str">
        <f>IF(ISBLANK('FICusto (ORÇ)'!C11)," ",'FICusto (ORÇ)'!C11)</f>
        <v xml:space="preserve"> </v>
      </c>
      <c r="D11" s="1214"/>
      <c r="E11" s="1214"/>
      <c r="F11" s="1214"/>
      <c r="G11" s="1175"/>
      <c r="H11" s="581">
        <f>'FICusto (ORÇ)'!H11</f>
        <v>0</v>
      </c>
      <c r="I11" s="585">
        <f>'FICusto (ORÇ)'!I11</f>
        <v>0</v>
      </c>
      <c r="J11" s="133">
        <f>'FICusto (ORÇ)'!J11</f>
        <v>0</v>
      </c>
      <c r="K11" s="344">
        <f t="shared" si="0"/>
        <v>0</v>
      </c>
      <c r="L11" s="344">
        <f t="shared" si="1"/>
        <v>0</v>
      </c>
      <c r="M11" s="343"/>
      <c r="N11" s="343"/>
      <c r="O11" s="410"/>
      <c r="P11" s="173">
        <f t="shared" si="2"/>
        <v>4</v>
      </c>
      <c r="Q11" s="1177" t="str">
        <f t="shared" si="3"/>
        <v xml:space="preserve"> </v>
      </c>
      <c r="R11" s="1177"/>
      <c r="S11" s="1177"/>
      <c r="T11" s="1177"/>
      <c r="U11" s="1178"/>
      <c r="V11" s="174">
        <f t="shared" si="4"/>
        <v>0</v>
      </c>
      <c r="W11" s="345">
        <f t="shared" si="5"/>
        <v>0</v>
      </c>
      <c r="X11" s="346">
        <f>IF(AND(K11&gt;0,'Custo Contábil'!$D$7&gt;0),ROUND(K11*('Custo Contábil'!$D$20/'Custo Contábil'!$D$7)*W11,2),0)</f>
        <v>0</v>
      </c>
      <c r="Y11" s="420">
        <f t="shared" si="6"/>
        <v>0</v>
      </c>
    </row>
    <row r="12" spans="2:26" ht="15" customHeight="1" outlineLevel="1" x14ac:dyDescent="0.25">
      <c r="B12" s="173">
        <v>5</v>
      </c>
      <c r="C12" s="1214" t="str">
        <f>IF(ISBLANK('FICusto (ORÇ)'!C12)," ",'FICusto (ORÇ)'!C12)</f>
        <v xml:space="preserve"> </v>
      </c>
      <c r="D12" s="1214"/>
      <c r="E12" s="1214"/>
      <c r="F12" s="1214"/>
      <c r="G12" s="1175"/>
      <c r="H12" s="581">
        <f>'FICusto (ORÇ)'!H12</f>
        <v>0</v>
      </c>
      <c r="I12" s="585">
        <f>'FICusto (ORÇ)'!I12</f>
        <v>0</v>
      </c>
      <c r="J12" s="133">
        <f>'FICusto (ORÇ)'!J12</f>
        <v>0</v>
      </c>
      <c r="K12" s="344">
        <f t="shared" si="0"/>
        <v>0</v>
      </c>
      <c r="L12" s="344">
        <f t="shared" si="1"/>
        <v>0</v>
      </c>
      <c r="M12" s="343"/>
      <c r="N12" s="343"/>
      <c r="O12" s="410"/>
      <c r="P12" s="173">
        <f t="shared" si="2"/>
        <v>5</v>
      </c>
      <c r="Q12" s="1177" t="str">
        <f t="shared" si="3"/>
        <v xml:space="preserve"> </v>
      </c>
      <c r="R12" s="1177"/>
      <c r="S12" s="1177"/>
      <c r="T12" s="1177"/>
      <c r="U12" s="1178"/>
      <c r="V12" s="174">
        <f t="shared" si="4"/>
        <v>0</v>
      </c>
      <c r="W12" s="345">
        <f t="shared" si="5"/>
        <v>0</v>
      </c>
      <c r="X12" s="346">
        <f>IF(AND(K12&gt;0,'Custo Contábil'!$D$7&gt;0),ROUND(K12*('Custo Contábil'!$D$20/'Custo Contábil'!$D$7)*W12,2),0)</f>
        <v>0</v>
      </c>
      <c r="Y12" s="420">
        <f t="shared" si="6"/>
        <v>0</v>
      </c>
    </row>
    <row r="13" spans="2:26" ht="15" customHeight="1" outlineLevel="1" x14ac:dyDescent="0.25">
      <c r="B13" s="175">
        <v>6</v>
      </c>
      <c r="C13" s="1214" t="str">
        <f>IF(ISBLANK('FICusto (ORÇ)'!C13)," ",'FICusto (ORÇ)'!C13)</f>
        <v xml:space="preserve"> </v>
      </c>
      <c r="D13" s="1214"/>
      <c r="E13" s="1214"/>
      <c r="F13" s="1214"/>
      <c r="G13" s="1175"/>
      <c r="H13" s="581">
        <f>'FICusto (ORÇ)'!H13</f>
        <v>0</v>
      </c>
      <c r="I13" s="585">
        <f>'FICusto (ORÇ)'!I13</f>
        <v>0</v>
      </c>
      <c r="J13" s="133">
        <f>'FICusto (ORÇ)'!J13</f>
        <v>0</v>
      </c>
      <c r="K13" s="344">
        <f t="shared" si="0"/>
        <v>0</v>
      </c>
      <c r="L13" s="344">
        <f t="shared" si="1"/>
        <v>0</v>
      </c>
      <c r="M13" s="343"/>
      <c r="N13" s="343"/>
      <c r="O13" s="410"/>
      <c r="P13" s="173">
        <f t="shared" si="2"/>
        <v>6</v>
      </c>
      <c r="Q13" s="1177" t="str">
        <f t="shared" si="3"/>
        <v xml:space="preserve"> </v>
      </c>
      <c r="R13" s="1177"/>
      <c r="S13" s="1177"/>
      <c r="T13" s="1177"/>
      <c r="U13" s="1178"/>
      <c r="V13" s="174">
        <f t="shared" si="4"/>
        <v>0</v>
      </c>
      <c r="W13" s="345">
        <f t="shared" si="5"/>
        <v>0</v>
      </c>
      <c r="X13" s="346">
        <f>IF(AND(K13&gt;0,'Custo Contábil'!$D$7&gt;0),ROUND(K13*('Custo Contábil'!$D$20/'Custo Contábil'!$D$7)*W13,2),0)</f>
        <v>0</v>
      </c>
      <c r="Y13" s="420">
        <f t="shared" si="6"/>
        <v>0</v>
      </c>
    </row>
    <row r="14" spans="2:26" ht="15" customHeight="1" outlineLevel="1" x14ac:dyDescent="0.25">
      <c r="B14" s="173">
        <v>7</v>
      </c>
      <c r="C14" s="1214" t="str">
        <f>IF(ISBLANK('FICusto (ORÇ)'!C14)," ",'FICusto (ORÇ)'!C14)</f>
        <v xml:space="preserve"> </v>
      </c>
      <c r="D14" s="1214"/>
      <c r="E14" s="1214"/>
      <c r="F14" s="1214"/>
      <c r="G14" s="1175"/>
      <c r="H14" s="581">
        <f>'FICusto (ORÇ)'!H14</f>
        <v>0</v>
      </c>
      <c r="I14" s="585">
        <f>'FICusto (ORÇ)'!I14</f>
        <v>0</v>
      </c>
      <c r="J14" s="133">
        <f>'FICusto (ORÇ)'!J14</f>
        <v>0</v>
      </c>
      <c r="K14" s="344">
        <f t="shared" si="0"/>
        <v>0</v>
      </c>
      <c r="L14" s="344">
        <f t="shared" si="1"/>
        <v>0</v>
      </c>
      <c r="M14" s="343"/>
      <c r="N14" s="343"/>
      <c r="O14" s="410"/>
      <c r="P14" s="173">
        <f t="shared" si="2"/>
        <v>7</v>
      </c>
      <c r="Q14" s="1177" t="str">
        <f t="shared" si="3"/>
        <v xml:space="preserve"> </v>
      </c>
      <c r="R14" s="1177"/>
      <c r="S14" s="1177"/>
      <c r="T14" s="1177"/>
      <c r="U14" s="1178"/>
      <c r="V14" s="174">
        <f t="shared" si="4"/>
        <v>0</v>
      </c>
      <c r="W14" s="345">
        <f t="shared" si="5"/>
        <v>0</v>
      </c>
      <c r="X14" s="346">
        <f>IF(AND(K14&gt;0,'Custo Contábil'!$D$7&gt;0),ROUND(K14*('Custo Contábil'!$D$20/'Custo Contábil'!$D$7)*W14,2),0)</f>
        <v>0</v>
      </c>
      <c r="Y14" s="420">
        <f t="shared" si="6"/>
        <v>0</v>
      </c>
    </row>
    <row r="15" spans="2:26" ht="15" customHeight="1" outlineLevel="1" x14ac:dyDescent="0.25">
      <c r="B15" s="175">
        <v>8</v>
      </c>
      <c r="C15" s="1214" t="str">
        <f>IF(ISBLANK('FICusto (ORÇ)'!C15)," ",'FICusto (ORÇ)'!C15)</f>
        <v xml:space="preserve"> </v>
      </c>
      <c r="D15" s="1214"/>
      <c r="E15" s="1214"/>
      <c r="F15" s="1214"/>
      <c r="G15" s="1175"/>
      <c r="H15" s="581">
        <f>'FICusto (ORÇ)'!H15</f>
        <v>0</v>
      </c>
      <c r="I15" s="585">
        <f>'FICusto (ORÇ)'!I15</f>
        <v>0</v>
      </c>
      <c r="J15" s="133">
        <f>'FICusto (ORÇ)'!J15</f>
        <v>0</v>
      </c>
      <c r="K15" s="344">
        <f t="shared" si="0"/>
        <v>0</v>
      </c>
      <c r="L15" s="344">
        <f t="shared" si="1"/>
        <v>0</v>
      </c>
      <c r="M15" s="343"/>
      <c r="N15" s="343"/>
      <c r="O15" s="410"/>
      <c r="P15" s="173">
        <f t="shared" si="2"/>
        <v>8</v>
      </c>
      <c r="Q15" s="1177" t="str">
        <f t="shared" si="3"/>
        <v xml:space="preserve"> </v>
      </c>
      <c r="R15" s="1177"/>
      <c r="S15" s="1177"/>
      <c r="T15" s="1177"/>
      <c r="U15" s="1178"/>
      <c r="V15" s="174">
        <f t="shared" si="4"/>
        <v>0</v>
      </c>
      <c r="W15" s="345">
        <f t="shared" si="5"/>
        <v>0</v>
      </c>
      <c r="X15" s="346">
        <f>IF(AND(K15&gt;0,'Custo Contábil'!$D$7&gt;0),ROUND(K15*('Custo Contábil'!$D$20/'Custo Contábil'!$D$7)*W15,2),0)</f>
        <v>0</v>
      </c>
      <c r="Y15" s="420">
        <f t="shared" si="6"/>
        <v>0</v>
      </c>
    </row>
    <row r="16" spans="2:26" ht="15" customHeight="1" outlineLevel="1" x14ac:dyDescent="0.25">
      <c r="B16" s="173">
        <v>9</v>
      </c>
      <c r="C16" s="1214" t="str">
        <f>IF(ISBLANK('FICusto (ORÇ)'!C16)," ",'FICusto (ORÇ)'!C16)</f>
        <v xml:space="preserve"> </v>
      </c>
      <c r="D16" s="1214"/>
      <c r="E16" s="1214"/>
      <c r="F16" s="1214"/>
      <c r="G16" s="1175"/>
      <c r="H16" s="581">
        <f>'FICusto (ORÇ)'!H16</f>
        <v>0</v>
      </c>
      <c r="I16" s="585">
        <f>'FICusto (ORÇ)'!I16</f>
        <v>0</v>
      </c>
      <c r="J16" s="133">
        <f>'FICusto (ORÇ)'!J16</f>
        <v>0</v>
      </c>
      <c r="K16" s="344">
        <f t="shared" si="0"/>
        <v>0</v>
      </c>
      <c r="L16" s="344">
        <f t="shared" si="1"/>
        <v>0</v>
      </c>
      <c r="M16" s="343"/>
      <c r="N16" s="343"/>
      <c r="O16" s="410"/>
      <c r="P16" s="173">
        <f t="shared" si="2"/>
        <v>9</v>
      </c>
      <c r="Q16" s="1177" t="str">
        <f t="shared" si="3"/>
        <v xml:space="preserve"> </v>
      </c>
      <c r="R16" s="1177"/>
      <c r="S16" s="1177"/>
      <c r="T16" s="1177"/>
      <c r="U16" s="1178"/>
      <c r="V16" s="174">
        <f t="shared" si="4"/>
        <v>0</v>
      </c>
      <c r="W16" s="345">
        <f t="shared" si="5"/>
        <v>0</v>
      </c>
      <c r="X16" s="346">
        <f>IF(AND(K16&gt;0,'Custo Contábil'!$D$7&gt;0),ROUND(K16*('Custo Contábil'!$D$20/'Custo Contábil'!$D$7)*W16,2),0)</f>
        <v>0</v>
      </c>
      <c r="Y16" s="420">
        <f t="shared" si="6"/>
        <v>0</v>
      </c>
    </row>
    <row r="17" spans="2:25" outlineLevel="1" x14ac:dyDescent="0.25">
      <c r="B17" s="175">
        <v>10</v>
      </c>
      <c r="C17" s="1214" t="str">
        <f>IF(ISBLANK('FICusto (ORÇ)'!C17)," ",'FICusto (ORÇ)'!C17)</f>
        <v xml:space="preserve"> </v>
      </c>
      <c r="D17" s="1214"/>
      <c r="E17" s="1214"/>
      <c r="F17" s="1214"/>
      <c r="G17" s="1175"/>
      <c r="H17" s="581">
        <f>'FICusto (ORÇ)'!H17</f>
        <v>0</v>
      </c>
      <c r="I17" s="585">
        <f>'FICusto (ORÇ)'!I17</f>
        <v>0</v>
      </c>
      <c r="J17" s="133">
        <f>'FICusto (ORÇ)'!J17</f>
        <v>0</v>
      </c>
      <c r="K17" s="344">
        <f t="shared" si="0"/>
        <v>0</v>
      </c>
      <c r="L17" s="344">
        <f t="shared" si="1"/>
        <v>0</v>
      </c>
      <c r="M17" s="343"/>
      <c r="N17" s="343"/>
      <c r="O17" s="410"/>
      <c r="P17" s="173">
        <f t="shared" si="2"/>
        <v>10</v>
      </c>
      <c r="Q17" s="1177" t="str">
        <f t="shared" si="3"/>
        <v xml:space="preserve"> </v>
      </c>
      <c r="R17" s="1177"/>
      <c r="S17" s="1177"/>
      <c r="T17" s="1177"/>
      <c r="U17" s="1178"/>
      <c r="V17" s="174">
        <f t="shared" si="4"/>
        <v>0</v>
      </c>
      <c r="W17" s="345">
        <f t="shared" si="5"/>
        <v>0</v>
      </c>
      <c r="X17" s="346">
        <f>IF(AND(K17&gt;0,'Custo Contábil'!$D$7&gt;0),ROUND(K17*('Custo Contábil'!$D$20/'Custo Contábil'!$D$7)*W17,2),0)</f>
        <v>0</v>
      </c>
      <c r="Y17" s="420">
        <f t="shared" si="6"/>
        <v>0</v>
      </c>
    </row>
    <row r="18" spans="2:25" outlineLevel="1" x14ac:dyDescent="0.25">
      <c r="B18" s="173">
        <v>11</v>
      </c>
      <c r="C18" s="1214" t="str">
        <f>IF(ISBLANK('FICusto (ORÇ)'!C18)," ",'FICusto (ORÇ)'!C18)</f>
        <v xml:space="preserve"> </v>
      </c>
      <c r="D18" s="1214"/>
      <c r="E18" s="1214"/>
      <c r="F18" s="1214"/>
      <c r="G18" s="1175"/>
      <c r="H18" s="581">
        <f>'FICusto (ORÇ)'!H18</f>
        <v>0</v>
      </c>
      <c r="I18" s="585">
        <f>'FICusto (ORÇ)'!I18</f>
        <v>0</v>
      </c>
      <c r="J18" s="133">
        <f>'FICusto (ORÇ)'!J18</f>
        <v>0</v>
      </c>
      <c r="K18" s="344">
        <f t="shared" si="0"/>
        <v>0</v>
      </c>
      <c r="L18" s="344">
        <f t="shared" si="1"/>
        <v>0</v>
      </c>
      <c r="M18" s="343"/>
      <c r="N18" s="343"/>
      <c r="O18" s="410"/>
      <c r="P18" s="173">
        <f t="shared" si="2"/>
        <v>11</v>
      </c>
      <c r="Q18" s="1177" t="str">
        <f t="shared" si="3"/>
        <v xml:space="preserve"> </v>
      </c>
      <c r="R18" s="1177"/>
      <c r="S18" s="1177"/>
      <c r="T18" s="1177"/>
      <c r="U18" s="1178"/>
      <c r="V18" s="174">
        <f t="shared" si="4"/>
        <v>0</v>
      </c>
      <c r="W18" s="345">
        <f t="shared" si="5"/>
        <v>0</v>
      </c>
      <c r="X18" s="346">
        <f>IF(AND(K18&gt;0,'Custo Contábil'!$D$7&gt;0),ROUND(K18*('Custo Contábil'!$D$20/'Custo Contábil'!$D$7)*W18,2),0)</f>
        <v>0</v>
      </c>
      <c r="Y18" s="420">
        <f t="shared" si="6"/>
        <v>0</v>
      </c>
    </row>
    <row r="19" spans="2:25" outlineLevel="1" x14ac:dyDescent="0.25">
      <c r="B19" s="175">
        <v>12</v>
      </c>
      <c r="C19" s="1214" t="str">
        <f>IF(ISBLANK('FICusto (ORÇ)'!C19)," ",'FICusto (ORÇ)'!C19)</f>
        <v xml:space="preserve"> </v>
      </c>
      <c r="D19" s="1214"/>
      <c r="E19" s="1214"/>
      <c r="F19" s="1214"/>
      <c r="G19" s="1175"/>
      <c r="H19" s="581">
        <f>'FICusto (ORÇ)'!H19</f>
        <v>0</v>
      </c>
      <c r="I19" s="585">
        <f>'FICusto (ORÇ)'!I19</f>
        <v>0</v>
      </c>
      <c r="J19" s="133">
        <f>'FICusto (ORÇ)'!J19</f>
        <v>0</v>
      </c>
      <c r="K19" s="344">
        <f t="shared" si="0"/>
        <v>0</v>
      </c>
      <c r="L19" s="344">
        <f t="shared" si="1"/>
        <v>0</v>
      </c>
      <c r="M19" s="343"/>
      <c r="N19" s="343"/>
      <c r="O19" s="410"/>
      <c r="P19" s="173">
        <f t="shared" si="2"/>
        <v>12</v>
      </c>
      <c r="Q19" s="1177" t="str">
        <f t="shared" si="3"/>
        <v xml:space="preserve"> </v>
      </c>
      <c r="R19" s="1177"/>
      <c r="S19" s="1177"/>
      <c r="T19" s="1177"/>
      <c r="U19" s="1178"/>
      <c r="V19" s="174">
        <f t="shared" si="4"/>
        <v>0</v>
      </c>
      <c r="W19" s="345">
        <f t="shared" si="5"/>
        <v>0</v>
      </c>
      <c r="X19" s="346">
        <f>IF(AND(K19&gt;0,'Custo Contábil'!$D$7&gt;0),ROUND(K19*('Custo Contábil'!$D$20/'Custo Contábil'!$D$7)*W19,2),0)</f>
        <v>0</v>
      </c>
      <c r="Y19" s="420">
        <f t="shared" si="6"/>
        <v>0</v>
      </c>
    </row>
    <row r="20" spans="2:25" outlineLevel="1" x14ac:dyDescent="0.25">
      <c r="B20" s="173">
        <v>13</v>
      </c>
      <c r="C20" s="1214" t="str">
        <f>IF(ISBLANK('FICusto (ORÇ)'!C20)," ",'FICusto (ORÇ)'!C20)</f>
        <v xml:space="preserve"> </v>
      </c>
      <c r="D20" s="1214"/>
      <c r="E20" s="1214"/>
      <c r="F20" s="1214"/>
      <c r="G20" s="1175"/>
      <c r="H20" s="581">
        <f>'FICusto (ORÇ)'!H20</f>
        <v>0</v>
      </c>
      <c r="I20" s="585">
        <f>'FICusto (ORÇ)'!I20</f>
        <v>0</v>
      </c>
      <c r="J20" s="133">
        <f>'FICusto (ORÇ)'!J20</f>
        <v>0</v>
      </c>
      <c r="K20" s="344">
        <f t="shared" si="0"/>
        <v>0</v>
      </c>
      <c r="L20" s="344">
        <f t="shared" si="1"/>
        <v>0</v>
      </c>
      <c r="M20" s="343"/>
      <c r="N20" s="343"/>
      <c r="O20" s="410"/>
      <c r="P20" s="173">
        <f t="shared" si="2"/>
        <v>13</v>
      </c>
      <c r="Q20" s="1177" t="str">
        <f t="shared" si="3"/>
        <v xml:space="preserve"> </v>
      </c>
      <c r="R20" s="1177"/>
      <c r="S20" s="1177"/>
      <c r="T20" s="1177"/>
      <c r="U20" s="1178"/>
      <c r="V20" s="174">
        <f t="shared" si="4"/>
        <v>0</v>
      </c>
      <c r="W20" s="345">
        <f t="shared" si="5"/>
        <v>0</v>
      </c>
      <c r="X20" s="346">
        <f>IF(AND(K20&gt;0,'Custo Contábil'!$D$7&gt;0),ROUND(K20*('Custo Contábil'!$D$20/'Custo Contábil'!$D$7)*W20,2),0)</f>
        <v>0</v>
      </c>
      <c r="Y20" s="420">
        <f t="shared" si="6"/>
        <v>0</v>
      </c>
    </row>
    <row r="21" spans="2:25" outlineLevel="1" x14ac:dyDescent="0.25">
      <c r="B21" s="175">
        <v>14</v>
      </c>
      <c r="C21" s="1214" t="str">
        <f>IF(ISBLANK('FICusto (ORÇ)'!C21)," ",'FICusto (ORÇ)'!C21)</f>
        <v xml:space="preserve"> </v>
      </c>
      <c r="D21" s="1214"/>
      <c r="E21" s="1214"/>
      <c r="F21" s="1214"/>
      <c r="G21" s="1175"/>
      <c r="H21" s="581">
        <f>'FICusto (ORÇ)'!H21</f>
        <v>0</v>
      </c>
      <c r="I21" s="585">
        <f>'FICusto (ORÇ)'!I21</f>
        <v>0</v>
      </c>
      <c r="J21" s="133">
        <f>'FICusto (ORÇ)'!J21</f>
        <v>0</v>
      </c>
      <c r="K21" s="344">
        <f t="shared" si="0"/>
        <v>0</v>
      </c>
      <c r="L21" s="344">
        <f t="shared" si="1"/>
        <v>0</v>
      </c>
      <c r="M21" s="343"/>
      <c r="N21" s="343"/>
      <c r="O21" s="410"/>
      <c r="P21" s="173">
        <f t="shared" si="2"/>
        <v>14</v>
      </c>
      <c r="Q21" s="1177" t="str">
        <f t="shared" si="3"/>
        <v xml:space="preserve"> </v>
      </c>
      <c r="R21" s="1177"/>
      <c r="S21" s="1177"/>
      <c r="T21" s="1177"/>
      <c r="U21" s="1178"/>
      <c r="V21" s="174">
        <f t="shared" si="4"/>
        <v>0</v>
      </c>
      <c r="W21" s="345">
        <f t="shared" si="5"/>
        <v>0</v>
      </c>
      <c r="X21" s="346">
        <f>IF(AND(K21&gt;0,'Custo Contábil'!$D$7&gt;0),ROUND(K21*('Custo Contábil'!$D$20/'Custo Contábil'!$D$7)*W21,2),0)</f>
        <v>0</v>
      </c>
      <c r="Y21" s="420">
        <f t="shared" si="6"/>
        <v>0</v>
      </c>
    </row>
    <row r="22" spans="2:25" outlineLevel="1" x14ac:dyDescent="0.25">
      <c r="B22" s="173">
        <v>15</v>
      </c>
      <c r="C22" s="1214" t="str">
        <f>IF(ISBLANK('FICusto (ORÇ)'!C22)," ",'FICusto (ORÇ)'!C22)</f>
        <v xml:space="preserve"> </v>
      </c>
      <c r="D22" s="1214"/>
      <c r="E22" s="1214"/>
      <c r="F22" s="1214"/>
      <c r="G22" s="1175"/>
      <c r="H22" s="581">
        <f>'FICusto (ORÇ)'!H22</f>
        <v>0</v>
      </c>
      <c r="I22" s="585">
        <f>'FICusto (ORÇ)'!I22</f>
        <v>0</v>
      </c>
      <c r="J22" s="133">
        <f>'FICusto (ORÇ)'!J22</f>
        <v>0</v>
      </c>
      <c r="K22" s="344">
        <f t="shared" si="0"/>
        <v>0</v>
      </c>
      <c r="L22" s="344">
        <f t="shared" si="1"/>
        <v>0</v>
      </c>
      <c r="M22" s="343"/>
      <c r="N22" s="343"/>
      <c r="O22" s="410"/>
      <c r="P22" s="173">
        <f t="shared" si="2"/>
        <v>15</v>
      </c>
      <c r="Q22" s="1177" t="str">
        <f t="shared" si="3"/>
        <v xml:space="preserve"> </v>
      </c>
      <c r="R22" s="1177"/>
      <c r="S22" s="1177"/>
      <c r="T22" s="1177"/>
      <c r="U22" s="1178"/>
      <c r="V22" s="174">
        <f t="shared" si="4"/>
        <v>0</v>
      </c>
      <c r="W22" s="345">
        <f t="shared" si="5"/>
        <v>0</v>
      </c>
      <c r="X22" s="346">
        <f>IF(AND(K22&gt;0,'Custo Contábil'!$D$7&gt;0),ROUND(K22*('Custo Contábil'!$D$20/'Custo Contábil'!$D$7)*W22,2),0)</f>
        <v>0</v>
      </c>
      <c r="Y22" s="420">
        <f t="shared" si="6"/>
        <v>0</v>
      </c>
    </row>
    <row r="23" spans="2:25" outlineLevel="1" x14ac:dyDescent="0.25">
      <c r="B23" s="175">
        <v>16</v>
      </c>
      <c r="C23" s="1214" t="str">
        <f>IF(ISBLANK('FICusto (ORÇ)'!C23)," ",'FICusto (ORÇ)'!C23)</f>
        <v xml:space="preserve"> </v>
      </c>
      <c r="D23" s="1214"/>
      <c r="E23" s="1214"/>
      <c r="F23" s="1214"/>
      <c r="G23" s="1175"/>
      <c r="H23" s="581">
        <f>'FICusto (ORÇ)'!H23</f>
        <v>0</v>
      </c>
      <c r="I23" s="585">
        <f>'FICusto (ORÇ)'!I23</f>
        <v>0</v>
      </c>
      <c r="J23" s="133">
        <f>'FICusto (ORÇ)'!J23</f>
        <v>0</v>
      </c>
      <c r="K23" s="344">
        <f t="shared" si="0"/>
        <v>0</v>
      </c>
      <c r="L23" s="344">
        <f t="shared" si="1"/>
        <v>0</v>
      </c>
      <c r="M23" s="343"/>
      <c r="N23" s="343"/>
      <c r="O23" s="410"/>
      <c r="P23" s="173">
        <f t="shared" si="2"/>
        <v>16</v>
      </c>
      <c r="Q23" s="1177" t="str">
        <f t="shared" si="3"/>
        <v xml:space="preserve"> </v>
      </c>
      <c r="R23" s="1177"/>
      <c r="S23" s="1177"/>
      <c r="T23" s="1177"/>
      <c r="U23" s="1178"/>
      <c r="V23" s="174">
        <f t="shared" si="4"/>
        <v>0</v>
      </c>
      <c r="W23" s="345">
        <f t="shared" si="5"/>
        <v>0</v>
      </c>
      <c r="X23" s="346">
        <f>IF(AND(K23&gt;0,'Custo Contábil'!$D$7&gt;0),ROUND(K23*('Custo Contábil'!$D$20/'Custo Contábil'!$D$7)*W23,2),0)</f>
        <v>0</v>
      </c>
      <c r="Y23" s="420">
        <f t="shared" si="6"/>
        <v>0</v>
      </c>
    </row>
    <row r="24" spans="2:25" outlineLevel="1" x14ac:dyDescent="0.25">
      <c r="B24" s="173">
        <v>17</v>
      </c>
      <c r="C24" s="1214" t="str">
        <f>IF(ISBLANK('FICusto (ORÇ)'!C24)," ",'FICusto (ORÇ)'!C24)</f>
        <v xml:space="preserve"> </v>
      </c>
      <c r="D24" s="1214"/>
      <c r="E24" s="1214"/>
      <c r="F24" s="1214"/>
      <c r="G24" s="1175"/>
      <c r="H24" s="581">
        <f>'FICusto (ORÇ)'!H24</f>
        <v>0</v>
      </c>
      <c r="I24" s="585">
        <f>'FICusto (ORÇ)'!I24</f>
        <v>0</v>
      </c>
      <c r="J24" s="133">
        <f>'FICusto (ORÇ)'!J24</f>
        <v>0</v>
      </c>
      <c r="K24" s="344">
        <f t="shared" si="0"/>
        <v>0</v>
      </c>
      <c r="L24" s="344">
        <f t="shared" si="1"/>
        <v>0</v>
      </c>
      <c r="M24" s="343"/>
      <c r="N24" s="343"/>
      <c r="O24" s="410"/>
      <c r="P24" s="173">
        <f t="shared" si="2"/>
        <v>17</v>
      </c>
      <c r="Q24" s="1177" t="str">
        <f t="shared" si="3"/>
        <v xml:space="preserve"> </v>
      </c>
      <c r="R24" s="1177"/>
      <c r="S24" s="1177"/>
      <c r="T24" s="1177"/>
      <c r="U24" s="1178"/>
      <c r="V24" s="174">
        <f t="shared" si="4"/>
        <v>0</v>
      </c>
      <c r="W24" s="345">
        <f t="shared" si="5"/>
        <v>0</v>
      </c>
      <c r="X24" s="346">
        <f>IF(AND(K24&gt;0,'Custo Contábil'!$D$7&gt;0),ROUND(K24*('Custo Contábil'!$D$20/'Custo Contábil'!$D$7)*W24,2),0)</f>
        <v>0</v>
      </c>
      <c r="Y24" s="420">
        <f t="shared" si="6"/>
        <v>0</v>
      </c>
    </row>
    <row r="25" spans="2:25" outlineLevel="1" x14ac:dyDescent="0.25">
      <c r="B25" s="175">
        <v>18</v>
      </c>
      <c r="C25" s="1214" t="str">
        <f>IF(ISBLANK('FICusto (ORÇ)'!C25)," ",'FICusto (ORÇ)'!C25)</f>
        <v xml:space="preserve"> </v>
      </c>
      <c r="D25" s="1214"/>
      <c r="E25" s="1214"/>
      <c r="F25" s="1214"/>
      <c r="G25" s="1175"/>
      <c r="H25" s="581">
        <f>'FICusto (ORÇ)'!H25</f>
        <v>0</v>
      </c>
      <c r="I25" s="585">
        <f>'FICusto (ORÇ)'!I25</f>
        <v>0</v>
      </c>
      <c r="J25" s="133">
        <f>'FICusto (ORÇ)'!J25</f>
        <v>0</v>
      </c>
      <c r="K25" s="344">
        <f t="shared" si="0"/>
        <v>0</v>
      </c>
      <c r="L25" s="344">
        <f t="shared" si="1"/>
        <v>0</v>
      </c>
      <c r="M25" s="343"/>
      <c r="N25" s="343"/>
      <c r="O25" s="410"/>
      <c r="P25" s="173">
        <f t="shared" si="2"/>
        <v>18</v>
      </c>
      <c r="Q25" s="1177" t="str">
        <f t="shared" si="3"/>
        <v xml:space="preserve"> </v>
      </c>
      <c r="R25" s="1177"/>
      <c r="S25" s="1177"/>
      <c r="T25" s="1177"/>
      <c r="U25" s="1178"/>
      <c r="V25" s="174">
        <f t="shared" si="4"/>
        <v>0</v>
      </c>
      <c r="W25" s="345">
        <f t="shared" si="5"/>
        <v>0</v>
      </c>
      <c r="X25" s="346">
        <f>IF(AND(K25&gt;0,'Custo Contábil'!$D$7&gt;0),ROUND(K25*('Custo Contábil'!$D$20/'Custo Contábil'!$D$7)*W25,2),0)</f>
        <v>0</v>
      </c>
      <c r="Y25" s="420">
        <f t="shared" si="6"/>
        <v>0</v>
      </c>
    </row>
    <row r="26" spans="2:25" outlineLevel="1" x14ac:dyDescent="0.25">
      <c r="B26" s="173">
        <v>19</v>
      </c>
      <c r="C26" s="1214" t="str">
        <f>IF(ISBLANK('FICusto (ORÇ)'!C26)," ",'FICusto (ORÇ)'!C26)</f>
        <v xml:space="preserve"> </v>
      </c>
      <c r="D26" s="1214"/>
      <c r="E26" s="1214"/>
      <c r="F26" s="1214"/>
      <c r="G26" s="1175"/>
      <c r="H26" s="581">
        <f>'FICusto (ORÇ)'!H26</f>
        <v>0</v>
      </c>
      <c r="I26" s="585">
        <f>'FICusto (ORÇ)'!I26</f>
        <v>0</v>
      </c>
      <c r="J26" s="133">
        <f>'FICusto (ORÇ)'!J26</f>
        <v>0</v>
      </c>
      <c r="K26" s="344">
        <f t="shared" si="0"/>
        <v>0</v>
      </c>
      <c r="L26" s="344">
        <f t="shared" si="1"/>
        <v>0</v>
      </c>
      <c r="M26" s="343"/>
      <c r="N26" s="343"/>
      <c r="O26" s="410"/>
      <c r="P26" s="173">
        <f t="shared" si="2"/>
        <v>19</v>
      </c>
      <c r="Q26" s="1177" t="str">
        <f t="shared" si="3"/>
        <v xml:space="preserve"> </v>
      </c>
      <c r="R26" s="1177"/>
      <c r="S26" s="1177"/>
      <c r="T26" s="1177"/>
      <c r="U26" s="1178"/>
      <c r="V26" s="174">
        <f t="shared" si="4"/>
        <v>0</v>
      </c>
      <c r="W26" s="345">
        <f t="shared" si="5"/>
        <v>0</v>
      </c>
      <c r="X26" s="346">
        <f>IF(AND(K26&gt;0,'Custo Contábil'!$D$7&gt;0),ROUND(K26*('Custo Contábil'!$D$20/'Custo Contábil'!$D$7)*W26,2),0)</f>
        <v>0</v>
      </c>
      <c r="Y26" s="420">
        <f t="shared" si="6"/>
        <v>0</v>
      </c>
    </row>
    <row r="27" spans="2:25" outlineLevel="1" x14ac:dyDescent="0.25">
      <c r="B27" s="175">
        <v>20</v>
      </c>
      <c r="C27" s="1214" t="str">
        <f>IF(ISBLANK('FICusto (ORÇ)'!C27)," ",'FICusto (ORÇ)'!C27)</f>
        <v xml:space="preserve"> </v>
      </c>
      <c r="D27" s="1214"/>
      <c r="E27" s="1214"/>
      <c r="F27" s="1214"/>
      <c r="G27" s="1175"/>
      <c r="H27" s="581">
        <f>'FICusto (ORÇ)'!H27</f>
        <v>0</v>
      </c>
      <c r="I27" s="585">
        <f>'FICusto (ORÇ)'!I27</f>
        <v>0</v>
      </c>
      <c r="J27" s="133">
        <f>'FICusto (ORÇ)'!J27</f>
        <v>0</v>
      </c>
      <c r="K27" s="344">
        <f t="shared" si="0"/>
        <v>0</v>
      </c>
      <c r="L27" s="344">
        <f t="shared" si="1"/>
        <v>0</v>
      </c>
      <c r="M27" s="343"/>
      <c r="N27" s="343"/>
      <c r="O27" s="410"/>
      <c r="P27" s="173">
        <f t="shared" si="2"/>
        <v>20</v>
      </c>
      <c r="Q27" s="1177" t="str">
        <f t="shared" si="3"/>
        <v xml:space="preserve"> </v>
      </c>
      <c r="R27" s="1177"/>
      <c r="S27" s="1177"/>
      <c r="T27" s="1177"/>
      <c r="U27" s="1178"/>
      <c r="V27" s="174">
        <f t="shared" si="4"/>
        <v>0</v>
      </c>
      <c r="W27" s="345">
        <f t="shared" si="5"/>
        <v>0</v>
      </c>
      <c r="X27" s="346">
        <f>IF(AND(K27&gt;0,'Custo Contábil'!$D$7&gt;0),ROUND(K27*('Custo Contábil'!$D$20/'Custo Contábil'!$D$7)*W27,2),0)</f>
        <v>0</v>
      </c>
      <c r="Y27" s="420">
        <f t="shared" si="6"/>
        <v>0</v>
      </c>
    </row>
    <row r="28" spans="2:25" outlineLevel="1" x14ac:dyDescent="0.25">
      <c r="B28" s="173">
        <v>21</v>
      </c>
      <c r="C28" s="1214" t="str">
        <f>IF(ISBLANK('FICusto (ORÇ)'!C28)," ",'FICusto (ORÇ)'!C28)</f>
        <v xml:space="preserve"> </v>
      </c>
      <c r="D28" s="1214"/>
      <c r="E28" s="1214"/>
      <c r="F28" s="1214"/>
      <c r="G28" s="1175"/>
      <c r="H28" s="581">
        <f>'FICusto (ORÇ)'!H28</f>
        <v>0</v>
      </c>
      <c r="I28" s="585">
        <f>'FICusto (ORÇ)'!I28</f>
        <v>0</v>
      </c>
      <c r="J28" s="133">
        <f>'FICusto (ORÇ)'!J28</f>
        <v>0</v>
      </c>
      <c r="K28" s="344">
        <f t="shared" si="0"/>
        <v>0</v>
      </c>
      <c r="L28" s="344">
        <f t="shared" si="1"/>
        <v>0</v>
      </c>
      <c r="M28" s="343"/>
      <c r="N28" s="343"/>
      <c r="O28" s="410"/>
      <c r="P28" s="173">
        <f t="shared" si="2"/>
        <v>21</v>
      </c>
      <c r="Q28" s="1177" t="str">
        <f t="shared" si="3"/>
        <v xml:space="preserve"> </v>
      </c>
      <c r="R28" s="1177"/>
      <c r="S28" s="1177"/>
      <c r="T28" s="1177"/>
      <c r="U28" s="1178"/>
      <c r="V28" s="174">
        <f t="shared" si="4"/>
        <v>0</v>
      </c>
      <c r="W28" s="345">
        <f t="shared" si="5"/>
        <v>0</v>
      </c>
      <c r="X28" s="346">
        <f>IF(AND(K28&gt;0,'Custo Contábil'!$D$7&gt;0),ROUND(K28*('Custo Contábil'!$D$20/'Custo Contábil'!$D$7)*W28,2),0)</f>
        <v>0</v>
      </c>
      <c r="Y28" s="420">
        <f t="shared" si="6"/>
        <v>0</v>
      </c>
    </row>
    <row r="29" spans="2:25" outlineLevel="1" x14ac:dyDescent="0.25">
      <c r="B29" s="175">
        <v>22</v>
      </c>
      <c r="C29" s="1214" t="str">
        <f>IF(ISBLANK('FICusto (ORÇ)'!C29)," ",'FICusto (ORÇ)'!C29)</f>
        <v xml:space="preserve"> </v>
      </c>
      <c r="D29" s="1214"/>
      <c r="E29" s="1214"/>
      <c r="F29" s="1214"/>
      <c r="G29" s="1175"/>
      <c r="H29" s="581">
        <f>'FICusto (ORÇ)'!H29</f>
        <v>0</v>
      </c>
      <c r="I29" s="585">
        <f>'FICusto (ORÇ)'!I29</f>
        <v>0</v>
      </c>
      <c r="J29" s="133">
        <f>'FICusto (ORÇ)'!J29</f>
        <v>0</v>
      </c>
      <c r="K29" s="344">
        <f t="shared" si="0"/>
        <v>0</v>
      </c>
      <c r="L29" s="344">
        <f t="shared" si="1"/>
        <v>0</v>
      </c>
      <c r="M29" s="343"/>
      <c r="N29" s="343"/>
      <c r="O29" s="410"/>
      <c r="P29" s="173">
        <f t="shared" si="2"/>
        <v>22</v>
      </c>
      <c r="Q29" s="1177" t="str">
        <f t="shared" si="3"/>
        <v xml:space="preserve"> </v>
      </c>
      <c r="R29" s="1177"/>
      <c r="S29" s="1177"/>
      <c r="T29" s="1177"/>
      <c r="U29" s="1178"/>
      <c r="V29" s="174">
        <f t="shared" si="4"/>
        <v>0</v>
      </c>
      <c r="W29" s="345">
        <f t="shared" si="5"/>
        <v>0</v>
      </c>
      <c r="X29" s="346">
        <f>IF(AND(K29&gt;0,'Custo Contábil'!$D$7&gt;0),ROUND(K29*('Custo Contábil'!$D$20/'Custo Contábil'!$D$7)*W29,2),0)</f>
        <v>0</v>
      </c>
      <c r="Y29" s="420">
        <f t="shared" si="6"/>
        <v>0</v>
      </c>
    </row>
    <row r="30" spans="2:25" outlineLevel="1" x14ac:dyDescent="0.25">
      <c r="B30" s="173">
        <v>23</v>
      </c>
      <c r="C30" s="1214" t="str">
        <f>IF(ISBLANK('FICusto (ORÇ)'!C30)," ",'FICusto (ORÇ)'!C30)</f>
        <v xml:space="preserve"> </v>
      </c>
      <c r="D30" s="1214"/>
      <c r="E30" s="1214"/>
      <c r="F30" s="1214"/>
      <c r="G30" s="1175"/>
      <c r="H30" s="581">
        <f>'FICusto (ORÇ)'!H30</f>
        <v>0</v>
      </c>
      <c r="I30" s="585">
        <f>'FICusto (ORÇ)'!I30</f>
        <v>0</v>
      </c>
      <c r="J30" s="133">
        <f>'FICusto (ORÇ)'!J30</f>
        <v>0</v>
      </c>
      <c r="K30" s="344">
        <f t="shared" si="0"/>
        <v>0</v>
      </c>
      <c r="L30" s="344">
        <f t="shared" si="1"/>
        <v>0</v>
      </c>
      <c r="M30" s="343"/>
      <c r="N30" s="343"/>
      <c r="O30" s="410"/>
      <c r="P30" s="173">
        <f t="shared" si="2"/>
        <v>23</v>
      </c>
      <c r="Q30" s="1177" t="str">
        <f t="shared" si="3"/>
        <v xml:space="preserve"> </v>
      </c>
      <c r="R30" s="1177"/>
      <c r="S30" s="1177"/>
      <c r="T30" s="1177"/>
      <c r="U30" s="1178"/>
      <c r="V30" s="174">
        <f t="shared" si="4"/>
        <v>0</v>
      </c>
      <c r="W30" s="345">
        <f t="shared" si="5"/>
        <v>0</v>
      </c>
      <c r="X30" s="346">
        <f>IF(AND(K30&gt;0,'Custo Contábil'!$D$7&gt;0),ROUND(K30*('Custo Contábil'!$D$20/'Custo Contábil'!$D$7)*W30,2),0)</f>
        <v>0</v>
      </c>
      <c r="Y30" s="420">
        <f t="shared" si="6"/>
        <v>0</v>
      </c>
    </row>
    <row r="31" spans="2:25" ht="18" customHeight="1" outlineLevel="1" x14ac:dyDescent="0.25">
      <c r="B31" s="175">
        <v>24</v>
      </c>
      <c r="C31" s="1214" t="str">
        <f>IF(ISBLANK('FICusto (ORÇ)'!C31)," ",'FICusto (ORÇ)'!C31)</f>
        <v xml:space="preserve"> </v>
      </c>
      <c r="D31" s="1214"/>
      <c r="E31" s="1214"/>
      <c r="F31" s="1214"/>
      <c r="G31" s="1175"/>
      <c r="H31" s="581">
        <f>'FICusto (ORÇ)'!H31</f>
        <v>0</v>
      </c>
      <c r="I31" s="585">
        <f>'FICusto (ORÇ)'!I31</f>
        <v>0</v>
      </c>
      <c r="J31" s="133">
        <f>'FICusto (ORÇ)'!J31</f>
        <v>0</v>
      </c>
      <c r="K31" s="344">
        <f t="shared" si="0"/>
        <v>0</v>
      </c>
      <c r="L31" s="344">
        <f t="shared" si="1"/>
        <v>0</v>
      </c>
      <c r="M31" s="343"/>
      <c r="N31" s="343"/>
      <c r="O31" s="410"/>
      <c r="P31" s="173">
        <f t="shared" si="2"/>
        <v>24</v>
      </c>
      <c r="Q31" s="1177" t="str">
        <f t="shared" si="3"/>
        <v xml:space="preserve"> </v>
      </c>
      <c r="R31" s="1177"/>
      <c r="S31" s="1177"/>
      <c r="T31" s="1177"/>
      <c r="U31" s="1178"/>
      <c r="V31" s="174">
        <f t="shared" si="4"/>
        <v>0</v>
      </c>
      <c r="W31" s="345">
        <f t="shared" si="5"/>
        <v>0</v>
      </c>
      <c r="X31" s="346">
        <f>IF(AND(K31&gt;0,'Custo Contábil'!$D$7&gt;0),ROUND(K31*('Custo Contábil'!$D$20/'Custo Contábil'!$D$7)*W31,2),0)</f>
        <v>0</v>
      </c>
      <c r="Y31" s="420">
        <f t="shared" si="6"/>
        <v>0</v>
      </c>
    </row>
    <row r="32" spans="2:25" ht="18" customHeight="1" outlineLevel="1" x14ac:dyDescent="0.25">
      <c r="B32" s="173">
        <v>25</v>
      </c>
      <c r="C32" s="1214" t="str">
        <f>IF(ISBLANK('FICusto (ORÇ)'!C32)," ",'FICusto (ORÇ)'!C32)</f>
        <v xml:space="preserve"> </v>
      </c>
      <c r="D32" s="1214"/>
      <c r="E32" s="1214"/>
      <c r="F32" s="1214"/>
      <c r="G32" s="1175"/>
      <c r="H32" s="581">
        <f>'FICusto (ORÇ)'!H32</f>
        <v>0</v>
      </c>
      <c r="I32" s="585">
        <f>'FICusto (ORÇ)'!I32</f>
        <v>0</v>
      </c>
      <c r="J32" s="133">
        <f>'FICusto (ORÇ)'!J32</f>
        <v>0</v>
      </c>
      <c r="K32" s="344">
        <f t="shared" si="0"/>
        <v>0</v>
      </c>
      <c r="L32" s="344">
        <f t="shared" si="1"/>
        <v>0</v>
      </c>
      <c r="M32" s="343"/>
      <c r="N32" s="343"/>
      <c r="O32" s="410"/>
      <c r="P32" s="173">
        <f t="shared" si="2"/>
        <v>25</v>
      </c>
      <c r="Q32" s="1177" t="str">
        <f t="shared" si="3"/>
        <v xml:space="preserve"> </v>
      </c>
      <c r="R32" s="1177"/>
      <c r="S32" s="1177"/>
      <c r="T32" s="1177"/>
      <c r="U32" s="1178"/>
      <c r="V32" s="174">
        <f t="shared" si="4"/>
        <v>0</v>
      </c>
      <c r="W32" s="345">
        <f t="shared" si="5"/>
        <v>0</v>
      </c>
      <c r="X32" s="346">
        <f>IF(AND(K32&gt;0,'Custo Contábil'!$D$7&gt;0),ROUND(K32*('Custo Contábil'!$D$20/'Custo Contábil'!$D$7)*W32,2),0)</f>
        <v>0</v>
      </c>
      <c r="Y32" s="420">
        <f t="shared" si="6"/>
        <v>0</v>
      </c>
    </row>
    <row r="33" spans="2:25" ht="15" customHeight="1" outlineLevel="1" x14ac:dyDescent="0.25">
      <c r="B33" s="175">
        <v>26</v>
      </c>
      <c r="C33" s="1214" t="str">
        <f>IF(ISBLANK('FICusto (ORÇ)'!C33)," ",'FICusto (ORÇ)'!C33)</f>
        <v xml:space="preserve"> </v>
      </c>
      <c r="D33" s="1214"/>
      <c r="E33" s="1214"/>
      <c r="F33" s="1214"/>
      <c r="G33" s="1175"/>
      <c r="H33" s="581">
        <f>'FICusto (ORÇ)'!H33</f>
        <v>0</v>
      </c>
      <c r="I33" s="585">
        <f>'FICusto (ORÇ)'!I33</f>
        <v>0</v>
      </c>
      <c r="J33" s="133">
        <f>'FICusto (ORÇ)'!J33</f>
        <v>0</v>
      </c>
      <c r="K33" s="344">
        <f t="shared" si="0"/>
        <v>0</v>
      </c>
      <c r="L33" s="344">
        <f t="shared" si="1"/>
        <v>0</v>
      </c>
      <c r="M33" s="343"/>
      <c r="N33" s="343"/>
      <c r="O33" s="410"/>
      <c r="P33" s="173">
        <f t="shared" si="2"/>
        <v>26</v>
      </c>
      <c r="Q33" s="1177" t="str">
        <f t="shared" si="3"/>
        <v xml:space="preserve"> </v>
      </c>
      <c r="R33" s="1177"/>
      <c r="S33" s="1177"/>
      <c r="T33" s="1177"/>
      <c r="U33" s="1178"/>
      <c r="V33" s="174">
        <f t="shared" si="4"/>
        <v>0</v>
      </c>
      <c r="W33" s="345">
        <f t="shared" si="5"/>
        <v>0</v>
      </c>
      <c r="X33" s="346">
        <f>IF(AND(K33&gt;0,'Custo Contábil'!$D$7&gt;0),ROUND(K33*('Custo Contábil'!$D$20/'Custo Contábil'!$D$7)*W33,2),0)</f>
        <v>0</v>
      </c>
      <c r="Y33" s="420">
        <f t="shared" si="6"/>
        <v>0</v>
      </c>
    </row>
    <row r="34" spans="2:25" outlineLevel="1" x14ac:dyDescent="0.25">
      <c r="B34" s="173">
        <v>27</v>
      </c>
      <c r="C34" s="1214" t="str">
        <f>IF(ISBLANK('FICusto (ORÇ)'!C34)," ",'FICusto (ORÇ)'!C34)</f>
        <v xml:space="preserve"> </v>
      </c>
      <c r="D34" s="1214"/>
      <c r="E34" s="1214"/>
      <c r="F34" s="1214"/>
      <c r="G34" s="1175"/>
      <c r="H34" s="581">
        <f>'FICusto (ORÇ)'!H34</f>
        <v>0</v>
      </c>
      <c r="I34" s="585">
        <f>'FICusto (ORÇ)'!I34</f>
        <v>0</v>
      </c>
      <c r="J34" s="133">
        <f>'FICusto (ORÇ)'!J34</f>
        <v>0</v>
      </c>
      <c r="K34" s="344">
        <f t="shared" si="0"/>
        <v>0</v>
      </c>
      <c r="L34" s="344">
        <f t="shared" si="1"/>
        <v>0</v>
      </c>
      <c r="M34" s="343"/>
      <c r="N34" s="343"/>
      <c r="O34" s="410"/>
      <c r="P34" s="173">
        <f t="shared" si="2"/>
        <v>27</v>
      </c>
      <c r="Q34" s="1177" t="str">
        <f t="shared" si="3"/>
        <v xml:space="preserve"> </v>
      </c>
      <c r="R34" s="1177"/>
      <c r="S34" s="1177"/>
      <c r="T34" s="1177"/>
      <c r="U34" s="1178"/>
      <c r="V34" s="174">
        <f t="shared" si="4"/>
        <v>0</v>
      </c>
      <c r="W34" s="345">
        <f t="shared" si="5"/>
        <v>0</v>
      </c>
      <c r="X34" s="346">
        <f>IF(AND(K34&gt;0,'Custo Contábil'!$D$7&gt;0),ROUND(K34*('Custo Contábil'!$D$20/'Custo Contábil'!$D$7)*W34,2),0)</f>
        <v>0</v>
      </c>
      <c r="Y34" s="420">
        <f t="shared" si="6"/>
        <v>0</v>
      </c>
    </row>
    <row r="35" spans="2:25" outlineLevel="1" x14ac:dyDescent="0.25">
      <c r="B35" s="175">
        <v>28</v>
      </c>
      <c r="C35" s="1214" t="str">
        <f>IF(ISBLANK('FICusto (ORÇ)'!C35)," ",'FICusto (ORÇ)'!C35)</f>
        <v xml:space="preserve"> </v>
      </c>
      <c r="D35" s="1214"/>
      <c r="E35" s="1214"/>
      <c r="F35" s="1214"/>
      <c r="G35" s="1175"/>
      <c r="H35" s="581">
        <f>'FICusto (ORÇ)'!H35</f>
        <v>0</v>
      </c>
      <c r="I35" s="585">
        <f>'FICusto (ORÇ)'!I35</f>
        <v>0</v>
      </c>
      <c r="J35" s="133">
        <f>'FICusto (ORÇ)'!J35</f>
        <v>0</v>
      </c>
      <c r="K35" s="344">
        <f t="shared" si="0"/>
        <v>0</v>
      </c>
      <c r="L35" s="344">
        <f t="shared" si="1"/>
        <v>0</v>
      </c>
      <c r="M35" s="343"/>
      <c r="N35" s="343"/>
      <c r="O35" s="410"/>
      <c r="P35" s="173">
        <f t="shared" si="2"/>
        <v>28</v>
      </c>
      <c r="Q35" s="1177" t="str">
        <f t="shared" si="3"/>
        <v xml:space="preserve"> </v>
      </c>
      <c r="R35" s="1177"/>
      <c r="S35" s="1177"/>
      <c r="T35" s="1177"/>
      <c r="U35" s="1178"/>
      <c r="V35" s="174">
        <f t="shared" si="4"/>
        <v>0</v>
      </c>
      <c r="W35" s="345">
        <f t="shared" si="5"/>
        <v>0</v>
      </c>
      <c r="X35" s="346">
        <f>IF(AND(K35&gt;0,'Custo Contábil'!$D$7&gt;0),ROUND(K35*('Custo Contábil'!$D$20/'Custo Contábil'!$D$7)*W35,2),0)</f>
        <v>0</v>
      </c>
      <c r="Y35" s="420">
        <f t="shared" si="6"/>
        <v>0</v>
      </c>
    </row>
    <row r="36" spans="2:25" outlineLevel="1" x14ac:dyDescent="0.25">
      <c r="B36" s="173">
        <v>29</v>
      </c>
      <c r="C36" s="1214" t="str">
        <f>IF(ISBLANK('FICusto (ORÇ)'!C36)," ",'FICusto (ORÇ)'!C36)</f>
        <v xml:space="preserve"> </v>
      </c>
      <c r="D36" s="1214"/>
      <c r="E36" s="1214"/>
      <c r="F36" s="1214"/>
      <c r="G36" s="1175"/>
      <c r="H36" s="581">
        <f>'FICusto (ORÇ)'!H36</f>
        <v>0</v>
      </c>
      <c r="I36" s="585">
        <f>'FICusto (ORÇ)'!I36</f>
        <v>0</v>
      </c>
      <c r="J36" s="133">
        <f>'FICusto (ORÇ)'!J36</f>
        <v>0</v>
      </c>
      <c r="K36" s="344">
        <f t="shared" si="0"/>
        <v>0</v>
      </c>
      <c r="L36" s="344">
        <f t="shared" si="1"/>
        <v>0</v>
      </c>
      <c r="M36" s="343"/>
      <c r="N36" s="343"/>
      <c r="O36" s="410"/>
      <c r="P36" s="173">
        <f t="shared" si="2"/>
        <v>29</v>
      </c>
      <c r="Q36" s="1177" t="str">
        <f t="shared" si="3"/>
        <v xml:space="preserve"> </v>
      </c>
      <c r="R36" s="1177"/>
      <c r="S36" s="1177"/>
      <c r="T36" s="1177"/>
      <c r="U36" s="1178"/>
      <c r="V36" s="174">
        <f t="shared" si="4"/>
        <v>0</v>
      </c>
      <c r="W36" s="345">
        <f t="shared" si="5"/>
        <v>0</v>
      </c>
      <c r="X36" s="346">
        <f>IF(AND(K36&gt;0,'Custo Contábil'!$D$7&gt;0),ROUND(K36*('Custo Contábil'!$D$20/'Custo Contábil'!$D$7)*W36,2),0)</f>
        <v>0</v>
      </c>
      <c r="Y36" s="420">
        <f t="shared" si="6"/>
        <v>0</v>
      </c>
    </row>
    <row r="37" spans="2:25" outlineLevel="1" x14ac:dyDescent="0.25">
      <c r="B37" s="175">
        <v>30</v>
      </c>
      <c r="C37" s="1214" t="str">
        <f>IF(ISBLANK('FICusto (ORÇ)'!C37)," ",'FICusto (ORÇ)'!C37)</f>
        <v xml:space="preserve"> </v>
      </c>
      <c r="D37" s="1214"/>
      <c r="E37" s="1214"/>
      <c r="F37" s="1214"/>
      <c r="G37" s="1175"/>
      <c r="H37" s="581">
        <f>'FICusto (ORÇ)'!H37</f>
        <v>0</v>
      </c>
      <c r="I37" s="585">
        <f>'FICusto (ORÇ)'!I37</f>
        <v>0</v>
      </c>
      <c r="J37" s="133">
        <f>'FICusto (ORÇ)'!J37</f>
        <v>0</v>
      </c>
      <c r="K37" s="344">
        <f t="shared" si="0"/>
        <v>0</v>
      </c>
      <c r="L37" s="344">
        <f t="shared" si="1"/>
        <v>0</v>
      </c>
      <c r="M37" s="343"/>
      <c r="N37" s="343"/>
      <c r="O37" s="410"/>
      <c r="P37" s="173">
        <f t="shared" si="2"/>
        <v>30</v>
      </c>
      <c r="Q37" s="1177" t="str">
        <f t="shared" si="3"/>
        <v xml:space="preserve"> </v>
      </c>
      <c r="R37" s="1177"/>
      <c r="S37" s="1177"/>
      <c r="T37" s="1177"/>
      <c r="U37" s="1178"/>
      <c r="V37" s="174">
        <f t="shared" si="4"/>
        <v>0</v>
      </c>
      <c r="W37" s="345">
        <f t="shared" si="5"/>
        <v>0</v>
      </c>
      <c r="X37" s="346">
        <f>IF(AND(K37&gt;0,'Custo Contábil'!$D$7&gt;0),ROUND(K37*('Custo Contábil'!$D$20/'Custo Contábil'!$D$7)*W37,2),0)</f>
        <v>0</v>
      </c>
      <c r="Y37" s="420">
        <f t="shared" si="6"/>
        <v>0</v>
      </c>
    </row>
    <row r="38" spans="2:25" outlineLevel="1" x14ac:dyDescent="0.25">
      <c r="B38" s="173">
        <v>31</v>
      </c>
      <c r="C38" s="1214" t="str">
        <f>IF(ISBLANK('FICusto (ORÇ)'!C38)," ",'FICusto (ORÇ)'!C38)</f>
        <v xml:space="preserve"> </v>
      </c>
      <c r="D38" s="1214"/>
      <c r="E38" s="1214"/>
      <c r="F38" s="1214"/>
      <c r="G38" s="1175"/>
      <c r="H38" s="581">
        <f>'FICusto (ORÇ)'!H38</f>
        <v>0</v>
      </c>
      <c r="I38" s="585">
        <f>'FICusto (ORÇ)'!I38</f>
        <v>0</v>
      </c>
      <c r="J38" s="133">
        <f>'FICusto (ORÇ)'!J38</f>
        <v>0</v>
      </c>
      <c r="K38" s="344">
        <f t="shared" si="0"/>
        <v>0</v>
      </c>
      <c r="L38" s="344">
        <f t="shared" si="1"/>
        <v>0</v>
      </c>
      <c r="M38" s="343"/>
      <c r="N38" s="343"/>
      <c r="O38" s="410"/>
      <c r="P38" s="173">
        <f t="shared" si="2"/>
        <v>31</v>
      </c>
      <c r="Q38" s="1177" t="str">
        <f t="shared" si="3"/>
        <v xml:space="preserve"> </v>
      </c>
      <c r="R38" s="1177"/>
      <c r="S38" s="1177"/>
      <c r="T38" s="1177"/>
      <c r="U38" s="1178"/>
      <c r="V38" s="174">
        <f t="shared" si="4"/>
        <v>0</v>
      </c>
      <c r="W38" s="345">
        <f t="shared" si="5"/>
        <v>0</v>
      </c>
      <c r="X38" s="346">
        <f>IF(AND(K38&gt;0,'Custo Contábil'!$D$7&gt;0),ROUND(K38*('Custo Contábil'!$D$20/'Custo Contábil'!$D$7)*W38,2),0)</f>
        <v>0</v>
      </c>
      <c r="Y38" s="420">
        <f t="shared" si="6"/>
        <v>0</v>
      </c>
    </row>
    <row r="39" spans="2:25" ht="15" customHeight="1" outlineLevel="1" x14ac:dyDescent="0.25">
      <c r="B39" s="175">
        <v>32</v>
      </c>
      <c r="C39" s="1214" t="str">
        <f>IF(ISBLANK('FICusto (ORÇ)'!C39)," ",'FICusto (ORÇ)'!C39)</f>
        <v xml:space="preserve"> </v>
      </c>
      <c r="D39" s="1214"/>
      <c r="E39" s="1214"/>
      <c r="F39" s="1214"/>
      <c r="G39" s="1175"/>
      <c r="H39" s="581">
        <f>'FICusto (ORÇ)'!H39</f>
        <v>0</v>
      </c>
      <c r="I39" s="585">
        <f>'FICusto (ORÇ)'!I39</f>
        <v>0</v>
      </c>
      <c r="J39" s="133">
        <f>'FICusto (ORÇ)'!J39</f>
        <v>0</v>
      </c>
      <c r="K39" s="344">
        <f t="shared" si="0"/>
        <v>0</v>
      </c>
      <c r="L39" s="344">
        <f t="shared" si="1"/>
        <v>0</v>
      </c>
      <c r="M39" s="343"/>
      <c r="N39" s="343"/>
      <c r="O39" s="410"/>
      <c r="P39" s="173">
        <f t="shared" si="2"/>
        <v>32</v>
      </c>
      <c r="Q39" s="1177" t="str">
        <f t="shared" si="3"/>
        <v xml:space="preserve"> </v>
      </c>
      <c r="R39" s="1177"/>
      <c r="S39" s="1177"/>
      <c r="T39" s="1177"/>
      <c r="U39" s="1178"/>
      <c r="V39" s="174">
        <f t="shared" si="4"/>
        <v>0</v>
      </c>
      <c r="W39" s="345">
        <f t="shared" si="5"/>
        <v>0</v>
      </c>
      <c r="X39" s="346">
        <f>IF(AND(K39&gt;0,'Custo Contábil'!$D$7&gt;0),ROUND(K39*('Custo Contábil'!$D$20/'Custo Contábil'!$D$7)*W39,2),0)</f>
        <v>0</v>
      </c>
      <c r="Y39" s="420">
        <f t="shared" si="6"/>
        <v>0</v>
      </c>
    </row>
    <row r="40" spans="2:25" outlineLevel="1" x14ac:dyDescent="0.25">
      <c r="B40" s="173">
        <v>33</v>
      </c>
      <c r="C40" s="1214" t="str">
        <f>IF(ISBLANK('FICusto (ORÇ)'!C40)," ",'FICusto (ORÇ)'!C40)</f>
        <v xml:space="preserve"> </v>
      </c>
      <c r="D40" s="1214"/>
      <c r="E40" s="1214"/>
      <c r="F40" s="1214"/>
      <c r="G40" s="1175"/>
      <c r="H40" s="581">
        <f>'FICusto (ORÇ)'!H40</f>
        <v>0</v>
      </c>
      <c r="I40" s="585">
        <f>'FICusto (ORÇ)'!I40</f>
        <v>0</v>
      </c>
      <c r="J40" s="133">
        <f>'FICusto (ORÇ)'!J40</f>
        <v>0</v>
      </c>
      <c r="K40" s="344">
        <f t="shared" si="0"/>
        <v>0</v>
      </c>
      <c r="L40" s="344">
        <f t="shared" si="1"/>
        <v>0</v>
      </c>
      <c r="M40" s="343"/>
      <c r="N40" s="343"/>
      <c r="O40" s="410"/>
      <c r="P40" s="173">
        <f t="shared" si="2"/>
        <v>33</v>
      </c>
      <c r="Q40" s="1177" t="str">
        <f t="shared" si="3"/>
        <v xml:space="preserve"> </v>
      </c>
      <c r="R40" s="1177"/>
      <c r="S40" s="1177"/>
      <c r="T40" s="1177"/>
      <c r="U40" s="1178"/>
      <c r="V40" s="174">
        <f t="shared" si="4"/>
        <v>0</v>
      </c>
      <c r="W40" s="345">
        <f t="shared" si="5"/>
        <v>0</v>
      </c>
      <c r="X40" s="346">
        <f>IF(AND(K40&gt;0,'Custo Contábil'!$D$7&gt;0),ROUND(K40*('Custo Contábil'!$D$20/'Custo Contábil'!$D$7)*W40,2),0)</f>
        <v>0</v>
      </c>
      <c r="Y40" s="420">
        <f t="shared" si="6"/>
        <v>0</v>
      </c>
    </row>
    <row r="41" spans="2:25" outlineLevel="1" x14ac:dyDescent="0.25">
      <c r="B41" s="175">
        <v>34</v>
      </c>
      <c r="C41" s="1214" t="str">
        <f>IF(ISBLANK('FICusto (ORÇ)'!C41)," ",'FICusto (ORÇ)'!C41)</f>
        <v xml:space="preserve"> </v>
      </c>
      <c r="D41" s="1214"/>
      <c r="E41" s="1214"/>
      <c r="F41" s="1214"/>
      <c r="G41" s="1175"/>
      <c r="H41" s="581">
        <f>'FICusto (ORÇ)'!H41</f>
        <v>0</v>
      </c>
      <c r="I41" s="585">
        <f>'FICusto (ORÇ)'!I41</f>
        <v>0</v>
      </c>
      <c r="J41" s="133">
        <f>'FICusto (ORÇ)'!J41</f>
        <v>0</v>
      </c>
      <c r="K41" s="344">
        <f t="shared" si="0"/>
        <v>0</v>
      </c>
      <c r="L41" s="344">
        <f t="shared" si="1"/>
        <v>0</v>
      </c>
      <c r="M41" s="343"/>
      <c r="N41" s="343"/>
      <c r="O41" s="410"/>
      <c r="P41" s="173">
        <f t="shared" si="2"/>
        <v>34</v>
      </c>
      <c r="Q41" s="1177" t="str">
        <f t="shared" si="3"/>
        <v xml:space="preserve"> </v>
      </c>
      <c r="R41" s="1177"/>
      <c r="S41" s="1177"/>
      <c r="T41" s="1177"/>
      <c r="U41" s="1178"/>
      <c r="V41" s="174">
        <f t="shared" si="4"/>
        <v>0</v>
      </c>
      <c r="W41" s="345">
        <f t="shared" si="5"/>
        <v>0</v>
      </c>
      <c r="X41" s="346">
        <f>IF(AND(K41&gt;0,'Custo Contábil'!$D$7&gt;0),ROUND(K41*('Custo Contábil'!$D$20/'Custo Contábil'!$D$7)*W41,2),0)</f>
        <v>0</v>
      </c>
      <c r="Y41" s="420">
        <f t="shared" si="6"/>
        <v>0</v>
      </c>
    </row>
    <row r="42" spans="2:25" outlineLevel="1" x14ac:dyDescent="0.25">
      <c r="B42" s="173">
        <v>35</v>
      </c>
      <c r="C42" s="1214" t="str">
        <f>IF(ISBLANK('FICusto (ORÇ)'!C42)," ",'FICusto (ORÇ)'!C42)</f>
        <v xml:space="preserve"> </v>
      </c>
      <c r="D42" s="1214"/>
      <c r="E42" s="1214"/>
      <c r="F42" s="1214"/>
      <c r="G42" s="1175"/>
      <c r="H42" s="581">
        <f>'FICusto (ORÇ)'!H42</f>
        <v>0</v>
      </c>
      <c r="I42" s="585">
        <f>'FICusto (ORÇ)'!I42</f>
        <v>0</v>
      </c>
      <c r="J42" s="133">
        <f>'FICusto (ORÇ)'!J42</f>
        <v>0</v>
      </c>
      <c r="K42" s="344">
        <f t="shared" si="0"/>
        <v>0</v>
      </c>
      <c r="L42" s="344">
        <f t="shared" si="1"/>
        <v>0</v>
      </c>
      <c r="M42" s="343"/>
      <c r="N42" s="343"/>
      <c r="O42" s="410"/>
      <c r="P42" s="173">
        <f t="shared" si="2"/>
        <v>35</v>
      </c>
      <c r="Q42" s="1177" t="str">
        <f t="shared" si="3"/>
        <v xml:space="preserve"> </v>
      </c>
      <c r="R42" s="1177"/>
      <c r="S42" s="1177"/>
      <c r="T42" s="1177"/>
      <c r="U42" s="1178"/>
      <c r="V42" s="174">
        <f t="shared" si="4"/>
        <v>0</v>
      </c>
      <c r="W42" s="345">
        <f t="shared" si="5"/>
        <v>0</v>
      </c>
      <c r="X42" s="346">
        <f>IF(AND(K42&gt;0,'Custo Contábil'!$D$7&gt;0),ROUND(K42*('Custo Contábil'!$D$20/'Custo Contábil'!$D$7)*W42,2),0)</f>
        <v>0</v>
      </c>
      <c r="Y42" s="420">
        <f t="shared" si="6"/>
        <v>0</v>
      </c>
    </row>
    <row r="43" spans="2:25" ht="15" customHeight="1" outlineLevel="1" x14ac:dyDescent="0.25">
      <c r="B43" s="175">
        <v>36</v>
      </c>
      <c r="C43" s="1214" t="str">
        <f>IF(ISBLANK('FICusto (ORÇ)'!C43)," ",'FICusto (ORÇ)'!C43)</f>
        <v xml:space="preserve"> </v>
      </c>
      <c r="D43" s="1214"/>
      <c r="E43" s="1214"/>
      <c r="F43" s="1214"/>
      <c r="G43" s="1175"/>
      <c r="H43" s="581">
        <f>'FICusto (ORÇ)'!H43</f>
        <v>0</v>
      </c>
      <c r="I43" s="585">
        <f>'FICusto (ORÇ)'!I43</f>
        <v>0</v>
      </c>
      <c r="J43" s="133">
        <f>'FICusto (ORÇ)'!J43</f>
        <v>0</v>
      </c>
      <c r="K43" s="344">
        <f t="shared" si="0"/>
        <v>0</v>
      </c>
      <c r="L43" s="344">
        <f t="shared" si="1"/>
        <v>0</v>
      </c>
      <c r="M43" s="343"/>
      <c r="N43" s="343"/>
      <c r="O43" s="410"/>
      <c r="P43" s="173">
        <f t="shared" si="2"/>
        <v>36</v>
      </c>
      <c r="Q43" s="1177" t="str">
        <f t="shared" si="3"/>
        <v xml:space="preserve"> </v>
      </c>
      <c r="R43" s="1177"/>
      <c r="S43" s="1177"/>
      <c r="T43" s="1177"/>
      <c r="U43" s="1178"/>
      <c r="V43" s="174">
        <f t="shared" si="4"/>
        <v>0</v>
      </c>
      <c r="W43" s="345">
        <f t="shared" si="5"/>
        <v>0</v>
      </c>
      <c r="X43" s="346">
        <f>IF(AND(K43&gt;0,'Custo Contábil'!$D$7&gt;0),ROUND(K43*('Custo Contábil'!$D$20/'Custo Contábil'!$D$7)*W43,2),0)</f>
        <v>0</v>
      </c>
      <c r="Y43" s="420">
        <f t="shared" si="6"/>
        <v>0</v>
      </c>
    </row>
    <row r="44" spans="2:25" outlineLevel="1" x14ac:dyDescent="0.25">
      <c r="B44" s="173">
        <v>37</v>
      </c>
      <c r="C44" s="1214" t="str">
        <f>IF(ISBLANK('FICusto (ORÇ)'!C44)," ",'FICusto (ORÇ)'!C44)</f>
        <v xml:space="preserve"> </v>
      </c>
      <c r="D44" s="1214"/>
      <c r="E44" s="1214"/>
      <c r="F44" s="1214"/>
      <c r="G44" s="1175"/>
      <c r="H44" s="581">
        <f>'FICusto (ORÇ)'!H44</f>
        <v>0</v>
      </c>
      <c r="I44" s="585">
        <f>'FICusto (ORÇ)'!I44</f>
        <v>0</v>
      </c>
      <c r="J44" s="133">
        <f>'FICusto (ORÇ)'!J44</f>
        <v>0</v>
      </c>
      <c r="K44" s="344">
        <f t="shared" si="0"/>
        <v>0</v>
      </c>
      <c r="L44" s="344">
        <f t="shared" si="1"/>
        <v>0</v>
      </c>
      <c r="M44" s="343"/>
      <c r="N44" s="343"/>
      <c r="O44" s="410"/>
      <c r="P44" s="173">
        <f t="shared" si="2"/>
        <v>37</v>
      </c>
      <c r="Q44" s="1177" t="str">
        <f t="shared" si="3"/>
        <v xml:space="preserve"> </v>
      </c>
      <c r="R44" s="1177"/>
      <c r="S44" s="1177"/>
      <c r="T44" s="1177"/>
      <c r="U44" s="1178"/>
      <c r="V44" s="174">
        <f t="shared" si="4"/>
        <v>0</v>
      </c>
      <c r="W44" s="345">
        <f t="shared" si="5"/>
        <v>0</v>
      </c>
      <c r="X44" s="346">
        <f>IF(AND(K44&gt;0,'Custo Contábil'!$D$7&gt;0),ROUND(K44*('Custo Contábil'!$D$20/'Custo Contábil'!$D$7)*W44,2),0)</f>
        <v>0</v>
      </c>
      <c r="Y44" s="420">
        <f t="shared" si="6"/>
        <v>0</v>
      </c>
    </row>
    <row r="45" spans="2:25" outlineLevel="1" x14ac:dyDescent="0.25">
      <c r="B45" s="175">
        <v>38</v>
      </c>
      <c r="C45" s="1214" t="str">
        <f>IF(ISBLANK('FICusto (ORÇ)'!C45)," ",'FICusto (ORÇ)'!C45)</f>
        <v xml:space="preserve"> </v>
      </c>
      <c r="D45" s="1214"/>
      <c r="E45" s="1214"/>
      <c r="F45" s="1214"/>
      <c r="G45" s="1175"/>
      <c r="H45" s="581">
        <f>'FICusto (ORÇ)'!H45</f>
        <v>0</v>
      </c>
      <c r="I45" s="585">
        <f>'FICusto (ORÇ)'!I45</f>
        <v>0</v>
      </c>
      <c r="J45" s="133">
        <f>'FICusto (ORÇ)'!J45</f>
        <v>0</v>
      </c>
      <c r="K45" s="344">
        <f t="shared" si="0"/>
        <v>0</v>
      </c>
      <c r="L45" s="344">
        <f t="shared" si="1"/>
        <v>0</v>
      </c>
      <c r="M45" s="343"/>
      <c r="N45" s="343"/>
      <c r="O45" s="410"/>
      <c r="P45" s="173">
        <f t="shared" si="2"/>
        <v>38</v>
      </c>
      <c r="Q45" s="1177" t="str">
        <f t="shared" si="3"/>
        <v xml:space="preserve"> </v>
      </c>
      <c r="R45" s="1177"/>
      <c r="S45" s="1177"/>
      <c r="T45" s="1177"/>
      <c r="U45" s="1178"/>
      <c r="V45" s="174">
        <f t="shared" si="4"/>
        <v>0</v>
      </c>
      <c r="W45" s="345">
        <f t="shared" si="5"/>
        <v>0</v>
      </c>
      <c r="X45" s="346">
        <f>IF(AND(K45&gt;0,'Custo Contábil'!$D$7&gt;0),ROUND(K45*('Custo Contábil'!$D$20/'Custo Contábil'!$D$7)*W45,2),0)</f>
        <v>0</v>
      </c>
      <c r="Y45" s="420">
        <f t="shared" si="6"/>
        <v>0</v>
      </c>
    </row>
    <row r="46" spans="2:25" outlineLevel="1" x14ac:dyDescent="0.25">
      <c r="B46" s="173">
        <v>39</v>
      </c>
      <c r="C46" s="1214" t="str">
        <f>IF(ISBLANK('FICusto (ORÇ)'!C46)," ",'FICusto (ORÇ)'!C46)</f>
        <v xml:space="preserve"> </v>
      </c>
      <c r="D46" s="1214"/>
      <c r="E46" s="1214"/>
      <c r="F46" s="1214"/>
      <c r="G46" s="1175"/>
      <c r="H46" s="581">
        <f>'FICusto (ORÇ)'!H46</f>
        <v>0</v>
      </c>
      <c r="I46" s="585">
        <f>'FICusto (ORÇ)'!I46</f>
        <v>0</v>
      </c>
      <c r="J46" s="133">
        <f>'FICusto (ORÇ)'!J46</f>
        <v>0</v>
      </c>
      <c r="K46" s="344">
        <f t="shared" si="0"/>
        <v>0</v>
      </c>
      <c r="L46" s="344">
        <f t="shared" si="1"/>
        <v>0</v>
      </c>
      <c r="M46" s="343"/>
      <c r="N46" s="343"/>
      <c r="O46" s="410"/>
      <c r="P46" s="173">
        <f t="shared" si="2"/>
        <v>39</v>
      </c>
      <c r="Q46" s="1177" t="str">
        <f t="shared" si="3"/>
        <v xml:space="preserve"> </v>
      </c>
      <c r="R46" s="1177"/>
      <c r="S46" s="1177"/>
      <c r="T46" s="1177"/>
      <c r="U46" s="1178"/>
      <c r="V46" s="174">
        <f t="shared" si="4"/>
        <v>0</v>
      </c>
      <c r="W46" s="345">
        <f t="shared" si="5"/>
        <v>0</v>
      </c>
      <c r="X46" s="346">
        <f>IF(AND(K46&gt;0,'Custo Contábil'!$D$7&gt;0),ROUND(K46*('Custo Contábil'!$D$20/'Custo Contábil'!$D$7)*W46,2),0)</f>
        <v>0</v>
      </c>
      <c r="Y46" s="420">
        <f t="shared" si="6"/>
        <v>0</v>
      </c>
    </row>
    <row r="47" spans="2:25" ht="15" customHeight="1" outlineLevel="1" x14ac:dyDescent="0.25">
      <c r="B47" s="175">
        <v>40</v>
      </c>
      <c r="C47" s="1214" t="str">
        <f>IF(ISBLANK('FICusto (ORÇ)'!C47)," ",'FICusto (ORÇ)'!C47)</f>
        <v xml:space="preserve"> </v>
      </c>
      <c r="D47" s="1214"/>
      <c r="E47" s="1214"/>
      <c r="F47" s="1214"/>
      <c r="G47" s="1175"/>
      <c r="H47" s="581">
        <f>'FICusto (ORÇ)'!H47</f>
        <v>0</v>
      </c>
      <c r="I47" s="585">
        <f>'FICusto (ORÇ)'!I47</f>
        <v>0</v>
      </c>
      <c r="J47" s="133">
        <f>'FICusto (ORÇ)'!J47</f>
        <v>0</v>
      </c>
      <c r="K47" s="344">
        <f t="shared" si="0"/>
        <v>0</v>
      </c>
      <c r="L47" s="344">
        <f t="shared" si="1"/>
        <v>0</v>
      </c>
      <c r="M47" s="343"/>
      <c r="N47" s="343"/>
      <c r="O47" s="410"/>
      <c r="P47" s="173">
        <f t="shared" si="2"/>
        <v>40</v>
      </c>
      <c r="Q47" s="1177" t="str">
        <f t="shared" si="3"/>
        <v xml:space="preserve"> </v>
      </c>
      <c r="R47" s="1177"/>
      <c r="S47" s="1177"/>
      <c r="T47" s="1177"/>
      <c r="U47" s="1178"/>
      <c r="V47" s="174">
        <f t="shared" si="4"/>
        <v>0</v>
      </c>
      <c r="W47" s="345">
        <f t="shared" si="5"/>
        <v>0</v>
      </c>
      <c r="X47" s="346">
        <f>IF(AND(K47&gt;0,'Custo Contábil'!$D$7&gt;0),ROUND(K47*('Custo Contábil'!$D$20/'Custo Contábil'!$D$7)*W47,2),0)</f>
        <v>0</v>
      </c>
      <c r="Y47" s="420">
        <f t="shared" si="6"/>
        <v>0</v>
      </c>
    </row>
    <row r="48" spans="2:25" x14ac:dyDescent="0.25">
      <c r="B48" s="173"/>
      <c r="C48" s="1214" t="str">
        <f>IF(ISBLANK('FICusto (ORÇ)'!C48)," ",'FICusto (ORÇ)'!C48)</f>
        <v>Acessórios</v>
      </c>
      <c r="D48" s="1214"/>
      <c r="E48" s="1214"/>
      <c r="F48" s="1214"/>
      <c r="G48" s="1175"/>
      <c r="H48" s="581">
        <f>'FICusto (ORÇ)'!H48</f>
        <v>0</v>
      </c>
      <c r="I48" s="585">
        <f>'FICusto (ORÇ)'!I48</f>
        <v>0</v>
      </c>
      <c r="J48" s="133">
        <f>'FICusto (ORÇ)'!J48</f>
        <v>0</v>
      </c>
      <c r="K48" s="344">
        <f t="shared" si="0"/>
        <v>0</v>
      </c>
      <c r="L48" s="344">
        <f t="shared" si="1"/>
        <v>0</v>
      </c>
      <c r="M48" s="343"/>
      <c r="N48" s="343"/>
      <c r="O48" s="410"/>
      <c r="P48" s="173"/>
      <c r="Q48" s="1177" t="str">
        <f>IF(OR(C48=0,C48=""),"",C48)</f>
        <v>Acessórios</v>
      </c>
      <c r="R48" s="1177"/>
      <c r="S48" s="1177"/>
      <c r="T48" s="1177"/>
      <c r="U48" s="1178"/>
      <c r="V48" s="174">
        <f>IF(H48="",0,H48)</f>
        <v>0</v>
      </c>
      <c r="W48" s="345">
        <f t="shared" si="5"/>
        <v>0</v>
      </c>
      <c r="X48" s="346">
        <f>IF(AND(K48&gt;0,'Custo Contábil'!$D$7&gt;0),ROUND(K48*('Custo Contábil'!$D$20/'Custo Contábil'!$D$7)*W48,2),0)</f>
        <v>0</v>
      </c>
      <c r="Y48" s="420">
        <f t="shared" si="6"/>
        <v>0</v>
      </c>
    </row>
    <row r="49" spans="2:24" ht="18" x14ac:dyDescent="0.25">
      <c r="B49" s="337"/>
      <c r="C49" s="1186" t="s">
        <v>972</v>
      </c>
      <c r="D49" s="1186"/>
      <c r="E49" s="1186"/>
      <c r="F49" s="1186"/>
      <c r="G49" s="1186"/>
      <c r="H49" s="1186"/>
      <c r="I49" s="1186"/>
      <c r="J49" s="1187"/>
      <c r="K49" s="178">
        <f>SUM(K8:K48)</f>
        <v>88049.59</v>
      </c>
      <c r="L49" s="178">
        <f>SUM(L8:L48)</f>
        <v>88049.59</v>
      </c>
      <c r="M49" s="178">
        <f>SUM(M8:M48)</f>
        <v>0</v>
      </c>
      <c r="N49" s="178">
        <f>SUM(N8:N48)</f>
        <v>0</v>
      </c>
      <c r="O49" s="410"/>
      <c r="P49" s="1170" t="s">
        <v>982</v>
      </c>
      <c r="Q49" s="1171"/>
      <c r="R49" s="1171"/>
      <c r="S49" s="1171"/>
      <c r="T49" s="1171"/>
      <c r="U49" s="1171"/>
      <c r="V49" s="1172"/>
      <c r="W49" s="179" t="s">
        <v>984</v>
      </c>
      <c r="X49" s="180">
        <f>SUM(X8:X48)</f>
        <v>19728.420000000002</v>
      </c>
    </row>
    <row r="50" spans="2:24" ht="18" x14ac:dyDescent="0.25">
      <c r="B50" s="1161" t="s">
        <v>292</v>
      </c>
      <c r="C50" s="1162"/>
      <c r="D50" s="1162"/>
      <c r="E50" s="1162"/>
      <c r="F50" s="1162"/>
      <c r="G50" s="1162"/>
      <c r="H50" s="1162"/>
      <c r="I50" s="1162"/>
      <c r="J50" s="1162"/>
      <c r="K50" s="1162"/>
      <c r="L50" s="1162"/>
      <c r="M50" s="1162"/>
      <c r="N50" s="1163"/>
      <c r="O50" s="410"/>
      <c r="P50" s="1170" t="s">
        <v>983</v>
      </c>
      <c r="Q50" s="1171"/>
      <c r="R50" s="1171"/>
      <c r="S50" s="1171"/>
      <c r="T50" s="1171"/>
      <c r="U50" s="1171"/>
      <c r="V50" s="1172"/>
      <c r="W50" s="179" t="s">
        <v>985</v>
      </c>
      <c r="X50" s="180">
        <f>IFERROR(X49*($L$86/$K$86),0)</f>
        <v>19728.420000000002</v>
      </c>
    </row>
    <row r="51" spans="2:24" ht="15" customHeight="1" x14ac:dyDescent="0.25">
      <c r="B51" s="1169" t="s">
        <v>798</v>
      </c>
      <c r="C51" s="1166"/>
      <c r="D51" s="1166"/>
      <c r="E51" s="1166"/>
      <c r="F51" s="1166"/>
      <c r="G51" s="1166"/>
      <c r="H51" s="330"/>
      <c r="I51" s="330"/>
      <c r="J51" s="331"/>
      <c r="K51" s="172" t="s">
        <v>286</v>
      </c>
      <c r="L51" s="328" t="s">
        <v>796</v>
      </c>
      <c r="M51" s="127" t="s">
        <v>240</v>
      </c>
      <c r="N51" s="127" t="s">
        <v>241</v>
      </c>
      <c r="O51" s="410"/>
      <c r="P51" s="411"/>
      <c r="Q51" s="411"/>
      <c r="R51" s="412"/>
      <c r="S51" s="413"/>
      <c r="T51" s="413"/>
      <c r="U51" s="413"/>
      <c r="V51" s="414"/>
    </row>
    <row r="52" spans="2:24" ht="15" customHeight="1" x14ac:dyDescent="0.35">
      <c r="B52" s="181"/>
      <c r="C52" s="1174" t="s">
        <v>293</v>
      </c>
      <c r="D52" s="1174"/>
      <c r="E52" s="1174"/>
      <c r="F52" s="1174"/>
      <c r="G52" s="1174"/>
      <c r="H52" s="330"/>
      <c r="I52" s="330"/>
      <c r="J52" s="331"/>
      <c r="K52" s="344">
        <f>SUM(L52:N52)</f>
        <v>3590.5988345817864</v>
      </c>
      <c r="L52" s="344">
        <f>'Custo Contábil'!K39</f>
        <v>3590.5988345817864</v>
      </c>
      <c r="M52" s="344">
        <v>0</v>
      </c>
      <c r="N52" s="344">
        <v>0</v>
      </c>
      <c r="O52" s="410"/>
      <c r="P52" s="586" t="s">
        <v>986</v>
      </c>
      <c r="Q52" s="339"/>
      <c r="R52" s="184">
        <f>RCB!G12</f>
        <v>0.57908182086301141</v>
      </c>
      <c r="T52" s="1212" t="s">
        <v>709</v>
      </c>
      <c r="U52" s="1213"/>
      <c r="V52" s="340">
        <f>IFERROR(SUM(Y8:Y48)/X49,0)</f>
        <v>17.68963251998893</v>
      </c>
    </row>
    <row r="53" spans="2:24" ht="18" x14ac:dyDescent="0.35">
      <c r="B53" s="181"/>
      <c r="C53" s="1174" t="s">
        <v>176</v>
      </c>
      <c r="D53" s="1174"/>
      <c r="E53" s="1174"/>
      <c r="F53" s="1174"/>
      <c r="G53" s="1174"/>
      <c r="H53" s="330"/>
      <c r="I53" s="330"/>
      <c r="J53" s="331"/>
      <c r="K53" s="344">
        <f>SUM(L53:N53)</f>
        <v>5985.5881131289698</v>
      </c>
      <c r="L53" s="344">
        <f>Diagnóstico!M20</f>
        <v>5985.5881131289698</v>
      </c>
      <c r="M53" s="344">
        <f>Diagnóstico!N20</f>
        <v>0</v>
      </c>
      <c r="N53" s="344">
        <f>Diagnóstico!O20</f>
        <v>0</v>
      </c>
      <c r="O53" s="410"/>
      <c r="P53" s="586" t="s">
        <v>987</v>
      </c>
      <c r="Q53" s="339"/>
      <c r="R53" s="184">
        <f>RCB!J12</f>
        <v>0.57908182086301141</v>
      </c>
    </row>
    <row r="54" spans="2:24" ht="15" customHeight="1" x14ac:dyDescent="0.25">
      <c r="B54" s="332"/>
      <c r="C54" s="1150" t="s">
        <v>294</v>
      </c>
      <c r="D54" s="1150"/>
      <c r="E54" s="1150"/>
      <c r="F54" s="1150"/>
      <c r="G54" s="1151"/>
      <c r="H54" s="127" t="s">
        <v>16</v>
      </c>
      <c r="I54" s="560" t="s">
        <v>295</v>
      </c>
      <c r="J54" s="560" t="s">
        <v>296</v>
      </c>
      <c r="K54" s="172" t="s">
        <v>286</v>
      </c>
      <c r="L54" s="328" t="s">
        <v>796</v>
      </c>
      <c r="M54" s="127" t="s">
        <v>240</v>
      </c>
      <c r="N54" s="127" t="s">
        <v>241</v>
      </c>
      <c r="O54" s="410"/>
    </row>
    <row r="55" spans="2:24" ht="15" customHeight="1" x14ac:dyDescent="0.25">
      <c r="B55" s="173">
        <v>1</v>
      </c>
      <c r="C55" s="1214" t="str">
        <f>IF(ISBLANK('FICusto (ORÇ)'!C60)," ",'FICusto (ORÇ)'!C60)</f>
        <v>Projeto executivo</v>
      </c>
      <c r="D55" s="1214"/>
      <c r="E55" s="1214"/>
      <c r="F55" s="1214"/>
      <c r="G55" s="1175"/>
      <c r="H55" s="581">
        <f>'FICusto (ORÇ)'!H60</f>
        <v>1</v>
      </c>
      <c r="I55" s="585">
        <f>'FICusto (ORÇ)'!I60</f>
        <v>20</v>
      </c>
      <c r="J55" s="133">
        <f>'FICusto (ORÇ)'!J60</f>
        <v>140</v>
      </c>
      <c r="K55" s="344">
        <f>H55*I55*J55</f>
        <v>2800</v>
      </c>
      <c r="L55" s="344">
        <f>K55-M55-N55</f>
        <v>2800</v>
      </c>
      <c r="M55" s="343"/>
      <c r="N55" s="343"/>
      <c r="O55" s="410"/>
    </row>
    <row r="56" spans="2:24" ht="15" customHeight="1" x14ac:dyDescent="0.25">
      <c r="B56" s="175">
        <v>2</v>
      </c>
      <c r="C56" s="1214" t="str">
        <f>IF(ISBLANK('FICusto (ORÇ)'!C61)," ",'FICusto (ORÇ)'!C61)</f>
        <v>instalação</v>
      </c>
      <c r="D56" s="1214"/>
      <c r="E56" s="1214"/>
      <c r="F56" s="1214"/>
      <c r="G56" s="1175"/>
      <c r="H56" s="581">
        <f>'FICusto (ORÇ)'!H61</f>
        <v>4</v>
      </c>
      <c r="I56" s="585">
        <f>'FICusto (ORÇ)'!I61</f>
        <v>78.12</v>
      </c>
      <c r="J56" s="133">
        <f>'FICusto (ORÇ)'!J61</f>
        <v>130</v>
      </c>
      <c r="K56" s="344">
        <f>H56*I56*J56</f>
        <v>40622.400000000001</v>
      </c>
      <c r="L56" s="344">
        <f>K56-M56-N56</f>
        <v>40622.400000000001</v>
      </c>
      <c r="M56" s="343"/>
      <c r="N56" s="343"/>
      <c r="O56" s="410"/>
    </row>
    <row r="57" spans="2:24" ht="15" customHeight="1" x14ac:dyDescent="0.25">
      <c r="B57" s="173">
        <v>3</v>
      </c>
      <c r="C57" s="1214" t="str">
        <f>IF(ISBLANK('FICusto (ORÇ)'!C62)," ",'FICusto (ORÇ)'!C62)</f>
        <v xml:space="preserve"> </v>
      </c>
      <c r="D57" s="1214"/>
      <c r="E57" s="1214"/>
      <c r="F57" s="1214"/>
      <c r="G57" s="1175"/>
      <c r="H57" s="581">
        <f>'FICusto (ORÇ)'!H62</f>
        <v>0</v>
      </c>
      <c r="I57" s="585">
        <f>'FICusto (ORÇ)'!I62</f>
        <v>0</v>
      </c>
      <c r="J57" s="133">
        <f>'FICusto (ORÇ)'!J62</f>
        <v>0</v>
      </c>
      <c r="K57" s="344">
        <f>H57*I57*J57</f>
        <v>0</v>
      </c>
      <c r="L57" s="344">
        <f>K57-M57-N57</f>
        <v>0</v>
      </c>
      <c r="M57" s="343"/>
      <c r="N57" s="343"/>
      <c r="O57" s="410"/>
    </row>
    <row r="58" spans="2:24" x14ac:dyDescent="0.25">
      <c r="B58" s="175">
        <v>4</v>
      </c>
      <c r="C58" s="1214" t="str">
        <f>IF(ISBLANK('FICusto (ORÇ)'!C63)," ",'FICusto (ORÇ)'!C63)</f>
        <v xml:space="preserve"> </v>
      </c>
      <c r="D58" s="1214"/>
      <c r="E58" s="1214"/>
      <c r="F58" s="1214"/>
      <c r="G58" s="1175"/>
      <c r="H58" s="581">
        <f>'FICusto (ORÇ)'!H63</f>
        <v>0</v>
      </c>
      <c r="I58" s="585">
        <f>'FICusto (ORÇ)'!I63</f>
        <v>0</v>
      </c>
      <c r="J58" s="133">
        <f>'FICusto (ORÇ)'!J63</f>
        <v>0</v>
      </c>
      <c r="K58" s="344">
        <f>H58*I58*J58</f>
        <v>0</v>
      </c>
      <c r="L58" s="344">
        <f>K58-M58-N58</f>
        <v>0</v>
      </c>
      <c r="M58" s="343"/>
      <c r="N58" s="343"/>
      <c r="O58" s="410"/>
    </row>
    <row r="59" spans="2:24" x14ac:dyDescent="0.25">
      <c r="B59" s="173">
        <v>5</v>
      </c>
      <c r="C59" s="1214" t="str">
        <f>IF(ISBLANK('FICusto (ORÇ)'!C64)," ",'FICusto (ORÇ)'!C64)</f>
        <v xml:space="preserve"> </v>
      </c>
      <c r="D59" s="1214"/>
      <c r="E59" s="1214"/>
      <c r="F59" s="1214"/>
      <c r="G59" s="1175"/>
      <c r="H59" s="581">
        <f>'FICusto (ORÇ)'!H64</f>
        <v>0</v>
      </c>
      <c r="I59" s="585">
        <f>'FICusto (ORÇ)'!I64</f>
        <v>0</v>
      </c>
      <c r="J59" s="133">
        <f>'FICusto (ORÇ)'!J64</f>
        <v>0</v>
      </c>
      <c r="K59" s="344">
        <f>H59*I59*J59</f>
        <v>0</v>
      </c>
      <c r="L59" s="344">
        <f>K59-M59-N59</f>
        <v>0</v>
      </c>
      <c r="M59" s="343"/>
      <c r="N59" s="343"/>
      <c r="O59" s="410"/>
    </row>
    <row r="60" spans="2:24" x14ac:dyDescent="0.25">
      <c r="B60" s="181"/>
      <c r="C60" s="1184" t="s">
        <v>973</v>
      </c>
      <c r="D60" s="1184"/>
      <c r="E60" s="1184"/>
      <c r="F60" s="1184"/>
      <c r="G60" s="1184"/>
      <c r="H60" s="1184"/>
      <c r="I60" s="1184"/>
      <c r="J60" s="1185"/>
      <c r="K60" s="344">
        <f>SUM(K55:K59)</f>
        <v>43422.400000000001</v>
      </c>
      <c r="L60" s="344">
        <f>SUM(L55:L59)</f>
        <v>43422.400000000001</v>
      </c>
      <c r="M60" s="344">
        <f>SUM(M55:M59)</f>
        <v>0</v>
      </c>
      <c r="N60" s="344">
        <f>SUM(N55:N59)</f>
        <v>0</v>
      </c>
      <c r="O60" s="410"/>
    </row>
    <row r="61" spans="2:24" ht="15" customHeight="1" x14ac:dyDescent="0.25">
      <c r="B61" s="337"/>
      <c r="C61" s="1186" t="s">
        <v>974</v>
      </c>
      <c r="D61" s="1186"/>
      <c r="E61" s="1186"/>
      <c r="F61" s="1186"/>
      <c r="G61" s="1186"/>
      <c r="H61" s="1186"/>
      <c r="I61" s="1186"/>
      <c r="J61" s="1187"/>
      <c r="K61" s="178">
        <f>SUM(K60,K52:K53)</f>
        <v>52998.586947710763</v>
      </c>
      <c r="L61" s="293">
        <f>SUM(L60,L52:L53)</f>
        <v>52998.586947710763</v>
      </c>
      <c r="M61" s="293">
        <f>SUM(M60,M52:M53)</f>
        <v>0</v>
      </c>
      <c r="N61" s="293">
        <f>SUM(N60,N52:N53)</f>
        <v>0</v>
      </c>
      <c r="O61" s="410"/>
    </row>
    <row r="62" spans="2:24" x14ac:dyDescent="0.25">
      <c r="B62" s="1161" t="s">
        <v>300</v>
      </c>
      <c r="C62" s="1162"/>
      <c r="D62" s="1162"/>
      <c r="E62" s="1162"/>
      <c r="F62" s="1162"/>
      <c r="G62" s="1162"/>
      <c r="H62" s="1162"/>
      <c r="I62" s="1162"/>
      <c r="J62" s="1162"/>
      <c r="K62" s="1162"/>
      <c r="L62" s="1162"/>
      <c r="M62" s="1162"/>
      <c r="N62" s="1163"/>
      <c r="O62" s="410"/>
    </row>
    <row r="63" spans="2:24" x14ac:dyDescent="0.25">
      <c r="B63" s="1169" t="s">
        <v>798</v>
      </c>
      <c r="C63" s="1166"/>
      <c r="D63" s="1166"/>
      <c r="E63" s="1166"/>
      <c r="F63" s="1166"/>
      <c r="G63" s="1166"/>
      <c r="H63" s="330"/>
      <c r="I63" s="330"/>
      <c r="J63" s="331"/>
      <c r="K63" s="172" t="s">
        <v>286</v>
      </c>
      <c r="L63" s="328" t="s">
        <v>796</v>
      </c>
      <c r="M63" s="127" t="s">
        <v>240</v>
      </c>
      <c r="N63" s="127" t="s">
        <v>241</v>
      </c>
      <c r="O63" s="410"/>
      <c r="P63" s="415"/>
    </row>
    <row r="64" spans="2:24" x14ac:dyDescent="0.25">
      <c r="B64" s="181"/>
      <c r="C64" s="1174" t="s">
        <v>9</v>
      </c>
      <c r="D64" s="1174"/>
      <c r="E64" s="1174"/>
      <c r="F64" s="1174"/>
      <c r="G64" s="1174"/>
      <c r="H64" s="1174"/>
      <c r="I64" s="1174"/>
      <c r="J64" s="1183"/>
      <c r="K64" s="344">
        <f>SUM(L64:N64)</f>
        <v>897.64970864544659</v>
      </c>
      <c r="L64" s="347">
        <f>'Custo Contábil'!K41</f>
        <v>897.64970864544659</v>
      </c>
      <c r="M64" s="344">
        <v>0</v>
      </c>
      <c r="N64" s="344">
        <v>0</v>
      </c>
      <c r="O64" s="410"/>
    </row>
    <row r="65" spans="2:16" x14ac:dyDescent="0.25">
      <c r="B65" s="332"/>
      <c r="C65" s="1166" t="s">
        <v>178</v>
      </c>
      <c r="D65" s="1166"/>
      <c r="E65" s="1166"/>
      <c r="F65" s="1166"/>
      <c r="G65" s="1166"/>
      <c r="H65" s="1167"/>
      <c r="I65" s="560" t="s">
        <v>16</v>
      </c>
      <c r="J65" s="560" t="s">
        <v>301</v>
      </c>
      <c r="K65" s="172" t="s">
        <v>286</v>
      </c>
      <c r="L65" s="328" t="s">
        <v>796</v>
      </c>
      <c r="M65" s="127" t="s">
        <v>240</v>
      </c>
      <c r="N65" s="127" t="s">
        <v>241</v>
      </c>
      <c r="O65" s="410"/>
    </row>
    <row r="66" spans="2:16" x14ac:dyDescent="0.25">
      <c r="B66" s="186">
        <v>1</v>
      </c>
      <c r="C66" s="1174" t="str">
        <f>IF(ISBLANK('FICusto (ORÇ)'!C76)," ",'FICusto (ORÇ)'!C76)</f>
        <v xml:space="preserve"> </v>
      </c>
      <c r="D66" s="1174"/>
      <c r="E66" s="1174"/>
      <c r="F66" s="1174"/>
      <c r="G66" s="1174"/>
      <c r="H66" s="1183"/>
      <c r="I66" s="585">
        <f>'FICusto (ORÇ)'!I76</f>
        <v>0</v>
      </c>
      <c r="J66" s="133">
        <f>'FICusto (ORÇ)'!J76</f>
        <v>0</v>
      </c>
      <c r="K66" s="344">
        <f>I66*J66</f>
        <v>0</v>
      </c>
      <c r="L66" s="344">
        <f>K66-M66-N66</f>
        <v>0</v>
      </c>
      <c r="M66" s="343"/>
      <c r="N66" s="343"/>
      <c r="O66" s="410"/>
    </row>
    <row r="67" spans="2:16" x14ac:dyDescent="0.25">
      <c r="B67" s="186">
        <v>2</v>
      </c>
      <c r="C67" s="1174" t="str">
        <f>IF(ISBLANK('FICusto (ORÇ)'!C77)," ",'FICusto (ORÇ)'!C77)</f>
        <v xml:space="preserve"> </v>
      </c>
      <c r="D67" s="1174"/>
      <c r="E67" s="1174"/>
      <c r="F67" s="1174"/>
      <c r="G67" s="1174"/>
      <c r="H67" s="1183"/>
      <c r="I67" s="585">
        <f>'FICusto (ORÇ)'!I77</f>
        <v>0</v>
      </c>
      <c r="J67" s="133">
        <f>'FICusto (ORÇ)'!J77</f>
        <v>0</v>
      </c>
      <c r="K67" s="344">
        <f>I67*J67</f>
        <v>0</v>
      </c>
      <c r="L67" s="344">
        <f>K67-M67-N67</f>
        <v>0</v>
      </c>
      <c r="M67" s="343"/>
      <c r="N67" s="343"/>
      <c r="O67" s="410"/>
    </row>
    <row r="68" spans="2:16" x14ac:dyDescent="0.25">
      <c r="B68" s="186">
        <v>3</v>
      </c>
      <c r="C68" s="1174" t="str">
        <f>IF(ISBLANK('FICusto (ORÇ)'!C78)," ",'FICusto (ORÇ)'!C78)</f>
        <v xml:space="preserve"> </v>
      </c>
      <c r="D68" s="1174"/>
      <c r="E68" s="1174"/>
      <c r="F68" s="1174"/>
      <c r="G68" s="1174"/>
      <c r="H68" s="1183"/>
      <c r="I68" s="585">
        <f>'FICusto (ORÇ)'!I78</f>
        <v>0</v>
      </c>
      <c r="J68" s="133">
        <f>'FICusto (ORÇ)'!J78</f>
        <v>0</v>
      </c>
      <c r="K68" s="344">
        <f>I68*J68</f>
        <v>0</v>
      </c>
      <c r="L68" s="344">
        <f>K68-M68-N68</f>
        <v>0</v>
      </c>
      <c r="M68" s="343"/>
      <c r="N68" s="343"/>
      <c r="O68" s="410"/>
    </row>
    <row r="69" spans="2:16" x14ac:dyDescent="0.25">
      <c r="B69" s="181"/>
      <c r="C69" s="1184" t="s">
        <v>975</v>
      </c>
      <c r="D69" s="1184"/>
      <c r="E69" s="1184"/>
      <c r="F69" s="1184"/>
      <c r="G69" s="1184"/>
      <c r="H69" s="1184"/>
      <c r="I69" s="1184"/>
      <c r="J69" s="1185"/>
      <c r="K69" s="344">
        <f>SUM(K66:K68)</f>
        <v>0</v>
      </c>
      <c r="L69" s="344">
        <f>SUM(L66:L68)</f>
        <v>0</v>
      </c>
      <c r="M69" s="344">
        <f>SUM(M66:M68)</f>
        <v>0</v>
      </c>
      <c r="N69" s="344">
        <f>SUM(N66:N68)</f>
        <v>0</v>
      </c>
    </row>
    <row r="70" spans="2:16" x14ac:dyDescent="0.25">
      <c r="B70" s="337"/>
      <c r="C70" s="1186" t="s">
        <v>976</v>
      </c>
      <c r="D70" s="1186"/>
      <c r="E70" s="1186"/>
      <c r="F70" s="1186"/>
      <c r="G70" s="1186"/>
      <c r="H70" s="1186"/>
      <c r="I70" s="1186"/>
      <c r="J70" s="1187"/>
      <c r="K70" s="178">
        <f>SUM(K64,K69)</f>
        <v>897.64970864544659</v>
      </c>
      <c r="L70" s="178">
        <f>SUM(L64,L69)</f>
        <v>897.64970864544659</v>
      </c>
      <c r="M70" s="178">
        <f>SUM(M64,M69)</f>
        <v>0</v>
      </c>
      <c r="N70" s="178">
        <f>SUM(N64,N69)</f>
        <v>0</v>
      </c>
      <c r="O70" s="410"/>
    </row>
    <row r="71" spans="2:16" x14ac:dyDescent="0.25">
      <c r="B71" s="341"/>
      <c r="C71" s="1179" t="s">
        <v>977</v>
      </c>
      <c r="D71" s="1179"/>
      <c r="E71" s="1179"/>
      <c r="F71" s="1179"/>
      <c r="G71" s="1179"/>
      <c r="H71" s="1179"/>
      <c r="I71" s="1179"/>
      <c r="J71" s="1180"/>
      <c r="K71" s="139">
        <f>SUM(K49,K61,K70)</f>
        <v>141945.82665635619</v>
      </c>
      <c r="L71" s="139">
        <f>SUM(L49,L61,L70)</f>
        <v>141945.82665635619</v>
      </c>
      <c r="M71" s="139">
        <f>SUM(M49,M61,M70)</f>
        <v>0</v>
      </c>
      <c r="N71" s="139">
        <f>SUM(N49,N61,N70)</f>
        <v>0</v>
      </c>
      <c r="O71" s="410"/>
    </row>
    <row r="72" spans="2:16" x14ac:dyDescent="0.25">
      <c r="B72" s="1159" t="s">
        <v>707</v>
      </c>
      <c r="C72" s="1160"/>
      <c r="D72" s="1160"/>
      <c r="E72" s="1160"/>
      <c r="F72" s="1160"/>
      <c r="G72" s="1160"/>
      <c r="H72" s="1160"/>
      <c r="I72" s="1160"/>
      <c r="J72" s="1160"/>
      <c r="K72" s="1160"/>
      <c r="L72" s="1160"/>
      <c r="M72" s="1160"/>
      <c r="N72" s="1168"/>
      <c r="O72" s="410"/>
    </row>
    <row r="73" spans="2:16" x14ac:dyDescent="0.25">
      <c r="B73" s="1169" t="s">
        <v>798</v>
      </c>
      <c r="C73" s="1166"/>
      <c r="D73" s="1166"/>
      <c r="E73" s="1166"/>
      <c r="F73" s="1166"/>
      <c r="G73" s="1166"/>
      <c r="H73" s="330"/>
      <c r="I73" s="330"/>
      <c r="J73" s="331"/>
      <c r="K73" s="172" t="s">
        <v>286</v>
      </c>
      <c r="L73" s="328" t="s">
        <v>796</v>
      </c>
      <c r="M73" s="127" t="s">
        <v>240</v>
      </c>
      <c r="N73" s="127" t="s">
        <v>241</v>
      </c>
      <c r="O73" s="410"/>
    </row>
    <row r="74" spans="2:16" x14ac:dyDescent="0.25">
      <c r="B74" s="181"/>
      <c r="C74" s="1174" t="s">
        <v>304</v>
      </c>
      <c r="D74" s="1174"/>
      <c r="E74" s="1174"/>
      <c r="F74" s="1174"/>
      <c r="G74" s="1174"/>
      <c r="H74" s="1174"/>
      <c r="I74" s="1174"/>
      <c r="J74" s="1183"/>
      <c r="K74" s="344">
        <f t="shared" ref="K74:K79" si="7">SUM(L74:N74)</f>
        <v>0</v>
      </c>
      <c r="L74" s="344">
        <f>'Custo Contábil'!$K$37*'Custo Contábil'!F13</f>
        <v>0</v>
      </c>
      <c r="M74" s="344">
        <v>0</v>
      </c>
      <c r="N74" s="344">
        <v>0</v>
      </c>
      <c r="O74" s="410"/>
    </row>
    <row r="75" spans="2:16" x14ac:dyDescent="0.25">
      <c r="B75" s="181"/>
      <c r="C75" s="1174" t="s">
        <v>12</v>
      </c>
      <c r="D75" s="1174"/>
      <c r="E75" s="1174"/>
      <c r="F75" s="1174"/>
      <c r="G75" s="1174"/>
      <c r="H75" s="1174"/>
      <c r="I75" s="1174"/>
      <c r="J75" s="1183"/>
      <c r="K75" s="344">
        <f t="shared" si="7"/>
        <v>4488.2934261614946</v>
      </c>
      <c r="L75" s="344">
        <f>'Custo Contábil'!K45</f>
        <v>4488.2934261614946</v>
      </c>
      <c r="M75" s="344">
        <v>0</v>
      </c>
      <c r="N75" s="344">
        <v>0</v>
      </c>
      <c r="O75" s="410"/>
    </row>
    <row r="76" spans="2:16" x14ac:dyDescent="0.25">
      <c r="B76" s="181"/>
      <c r="C76" s="1174" t="s">
        <v>175</v>
      </c>
      <c r="D76" s="1174"/>
      <c r="E76" s="1174"/>
      <c r="F76" s="1174"/>
      <c r="G76" s="1174"/>
      <c r="H76" s="1174"/>
      <c r="I76" s="1174"/>
      <c r="J76" s="1183"/>
      <c r="K76" s="344">
        <f t="shared" si="7"/>
        <v>4488.2934261614946</v>
      </c>
      <c r="L76" s="344">
        <f>Marketing!L25</f>
        <v>4488.2934261614946</v>
      </c>
      <c r="M76" s="344">
        <f>Marketing!M25</f>
        <v>0</v>
      </c>
      <c r="N76" s="344">
        <f>Marketing!N25</f>
        <v>0</v>
      </c>
      <c r="O76" s="410"/>
    </row>
    <row r="77" spans="2:16" x14ac:dyDescent="0.25">
      <c r="B77" s="181"/>
      <c r="C77" s="1174" t="s">
        <v>305</v>
      </c>
      <c r="D77" s="1174"/>
      <c r="E77" s="1174"/>
      <c r="F77" s="1174"/>
      <c r="G77" s="1174"/>
      <c r="H77" s="1174"/>
      <c r="I77" s="1174"/>
      <c r="J77" s="1183"/>
      <c r="K77" s="344">
        <f t="shared" si="7"/>
        <v>8975.689193637756</v>
      </c>
      <c r="L77" s="344">
        <f>Treinamento!L39</f>
        <v>8975.689193637756</v>
      </c>
      <c r="M77" s="344">
        <f>Treinamento!M39</f>
        <v>0</v>
      </c>
      <c r="N77" s="344">
        <f>Treinamento!N39</f>
        <v>0</v>
      </c>
      <c r="O77" s="410"/>
      <c r="P77" s="415"/>
    </row>
    <row r="78" spans="2:16" x14ac:dyDescent="0.25">
      <c r="B78" s="181"/>
      <c r="C78" s="1174" t="s">
        <v>306</v>
      </c>
      <c r="D78" s="1174"/>
      <c r="E78" s="1174"/>
      <c r="F78" s="1174"/>
      <c r="G78" s="1174"/>
      <c r="H78" s="1174"/>
      <c r="I78" s="1174"/>
      <c r="J78" s="1183"/>
      <c r="K78" s="344">
        <f t="shared" si="7"/>
        <v>0</v>
      </c>
      <c r="L78" s="344">
        <v>0</v>
      </c>
      <c r="M78" s="344">
        <v>0</v>
      </c>
      <c r="N78" s="344">
        <v>0</v>
      </c>
      <c r="O78" s="410"/>
    </row>
    <row r="79" spans="2:16" x14ac:dyDescent="0.25">
      <c r="B79" s="181"/>
      <c r="C79" s="1174" t="s">
        <v>307</v>
      </c>
      <c r="D79" s="1174"/>
      <c r="E79" s="1174"/>
      <c r="F79" s="1174"/>
      <c r="G79" s="1174"/>
      <c r="H79" s="1174"/>
      <c r="I79" s="1174"/>
      <c r="J79" s="1183"/>
      <c r="K79" s="344">
        <f t="shared" si="7"/>
        <v>2500</v>
      </c>
      <c r="L79" s="344">
        <f>'M&amp;V'!N466</f>
        <v>2500</v>
      </c>
      <c r="M79" s="344">
        <f>'M&amp;V'!O466</f>
        <v>0</v>
      </c>
      <c r="N79" s="344">
        <f>'M&amp;V'!P466</f>
        <v>0</v>
      </c>
      <c r="O79" s="410"/>
    </row>
    <row r="80" spans="2:16" x14ac:dyDescent="0.25">
      <c r="B80" s="1169" t="s">
        <v>15</v>
      </c>
      <c r="C80" s="1166"/>
      <c r="D80" s="1166"/>
      <c r="E80" s="1166"/>
      <c r="F80" s="1166"/>
      <c r="G80" s="1166"/>
      <c r="H80" s="1167"/>
      <c r="I80" s="560" t="s">
        <v>16</v>
      </c>
      <c r="J80" s="560" t="s">
        <v>301</v>
      </c>
      <c r="K80" s="172" t="s">
        <v>286</v>
      </c>
      <c r="L80" s="560" t="s">
        <v>796</v>
      </c>
      <c r="M80" s="127" t="s">
        <v>240</v>
      </c>
      <c r="N80" s="127" t="s">
        <v>241</v>
      </c>
      <c r="O80" s="410"/>
    </row>
    <row r="81" spans="2:15" x14ac:dyDescent="0.25">
      <c r="B81" s="186">
        <v>1</v>
      </c>
      <c r="C81" s="1174" t="str">
        <f>IF(ISBLANK('FICusto (ORÇ)'!C90)," ",'FICusto (ORÇ)'!C90)</f>
        <v>Equatorial</v>
      </c>
      <c r="D81" s="1174"/>
      <c r="E81" s="1174"/>
      <c r="F81" s="1174"/>
      <c r="G81" s="1174"/>
      <c r="H81" s="1183"/>
      <c r="I81" s="585">
        <f>'FICusto (ORÇ)'!I90</f>
        <v>1</v>
      </c>
      <c r="J81" s="133">
        <f>'FICusto (ORÇ)'!J90</f>
        <v>4831.3999999999996</v>
      </c>
      <c r="K81" s="344">
        <f>I81*J81</f>
        <v>4831.3999999999996</v>
      </c>
      <c r="L81" s="344">
        <f>K81-M81-N81</f>
        <v>4831.3999999999996</v>
      </c>
      <c r="M81" s="343"/>
      <c r="N81" s="343"/>
      <c r="O81" s="410"/>
    </row>
    <row r="82" spans="2:15" x14ac:dyDescent="0.25">
      <c r="B82" s="186">
        <v>2</v>
      </c>
      <c r="C82" s="1174" t="str">
        <f>IF(ISBLANK('FICusto (ORÇ)'!C91)," ",'FICusto (ORÇ)'!C91)</f>
        <v xml:space="preserve"> </v>
      </c>
      <c r="D82" s="1174"/>
      <c r="E82" s="1174"/>
      <c r="F82" s="1174"/>
      <c r="G82" s="1174"/>
      <c r="H82" s="1183"/>
      <c r="I82" s="585">
        <f>'FICusto (ORÇ)'!I91</f>
        <v>0</v>
      </c>
      <c r="J82" s="133">
        <f>'FICusto (ORÇ)'!J91</f>
        <v>0</v>
      </c>
      <c r="K82" s="344">
        <f>I82*J82</f>
        <v>0</v>
      </c>
      <c r="L82" s="344">
        <f>K82-M82-N82</f>
        <v>0</v>
      </c>
      <c r="M82" s="343"/>
      <c r="N82" s="343"/>
    </row>
    <row r="83" spans="2:15" x14ac:dyDescent="0.25">
      <c r="B83" s="186">
        <v>3</v>
      </c>
      <c r="C83" s="1174" t="str">
        <f>IF(ISBLANK('FICusto (ORÇ)'!C92)," ",'FICusto (ORÇ)'!C92)</f>
        <v xml:space="preserve"> </v>
      </c>
      <c r="D83" s="1174"/>
      <c r="E83" s="1174"/>
      <c r="F83" s="1174"/>
      <c r="G83" s="1174"/>
      <c r="H83" s="1183"/>
      <c r="I83" s="585">
        <f>'FICusto (ORÇ)'!I92</f>
        <v>0</v>
      </c>
      <c r="J83" s="133">
        <f>'FICusto (ORÇ)'!J92</f>
        <v>0</v>
      </c>
      <c r="K83" s="344">
        <f>I83*J83</f>
        <v>0</v>
      </c>
      <c r="L83" s="344">
        <f>K83-M83-N83</f>
        <v>0</v>
      </c>
      <c r="M83" s="343"/>
      <c r="N83" s="343"/>
      <c r="O83" s="410"/>
    </row>
    <row r="84" spans="2:15" x14ac:dyDescent="0.25">
      <c r="B84" s="181"/>
      <c r="C84" s="1184" t="s">
        <v>978</v>
      </c>
      <c r="D84" s="1184"/>
      <c r="E84" s="1184"/>
      <c r="F84" s="1184"/>
      <c r="G84" s="1184"/>
      <c r="H84" s="1184"/>
      <c r="I84" s="1184"/>
      <c r="J84" s="1185"/>
      <c r="K84" s="344">
        <f>SUM(K81:K83)</f>
        <v>4831.3999999999996</v>
      </c>
      <c r="L84" s="344">
        <f>SUM(L81:L83)</f>
        <v>4831.3999999999996</v>
      </c>
      <c r="M84" s="344">
        <f>SUM(M81:M83)</f>
        <v>0</v>
      </c>
      <c r="N84" s="344">
        <f>SUM(N81:N83)</f>
        <v>0</v>
      </c>
    </row>
    <row r="85" spans="2:15" x14ac:dyDescent="0.25">
      <c r="B85" s="341"/>
      <c r="C85" s="1179" t="s">
        <v>979</v>
      </c>
      <c r="D85" s="1179"/>
      <c r="E85" s="1179"/>
      <c r="F85" s="1179"/>
      <c r="G85" s="1179"/>
      <c r="H85" s="1179"/>
      <c r="I85" s="1179"/>
      <c r="J85" s="1180"/>
      <c r="K85" s="139">
        <f>SUM(K74:K79,K84)</f>
        <v>25283.676045960747</v>
      </c>
      <c r="L85" s="294">
        <f>SUM(L74:L79,L84)</f>
        <v>25283.676045960747</v>
      </c>
      <c r="M85" s="294">
        <f>SUM(M74:M79,M84)</f>
        <v>0</v>
      </c>
      <c r="N85" s="294">
        <f>SUM(N74:N79,N84)</f>
        <v>0</v>
      </c>
    </row>
    <row r="86" spans="2:15" x14ac:dyDescent="0.25">
      <c r="B86" s="187"/>
      <c r="C86" s="1181" t="s">
        <v>980</v>
      </c>
      <c r="D86" s="1181"/>
      <c r="E86" s="1181"/>
      <c r="F86" s="1181"/>
      <c r="G86" s="1181"/>
      <c r="H86" s="1181"/>
      <c r="I86" s="1181"/>
      <c r="J86" s="1182"/>
      <c r="K86" s="180">
        <f>SUM(K71,K85)</f>
        <v>167229.50270231694</v>
      </c>
      <c r="L86" s="180">
        <f>SUM(L71,L85)</f>
        <v>167229.50270231694</v>
      </c>
      <c r="M86" s="180">
        <f>SUM(M71,M85)</f>
        <v>0</v>
      </c>
      <c r="N86" s="180">
        <f>SUM(N71,N85)</f>
        <v>0</v>
      </c>
    </row>
    <row r="87" spans="2:15" x14ac:dyDescent="0.25">
      <c r="B87" s="410"/>
      <c r="C87" s="410"/>
      <c r="D87" s="410"/>
      <c r="E87" s="410"/>
      <c r="F87" s="410"/>
      <c r="G87" s="410"/>
      <c r="H87" s="410"/>
      <c r="I87" s="421"/>
      <c r="J87" s="410"/>
      <c r="K87" s="422"/>
      <c r="L87" s="410"/>
      <c r="M87" s="410"/>
      <c r="N87" s="410"/>
    </row>
  </sheetData>
  <sheetProtection algorithmName="SHA-512" hashValue="TeOUrepqiZdo71/bi93KWp6J1RIbYQ/UYUMrn99zt0X5+BkUt8g52Qc/bntadBz16S3PwTJIPyiSF4OrdQCvhQ==" saltValue="wMtGejTN/S+oB59hSO1jfA==" spinCount="100000" sheet="1" objects="1" scenarios="1"/>
  <mergeCells count="133">
    <mergeCell ref="C86:J86"/>
    <mergeCell ref="B80:H80"/>
    <mergeCell ref="C81:H81"/>
    <mergeCell ref="C82:H82"/>
    <mergeCell ref="C83:H83"/>
    <mergeCell ref="C84:J84"/>
    <mergeCell ref="C85:J85"/>
    <mergeCell ref="C74:J74"/>
    <mergeCell ref="C75:J75"/>
    <mergeCell ref="C76:J76"/>
    <mergeCell ref="C77:J77"/>
    <mergeCell ref="C78:J78"/>
    <mergeCell ref="C79:J79"/>
    <mergeCell ref="C68:H68"/>
    <mergeCell ref="C69:J69"/>
    <mergeCell ref="C70:J70"/>
    <mergeCell ref="C71:J71"/>
    <mergeCell ref="B72:N72"/>
    <mergeCell ref="B73:G73"/>
    <mergeCell ref="B62:N62"/>
    <mergeCell ref="B63:G63"/>
    <mergeCell ref="C64:J64"/>
    <mergeCell ref="C65:H65"/>
    <mergeCell ref="C66:H66"/>
    <mergeCell ref="C67:H67"/>
    <mergeCell ref="C56:G56"/>
    <mergeCell ref="C57:G57"/>
    <mergeCell ref="C58:G58"/>
    <mergeCell ref="C59:G59"/>
    <mergeCell ref="C60:J60"/>
    <mergeCell ref="C61:J61"/>
    <mergeCell ref="B51:G51"/>
    <mergeCell ref="C52:G52"/>
    <mergeCell ref="T52:U52"/>
    <mergeCell ref="C53:G53"/>
    <mergeCell ref="C54:G54"/>
    <mergeCell ref="C55:G55"/>
    <mergeCell ref="C48:G48"/>
    <mergeCell ref="Q48:U48"/>
    <mergeCell ref="C49:J49"/>
    <mergeCell ref="P49:V49"/>
    <mergeCell ref="B50:N50"/>
    <mergeCell ref="P50:V50"/>
    <mergeCell ref="C45:G45"/>
    <mergeCell ref="Q45:U45"/>
    <mergeCell ref="C46:G46"/>
    <mergeCell ref="Q46:U46"/>
    <mergeCell ref="C47:G47"/>
    <mergeCell ref="Q47:U47"/>
    <mergeCell ref="C42:G42"/>
    <mergeCell ref="Q42:U42"/>
    <mergeCell ref="C43:G43"/>
    <mergeCell ref="Q43:U43"/>
    <mergeCell ref="C44:G44"/>
    <mergeCell ref="Q44:U44"/>
    <mergeCell ref="C39:G39"/>
    <mergeCell ref="Q39:U39"/>
    <mergeCell ref="C40:G40"/>
    <mergeCell ref="Q40:U40"/>
    <mergeCell ref="C41:G41"/>
    <mergeCell ref="Q41:U41"/>
    <mergeCell ref="C36:G36"/>
    <mergeCell ref="Q36:U36"/>
    <mergeCell ref="C37:G37"/>
    <mergeCell ref="Q37:U37"/>
    <mergeCell ref="C38:G38"/>
    <mergeCell ref="Q38:U38"/>
    <mergeCell ref="C33:G33"/>
    <mergeCell ref="Q33:U33"/>
    <mergeCell ref="C34:G34"/>
    <mergeCell ref="Q34:U34"/>
    <mergeCell ref="C35:G35"/>
    <mergeCell ref="Q35:U35"/>
    <mergeCell ref="C30:G30"/>
    <mergeCell ref="Q30:U30"/>
    <mergeCell ref="C31:G31"/>
    <mergeCell ref="Q31:U31"/>
    <mergeCell ref="C32:G32"/>
    <mergeCell ref="Q32:U32"/>
    <mergeCell ref="C27:G27"/>
    <mergeCell ref="Q27:U27"/>
    <mergeCell ref="C28:G28"/>
    <mergeCell ref="Q28:U28"/>
    <mergeCell ref="C29:G29"/>
    <mergeCell ref="Q29:U29"/>
    <mergeCell ref="C24:G24"/>
    <mergeCell ref="Q24:U24"/>
    <mergeCell ref="C25:G25"/>
    <mergeCell ref="Q25:U25"/>
    <mergeCell ref="C26:G26"/>
    <mergeCell ref="Q26:U26"/>
    <mergeCell ref="C21:G21"/>
    <mergeCell ref="Q21:U21"/>
    <mergeCell ref="C22:G22"/>
    <mergeCell ref="Q22:U22"/>
    <mergeCell ref="C23:G23"/>
    <mergeCell ref="Q23:U23"/>
    <mergeCell ref="C18:G18"/>
    <mergeCell ref="Q18:U18"/>
    <mergeCell ref="C19:G19"/>
    <mergeCell ref="Q19:U19"/>
    <mergeCell ref="C20:G20"/>
    <mergeCell ref="Q20:U20"/>
    <mergeCell ref="C15:G15"/>
    <mergeCell ref="Q15:U15"/>
    <mergeCell ref="C16:G16"/>
    <mergeCell ref="Q16:U16"/>
    <mergeCell ref="C17:G17"/>
    <mergeCell ref="Q17:U17"/>
    <mergeCell ref="C12:G12"/>
    <mergeCell ref="Q12:U12"/>
    <mergeCell ref="C13:G13"/>
    <mergeCell ref="Q13:U13"/>
    <mergeCell ref="C14:G14"/>
    <mergeCell ref="Q14:U14"/>
    <mergeCell ref="C9:G9"/>
    <mergeCell ref="Q9:U9"/>
    <mergeCell ref="C10:G10"/>
    <mergeCell ref="Q10:U10"/>
    <mergeCell ref="C11:G11"/>
    <mergeCell ref="Q11:U11"/>
    <mergeCell ref="B6:N6"/>
    <mergeCell ref="P6:X6"/>
    <mergeCell ref="B7:G7"/>
    <mergeCell ref="P7:U7"/>
    <mergeCell ref="C8:G8"/>
    <mergeCell ref="Q8:U8"/>
    <mergeCell ref="B2:N2"/>
    <mergeCell ref="P2:X2"/>
    <mergeCell ref="B3:K4"/>
    <mergeCell ref="L3:N3"/>
    <mergeCell ref="P3:X4"/>
    <mergeCell ref="B5:N5"/>
  </mergeCells>
  <conditionalFormatting sqref="R29:R30 R88:R89">
    <cfRule type="cellIs" dxfId="20" priority="4" operator="lessThan">
      <formula>0</formula>
    </cfRule>
  </conditionalFormatting>
  <conditionalFormatting sqref="R29:R30 R88:R89">
    <cfRule type="cellIs" dxfId="19" priority="3" operator="lessThan">
      <formula>0</formula>
    </cfRule>
  </conditionalFormatting>
  <conditionalFormatting sqref="R31:R32">
    <cfRule type="cellIs" dxfId="18" priority="2" operator="lessThan">
      <formula>0</formula>
    </cfRule>
  </conditionalFormatting>
  <conditionalFormatting sqref="R52:R53">
    <cfRule type="cellIs" dxfId="17" priority="1" operator="lessThan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/>
  </sheetPr>
  <dimension ref="B2:BE46"/>
  <sheetViews>
    <sheetView showGridLines="0" zoomScale="90" zoomScaleNormal="90" workbookViewId="0">
      <pane ySplit="3" topLeftCell="A15" activePane="bottomLeft" state="frozen"/>
      <selection activeCell="H20" sqref="H20"/>
      <selection pane="bottomLeft" activeCell="H31" sqref="H31"/>
    </sheetView>
  </sheetViews>
  <sheetFormatPr defaultColWidth="9.140625" defaultRowHeight="15" x14ac:dyDescent="0.2"/>
  <cols>
    <col min="1" max="1" width="3.42578125" style="424" customWidth="1"/>
    <col min="2" max="2" width="3.42578125" style="423" customWidth="1"/>
    <col min="3" max="3" width="44.42578125" style="424" customWidth="1"/>
    <col min="4" max="4" width="18.42578125" style="424" customWidth="1"/>
    <col min="5" max="5" width="9.85546875" style="425" bestFit="1" customWidth="1"/>
    <col min="6" max="6" width="8.42578125" style="426" customWidth="1"/>
    <col min="7" max="7" width="12.42578125" style="424" customWidth="1"/>
    <col min="8" max="27" width="11.42578125" style="424" customWidth="1"/>
    <col min="28" max="16384" width="9.140625" style="424"/>
  </cols>
  <sheetData>
    <row r="2" spans="2:27" ht="22.5" customHeight="1" x14ac:dyDescent="0.2">
      <c r="B2" s="1190" t="s">
        <v>981</v>
      </c>
      <c r="C2" s="1190"/>
      <c r="D2" s="1190"/>
      <c r="E2" s="1190"/>
      <c r="F2" s="1190"/>
      <c r="G2" s="1190"/>
    </row>
    <row r="3" spans="2:27" x14ac:dyDescent="0.2">
      <c r="B3" s="1191" t="s">
        <v>993</v>
      </c>
      <c r="C3" s="1192"/>
      <c r="D3" s="1192"/>
      <c r="E3" s="1192"/>
      <c r="F3" s="1192"/>
      <c r="G3" s="565" t="s">
        <v>31</v>
      </c>
      <c r="H3" s="428" t="s">
        <v>998</v>
      </c>
      <c r="I3" s="428" t="s">
        <v>999</v>
      </c>
      <c r="J3" s="428" t="s">
        <v>1000</v>
      </c>
      <c r="K3" s="428" t="s">
        <v>1001</v>
      </c>
      <c r="L3" s="428" t="s">
        <v>1002</v>
      </c>
      <c r="M3" s="428" t="s">
        <v>1003</v>
      </c>
      <c r="N3" s="428" t="s">
        <v>1004</v>
      </c>
      <c r="O3" s="428" t="s">
        <v>1005</v>
      </c>
      <c r="P3" s="428" t="s">
        <v>1006</v>
      </c>
      <c r="Q3" s="428" t="s">
        <v>1007</v>
      </c>
      <c r="R3" s="428" t="s">
        <v>1008</v>
      </c>
      <c r="S3" s="428" t="s">
        <v>1009</v>
      </c>
      <c r="T3" s="428" t="s">
        <v>1010</v>
      </c>
      <c r="U3" s="428" t="s">
        <v>1011</v>
      </c>
      <c r="V3" s="428" t="s">
        <v>1012</v>
      </c>
      <c r="W3" s="428" t="s">
        <v>1013</v>
      </c>
      <c r="X3" s="428" t="s">
        <v>1014</v>
      </c>
      <c r="Y3" s="428" t="s">
        <v>1015</v>
      </c>
      <c r="Z3" s="428" t="s">
        <v>1016</v>
      </c>
      <c r="AA3" s="428" t="s">
        <v>1017</v>
      </c>
    </row>
    <row r="4" spans="2:27" x14ac:dyDescent="0.2">
      <c r="B4" s="1191" t="s">
        <v>864</v>
      </c>
      <c r="C4" s="1192"/>
      <c r="D4" s="1192"/>
      <c r="E4" s="1192"/>
      <c r="F4" s="1200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</row>
    <row r="5" spans="2:27" s="423" customFormat="1" x14ac:dyDescent="0.2">
      <c r="B5" s="189"/>
      <c r="C5" s="190"/>
      <c r="D5" s="190"/>
      <c r="E5" s="190"/>
      <c r="F5" s="191"/>
      <c r="G5" s="192" t="s">
        <v>31</v>
      </c>
      <c r="H5" s="193" t="str">
        <f>H3</f>
        <v>fonte 1</v>
      </c>
      <c r="I5" s="193" t="str">
        <f t="shared" ref="I5:AA5" si="0">I3</f>
        <v>fonte 2</v>
      </c>
      <c r="J5" s="193" t="str">
        <f t="shared" si="0"/>
        <v>fonte 3</v>
      </c>
      <c r="K5" s="193" t="str">
        <f t="shared" si="0"/>
        <v>fonte 4</v>
      </c>
      <c r="L5" s="193" t="str">
        <f t="shared" si="0"/>
        <v>fonte 5</v>
      </c>
      <c r="M5" s="193" t="str">
        <f t="shared" si="0"/>
        <v>fonte 6</v>
      </c>
      <c r="N5" s="193" t="str">
        <f t="shared" si="0"/>
        <v>fonte 7</v>
      </c>
      <c r="O5" s="193" t="str">
        <f t="shared" si="0"/>
        <v>fonte 8</v>
      </c>
      <c r="P5" s="193" t="str">
        <f t="shared" si="0"/>
        <v>fonte 9</v>
      </c>
      <c r="Q5" s="193" t="str">
        <f t="shared" si="0"/>
        <v>fonte 10</v>
      </c>
      <c r="R5" s="193" t="str">
        <f t="shared" si="0"/>
        <v>fonte 11</v>
      </c>
      <c r="S5" s="193" t="str">
        <f t="shared" si="0"/>
        <v>fonte 12</v>
      </c>
      <c r="T5" s="193" t="str">
        <f t="shared" si="0"/>
        <v>fonte 13</v>
      </c>
      <c r="U5" s="193" t="str">
        <f t="shared" si="0"/>
        <v>fonte 14</v>
      </c>
      <c r="V5" s="193" t="str">
        <f t="shared" si="0"/>
        <v>fonte 15</v>
      </c>
      <c r="W5" s="193" t="str">
        <f t="shared" si="0"/>
        <v>fonte 16</v>
      </c>
      <c r="X5" s="193" t="str">
        <f t="shared" si="0"/>
        <v>fonte 17</v>
      </c>
      <c r="Y5" s="193" t="str">
        <f t="shared" si="0"/>
        <v>fonte 18</v>
      </c>
      <c r="Z5" s="193" t="str">
        <f t="shared" si="0"/>
        <v>fonte 19</v>
      </c>
      <c r="AA5" s="193" t="str">
        <f t="shared" si="0"/>
        <v>fonte 20</v>
      </c>
    </row>
    <row r="6" spans="2:27" ht="30" x14ac:dyDescent="0.2">
      <c r="B6" s="189">
        <v>1</v>
      </c>
      <c r="C6" s="194" t="s">
        <v>359</v>
      </c>
      <c r="D6" s="194"/>
      <c r="E6" s="195"/>
      <c r="F6" s="196"/>
      <c r="G6" s="197"/>
      <c r="H6" s="803" t="s">
        <v>1386</v>
      </c>
      <c r="I6" s="736"/>
      <c r="J6" s="736"/>
      <c r="K6" s="736"/>
      <c r="L6" s="736"/>
      <c r="M6" s="736"/>
      <c r="N6" s="736"/>
      <c r="O6" s="736"/>
      <c r="P6" s="736"/>
      <c r="Q6" s="736"/>
      <c r="R6" s="736"/>
      <c r="S6" s="736"/>
      <c r="T6" s="736"/>
      <c r="U6" s="736"/>
      <c r="V6" s="736"/>
      <c r="W6" s="736"/>
      <c r="X6" s="736"/>
      <c r="Y6" s="736"/>
      <c r="Z6" s="736"/>
      <c r="AA6" s="736"/>
    </row>
    <row r="7" spans="2:27" ht="18" x14ac:dyDescent="0.2">
      <c r="B7" s="189">
        <f>B6+1</f>
        <v>2</v>
      </c>
      <c r="C7" s="590" t="s">
        <v>991</v>
      </c>
      <c r="D7" s="194"/>
      <c r="E7" s="199" t="s">
        <v>362</v>
      </c>
      <c r="F7" s="200" t="s">
        <v>407</v>
      </c>
      <c r="G7" s="568">
        <f>SUM(H7:AA7)</f>
        <v>33480</v>
      </c>
      <c r="H7" s="764">
        <v>33480</v>
      </c>
      <c r="I7" s="764"/>
      <c r="J7" s="764"/>
      <c r="K7" s="764"/>
      <c r="L7" s="764"/>
      <c r="M7" s="764"/>
      <c r="N7" s="764"/>
      <c r="O7" s="764"/>
      <c r="P7" s="764"/>
      <c r="Q7" s="764"/>
      <c r="R7" s="764"/>
      <c r="S7" s="764"/>
      <c r="T7" s="764"/>
      <c r="U7" s="764"/>
      <c r="V7" s="764"/>
      <c r="W7" s="764"/>
      <c r="X7" s="764"/>
      <c r="Y7" s="764"/>
      <c r="Z7" s="764"/>
      <c r="AA7" s="764"/>
    </row>
    <row r="8" spans="2:27" ht="18" x14ac:dyDescent="0.2">
      <c r="B8" s="189">
        <f>B7+1</f>
        <v>3</v>
      </c>
      <c r="C8" s="194" t="s">
        <v>16</v>
      </c>
      <c r="D8" s="194"/>
      <c r="E8" s="199"/>
      <c r="F8" s="200" t="s">
        <v>406</v>
      </c>
      <c r="G8" s="202">
        <f>SUM(H8:AA8)</f>
        <v>1</v>
      </c>
      <c r="H8" s="739">
        <v>1</v>
      </c>
      <c r="I8" s="739"/>
      <c r="J8" s="739"/>
      <c r="K8" s="739"/>
      <c r="L8" s="739"/>
      <c r="M8" s="739"/>
      <c r="N8" s="739"/>
      <c r="O8" s="739"/>
      <c r="P8" s="739"/>
      <c r="Q8" s="739"/>
      <c r="R8" s="739"/>
      <c r="S8" s="739"/>
      <c r="T8" s="739"/>
      <c r="U8" s="739"/>
      <c r="V8" s="739"/>
      <c r="W8" s="739"/>
      <c r="X8" s="739"/>
      <c r="Y8" s="739"/>
      <c r="Z8" s="739"/>
      <c r="AA8" s="739"/>
    </row>
    <row r="9" spans="2:27" ht="18" x14ac:dyDescent="0.2">
      <c r="B9" s="564">
        <f>B8+1</f>
        <v>4</v>
      </c>
      <c r="C9" s="590" t="s">
        <v>992</v>
      </c>
      <c r="D9" s="194"/>
      <c r="E9" s="199" t="s">
        <v>369</v>
      </c>
      <c r="F9" s="200" t="s">
        <v>391</v>
      </c>
      <c r="G9" s="568">
        <f>SUM(H9:AA9)</f>
        <v>33.480000000000004</v>
      </c>
      <c r="H9" s="203">
        <f>H7*H8*0.001</f>
        <v>33.480000000000004</v>
      </c>
      <c r="I9" s="203">
        <f t="shared" ref="I9:AA9" si="1">I7*I8*0.001</f>
        <v>0</v>
      </c>
      <c r="J9" s="203">
        <f t="shared" si="1"/>
        <v>0</v>
      </c>
      <c r="K9" s="203">
        <f t="shared" si="1"/>
        <v>0</v>
      </c>
      <c r="L9" s="203">
        <f t="shared" si="1"/>
        <v>0</v>
      </c>
      <c r="M9" s="203">
        <f t="shared" si="1"/>
        <v>0</v>
      </c>
      <c r="N9" s="203">
        <f t="shared" si="1"/>
        <v>0</v>
      </c>
      <c r="O9" s="203">
        <f t="shared" si="1"/>
        <v>0</v>
      </c>
      <c r="P9" s="203">
        <f t="shared" si="1"/>
        <v>0</v>
      </c>
      <c r="Q9" s="203">
        <f t="shared" si="1"/>
        <v>0</v>
      </c>
      <c r="R9" s="203">
        <f t="shared" si="1"/>
        <v>0</v>
      </c>
      <c r="S9" s="203">
        <f t="shared" si="1"/>
        <v>0</v>
      </c>
      <c r="T9" s="203">
        <f t="shared" si="1"/>
        <v>0</v>
      </c>
      <c r="U9" s="203">
        <f t="shared" si="1"/>
        <v>0</v>
      </c>
      <c r="V9" s="203">
        <f t="shared" si="1"/>
        <v>0</v>
      </c>
      <c r="W9" s="203">
        <f t="shared" si="1"/>
        <v>0</v>
      </c>
      <c r="X9" s="203">
        <f t="shared" si="1"/>
        <v>0</v>
      </c>
      <c r="Y9" s="203">
        <f t="shared" si="1"/>
        <v>0</v>
      </c>
      <c r="Z9" s="203">
        <f t="shared" si="1"/>
        <v>0</v>
      </c>
      <c r="AA9" s="203">
        <f t="shared" si="1"/>
        <v>0</v>
      </c>
    </row>
    <row r="10" spans="2:27" x14ac:dyDescent="0.2">
      <c r="B10" s="1195">
        <f>B9+1</f>
        <v>5</v>
      </c>
      <c r="C10" s="590" t="s">
        <v>1018</v>
      </c>
      <c r="D10" s="194"/>
      <c r="E10" s="199" t="s">
        <v>372</v>
      </c>
      <c r="F10" s="200"/>
      <c r="G10" s="204"/>
      <c r="H10" s="740">
        <v>5.54</v>
      </c>
      <c r="I10" s="740"/>
      <c r="J10" s="740"/>
      <c r="K10" s="740"/>
      <c r="L10" s="740"/>
      <c r="M10" s="740"/>
      <c r="N10" s="740"/>
      <c r="O10" s="740"/>
      <c r="P10" s="740"/>
      <c r="Q10" s="740"/>
      <c r="R10" s="740"/>
      <c r="S10" s="740"/>
      <c r="T10" s="740"/>
      <c r="U10" s="740"/>
      <c r="V10" s="740"/>
      <c r="W10" s="740"/>
      <c r="X10" s="740"/>
      <c r="Y10" s="740"/>
      <c r="Z10" s="740"/>
      <c r="AA10" s="740"/>
    </row>
    <row r="11" spans="2:27" x14ac:dyDescent="0.2">
      <c r="B11" s="1196"/>
      <c r="C11" s="592" t="s">
        <v>1019</v>
      </c>
      <c r="D11" s="205"/>
      <c r="E11" s="567" t="s">
        <v>374</v>
      </c>
      <c r="F11" s="200"/>
      <c r="G11" s="204"/>
      <c r="H11" s="741">
        <f>7*52</f>
        <v>364</v>
      </c>
      <c r="I11" s="741"/>
      <c r="J11" s="741"/>
      <c r="K11" s="741"/>
      <c r="L11" s="741"/>
      <c r="M11" s="741"/>
      <c r="N11" s="741"/>
      <c r="O11" s="741"/>
      <c r="P11" s="741"/>
      <c r="Q11" s="741"/>
      <c r="R11" s="741"/>
      <c r="S11" s="741"/>
      <c r="T11" s="741"/>
      <c r="U11" s="741"/>
      <c r="V11" s="741"/>
      <c r="W11" s="741"/>
      <c r="X11" s="741"/>
      <c r="Y11" s="741"/>
      <c r="Z11" s="741"/>
      <c r="AA11" s="741"/>
    </row>
    <row r="12" spans="2:27" ht="18" x14ac:dyDescent="0.2">
      <c r="B12" s="1197"/>
      <c r="C12" s="194" t="s">
        <v>375</v>
      </c>
      <c r="D12" s="194"/>
      <c r="E12" s="199" t="s">
        <v>376</v>
      </c>
      <c r="F12" s="200" t="s">
        <v>392</v>
      </c>
      <c r="G12" s="204"/>
      <c r="H12" s="207">
        <f>H10*H11</f>
        <v>2016.56</v>
      </c>
      <c r="I12" s="207">
        <f t="shared" ref="I12:AA12" si="2">I10*I11</f>
        <v>0</v>
      </c>
      <c r="J12" s="207">
        <f t="shared" si="2"/>
        <v>0</v>
      </c>
      <c r="K12" s="207">
        <f t="shared" si="2"/>
        <v>0</v>
      </c>
      <c r="L12" s="207">
        <f t="shared" si="2"/>
        <v>0</v>
      </c>
      <c r="M12" s="207">
        <f t="shared" si="2"/>
        <v>0</v>
      </c>
      <c r="N12" s="207">
        <f t="shared" si="2"/>
        <v>0</v>
      </c>
      <c r="O12" s="207">
        <f t="shared" si="2"/>
        <v>0</v>
      </c>
      <c r="P12" s="207">
        <f t="shared" si="2"/>
        <v>0</v>
      </c>
      <c r="Q12" s="207">
        <f t="shared" si="2"/>
        <v>0</v>
      </c>
      <c r="R12" s="207">
        <f t="shared" si="2"/>
        <v>0</v>
      </c>
      <c r="S12" s="207">
        <f t="shared" si="2"/>
        <v>0</v>
      </c>
      <c r="T12" s="207">
        <f t="shared" si="2"/>
        <v>0</v>
      </c>
      <c r="U12" s="207">
        <f t="shared" si="2"/>
        <v>0</v>
      </c>
      <c r="V12" s="207">
        <f t="shared" si="2"/>
        <v>0</v>
      </c>
      <c r="W12" s="207">
        <f t="shared" si="2"/>
        <v>0</v>
      </c>
      <c r="X12" s="207">
        <f t="shared" si="2"/>
        <v>0</v>
      </c>
      <c r="Y12" s="207">
        <f t="shared" si="2"/>
        <v>0</v>
      </c>
      <c r="Z12" s="207">
        <f t="shared" si="2"/>
        <v>0</v>
      </c>
      <c r="AA12" s="207">
        <f t="shared" si="2"/>
        <v>0</v>
      </c>
    </row>
    <row r="13" spans="2:27" x14ac:dyDescent="0.2">
      <c r="B13" s="1195">
        <f>B10+1</f>
        <v>6</v>
      </c>
      <c r="C13" s="590" t="s">
        <v>995</v>
      </c>
      <c r="D13" s="194"/>
      <c r="E13" s="199" t="s">
        <v>279</v>
      </c>
      <c r="F13" s="200" t="s">
        <v>697</v>
      </c>
      <c r="G13" s="299">
        <v>12</v>
      </c>
      <c r="H13" s="739">
        <v>0</v>
      </c>
      <c r="I13" s="739"/>
      <c r="J13" s="739"/>
      <c r="K13" s="739"/>
      <c r="L13" s="739"/>
      <c r="M13" s="739"/>
      <c r="N13" s="739"/>
      <c r="O13" s="739"/>
      <c r="P13" s="739"/>
      <c r="Q13" s="739"/>
      <c r="R13" s="739"/>
      <c r="S13" s="739"/>
      <c r="T13" s="739"/>
      <c r="U13" s="739"/>
      <c r="V13" s="739"/>
      <c r="W13" s="739"/>
      <c r="X13" s="739"/>
      <c r="Y13" s="739"/>
      <c r="Z13" s="739"/>
      <c r="AA13" s="739"/>
    </row>
    <row r="14" spans="2:27" x14ac:dyDescent="0.2">
      <c r="B14" s="1196"/>
      <c r="C14" s="590" t="s">
        <v>996</v>
      </c>
      <c r="D14" s="194"/>
      <c r="E14" s="195" t="s">
        <v>700</v>
      </c>
      <c r="F14" s="200" t="s">
        <v>698</v>
      </c>
      <c r="G14" s="299">
        <v>22</v>
      </c>
      <c r="H14" s="739">
        <v>0</v>
      </c>
      <c r="I14" s="739"/>
      <c r="J14" s="739"/>
      <c r="K14" s="739"/>
      <c r="L14" s="739"/>
      <c r="M14" s="739"/>
      <c r="N14" s="739"/>
      <c r="O14" s="739"/>
      <c r="P14" s="739"/>
      <c r="Q14" s="739"/>
      <c r="R14" s="739"/>
      <c r="S14" s="739"/>
      <c r="T14" s="739"/>
      <c r="U14" s="739"/>
      <c r="V14" s="739"/>
      <c r="W14" s="739"/>
      <c r="X14" s="739"/>
      <c r="Y14" s="739"/>
      <c r="Z14" s="739"/>
      <c r="AA14" s="739"/>
    </row>
    <row r="15" spans="2:27" x14ac:dyDescent="0.2">
      <c r="B15" s="1197"/>
      <c r="C15" s="590" t="s">
        <v>997</v>
      </c>
      <c r="D15" s="194"/>
      <c r="E15" s="195" t="s">
        <v>701</v>
      </c>
      <c r="F15" s="200" t="s">
        <v>699</v>
      </c>
      <c r="G15" s="299">
        <v>3</v>
      </c>
      <c r="H15" s="739">
        <v>0</v>
      </c>
      <c r="I15" s="739"/>
      <c r="J15" s="739"/>
      <c r="K15" s="739"/>
      <c r="L15" s="739"/>
      <c r="M15" s="739"/>
      <c r="N15" s="739"/>
      <c r="O15" s="739"/>
      <c r="P15" s="739"/>
      <c r="Q15" s="739"/>
      <c r="R15" s="739"/>
      <c r="S15" s="739"/>
      <c r="T15" s="739"/>
      <c r="U15" s="739"/>
      <c r="V15" s="739"/>
      <c r="W15" s="739"/>
      <c r="X15" s="739"/>
      <c r="Y15" s="739"/>
      <c r="Z15" s="739"/>
      <c r="AA15" s="739"/>
    </row>
    <row r="17" spans="2:27" x14ac:dyDescent="0.2">
      <c r="B17" s="1199" t="s">
        <v>865</v>
      </c>
      <c r="C17" s="1199"/>
      <c r="D17" s="1199"/>
      <c r="E17" s="1199"/>
      <c r="F17" s="1199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2:27" s="423" customFormat="1" x14ac:dyDescent="0.2">
      <c r="B18" s="189"/>
      <c r="C18" s="214"/>
      <c r="D18" s="214"/>
      <c r="E18" s="214"/>
      <c r="F18" s="212"/>
      <c r="G18" s="192" t="s">
        <v>31</v>
      </c>
      <c r="H18" s="193" t="s">
        <v>641</v>
      </c>
      <c r="I18" s="193" t="s">
        <v>642</v>
      </c>
      <c r="J18" s="193" t="s">
        <v>643</v>
      </c>
      <c r="K18" s="193" t="s">
        <v>644</v>
      </c>
      <c r="L18" s="193" t="s">
        <v>645</v>
      </c>
      <c r="M18" s="193" t="s">
        <v>646</v>
      </c>
      <c r="N18" s="193" t="s">
        <v>647</v>
      </c>
      <c r="O18" s="193" t="s">
        <v>648</v>
      </c>
      <c r="P18" s="193" t="s">
        <v>649</v>
      </c>
      <c r="Q18" s="193" t="s">
        <v>650</v>
      </c>
      <c r="R18" s="193" t="s">
        <v>651</v>
      </c>
      <c r="S18" s="193" t="s">
        <v>652</v>
      </c>
      <c r="T18" s="193" t="s">
        <v>653</v>
      </c>
      <c r="U18" s="193" t="s">
        <v>654</v>
      </c>
      <c r="V18" s="193" t="s">
        <v>655</v>
      </c>
      <c r="W18" s="193" t="s">
        <v>656</v>
      </c>
      <c r="X18" s="193" t="s">
        <v>657</v>
      </c>
      <c r="Y18" s="193" t="s">
        <v>658</v>
      </c>
      <c r="Z18" s="193" t="s">
        <v>659</v>
      </c>
      <c r="AA18" s="193" t="s">
        <v>660</v>
      </c>
    </row>
    <row r="19" spans="2:27" ht="18" customHeight="1" x14ac:dyDescent="0.2">
      <c r="B19" s="189">
        <f>B13+1</f>
        <v>7</v>
      </c>
      <c r="C19" s="802" t="s">
        <v>1361</v>
      </c>
      <c r="D19" s="215"/>
      <c r="E19" s="566" t="s">
        <v>369</v>
      </c>
      <c r="F19" s="1249" t="s">
        <v>397</v>
      </c>
      <c r="G19" s="210">
        <f>SUM(H19:AA19)</f>
        <v>0</v>
      </c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596"/>
    </row>
    <row r="20" spans="2:27" ht="18" customHeight="1" x14ac:dyDescent="0.2">
      <c r="B20" s="189">
        <f t="shared" ref="B20:B26" si="3">B19+1</f>
        <v>8</v>
      </c>
      <c r="C20" s="217" t="s">
        <v>1069</v>
      </c>
      <c r="D20" s="782"/>
      <c r="E20" s="593" t="s">
        <v>2</v>
      </c>
      <c r="F20" s="1250"/>
      <c r="G20" s="594">
        <f>G19*D20</f>
        <v>0</v>
      </c>
      <c r="H20" s="595">
        <f>H19*$D$20</f>
        <v>0</v>
      </c>
      <c r="I20" s="595">
        <f t="shared" ref="I20:AA20" si="4">I19*$D$20</f>
        <v>0</v>
      </c>
      <c r="J20" s="595">
        <f t="shared" si="4"/>
        <v>0</v>
      </c>
      <c r="K20" s="595">
        <f t="shared" si="4"/>
        <v>0</v>
      </c>
      <c r="L20" s="595">
        <f t="shared" si="4"/>
        <v>0</v>
      </c>
      <c r="M20" s="595">
        <f t="shared" si="4"/>
        <v>0</v>
      </c>
      <c r="N20" s="595">
        <f t="shared" si="4"/>
        <v>0</v>
      </c>
      <c r="O20" s="595">
        <f t="shared" si="4"/>
        <v>0</v>
      </c>
      <c r="P20" s="595">
        <f t="shared" si="4"/>
        <v>0</v>
      </c>
      <c r="Q20" s="595">
        <f t="shared" si="4"/>
        <v>0</v>
      </c>
      <c r="R20" s="595">
        <f t="shared" si="4"/>
        <v>0</v>
      </c>
      <c r="S20" s="595">
        <f t="shared" si="4"/>
        <v>0</v>
      </c>
      <c r="T20" s="595">
        <f t="shared" si="4"/>
        <v>0</v>
      </c>
      <c r="U20" s="595">
        <f t="shared" si="4"/>
        <v>0</v>
      </c>
      <c r="V20" s="595">
        <f t="shared" si="4"/>
        <v>0</v>
      </c>
      <c r="W20" s="595">
        <f t="shared" si="4"/>
        <v>0</v>
      </c>
      <c r="X20" s="595">
        <f t="shared" si="4"/>
        <v>0</v>
      </c>
      <c r="Y20" s="595">
        <f t="shared" si="4"/>
        <v>0</v>
      </c>
      <c r="Z20" s="595">
        <f t="shared" si="4"/>
        <v>0</v>
      </c>
      <c r="AA20" s="595">
        <f t="shared" si="4"/>
        <v>0</v>
      </c>
    </row>
    <row r="21" spans="2:27" ht="18" customHeight="1" x14ac:dyDescent="0.2">
      <c r="B21" s="189">
        <f t="shared" si="3"/>
        <v>9</v>
      </c>
      <c r="C21" s="802" t="s">
        <v>1362</v>
      </c>
      <c r="D21" s="215"/>
      <c r="E21" s="566" t="s">
        <v>369</v>
      </c>
      <c r="F21" s="598" t="s">
        <v>1026</v>
      </c>
      <c r="G21" s="210">
        <f>SUM(H21:AA21)</f>
        <v>25</v>
      </c>
      <c r="H21" s="812">
        <v>25</v>
      </c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96"/>
    </row>
    <row r="22" spans="2:27" ht="18" customHeight="1" x14ac:dyDescent="0.2">
      <c r="B22" s="189">
        <f t="shared" si="3"/>
        <v>10</v>
      </c>
      <c r="C22" s="802" t="s">
        <v>1363</v>
      </c>
      <c r="D22" s="215"/>
      <c r="E22" s="566" t="s">
        <v>383</v>
      </c>
      <c r="F22" s="1249" t="s">
        <v>1020</v>
      </c>
      <c r="G22" s="210">
        <f>SUM(H22:AA22)</f>
        <v>0</v>
      </c>
      <c r="H22" s="812"/>
      <c r="I22" s="596"/>
      <c r="J22" s="596"/>
      <c r="K22" s="596"/>
      <c r="L22" s="596"/>
      <c r="M22" s="596"/>
      <c r="N22" s="596"/>
      <c r="O22" s="596"/>
      <c r="P22" s="596"/>
      <c r="Q22" s="596"/>
      <c r="R22" s="596"/>
      <c r="S22" s="596"/>
      <c r="T22" s="596"/>
      <c r="U22" s="596"/>
      <c r="V22" s="596"/>
      <c r="W22" s="596"/>
      <c r="X22" s="596"/>
      <c r="Y22" s="596"/>
      <c r="Z22" s="596"/>
      <c r="AA22" s="596"/>
    </row>
    <row r="23" spans="2:27" ht="18" customHeight="1" x14ac:dyDescent="0.2">
      <c r="B23" s="189">
        <f t="shared" si="3"/>
        <v>11</v>
      </c>
      <c r="C23" s="217" t="s">
        <v>1070</v>
      </c>
      <c r="D23" s="782"/>
      <c r="E23" s="593" t="s">
        <v>2</v>
      </c>
      <c r="F23" s="1250"/>
      <c r="G23" s="594">
        <f>G22*D23</f>
        <v>0</v>
      </c>
      <c r="H23" s="595">
        <f>H22*$D$23</f>
        <v>0</v>
      </c>
      <c r="I23" s="595">
        <f t="shared" ref="I23:AA23" si="5">I22*$D$23</f>
        <v>0</v>
      </c>
      <c r="J23" s="595">
        <f t="shared" si="5"/>
        <v>0</v>
      </c>
      <c r="K23" s="595">
        <f t="shared" si="5"/>
        <v>0</v>
      </c>
      <c r="L23" s="595">
        <f t="shared" si="5"/>
        <v>0</v>
      </c>
      <c r="M23" s="595">
        <f t="shared" si="5"/>
        <v>0</v>
      </c>
      <c r="N23" s="595">
        <f t="shared" si="5"/>
        <v>0</v>
      </c>
      <c r="O23" s="595">
        <f t="shared" si="5"/>
        <v>0</v>
      </c>
      <c r="P23" s="595">
        <f t="shared" si="5"/>
        <v>0</v>
      </c>
      <c r="Q23" s="595">
        <f t="shared" si="5"/>
        <v>0</v>
      </c>
      <c r="R23" s="595">
        <f t="shared" si="5"/>
        <v>0</v>
      </c>
      <c r="S23" s="595">
        <f t="shared" si="5"/>
        <v>0</v>
      </c>
      <c r="T23" s="595">
        <f t="shared" si="5"/>
        <v>0</v>
      </c>
      <c r="U23" s="595">
        <f t="shared" si="5"/>
        <v>0</v>
      </c>
      <c r="V23" s="595">
        <f t="shared" si="5"/>
        <v>0</v>
      </c>
      <c r="W23" s="595">
        <f t="shared" si="5"/>
        <v>0</v>
      </c>
      <c r="X23" s="595">
        <f t="shared" si="5"/>
        <v>0</v>
      </c>
      <c r="Y23" s="595">
        <f t="shared" si="5"/>
        <v>0</v>
      </c>
      <c r="Z23" s="595">
        <f t="shared" si="5"/>
        <v>0</v>
      </c>
      <c r="AA23" s="595">
        <f t="shared" si="5"/>
        <v>0</v>
      </c>
    </row>
    <row r="24" spans="2:27" ht="18" customHeight="1" x14ac:dyDescent="0.2">
      <c r="B24" s="189">
        <f t="shared" si="3"/>
        <v>12</v>
      </c>
      <c r="C24" s="802" t="s">
        <v>1364</v>
      </c>
      <c r="D24" s="215"/>
      <c r="E24" s="566" t="s">
        <v>383</v>
      </c>
      <c r="F24" s="1249" t="s">
        <v>1021</v>
      </c>
      <c r="G24" s="210">
        <f>SUM(H24:AA24)</f>
        <v>47.3</v>
      </c>
      <c r="H24" s="812">
        <v>47.3</v>
      </c>
      <c r="I24" s="596"/>
      <c r="J24" s="596"/>
      <c r="K24" s="596"/>
      <c r="L24" s="596"/>
      <c r="M24" s="596"/>
      <c r="N24" s="596"/>
      <c r="O24" s="596"/>
      <c r="P24" s="596"/>
      <c r="Q24" s="596"/>
      <c r="R24" s="596"/>
      <c r="S24" s="596"/>
      <c r="T24" s="596"/>
      <c r="U24" s="596"/>
      <c r="V24" s="596"/>
      <c r="W24" s="596"/>
      <c r="X24" s="596"/>
      <c r="Y24" s="596"/>
      <c r="Z24" s="596"/>
      <c r="AA24" s="596"/>
    </row>
    <row r="25" spans="2:27" ht="18" customHeight="1" x14ac:dyDescent="0.2">
      <c r="B25" s="189">
        <f t="shared" si="3"/>
        <v>13</v>
      </c>
      <c r="C25" s="217" t="s">
        <v>1071</v>
      </c>
      <c r="D25" s="813">
        <v>720.263211340834</v>
      </c>
      <c r="E25" s="593" t="s">
        <v>2</v>
      </c>
      <c r="F25" s="1250"/>
      <c r="G25" s="594">
        <f>G24*D25</f>
        <v>34068.449896421444</v>
      </c>
      <c r="H25" s="595">
        <f>H24*$D$25</f>
        <v>34068.449896421444</v>
      </c>
      <c r="I25" s="595">
        <f t="shared" ref="I25:AA25" si="6">I24*$D$25</f>
        <v>0</v>
      </c>
      <c r="J25" s="595">
        <f t="shared" si="6"/>
        <v>0</v>
      </c>
      <c r="K25" s="595">
        <f t="shared" si="6"/>
        <v>0</v>
      </c>
      <c r="L25" s="595">
        <f t="shared" si="6"/>
        <v>0</v>
      </c>
      <c r="M25" s="595">
        <f t="shared" si="6"/>
        <v>0</v>
      </c>
      <c r="N25" s="595">
        <f t="shared" si="6"/>
        <v>0</v>
      </c>
      <c r="O25" s="595">
        <f t="shared" si="6"/>
        <v>0</v>
      </c>
      <c r="P25" s="595">
        <f t="shared" si="6"/>
        <v>0</v>
      </c>
      <c r="Q25" s="595">
        <f t="shared" si="6"/>
        <v>0</v>
      </c>
      <c r="R25" s="595">
        <f t="shared" si="6"/>
        <v>0</v>
      </c>
      <c r="S25" s="595">
        <f t="shared" si="6"/>
        <v>0</v>
      </c>
      <c r="T25" s="595">
        <f t="shared" si="6"/>
        <v>0</v>
      </c>
      <c r="U25" s="595">
        <f t="shared" si="6"/>
        <v>0</v>
      </c>
      <c r="V25" s="595">
        <f t="shared" si="6"/>
        <v>0</v>
      </c>
      <c r="W25" s="595">
        <f t="shared" si="6"/>
        <v>0</v>
      </c>
      <c r="X25" s="595">
        <f t="shared" si="6"/>
        <v>0</v>
      </c>
      <c r="Y25" s="595">
        <f t="shared" si="6"/>
        <v>0</v>
      </c>
      <c r="Z25" s="595">
        <f t="shared" si="6"/>
        <v>0</v>
      </c>
      <c r="AA25" s="595">
        <f t="shared" si="6"/>
        <v>0</v>
      </c>
    </row>
    <row r="26" spans="2:27" ht="18" x14ac:dyDescent="0.2">
      <c r="B26" s="189">
        <f t="shared" si="3"/>
        <v>14</v>
      </c>
      <c r="C26" s="591" t="s">
        <v>1022</v>
      </c>
      <c r="D26" s="215"/>
      <c r="E26" s="566" t="s">
        <v>383</v>
      </c>
      <c r="F26" s="200" t="s">
        <v>400</v>
      </c>
      <c r="G26" s="210">
        <f>SUM(H26:AA26)</f>
        <v>47.3</v>
      </c>
      <c r="H26" s="595">
        <f>SUM(H24,H22)</f>
        <v>47.3</v>
      </c>
      <c r="I26" s="595">
        <f t="shared" ref="I26:AA26" si="7">SUM(I24,I22)</f>
        <v>0</v>
      </c>
      <c r="J26" s="595">
        <f t="shared" si="7"/>
        <v>0</v>
      </c>
      <c r="K26" s="595">
        <f t="shared" si="7"/>
        <v>0</v>
      </c>
      <c r="L26" s="595">
        <f t="shared" si="7"/>
        <v>0</v>
      </c>
      <c r="M26" s="595">
        <f t="shared" si="7"/>
        <v>0</v>
      </c>
      <c r="N26" s="595">
        <f t="shared" si="7"/>
        <v>0</v>
      </c>
      <c r="O26" s="595">
        <f t="shared" si="7"/>
        <v>0</v>
      </c>
      <c r="P26" s="595">
        <f t="shared" si="7"/>
        <v>0</v>
      </c>
      <c r="Q26" s="595">
        <f t="shared" si="7"/>
        <v>0</v>
      </c>
      <c r="R26" s="595">
        <f t="shared" si="7"/>
        <v>0</v>
      </c>
      <c r="S26" s="595">
        <f t="shared" si="7"/>
        <v>0</v>
      </c>
      <c r="T26" s="595">
        <f t="shared" si="7"/>
        <v>0</v>
      </c>
      <c r="U26" s="595">
        <f t="shared" si="7"/>
        <v>0</v>
      </c>
      <c r="V26" s="595">
        <f t="shared" si="7"/>
        <v>0</v>
      </c>
      <c r="W26" s="595">
        <f t="shared" si="7"/>
        <v>0</v>
      </c>
      <c r="X26" s="595">
        <f t="shared" si="7"/>
        <v>0</v>
      </c>
      <c r="Y26" s="595">
        <f t="shared" si="7"/>
        <v>0</v>
      </c>
      <c r="Z26" s="595">
        <f t="shared" si="7"/>
        <v>0</v>
      </c>
      <c r="AA26" s="595">
        <f t="shared" si="7"/>
        <v>0</v>
      </c>
    </row>
    <row r="27" spans="2:27" ht="18" x14ac:dyDescent="0.2">
      <c r="B27" s="221"/>
      <c r="C27" s="222" t="s">
        <v>990</v>
      </c>
      <c r="D27" s="222"/>
      <c r="E27" s="223" t="s">
        <v>2</v>
      </c>
      <c r="F27" s="224" t="s">
        <v>989</v>
      </c>
      <c r="G27" s="225">
        <f>SUM(H27:AA27)</f>
        <v>34068.449896421444</v>
      </c>
      <c r="H27" s="226">
        <f>SUM(H25,H23,H20)</f>
        <v>34068.449896421444</v>
      </c>
      <c r="I27" s="226">
        <f t="shared" ref="I27:AA27" si="8">SUM(I25,I23,I20)</f>
        <v>0</v>
      </c>
      <c r="J27" s="226">
        <f t="shared" si="8"/>
        <v>0</v>
      </c>
      <c r="K27" s="226">
        <f t="shared" si="8"/>
        <v>0</v>
      </c>
      <c r="L27" s="226">
        <f t="shared" si="8"/>
        <v>0</v>
      </c>
      <c r="M27" s="226">
        <f t="shared" si="8"/>
        <v>0</v>
      </c>
      <c r="N27" s="226">
        <f t="shared" si="8"/>
        <v>0</v>
      </c>
      <c r="O27" s="226">
        <f t="shared" si="8"/>
        <v>0</v>
      </c>
      <c r="P27" s="226">
        <f t="shared" si="8"/>
        <v>0</v>
      </c>
      <c r="Q27" s="226">
        <f t="shared" si="8"/>
        <v>0</v>
      </c>
      <c r="R27" s="226">
        <f t="shared" si="8"/>
        <v>0</v>
      </c>
      <c r="S27" s="226">
        <f t="shared" si="8"/>
        <v>0</v>
      </c>
      <c r="T27" s="226">
        <f t="shared" si="8"/>
        <v>0</v>
      </c>
      <c r="U27" s="226">
        <f t="shared" si="8"/>
        <v>0</v>
      </c>
      <c r="V27" s="226">
        <f t="shared" si="8"/>
        <v>0</v>
      </c>
      <c r="W27" s="226">
        <f t="shared" si="8"/>
        <v>0</v>
      </c>
      <c r="X27" s="226">
        <f t="shared" si="8"/>
        <v>0</v>
      </c>
      <c r="Y27" s="226">
        <f t="shared" si="8"/>
        <v>0</v>
      </c>
      <c r="Z27" s="226">
        <f t="shared" si="8"/>
        <v>0</v>
      </c>
      <c r="AA27" s="226">
        <f t="shared" si="8"/>
        <v>0</v>
      </c>
    </row>
    <row r="29" spans="2:27" ht="18" x14ac:dyDescent="0.35">
      <c r="E29" s="586" t="s">
        <v>986</v>
      </c>
      <c r="F29" s="183"/>
      <c r="G29" s="184">
        <f>RCB!G12</f>
        <v>0.57908182086301141</v>
      </c>
    </row>
    <row r="30" spans="2:27" ht="18" x14ac:dyDescent="0.35">
      <c r="E30" s="586" t="s">
        <v>987</v>
      </c>
      <c r="F30" s="183"/>
      <c r="G30" s="184">
        <f>RCB!J12</f>
        <v>0.57908182086301141</v>
      </c>
    </row>
    <row r="32" spans="2:27" x14ac:dyDescent="0.2">
      <c r="H32" s="427"/>
      <c r="I32" s="427"/>
    </row>
    <row r="33" spans="2:57" x14ac:dyDescent="0.2">
      <c r="B33" s="1198" t="s">
        <v>783</v>
      </c>
      <c r="C33" s="1198"/>
      <c r="D33" s="1198"/>
      <c r="E33" s="1198"/>
      <c r="F33" s="1198"/>
      <c r="G33" s="227"/>
      <c r="H33" s="228"/>
      <c r="I33" s="228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</row>
    <row r="34" spans="2:57" x14ac:dyDescent="0.2">
      <c r="B34" s="229"/>
      <c r="C34" s="230"/>
      <c r="D34" s="231"/>
      <c r="E34" s="232"/>
      <c r="F34" s="233"/>
      <c r="G34" s="234" t="s">
        <v>31</v>
      </c>
      <c r="H34" s="235" t="str">
        <f>H3</f>
        <v>fonte 1</v>
      </c>
      <c r="I34" s="235" t="str">
        <f t="shared" ref="I34:AA34" si="9">I3</f>
        <v>fonte 2</v>
      </c>
      <c r="J34" s="235" t="str">
        <f t="shared" si="9"/>
        <v>fonte 3</v>
      </c>
      <c r="K34" s="235" t="str">
        <f t="shared" si="9"/>
        <v>fonte 4</v>
      </c>
      <c r="L34" s="235" t="str">
        <f t="shared" si="9"/>
        <v>fonte 5</v>
      </c>
      <c r="M34" s="235" t="str">
        <f t="shared" si="9"/>
        <v>fonte 6</v>
      </c>
      <c r="N34" s="235" t="str">
        <f t="shared" si="9"/>
        <v>fonte 7</v>
      </c>
      <c r="O34" s="235" t="str">
        <f t="shared" si="9"/>
        <v>fonte 8</v>
      </c>
      <c r="P34" s="235" t="str">
        <f t="shared" si="9"/>
        <v>fonte 9</v>
      </c>
      <c r="Q34" s="235" t="str">
        <f t="shared" si="9"/>
        <v>fonte 10</v>
      </c>
      <c r="R34" s="235" t="str">
        <f t="shared" si="9"/>
        <v>fonte 11</v>
      </c>
      <c r="S34" s="235" t="str">
        <f t="shared" si="9"/>
        <v>fonte 12</v>
      </c>
      <c r="T34" s="235" t="str">
        <f t="shared" si="9"/>
        <v>fonte 13</v>
      </c>
      <c r="U34" s="235" t="str">
        <f t="shared" si="9"/>
        <v>fonte 14</v>
      </c>
      <c r="V34" s="235" t="str">
        <f t="shared" si="9"/>
        <v>fonte 15</v>
      </c>
      <c r="W34" s="235" t="str">
        <f t="shared" si="9"/>
        <v>fonte 16</v>
      </c>
      <c r="X34" s="235" t="str">
        <f t="shared" si="9"/>
        <v>fonte 17</v>
      </c>
      <c r="Y34" s="235" t="str">
        <f t="shared" si="9"/>
        <v>fonte 18</v>
      </c>
      <c r="Z34" s="235" t="str">
        <f t="shared" si="9"/>
        <v>fonte 19</v>
      </c>
      <c r="AA34" s="235" t="str">
        <f t="shared" si="9"/>
        <v>fonte 20</v>
      </c>
    </row>
    <row r="35" spans="2:57" x14ac:dyDescent="0.2">
      <c r="B35" s="229">
        <f>B23+1</f>
        <v>12</v>
      </c>
      <c r="C35" s="236" t="s">
        <v>371</v>
      </c>
      <c r="D35" s="236"/>
      <c r="E35" s="237" t="s">
        <v>372</v>
      </c>
      <c r="F35" s="238"/>
      <c r="G35" s="239"/>
      <c r="H35" s="240">
        <f t="shared" ref="H35:AA35" si="10">H10</f>
        <v>5.54</v>
      </c>
      <c r="I35" s="240">
        <f t="shared" si="10"/>
        <v>0</v>
      </c>
      <c r="J35" s="240">
        <f t="shared" si="10"/>
        <v>0</v>
      </c>
      <c r="K35" s="240">
        <f t="shared" si="10"/>
        <v>0</v>
      </c>
      <c r="L35" s="240">
        <f t="shared" si="10"/>
        <v>0</v>
      </c>
      <c r="M35" s="240">
        <f t="shared" si="10"/>
        <v>0</v>
      </c>
      <c r="N35" s="240">
        <f t="shared" si="10"/>
        <v>0</v>
      </c>
      <c r="O35" s="240">
        <f t="shared" si="10"/>
        <v>0</v>
      </c>
      <c r="P35" s="240">
        <f t="shared" si="10"/>
        <v>0</v>
      </c>
      <c r="Q35" s="240">
        <f t="shared" si="10"/>
        <v>0</v>
      </c>
      <c r="R35" s="240">
        <f t="shared" si="10"/>
        <v>0</v>
      </c>
      <c r="S35" s="240">
        <f t="shared" si="10"/>
        <v>0</v>
      </c>
      <c r="T35" s="240">
        <f t="shared" si="10"/>
        <v>0</v>
      </c>
      <c r="U35" s="240">
        <f t="shared" si="10"/>
        <v>0</v>
      </c>
      <c r="V35" s="240">
        <f t="shared" si="10"/>
        <v>0</v>
      </c>
      <c r="W35" s="240">
        <f t="shared" si="10"/>
        <v>0</v>
      </c>
      <c r="X35" s="240">
        <f t="shared" si="10"/>
        <v>0</v>
      </c>
      <c r="Y35" s="240">
        <f t="shared" si="10"/>
        <v>0</v>
      </c>
      <c r="Z35" s="240">
        <f t="shared" si="10"/>
        <v>0</v>
      </c>
      <c r="AA35" s="240">
        <f t="shared" si="10"/>
        <v>0</v>
      </c>
    </row>
    <row r="36" spans="2:57" x14ac:dyDescent="0.2">
      <c r="B36" s="229">
        <f>B35+1</f>
        <v>13</v>
      </c>
      <c r="C36" s="236" t="s">
        <v>408</v>
      </c>
      <c r="D36" s="236"/>
      <c r="E36" s="241">
        <v>22</v>
      </c>
      <c r="F36" s="242"/>
      <c r="G36" s="239"/>
      <c r="H36" s="240">
        <f t="shared" ref="H36:AA36" si="11">H14</f>
        <v>0</v>
      </c>
      <c r="I36" s="240">
        <f t="shared" si="11"/>
        <v>0</v>
      </c>
      <c r="J36" s="240">
        <f t="shared" si="11"/>
        <v>0</v>
      </c>
      <c r="K36" s="240">
        <f t="shared" si="11"/>
        <v>0</v>
      </c>
      <c r="L36" s="240">
        <f t="shared" si="11"/>
        <v>0</v>
      </c>
      <c r="M36" s="240">
        <f t="shared" si="11"/>
        <v>0</v>
      </c>
      <c r="N36" s="240">
        <f t="shared" si="11"/>
        <v>0</v>
      </c>
      <c r="O36" s="240">
        <f t="shared" si="11"/>
        <v>0</v>
      </c>
      <c r="P36" s="240">
        <f t="shared" si="11"/>
        <v>0</v>
      </c>
      <c r="Q36" s="240">
        <f t="shared" si="11"/>
        <v>0</v>
      </c>
      <c r="R36" s="240">
        <f t="shared" si="11"/>
        <v>0</v>
      </c>
      <c r="S36" s="240">
        <f t="shared" si="11"/>
        <v>0</v>
      </c>
      <c r="T36" s="240">
        <f t="shared" si="11"/>
        <v>0</v>
      </c>
      <c r="U36" s="240">
        <f t="shared" si="11"/>
        <v>0</v>
      </c>
      <c r="V36" s="240">
        <f t="shared" si="11"/>
        <v>0</v>
      </c>
      <c r="W36" s="240">
        <f t="shared" si="11"/>
        <v>0</v>
      </c>
      <c r="X36" s="240">
        <f t="shared" si="11"/>
        <v>0</v>
      </c>
      <c r="Y36" s="240">
        <f t="shared" si="11"/>
        <v>0</v>
      </c>
      <c r="Z36" s="240">
        <f t="shared" si="11"/>
        <v>0</v>
      </c>
      <c r="AA36" s="240">
        <f t="shared" si="11"/>
        <v>0</v>
      </c>
    </row>
    <row r="37" spans="2:57" x14ac:dyDescent="0.2">
      <c r="B37" s="229">
        <f t="shared" ref="B37:B46" si="12">B36+1</f>
        <v>14</v>
      </c>
      <c r="C37" s="236" t="s">
        <v>409</v>
      </c>
      <c r="D37" s="236"/>
      <c r="E37" s="241">
        <v>3</v>
      </c>
      <c r="F37" s="242"/>
      <c r="G37" s="239"/>
      <c r="H37" s="240">
        <f t="shared" ref="H37:AA37" si="13">H15</f>
        <v>0</v>
      </c>
      <c r="I37" s="240">
        <f t="shared" si="13"/>
        <v>0</v>
      </c>
      <c r="J37" s="240">
        <f t="shared" si="13"/>
        <v>0</v>
      </c>
      <c r="K37" s="240">
        <f t="shared" si="13"/>
        <v>0</v>
      </c>
      <c r="L37" s="240">
        <f t="shared" si="13"/>
        <v>0</v>
      </c>
      <c r="M37" s="240">
        <f t="shared" si="13"/>
        <v>0</v>
      </c>
      <c r="N37" s="240">
        <f t="shared" si="13"/>
        <v>0</v>
      </c>
      <c r="O37" s="240">
        <f t="shared" si="13"/>
        <v>0</v>
      </c>
      <c r="P37" s="240">
        <f t="shared" si="13"/>
        <v>0</v>
      </c>
      <c r="Q37" s="240">
        <f t="shared" si="13"/>
        <v>0</v>
      </c>
      <c r="R37" s="240">
        <f t="shared" si="13"/>
        <v>0</v>
      </c>
      <c r="S37" s="240">
        <f t="shared" si="13"/>
        <v>0</v>
      </c>
      <c r="T37" s="240">
        <f t="shared" si="13"/>
        <v>0</v>
      </c>
      <c r="U37" s="240">
        <f t="shared" si="13"/>
        <v>0</v>
      </c>
      <c r="V37" s="240">
        <f t="shared" si="13"/>
        <v>0</v>
      </c>
      <c r="W37" s="240">
        <f t="shared" si="13"/>
        <v>0</v>
      </c>
      <c r="X37" s="240">
        <f t="shared" si="13"/>
        <v>0</v>
      </c>
      <c r="Y37" s="240">
        <f t="shared" si="13"/>
        <v>0</v>
      </c>
      <c r="Z37" s="240">
        <f t="shared" si="13"/>
        <v>0</v>
      </c>
      <c r="AA37" s="240">
        <f t="shared" si="13"/>
        <v>0</v>
      </c>
    </row>
    <row r="38" spans="2:57" x14ac:dyDescent="0.2">
      <c r="B38" s="229">
        <f t="shared" si="12"/>
        <v>15</v>
      </c>
      <c r="C38" s="236" t="s">
        <v>410</v>
      </c>
      <c r="D38" s="236"/>
      <c r="E38" s="237" t="s">
        <v>3</v>
      </c>
      <c r="F38" s="238"/>
      <c r="G38" s="243"/>
      <c r="H38" s="244">
        <f>H36/30</f>
        <v>0</v>
      </c>
      <c r="I38" s="244">
        <f t="shared" ref="I38:AA38" si="14">I36/30</f>
        <v>0</v>
      </c>
      <c r="J38" s="244">
        <f t="shared" si="14"/>
        <v>0</v>
      </c>
      <c r="K38" s="244">
        <f t="shared" si="14"/>
        <v>0</v>
      </c>
      <c r="L38" s="244">
        <f t="shared" si="14"/>
        <v>0</v>
      </c>
      <c r="M38" s="244">
        <f t="shared" si="14"/>
        <v>0</v>
      </c>
      <c r="N38" s="244">
        <f t="shared" si="14"/>
        <v>0</v>
      </c>
      <c r="O38" s="244">
        <f t="shared" si="14"/>
        <v>0</v>
      </c>
      <c r="P38" s="244">
        <f t="shared" si="14"/>
        <v>0</v>
      </c>
      <c r="Q38" s="244">
        <f t="shared" si="14"/>
        <v>0</v>
      </c>
      <c r="R38" s="244">
        <f t="shared" si="14"/>
        <v>0</v>
      </c>
      <c r="S38" s="244">
        <f t="shared" si="14"/>
        <v>0</v>
      </c>
      <c r="T38" s="244">
        <f t="shared" si="14"/>
        <v>0</v>
      </c>
      <c r="U38" s="244">
        <f t="shared" si="14"/>
        <v>0</v>
      </c>
      <c r="V38" s="244">
        <f t="shared" si="14"/>
        <v>0</v>
      </c>
      <c r="W38" s="244">
        <f t="shared" si="14"/>
        <v>0</v>
      </c>
      <c r="X38" s="244">
        <f t="shared" si="14"/>
        <v>0</v>
      </c>
      <c r="Y38" s="244">
        <f t="shared" si="14"/>
        <v>0</v>
      </c>
      <c r="Z38" s="244">
        <f t="shared" si="14"/>
        <v>0</v>
      </c>
      <c r="AA38" s="244">
        <f t="shared" si="14"/>
        <v>0</v>
      </c>
    </row>
    <row r="39" spans="2:57" x14ac:dyDescent="0.2">
      <c r="B39" s="229">
        <f t="shared" si="12"/>
        <v>16</v>
      </c>
      <c r="C39" s="236" t="s">
        <v>411</v>
      </c>
      <c r="D39" s="236"/>
      <c r="E39" s="237" t="s">
        <v>3</v>
      </c>
      <c r="F39" s="238"/>
      <c r="G39" s="243"/>
      <c r="H39" s="244">
        <f>IFERROR(H37/H35,0)</f>
        <v>0</v>
      </c>
      <c r="I39" s="244">
        <f t="shared" ref="I39:AA39" si="15">IFERROR(I37/I35,0)</f>
        <v>0</v>
      </c>
      <c r="J39" s="244">
        <f t="shared" si="15"/>
        <v>0</v>
      </c>
      <c r="K39" s="244">
        <f t="shared" si="15"/>
        <v>0</v>
      </c>
      <c r="L39" s="244">
        <f t="shared" si="15"/>
        <v>0</v>
      </c>
      <c r="M39" s="244">
        <f t="shared" si="15"/>
        <v>0</v>
      </c>
      <c r="N39" s="244">
        <f t="shared" si="15"/>
        <v>0</v>
      </c>
      <c r="O39" s="244">
        <f t="shared" si="15"/>
        <v>0</v>
      </c>
      <c r="P39" s="244">
        <f t="shared" si="15"/>
        <v>0</v>
      </c>
      <c r="Q39" s="244">
        <f t="shared" si="15"/>
        <v>0</v>
      </c>
      <c r="R39" s="244">
        <f t="shared" si="15"/>
        <v>0</v>
      </c>
      <c r="S39" s="244">
        <f t="shared" si="15"/>
        <v>0</v>
      </c>
      <c r="T39" s="244">
        <f t="shared" si="15"/>
        <v>0</v>
      </c>
      <c r="U39" s="244">
        <f t="shared" si="15"/>
        <v>0</v>
      </c>
      <c r="V39" s="244">
        <f t="shared" si="15"/>
        <v>0</v>
      </c>
      <c r="W39" s="244">
        <f t="shared" si="15"/>
        <v>0</v>
      </c>
      <c r="X39" s="244">
        <f t="shared" si="15"/>
        <v>0</v>
      </c>
      <c r="Y39" s="244">
        <f t="shared" si="15"/>
        <v>0</v>
      </c>
      <c r="Z39" s="244">
        <f t="shared" si="15"/>
        <v>0</v>
      </c>
      <c r="AA39" s="244">
        <f t="shared" si="15"/>
        <v>0</v>
      </c>
    </row>
    <row r="40" spans="2:57" x14ac:dyDescent="0.2">
      <c r="B40" s="229">
        <f t="shared" si="12"/>
        <v>17</v>
      </c>
      <c r="C40" s="236" t="s">
        <v>412</v>
      </c>
      <c r="D40" s="236"/>
      <c r="E40" s="237" t="s">
        <v>3</v>
      </c>
      <c r="F40" s="238"/>
      <c r="G40" s="243"/>
      <c r="H40" s="244">
        <f>H38*H39</f>
        <v>0</v>
      </c>
      <c r="I40" s="244">
        <f t="shared" ref="I40:AA40" si="16">I38*I39</f>
        <v>0</v>
      </c>
      <c r="J40" s="244">
        <f t="shared" si="16"/>
        <v>0</v>
      </c>
      <c r="K40" s="244">
        <f t="shared" si="16"/>
        <v>0</v>
      </c>
      <c r="L40" s="244">
        <f t="shared" si="16"/>
        <v>0</v>
      </c>
      <c r="M40" s="244">
        <f t="shared" si="16"/>
        <v>0</v>
      </c>
      <c r="N40" s="244">
        <f t="shared" si="16"/>
        <v>0</v>
      </c>
      <c r="O40" s="244">
        <f t="shared" si="16"/>
        <v>0</v>
      </c>
      <c r="P40" s="244">
        <f t="shared" si="16"/>
        <v>0</v>
      </c>
      <c r="Q40" s="244">
        <f t="shared" si="16"/>
        <v>0</v>
      </c>
      <c r="R40" s="244">
        <f t="shared" si="16"/>
        <v>0</v>
      </c>
      <c r="S40" s="244">
        <f t="shared" si="16"/>
        <v>0</v>
      </c>
      <c r="T40" s="244">
        <f t="shared" si="16"/>
        <v>0</v>
      </c>
      <c r="U40" s="244">
        <f t="shared" si="16"/>
        <v>0</v>
      </c>
      <c r="V40" s="244">
        <f t="shared" si="16"/>
        <v>0</v>
      </c>
      <c r="W40" s="244">
        <f t="shared" si="16"/>
        <v>0</v>
      </c>
      <c r="X40" s="244">
        <f t="shared" si="16"/>
        <v>0</v>
      </c>
      <c r="Y40" s="244">
        <f t="shared" si="16"/>
        <v>0</v>
      </c>
      <c r="Z40" s="244">
        <f t="shared" si="16"/>
        <v>0</v>
      </c>
      <c r="AA40" s="244">
        <f t="shared" si="16"/>
        <v>0</v>
      </c>
    </row>
    <row r="41" spans="2:57" x14ac:dyDescent="0.2">
      <c r="B41" s="229">
        <f t="shared" si="12"/>
        <v>18</v>
      </c>
      <c r="C41" s="597" t="s">
        <v>1029</v>
      </c>
      <c r="D41" s="236"/>
      <c r="E41" s="301" t="s">
        <v>718</v>
      </c>
      <c r="F41" s="238"/>
      <c r="G41" s="245">
        <f t="shared" ref="G41:G46" si="17">ROUND(SUM(H41:BE41),2)</f>
        <v>3.94</v>
      </c>
      <c r="H41" s="246">
        <f>H26/12</f>
        <v>3.9416666666666664</v>
      </c>
      <c r="I41" s="246">
        <f t="shared" ref="I41:AA41" si="18">I26/12</f>
        <v>0</v>
      </c>
      <c r="J41" s="246">
        <f t="shared" si="18"/>
        <v>0</v>
      </c>
      <c r="K41" s="246">
        <f t="shared" si="18"/>
        <v>0</v>
      </c>
      <c r="L41" s="246">
        <f t="shared" si="18"/>
        <v>0</v>
      </c>
      <c r="M41" s="246">
        <f t="shared" si="18"/>
        <v>0</v>
      </c>
      <c r="N41" s="246">
        <f t="shared" si="18"/>
        <v>0</v>
      </c>
      <c r="O41" s="246">
        <f t="shared" si="18"/>
        <v>0</v>
      </c>
      <c r="P41" s="246">
        <f t="shared" si="18"/>
        <v>0</v>
      </c>
      <c r="Q41" s="246">
        <f t="shared" si="18"/>
        <v>0</v>
      </c>
      <c r="R41" s="246">
        <f t="shared" si="18"/>
        <v>0</v>
      </c>
      <c r="S41" s="246">
        <f t="shared" si="18"/>
        <v>0</v>
      </c>
      <c r="T41" s="246">
        <f t="shared" si="18"/>
        <v>0</v>
      </c>
      <c r="U41" s="246">
        <f t="shared" si="18"/>
        <v>0</v>
      </c>
      <c r="V41" s="246">
        <f t="shared" si="18"/>
        <v>0</v>
      </c>
      <c r="W41" s="246">
        <f t="shared" si="18"/>
        <v>0</v>
      </c>
      <c r="X41" s="246">
        <f t="shared" si="18"/>
        <v>0</v>
      </c>
      <c r="Y41" s="246">
        <f t="shared" si="18"/>
        <v>0</v>
      </c>
      <c r="Z41" s="246">
        <f t="shared" si="18"/>
        <v>0</v>
      </c>
      <c r="AA41" s="246">
        <f t="shared" si="18"/>
        <v>0</v>
      </c>
    </row>
    <row r="42" spans="2:57" x14ac:dyDescent="0.2">
      <c r="B42" s="229">
        <f t="shared" si="12"/>
        <v>19</v>
      </c>
      <c r="C42" s="597" t="s">
        <v>1023</v>
      </c>
      <c r="D42" s="236"/>
      <c r="E42" s="301" t="s">
        <v>718</v>
      </c>
      <c r="F42" s="238"/>
      <c r="G42" s="245">
        <f t="shared" si="17"/>
        <v>0</v>
      </c>
      <c r="H42" s="246">
        <f>H22*H40</f>
        <v>0</v>
      </c>
      <c r="I42" s="246">
        <f t="shared" ref="I42:AA42" si="19">I22*I40</f>
        <v>0</v>
      </c>
      <c r="J42" s="246">
        <f t="shared" si="19"/>
        <v>0</v>
      </c>
      <c r="K42" s="246">
        <f t="shared" si="19"/>
        <v>0</v>
      </c>
      <c r="L42" s="246">
        <f t="shared" si="19"/>
        <v>0</v>
      </c>
      <c r="M42" s="246">
        <f t="shared" si="19"/>
        <v>0</v>
      </c>
      <c r="N42" s="246">
        <f t="shared" si="19"/>
        <v>0</v>
      </c>
      <c r="O42" s="246">
        <f t="shared" si="19"/>
        <v>0</v>
      </c>
      <c r="P42" s="246">
        <f t="shared" si="19"/>
        <v>0</v>
      </c>
      <c r="Q42" s="246">
        <f t="shared" si="19"/>
        <v>0</v>
      </c>
      <c r="R42" s="246">
        <f t="shared" si="19"/>
        <v>0</v>
      </c>
      <c r="S42" s="246">
        <f t="shared" si="19"/>
        <v>0</v>
      </c>
      <c r="T42" s="246">
        <f t="shared" si="19"/>
        <v>0</v>
      </c>
      <c r="U42" s="246">
        <f t="shared" si="19"/>
        <v>0</v>
      </c>
      <c r="V42" s="246">
        <f t="shared" si="19"/>
        <v>0</v>
      </c>
      <c r="W42" s="246">
        <f t="shared" si="19"/>
        <v>0</v>
      </c>
      <c r="X42" s="246">
        <f t="shared" si="19"/>
        <v>0</v>
      </c>
      <c r="Y42" s="246">
        <f t="shared" si="19"/>
        <v>0</v>
      </c>
      <c r="Z42" s="246">
        <f t="shared" si="19"/>
        <v>0</v>
      </c>
      <c r="AA42" s="246">
        <f t="shared" si="19"/>
        <v>0</v>
      </c>
    </row>
    <row r="43" spans="2:57" x14ac:dyDescent="0.2">
      <c r="B43" s="229">
        <f t="shared" si="12"/>
        <v>20</v>
      </c>
      <c r="C43" s="597" t="s">
        <v>1024</v>
      </c>
      <c r="D43" s="236"/>
      <c r="E43" s="301" t="s">
        <v>718</v>
      </c>
      <c r="F43" s="238"/>
      <c r="G43" s="245">
        <f t="shared" si="17"/>
        <v>0</v>
      </c>
      <c r="H43" s="246">
        <f>H22</f>
        <v>0</v>
      </c>
      <c r="I43" s="246">
        <f t="shared" ref="I43:AA43" si="20">I22</f>
        <v>0</v>
      </c>
      <c r="J43" s="246">
        <f t="shared" si="20"/>
        <v>0</v>
      </c>
      <c r="K43" s="246">
        <f t="shared" si="20"/>
        <v>0</v>
      </c>
      <c r="L43" s="246">
        <f t="shared" si="20"/>
        <v>0</v>
      </c>
      <c r="M43" s="246">
        <f t="shared" si="20"/>
        <v>0</v>
      </c>
      <c r="N43" s="246">
        <f t="shared" si="20"/>
        <v>0</v>
      </c>
      <c r="O43" s="246">
        <f t="shared" si="20"/>
        <v>0</v>
      </c>
      <c r="P43" s="246">
        <f t="shared" si="20"/>
        <v>0</v>
      </c>
      <c r="Q43" s="246">
        <f t="shared" si="20"/>
        <v>0</v>
      </c>
      <c r="R43" s="246">
        <f t="shared" si="20"/>
        <v>0</v>
      </c>
      <c r="S43" s="246">
        <f t="shared" si="20"/>
        <v>0</v>
      </c>
      <c r="T43" s="246">
        <f t="shared" si="20"/>
        <v>0</v>
      </c>
      <c r="U43" s="246">
        <f t="shared" si="20"/>
        <v>0</v>
      </c>
      <c r="V43" s="246">
        <f t="shared" si="20"/>
        <v>0</v>
      </c>
      <c r="W43" s="246">
        <f t="shared" si="20"/>
        <v>0</v>
      </c>
      <c r="X43" s="246">
        <f t="shared" si="20"/>
        <v>0</v>
      </c>
      <c r="Y43" s="246">
        <f t="shared" si="20"/>
        <v>0</v>
      </c>
      <c r="Z43" s="246">
        <f t="shared" si="20"/>
        <v>0</v>
      </c>
      <c r="AA43" s="246">
        <f t="shared" si="20"/>
        <v>0</v>
      </c>
    </row>
    <row r="44" spans="2:57" x14ac:dyDescent="0.2">
      <c r="B44" s="229">
        <f t="shared" si="12"/>
        <v>21</v>
      </c>
      <c r="C44" s="597" t="s">
        <v>1025</v>
      </c>
      <c r="D44" s="236"/>
      <c r="E44" s="237" t="s">
        <v>712</v>
      </c>
      <c r="F44" s="238"/>
      <c r="G44" s="245">
        <f t="shared" si="17"/>
        <v>25</v>
      </c>
      <c r="H44" s="246">
        <f>IF(H19&gt;H21,H19,H21)</f>
        <v>25</v>
      </c>
      <c r="I44" s="246">
        <f t="shared" ref="I44:AA44" si="21">IF(I19&gt;I21,I19,I21)</f>
        <v>0</v>
      </c>
      <c r="J44" s="246">
        <f t="shared" si="21"/>
        <v>0</v>
      </c>
      <c r="K44" s="246">
        <f t="shared" si="21"/>
        <v>0</v>
      </c>
      <c r="L44" s="246">
        <f t="shared" si="21"/>
        <v>0</v>
      </c>
      <c r="M44" s="246">
        <f t="shared" si="21"/>
        <v>0</v>
      </c>
      <c r="N44" s="246">
        <f t="shared" si="21"/>
        <v>0</v>
      </c>
      <c r="O44" s="246">
        <f t="shared" si="21"/>
        <v>0</v>
      </c>
      <c r="P44" s="246">
        <f t="shared" si="21"/>
        <v>0</v>
      </c>
      <c r="Q44" s="246">
        <f t="shared" si="21"/>
        <v>0</v>
      </c>
      <c r="R44" s="246">
        <f t="shared" si="21"/>
        <v>0</v>
      </c>
      <c r="S44" s="246">
        <f t="shared" si="21"/>
        <v>0</v>
      </c>
      <c r="T44" s="246">
        <f t="shared" si="21"/>
        <v>0</v>
      </c>
      <c r="U44" s="246">
        <f t="shared" si="21"/>
        <v>0</v>
      </c>
      <c r="V44" s="246">
        <f t="shared" si="21"/>
        <v>0</v>
      </c>
      <c r="W44" s="246">
        <f t="shared" si="21"/>
        <v>0</v>
      </c>
      <c r="X44" s="246">
        <f t="shared" si="21"/>
        <v>0</v>
      </c>
      <c r="Y44" s="246">
        <f t="shared" si="21"/>
        <v>0</v>
      </c>
      <c r="Z44" s="246">
        <f t="shared" si="21"/>
        <v>0</v>
      </c>
      <c r="AA44" s="246">
        <f t="shared" si="21"/>
        <v>0</v>
      </c>
      <c r="AB44" s="433"/>
      <c r="AC44" s="434"/>
      <c r="AD44" s="434"/>
      <c r="AE44" s="434"/>
      <c r="AF44" s="434"/>
      <c r="AG44" s="434"/>
      <c r="AH44" s="434"/>
      <c r="AI44" s="434"/>
      <c r="AJ44" s="434"/>
      <c r="AK44" s="434"/>
      <c r="AL44" s="434"/>
      <c r="AM44" s="434"/>
      <c r="AN44" s="434"/>
      <c r="AO44" s="434"/>
      <c r="AP44" s="434"/>
      <c r="AQ44" s="434"/>
      <c r="AR44" s="434"/>
      <c r="AS44" s="434"/>
      <c r="AT44" s="434"/>
      <c r="AU44" s="434"/>
      <c r="AV44" s="434"/>
      <c r="AW44" s="434"/>
      <c r="AX44" s="434"/>
      <c r="AY44" s="434"/>
      <c r="AZ44" s="434"/>
      <c r="BA44" s="434"/>
      <c r="BB44" s="434"/>
      <c r="BC44" s="434"/>
      <c r="BD44" s="434"/>
      <c r="BE44" s="434"/>
    </row>
    <row r="45" spans="2:57" x14ac:dyDescent="0.2">
      <c r="B45" s="229">
        <f t="shared" si="12"/>
        <v>22</v>
      </c>
      <c r="C45" s="597" t="s">
        <v>1027</v>
      </c>
      <c r="D45" s="236"/>
      <c r="E45" s="237" t="s">
        <v>712</v>
      </c>
      <c r="F45" s="238"/>
      <c r="G45" s="245">
        <f t="shared" si="17"/>
        <v>0</v>
      </c>
      <c r="H45" s="246">
        <f>H19</f>
        <v>0</v>
      </c>
      <c r="I45" s="246">
        <f t="shared" ref="I45:AA45" si="22">I19</f>
        <v>0</v>
      </c>
      <c r="J45" s="246">
        <f t="shared" si="22"/>
        <v>0</v>
      </c>
      <c r="K45" s="246">
        <f t="shared" si="22"/>
        <v>0</v>
      </c>
      <c r="L45" s="246">
        <f t="shared" si="22"/>
        <v>0</v>
      </c>
      <c r="M45" s="246">
        <f t="shared" si="22"/>
        <v>0</v>
      </c>
      <c r="N45" s="246">
        <f t="shared" si="22"/>
        <v>0</v>
      </c>
      <c r="O45" s="246">
        <f t="shared" si="22"/>
        <v>0</v>
      </c>
      <c r="P45" s="246">
        <f t="shared" si="22"/>
        <v>0</v>
      </c>
      <c r="Q45" s="246">
        <f t="shared" si="22"/>
        <v>0</v>
      </c>
      <c r="R45" s="246">
        <f t="shared" si="22"/>
        <v>0</v>
      </c>
      <c r="S45" s="246">
        <f t="shared" si="22"/>
        <v>0</v>
      </c>
      <c r="T45" s="246">
        <f t="shared" si="22"/>
        <v>0</v>
      </c>
      <c r="U45" s="246">
        <f t="shared" si="22"/>
        <v>0</v>
      </c>
      <c r="V45" s="246">
        <f t="shared" si="22"/>
        <v>0</v>
      </c>
      <c r="W45" s="246">
        <f t="shared" si="22"/>
        <v>0</v>
      </c>
      <c r="X45" s="246">
        <f t="shared" si="22"/>
        <v>0</v>
      </c>
      <c r="Y45" s="246">
        <f t="shared" si="22"/>
        <v>0</v>
      </c>
      <c r="Z45" s="246">
        <f t="shared" si="22"/>
        <v>0</v>
      </c>
      <c r="AA45" s="246">
        <f t="shared" si="22"/>
        <v>0</v>
      </c>
      <c r="AB45" s="433"/>
      <c r="AC45" s="434"/>
      <c r="AD45" s="434"/>
      <c r="AE45" s="434"/>
      <c r="AF45" s="434"/>
      <c r="AG45" s="434"/>
      <c r="AH45" s="434"/>
      <c r="AI45" s="434"/>
      <c r="AJ45" s="434"/>
      <c r="AK45" s="434"/>
      <c r="AL45" s="434"/>
      <c r="AM45" s="434"/>
      <c r="AN45" s="434"/>
      <c r="AO45" s="434"/>
      <c r="AP45" s="434"/>
      <c r="AQ45" s="434"/>
      <c r="AR45" s="434"/>
      <c r="AS45" s="434"/>
      <c r="AT45" s="434"/>
      <c r="AU45" s="434"/>
      <c r="AV45" s="434"/>
      <c r="AW45" s="434"/>
      <c r="AX45" s="434"/>
      <c r="AY45" s="434"/>
      <c r="AZ45" s="434"/>
      <c r="BA45" s="434"/>
      <c r="BB45" s="434"/>
      <c r="BC45" s="434"/>
      <c r="BD45" s="434"/>
      <c r="BE45" s="434"/>
    </row>
    <row r="46" spans="2:57" x14ac:dyDescent="0.2">
      <c r="B46" s="229">
        <f t="shared" si="12"/>
        <v>23</v>
      </c>
      <c r="C46" s="597" t="s">
        <v>1028</v>
      </c>
      <c r="D46" s="236"/>
      <c r="E46" s="237" t="s">
        <v>712</v>
      </c>
      <c r="F46" s="238"/>
      <c r="G46" s="245">
        <f t="shared" si="17"/>
        <v>25</v>
      </c>
      <c r="H46" s="246">
        <f>H21</f>
        <v>25</v>
      </c>
      <c r="I46" s="246">
        <f t="shared" ref="I46:AA46" si="23">I21</f>
        <v>0</v>
      </c>
      <c r="J46" s="246">
        <f t="shared" si="23"/>
        <v>0</v>
      </c>
      <c r="K46" s="246">
        <f t="shared" si="23"/>
        <v>0</v>
      </c>
      <c r="L46" s="246">
        <f t="shared" si="23"/>
        <v>0</v>
      </c>
      <c r="M46" s="246">
        <f t="shared" si="23"/>
        <v>0</v>
      </c>
      <c r="N46" s="246">
        <f t="shared" si="23"/>
        <v>0</v>
      </c>
      <c r="O46" s="246">
        <f t="shared" si="23"/>
        <v>0</v>
      </c>
      <c r="P46" s="246">
        <f t="shared" si="23"/>
        <v>0</v>
      </c>
      <c r="Q46" s="246">
        <f t="shared" si="23"/>
        <v>0</v>
      </c>
      <c r="R46" s="246">
        <f t="shared" si="23"/>
        <v>0</v>
      </c>
      <c r="S46" s="246">
        <f t="shared" si="23"/>
        <v>0</v>
      </c>
      <c r="T46" s="246">
        <f t="shared" si="23"/>
        <v>0</v>
      </c>
      <c r="U46" s="246">
        <f t="shared" si="23"/>
        <v>0</v>
      </c>
      <c r="V46" s="246">
        <f t="shared" si="23"/>
        <v>0</v>
      </c>
      <c r="W46" s="246">
        <f t="shared" si="23"/>
        <v>0</v>
      </c>
      <c r="X46" s="246">
        <f t="shared" si="23"/>
        <v>0</v>
      </c>
      <c r="Y46" s="246">
        <f t="shared" si="23"/>
        <v>0</v>
      </c>
      <c r="Z46" s="246">
        <f t="shared" si="23"/>
        <v>0</v>
      </c>
      <c r="AA46" s="246">
        <f t="shared" si="23"/>
        <v>0</v>
      </c>
      <c r="AB46" s="433"/>
      <c r="AC46" s="434"/>
      <c r="AD46" s="434"/>
      <c r="AE46" s="434"/>
      <c r="AF46" s="434"/>
      <c r="AG46" s="434"/>
      <c r="AH46" s="434"/>
      <c r="AI46" s="434"/>
      <c r="AJ46" s="434"/>
      <c r="AK46" s="434"/>
      <c r="AL46" s="434"/>
      <c r="AM46" s="434"/>
      <c r="AN46" s="434"/>
      <c r="AO46" s="434"/>
      <c r="AP46" s="434"/>
      <c r="AQ46" s="434"/>
      <c r="AR46" s="434"/>
      <c r="AS46" s="434"/>
      <c r="AT46" s="434"/>
      <c r="AU46" s="434"/>
      <c r="AV46" s="434"/>
      <c r="AW46" s="434"/>
      <c r="AX46" s="434"/>
      <c r="AY46" s="434"/>
      <c r="AZ46" s="434"/>
      <c r="BA46" s="434"/>
      <c r="BB46" s="434"/>
      <c r="BC46" s="434"/>
      <c r="BD46" s="434"/>
      <c r="BE46" s="434"/>
    </row>
  </sheetData>
  <sheetProtection algorithmName="SHA-512" hashValue="22YEecY2PXzRleKMp3ZSGF96NdUPyluIXHsEnpHw1fQ8k7v3xQugF55mQ2F6oPgfjpht/ln0nyghAZBy4WWaEA==" saltValue="x8uI9ccT0+LEYQXq4KLkLw==" spinCount="100000" sheet="1" objects="1" scenarios="1"/>
  <mergeCells count="10">
    <mergeCell ref="B33:F33"/>
    <mergeCell ref="B4:F4"/>
    <mergeCell ref="F19:F20"/>
    <mergeCell ref="F22:F23"/>
    <mergeCell ref="F24:F25"/>
    <mergeCell ref="B2:G2"/>
    <mergeCell ref="B3:F3"/>
    <mergeCell ref="B10:B12"/>
    <mergeCell ref="B13:B15"/>
    <mergeCell ref="B17:F17"/>
  </mergeCells>
  <conditionalFormatting sqref="H35:AA35 I10:AA10">
    <cfRule type="cellIs" dxfId="16" priority="11" operator="greaterThan">
      <formula>24</formula>
    </cfRule>
    <cfRule type="cellIs" dxfId="15" priority="12" operator="lessThan">
      <formula>0</formula>
    </cfRule>
  </conditionalFormatting>
  <conditionalFormatting sqref="G29:G30 H36:AA37">
    <cfRule type="cellIs" dxfId="14" priority="8" operator="lessThan">
      <formula>0</formula>
    </cfRule>
  </conditionalFormatting>
  <conditionalFormatting sqref="H36:AA36">
    <cfRule type="cellIs" dxfId="13" priority="6" operator="greaterThan">
      <formula>22</formula>
    </cfRule>
  </conditionalFormatting>
  <conditionalFormatting sqref="H37:AA37">
    <cfRule type="cellIs" dxfId="12" priority="5" operator="greaterThan">
      <formula>3</formula>
    </cfRule>
  </conditionalFormatting>
  <conditionalFormatting sqref="H36:AA37">
    <cfRule type="cellIs" dxfId="11" priority="3" operator="greaterThan">
      <formula>24</formula>
    </cfRule>
    <cfRule type="cellIs" dxfId="10" priority="4" operator="lessThan">
      <formula>0</formula>
    </cfRule>
  </conditionalFormatting>
  <conditionalFormatting sqref="H10">
    <cfRule type="cellIs" dxfId="9" priority="1" operator="greaterThan">
      <formula>24</formula>
    </cfRule>
    <cfRule type="cellIs" dxfId="8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>
    <tabColor theme="1"/>
  </sheetPr>
  <dimension ref="B2:P31"/>
  <sheetViews>
    <sheetView showGridLines="0" workbookViewId="0">
      <pane xSplit="4" ySplit="3" topLeftCell="E4" activePane="bottomRight" state="frozen"/>
      <selection activeCell="E30" sqref="E30"/>
      <selection pane="topRight" activeCell="E30" sqref="E30"/>
      <selection pane="bottomLeft" activeCell="E30" sqref="E30"/>
      <selection pane="bottomRight" activeCell="E4" sqref="E4"/>
    </sheetView>
  </sheetViews>
  <sheetFormatPr defaultColWidth="9.140625" defaultRowHeight="15" customHeight="1" x14ac:dyDescent="0.25"/>
  <cols>
    <col min="1" max="2" width="3.42578125" style="406" customWidth="1"/>
    <col min="3" max="3" width="35.42578125" style="406" customWidth="1"/>
    <col min="4" max="4" width="9.42578125" style="406" customWidth="1"/>
    <col min="5" max="16" width="12.42578125" style="406" customWidth="1"/>
    <col min="17" max="17" width="17" style="406" bestFit="1" customWidth="1"/>
    <col min="18" max="16384" width="9.140625" style="406"/>
  </cols>
  <sheetData>
    <row r="2" spans="2:16" ht="15" customHeight="1" x14ac:dyDescent="0.25">
      <c r="B2" s="1251" t="s">
        <v>795</v>
      </c>
      <c r="C2" s="1251"/>
      <c r="D2" s="1251"/>
      <c r="E2" s="1252" t="s">
        <v>663</v>
      </c>
      <c r="F2" s="1253"/>
      <c r="G2" s="1253"/>
      <c r="H2" s="1253"/>
      <c r="I2" s="1253"/>
      <c r="J2" s="1253"/>
      <c r="K2" s="1253"/>
      <c r="L2" s="1253"/>
      <c r="M2" s="1253"/>
      <c r="N2" s="1253"/>
      <c r="O2" s="1253"/>
      <c r="P2" s="1254"/>
    </row>
    <row r="3" spans="2:16" ht="15" customHeight="1" x14ac:dyDescent="0.25">
      <c r="B3" s="1251"/>
      <c r="C3" s="1251"/>
      <c r="D3" s="1251"/>
      <c r="E3" s="323" t="s">
        <v>664</v>
      </c>
      <c r="F3" s="323" t="s">
        <v>665</v>
      </c>
      <c r="G3" s="323" t="s">
        <v>666</v>
      </c>
      <c r="H3" s="323" t="s">
        <v>667</v>
      </c>
      <c r="I3" s="323" t="s">
        <v>668</v>
      </c>
      <c r="J3" s="323" t="s">
        <v>669</v>
      </c>
      <c r="K3" s="323" t="s">
        <v>670</v>
      </c>
      <c r="L3" s="323" t="s">
        <v>671</v>
      </c>
      <c r="M3" s="323" t="s">
        <v>672</v>
      </c>
      <c r="N3" s="323" t="s">
        <v>673</v>
      </c>
      <c r="O3" s="323" t="s">
        <v>674</v>
      </c>
      <c r="P3" s="323" t="s">
        <v>675</v>
      </c>
    </row>
    <row r="4" spans="2:16" ht="15" customHeight="1" x14ac:dyDescent="0.25">
      <c r="B4" s="1255">
        <v>1</v>
      </c>
      <c r="C4" s="1257" t="s">
        <v>1076</v>
      </c>
      <c r="D4" s="322" t="s">
        <v>7</v>
      </c>
      <c r="E4" s="290" t="str">
        <f>IF(ISBLANK(Físico!E4),"","X")</f>
        <v/>
      </c>
      <c r="F4" s="290" t="str">
        <f>IF(ISBLANK(Físico!F4),"","X")</f>
        <v/>
      </c>
      <c r="G4" s="290" t="str">
        <f>IF(ISBLANK(Físico!G4),"","X")</f>
        <v/>
      </c>
      <c r="H4" s="290" t="str">
        <f>IF(ISBLANK(Físico!H4),"","X")</f>
        <v/>
      </c>
      <c r="I4" s="290" t="str">
        <f>IF(ISBLANK(Físico!I4),"","X")</f>
        <v/>
      </c>
      <c r="J4" s="290" t="str">
        <f>IF(ISBLANK(Físico!J4),"","X")</f>
        <v/>
      </c>
      <c r="K4" s="290" t="str">
        <f>IF(ISBLANK(Físico!K4),"","X")</f>
        <v/>
      </c>
      <c r="L4" s="290" t="str">
        <f>IF(ISBLANK(Físico!L4),"","X")</f>
        <v/>
      </c>
      <c r="M4" s="290" t="str">
        <f>IF(ISBLANK(Físico!M4),"","X")</f>
        <v/>
      </c>
      <c r="N4" s="290" t="str">
        <f>IF(ISBLANK(Físico!N4),"","X")</f>
        <v/>
      </c>
      <c r="O4" s="290" t="str">
        <f>IF(ISBLANK(Físico!O4),"","X")</f>
        <v/>
      </c>
      <c r="P4" s="290" t="str">
        <f>IF(ISBLANK(Físico!#REF!),"","X")</f>
        <v>X</v>
      </c>
    </row>
    <row r="5" spans="2:16" ht="15" customHeight="1" x14ac:dyDescent="0.25">
      <c r="B5" s="1256"/>
      <c r="C5" s="1258"/>
      <c r="D5" s="322" t="s">
        <v>676</v>
      </c>
      <c r="E5" s="290"/>
      <c r="F5" s="290"/>
      <c r="G5" s="290"/>
      <c r="H5" s="290"/>
      <c r="I5" s="290"/>
      <c r="J5" s="290"/>
      <c r="K5" s="290"/>
      <c r="L5" s="290"/>
      <c r="M5" s="290"/>
      <c r="N5" s="290"/>
      <c r="O5" s="290"/>
      <c r="P5" s="290"/>
    </row>
    <row r="6" spans="2:16" ht="15" customHeight="1" x14ac:dyDescent="0.25">
      <c r="B6" s="1259">
        <f>B4+1</f>
        <v>2</v>
      </c>
      <c r="C6" s="1261" t="s">
        <v>899</v>
      </c>
      <c r="D6" s="324" t="s">
        <v>7</v>
      </c>
      <c r="E6" s="290" t="str">
        <f>IF(ISBLANK(Físico!E6),"","X")</f>
        <v/>
      </c>
      <c r="F6" s="290" t="str">
        <f>IF(ISBLANK(Físico!F6),"","X")</f>
        <v/>
      </c>
      <c r="G6" s="290" t="str">
        <f>IF(ISBLANK(Físico!G6),"","X")</f>
        <v/>
      </c>
      <c r="H6" s="290" t="str">
        <f>IF(ISBLANK(Físico!H6),"","X")</f>
        <v/>
      </c>
      <c r="I6" s="290" t="str">
        <f>IF(ISBLANK(Físico!I6),"","X")</f>
        <v/>
      </c>
      <c r="J6" s="290" t="str">
        <f>IF(ISBLANK(Físico!J6),"","X")</f>
        <v/>
      </c>
      <c r="K6" s="290" t="str">
        <f>IF(ISBLANK(Físico!K6),"","X")</f>
        <v/>
      </c>
      <c r="L6" s="290" t="str">
        <f>IF(ISBLANK(Físico!L6),"","X")</f>
        <v/>
      </c>
      <c r="M6" s="290" t="str">
        <f>IF(ISBLANK(Físico!M6),"","X")</f>
        <v/>
      </c>
      <c r="N6" s="290" t="str">
        <f>IF(ISBLANK(Físico!N6),"","X")</f>
        <v/>
      </c>
      <c r="O6" s="290" t="str">
        <f>IF(ISBLANK(Físico!O6),"","X")</f>
        <v/>
      </c>
      <c r="P6" s="290" t="str">
        <f>IF(ISBLANK(Físico!#REF!),"","X")</f>
        <v>X</v>
      </c>
    </row>
    <row r="7" spans="2:16" ht="15" customHeight="1" x14ac:dyDescent="0.25">
      <c r="B7" s="1260"/>
      <c r="C7" s="1262"/>
      <c r="D7" s="324" t="s">
        <v>676</v>
      </c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</row>
    <row r="8" spans="2:16" ht="15" customHeight="1" x14ac:dyDescent="0.25">
      <c r="B8" s="1255">
        <f>B6+1</f>
        <v>3</v>
      </c>
      <c r="C8" s="1264" t="s">
        <v>906</v>
      </c>
      <c r="D8" s="322" t="s">
        <v>7</v>
      </c>
      <c r="E8" s="290" t="str">
        <f>IF(ISBLANK(Físico!E8),"","X")</f>
        <v/>
      </c>
      <c r="F8" s="290" t="str">
        <f>IF(ISBLANK(Físico!F8),"","X")</f>
        <v/>
      </c>
      <c r="G8" s="290" t="str">
        <f>IF(ISBLANK(Físico!G8),"","X")</f>
        <v/>
      </c>
      <c r="H8" s="290" t="str">
        <f>IF(ISBLANK(Físico!H8),"","X")</f>
        <v/>
      </c>
      <c r="I8" s="290" t="str">
        <f>IF(ISBLANK(Físico!I8),"","X")</f>
        <v/>
      </c>
      <c r="J8" s="290" t="str">
        <f>IF(ISBLANK(Físico!J8),"","X")</f>
        <v/>
      </c>
      <c r="K8" s="290" t="str">
        <f>IF(ISBLANK(Físico!K8),"","X")</f>
        <v/>
      </c>
      <c r="L8" s="290" t="str">
        <f>IF(ISBLANK(Físico!L8),"","X")</f>
        <v/>
      </c>
      <c r="M8" s="290" t="str">
        <f>IF(ISBLANK(Físico!M8),"","X")</f>
        <v/>
      </c>
      <c r="N8" s="290" t="str">
        <f>IF(ISBLANK(Físico!N8),"","X")</f>
        <v/>
      </c>
      <c r="O8" s="290" t="str">
        <f>IF(ISBLANK(Físico!O8),"","X")</f>
        <v/>
      </c>
      <c r="P8" s="290" t="str">
        <f>IF(ISBLANK(Físico!#REF!),"","X")</f>
        <v>X</v>
      </c>
    </row>
    <row r="9" spans="2:16" ht="15" customHeight="1" x14ac:dyDescent="0.25">
      <c r="B9" s="1256"/>
      <c r="C9" s="1258"/>
      <c r="D9" s="322" t="s">
        <v>676</v>
      </c>
      <c r="E9" s="290"/>
      <c r="F9" s="290"/>
      <c r="G9" s="290"/>
      <c r="H9" s="290"/>
      <c r="I9" s="290"/>
      <c r="J9" s="290"/>
      <c r="K9" s="290"/>
      <c r="L9" s="290"/>
      <c r="M9" s="290"/>
      <c r="N9" s="290"/>
      <c r="O9" s="290"/>
      <c r="P9" s="290"/>
    </row>
    <row r="10" spans="2:16" ht="15" customHeight="1" x14ac:dyDescent="0.25">
      <c r="B10" s="1259">
        <f>B8+1</f>
        <v>4</v>
      </c>
      <c r="C10" s="1261" t="s">
        <v>775</v>
      </c>
      <c r="D10" s="324" t="s">
        <v>7</v>
      </c>
      <c r="E10" s="290" t="str">
        <f>IF(ISBLANK(Físico!E10),"","X")</f>
        <v/>
      </c>
      <c r="F10" s="290" t="str">
        <f>IF(ISBLANK(Físico!F10),"","X")</f>
        <v/>
      </c>
      <c r="G10" s="290" t="str">
        <f>IF(ISBLANK(Físico!G10),"","X")</f>
        <v/>
      </c>
      <c r="H10" s="290" t="str">
        <f>IF(ISBLANK(Físico!H10),"","X")</f>
        <v/>
      </c>
      <c r="I10" s="290" t="str">
        <f>IF(ISBLANK(Físico!I10),"","X")</f>
        <v/>
      </c>
      <c r="J10" s="290" t="str">
        <f>IF(ISBLANK(Físico!J10),"","X")</f>
        <v/>
      </c>
      <c r="K10" s="290" t="str">
        <f>IF(ISBLANK(Físico!K10),"","X")</f>
        <v/>
      </c>
      <c r="L10" s="290" t="str">
        <f>IF(ISBLANK(Físico!L10),"","X")</f>
        <v/>
      </c>
      <c r="M10" s="290" t="str">
        <f>IF(ISBLANK(Físico!M10),"","X")</f>
        <v/>
      </c>
      <c r="N10" s="290" t="str">
        <f>IF(ISBLANK(Físico!N10),"","X")</f>
        <v/>
      </c>
      <c r="O10" s="290" t="str">
        <f>IF(ISBLANK(Físico!O10),"","X")</f>
        <v/>
      </c>
      <c r="P10" s="290" t="str">
        <f>IF(ISBLANK(Físico!#REF!),"","X")</f>
        <v>X</v>
      </c>
    </row>
    <row r="11" spans="2:16" ht="15" customHeight="1" x14ac:dyDescent="0.25">
      <c r="B11" s="1260"/>
      <c r="C11" s="1262"/>
      <c r="D11" s="324" t="s">
        <v>676</v>
      </c>
      <c r="E11" s="290"/>
      <c r="F11" s="290"/>
      <c r="G11" s="290"/>
      <c r="H11" s="290"/>
      <c r="I11" s="290"/>
      <c r="J11" s="290"/>
      <c r="K11" s="290"/>
      <c r="L11" s="290"/>
      <c r="M11" s="290"/>
      <c r="N11" s="290"/>
      <c r="O11" s="290"/>
      <c r="P11" s="290"/>
    </row>
    <row r="12" spans="2:16" ht="15" customHeight="1" x14ac:dyDescent="0.25">
      <c r="B12" s="1255">
        <f>B10+1</f>
        <v>5</v>
      </c>
      <c r="C12" s="1264" t="s">
        <v>905</v>
      </c>
      <c r="D12" s="322" t="s">
        <v>7</v>
      </c>
      <c r="E12" s="290" t="str">
        <f>IF(ISBLANK(Físico!E12),"","X")</f>
        <v/>
      </c>
      <c r="F12" s="290" t="str">
        <f>IF(ISBLANK(Físico!F12),"","X")</f>
        <v/>
      </c>
      <c r="G12" s="290" t="str">
        <f>IF(ISBLANK(Físico!G12),"","X")</f>
        <v/>
      </c>
      <c r="H12" s="290" t="str">
        <f>IF(ISBLANK(Físico!H12),"","X")</f>
        <v/>
      </c>
      <c r="I12" s="290" t="str">
        <f>IF(ISBLANK(Físico!I12),"","X")</f>
        <v/>
      </c>
      <c r="J12" s="290" t="str">
        <f>IF(ISBLANK(Físico!J12),"","X")</f>
        <v/>
      </c>
      <c r="K12" s="290" t="str">
        <f>IF(ISBLANK(Físico!K12),"","X")</f>
        <v/>
      </c>
      <c r="L12" s="290" t="str">
        <f>IF(ISBLANK(Físico!L12),"","X")</f>
        <v/>
      </c>
      <c r="M12" s="290" t="str">
        <f>IF(ISBLANK(Físico!M12),"","X")</f>
        <v/>
      </c>
      <c r="N12" s="290" t="str">
        <f>IF(ISBLANK(Físico!N12),"","X")</f>
        <v/>
      </c>
      <c r="O12" s="290" t="str">
        <f>IF(ISBLANK(Físico!O12),"","X")</f>
        <v/>
      </c>
      <c r="P12" s="290" t="str">
        <f>IF(ISBLANK(Físico!#REF!),"","X")</f>
        <v>X</v>
      </c>
    </row>
    <row r="13" spans="2:16" ht="15" customHeight="1" x14ac:dyDescent="0.25">
      <c r="B13" s="1256"/>
      <c r="C13" s="1258"/>
      <c r="D13" s="322" t="s">
        <v>676</v>
      </c>
      <c r="E13" s="290"/>
      <c r="F13" s="290"/>
      <c r="G13" s="290"/>
      <c r="H13" s="290"/>
      <c r="I13" s="290"/>
      <c r="J13" s="290"/>
      <c r="K13" s="290"/>
      <c r="L13" s="290"/>
      <c r="M13" s="290"/>
      <c r="N13" s="290"/>
      <c r="O13" s="290"/>
      <c r="P13" s="290"/>
    </row>
    <row r="14" spans="2:16" ht="15" customHeight="1" x14ac:dyDescent="0.25">
      <c r="B14" s="1259">
        <f>B12+1</f>
        <v>6</v>
      </c>
      <c r="C14" s="1261" t="s">
        <v>776</v>
      </c>
      <c r="D14" s="324" t="s">
        <v>7</v>
      </c>
      <c r="E14" s="290" t="str">
        <f>IF(ISBLANK(Físico!E14),"","X")</f>
        <v/>
      </c>
      <c r="F14" s="290" t="str">
        <f>IF(ISBLANK(Físico!F14),"","X")</f>
        <v/>
      </c>
      <c r="G14" s="290" t="str">
        <f>IF(ISBLANK(Físico!G14),"","X")</f>
        <v/>
      </c>
      <c r="H14" s="290" t="str">
        <f>IF(ISBLANK(Físico!H14),"","X")</f>
        <v/>
      </c>
      <c r="I14" s="290" t="str">
        <f>IF(ISBLANK(Físico!I14),"","X")</f>
        <v/>
      </c>
      <c r="J14" s="290" t="str">
        <f>IF(ISBLANK(Físico!J14),"","X")</f>
        <v/>
      </c>
      <c r="K14" s="290" t="str">
        <f>IF(ISBLANK(Físico!K14),"","X")</f>
        <v/>
      </c>
      <c r="L14" s="290" t="str">
        <f>IF(ISBLANK(Físico!L14),"","X")</f>
        <v/>
      </c>
      <c r="M14" s="290" t="str">
        <f>IF(ISBLANK(Físico!M14),"","X")</f>
        <v/>
      </c>
      <c r="N14" s="290" t="str">
        <f>IF(ISBLANK(Físico!N14),"","X")</f>
        <v/>
      </c>
      <c r="O14" s="290" t="str">
        <f>IF(ISBLANK(Físico!O14),"","X")</f>
        <v/>
      </c>
      <c r="P14" s="290" t="str">
        <f>IF(ISBLANK(Físico!#REF!),"","X")</f>
        <v>X</v>
      </c>
    </row>
    <row r="15" spans="2:16" ht="15" customHeight="1" x14ac:dyDescent="0.25">
      <c r="B15" s="1260"/>
      <c r="C15" s="1262"/>
      <c r="D15" s="324" t="s">
        <v>676</v>
      </c>
      <c r="E15" s="290"/>
      <c r="F15" s="290"/>
      <c r="G15" s="290"/>
      <c r="H15" s="290"/>
      <c r="I15" s="290"/>
      <c r="J15" s="290"/>
      <c r="K15" s="290"/>
      <c r="L15" s="290"/>
      <c r="M15" s="290"/>
      <c r="N15" s="290"/>
      <c r="O15" s="290"/>
      <c r="P15" s="290"/>
    </row>
    <row r="16" spans="2:16" ht="15" customHeight="1" x14ac:dyDescent="0.25">
      <c r="B16" s="1255">
        <f>B14+1</f>
        <v>7</v>
      </c>
      <c r="C16" s="1264" t="s">
        <v>175</v>
      </c>
      <c r="D16" s="322" t="s">
        <v>7</v>
      </c>
      <c r="E16" s="290" t="str">
        <f>IF(ISBLANK(Físico!E16),"","X")</f>
        <v/>
      </c>
      <c r="F16" s="290" t="str">
        <f>IF(ISBLANK(Físico!F16),"","X")</f>
        <v/>
      </c>
      <c r="G16" s="290" t="str">
        <f>IF(ISBLANK(Físico!G16),"","X")</f>
        <v/>
      </c>
      <c r="H16" s="290" t="str">
        <f>IF(ISBLANK(Físico!H16),"","X")</f>
        <v/>
      </c>
      <c r="I16" s="290" t="str">
        <f>IF(ISBLANK(Físico!I16),"","X")</f>
        <v/>
      </c>
      <c r="J16" s="290" t="str">
        <f>IF(ISBLANK(Físico!J16),"","X")</f>
        <v/>
      </c>
      <c r="K16" s="290" t="str">
        <f>IF(ISBLANK(Físico!K16),"","X")</f>
        <v/>
      </c>
      <c r="L16" s="290" t="str">
        <f>IF(ISBLANK(Físico!L16),"","X")</f>
        <v/>
      </c>
      <c r="M16" s="290" t="str">
        <f>IF(ISBLANK(Físico!M16),"","X")</f>
        <v/>
      </c>
      <c r="N16" s="290" t="str">
        <f>IF(ISBLANK(Físico!N16),"","X")</f>
        <v/>
      </c>
      <c r="O16" s="290" t="str">
        <f>IF(ISBLANK(Físico!O16),"","X")</f>
        <v/>
      </c>
      <c r="P16" s="290" t="str">
        <f>IF(ISBLANK(Físico!#REF!),"","X")</f>
        <v>X</v>
      </c>
    </row>
    <row r="17" spans="2:16" ht="15" customHeight="1" x14ac:dyDescent="0.25">
      <c r="B17" s="1256"/>
      <c r="C17" s="1258"/>
      <c r="D17" s="322" t="s">
        <v>676</v>
      </c>
      <c r="E17" s="290"/>
      <c r="F17" s="290"/>
      <c r="G17" s="290"/>
      <c r="H17" s="290"/>
      <c r="I17" s="290"/>
      <c r="J17" s="290"/>
      <c r="K17" s="290"/>
      <c r="L17" s="290"/>
      <c r="M17" s="290"/>
      <c r="N17" s="290"/>
      <c r="O17" s="290"/>
      <c r="P17" s="290"/>
    </row>
    <row r="18" spans="2:16" ht="15" customHeight="1" x14ac:dyDescent="0.25">
      <c r="B18" s="1259">
        <f>B16+1</f>
        <v>8</v>
      </c>
      <c r="C18" s="1261" t="s">
        <v>777</v>
      </c>
      <c r="D18" s="324" t="s">
        <v>7</v>
      </c>
      <c r="E18" s="290" t="str">
        <f>IF(ISBLANK(Físico!E18),"","X")</f>
        <v/>
      </c>
      <c r="F18" s="290" t="str">
        <f>IF(ISBLANK(Físico!F18),"","X")</f>
        <v/>
      </c>
      <c r="G18" s="290" t="str">
        <f>IF(ISBLANK(Físico!G18),"","X")</f>
        <v/>
      </c>
      <c r="H18" s="290" t="str">
        <f>IF(ISBLANK(Físico!H18),"","X")</f>
        <v/>
      </c>
      <c r="I18" s="290" t="str">
        <f>IF(ISBLANK(Físico!I18),"","X")</f>
        <v/>
      </c>
      <c r="J18" s="290" t="str">
        <f>IF(ISBLANK(Físico!J18),"","X")</f>
        <v/>
      </c>
      <c r="K18" s="290" t="str">
        <f>IF(ISBLANK(Físico!K18),"","X")</f>
        <v/>
      </c>
      <c r="L18" s="290" t="str">
        <f>IF(ISBLANK(Físico!L18),"","X")</f>
        <v/>
      </c>
      <c r="M18" s="290" t="str">
        <f>IF(ISBLANK(Físico!M18),"","X")</f>
        <v/>
      </c>
      <c r="N18" s="290" t="str">
        <f>IF(ISBLANK(Físico!N18),"","X")</f>
        <v/>
      </c>
      <c r="O18" s="290" t="str">
        <f>IF(ISBLANK(Físico!O18),"","X")</f>
        <v/>
      </c>
      <c r="P18" s="290" t="str">
        <f>IF(ISBLANK(Físico!#REF!),"","X")</f>
        <v>X</v>
      </c>
    </row>
    <row r="19" spans="2:16" ht="15" customHeight="1" x14ac:dyDescent="0.25">
      <c r="B19" s="1260"/>
      <c r="C19" s="1262"/>
      <c r="D19" s="324" t="s">
        <v>676</v>
      </c>
      <c r="E19" s="290"/>
      <c r="F19" s="290"/>
      <c r="G19" s="290"/>
      <c r="H19" s="290"/>
      <c r="I19" s="290"/>
      <c r="J19" s="290"/>
      <c r="K19" s="290"/>
      <c r="L19" s="290"/>
      <c r="M19" s="290"/>
      <c r="N19" s="290"/>
      <c r="O19" s="290"/>
      <c r="P19" s="290"/>
    </row>
    <row r="20" spans="2:16" ht="15" customHeight="1" x14ac:dyDescent="0.25">
      <c r="B20" s="1255">
        <f>B18+1</f>
        <v>9</v>
      </c>
      <c r="C20" s="1263" t="s">
        <v>778</v>
      </c>
      <c r="D20" s="322" t="s">
        <v>7</v>
      </c>
      <c r="E20" s="290" t="str">
        <f>IF(ISBLANK(Físico!E20),"","X")</f>
        <v/>
      </c>
      <c r="F20" s="290" t="str">
        <f>IF(ISBLANK(Físico!F20),"","X")</f>
        <v/>
      </c>
      <c r="G20" s="290" t="str">
        <f>IF(ISBLANK(Físico!G20),"","X")</f>
        <v/>
      </c>
      <c r="H20" s="290" t="str">
        <f>IF(ISBLANK(Físico!H20),"","X")</f>
        <v/>
      </c>
      <c r="I20" s="290" t="str">
        <f>IF(ISBLANK(Físico!I20),"","X")</f>
        <v/>
      </c>
      <c r="J20" s="290" t="str">
        <f>IF(ISBLANK(Físico!J20),"","X")</f>
        <v/>
      </c>
      <c r="K20" s="290" t="str">
        <f>IF(ISBLANK(Físico!K20),"","X")</f>
        <v/>
      </c>
      <c r="L20" s="290" t="str">
        <f>IF(ISBLANK(Físico!L20),"","X")</f>
        <v/>
      </c>
      <c r="M20" s="290" t="str">
        <f>IF(ISBLANK(Físico!M20),"","X")</f>
        <v/>
      </c>
      <c r="N20" s="290" t="str">
        <f>IF(ISBLANK(Físico!N20),"","X")</f>
        <v/>
      </c>
      <c r="O20" s="290" t="str">
        <f>IF(ISBLANK(Físico!O20),"","X")</f>
        <v/>
      </c>
      <c r="P20" s="290" t="str">
        <f>IF(ISBLANK(Físico!#REF!),"","X")</f>
        <v>X</v>
      </c>
    </row>
    <row r="21" spans="2:16" ht="15" customHeight="1" x14ac:dyDescent="0.25">
      <c r="B21" s="1256"/>
      <c r="C21" s="1258"/>
      <c r="D21" s="322" t="s">
        <v>676</v>
      </c>
      <c r="E21" s="290"/>
      <c r="F21" s="290"/>
      <c r="G21" s="290"/>
      <c r="H21" s="290"/>
      <c r="I21" s="290"/>
      <c r="J21" s="290"/>
      <c r="K21" s="290"/>
      <c r="L21" s="290"/>
      <c r="M21" s="290"/>
      <c r="N21" s="290"/>
      <c r="O21" s="290"/>
      <c r="P21" s="290"/>
    </row>
    <row r="22" spans="2:16" ht="15" customHeight="1" x14ac:dyDescent="0.25">
      <c r="B22" s="1259">
        <f>B20+1</f>
        <v>10</v>
      </c>
      <c r="C22" s="1261" t="s">
        <v>177</v>
      </c>
      <c r="D22" s="324" t="s">
        <v>7</v>
      </c>
      <c r="E22" s="290" t="str">
        <f>IF(ISBLANK(Físico!E22),"","X")</f>
        <v/>
      </c>
      <c r="F22" s="290" t="str">
        <f>IF(ISBLANK(Físico!F22),"","X")</f>
        <v/>
      </c>
      <c r="G22" s="290" t="str">
        <f>IF(ISBLANK(Físico!G22),"","X")</f>
        <v/>
      </c>
      <c r="H22" s="290" t="str">
        <f>IF(ISBLANK(Físico!H22),"","X")</f>
        <v/>
      </c>
      <c r="I22" s="290" t="str">
        <f>IF(ISBLANK(Físico!I22),"","X")</f>
        <v/>
      </c>
      <c r="J22" s="290" t="str">
        <f>IF(ISBLANK(Físico!J22),"","X")</f>
        <v/>
      </c>
      <c r="K22" s="290" t="str">
        <f>IF(ISBLANK(Físico!K22),"","X")</f>
        <v/>
      </c>
      <c r="L22" s="290" t="str">
        <f>IF(ISBLANK(Físico!L22),"","X")</f>
        <v/>
      </c>
      <c r="M22" s="290" t="str">
        <f>IF(ISBLANK(Físico!M22),"","X")</f>
        <v/>
      </c>
      <c r="N22" s="290" t="str">
        <f>IF(ISBLANK(Físico!N22),"","X")</f>
        <v/>
      </c>
      <c r="O22" s="290" t="str">
        <f>IF(ISBLANK(Físico!O22),"","X")</f>
        <v/>
      </c>
      <c r="P22" s="290" t="str">
        <f>IF(ISBLANK(Físico!#REF!),"","X")</f>
        <v>X</v>
      </c>
    </row>
    <row r="23" spans="2:16" ht="15" customHeight="1" x14ac:dyDescent="0.25">
      <c r="B23" s="1260"/>
      <c r="C23" s="1262"/>
      <c r="D23" s="324" t="s">
        <v>676</v>
      </c>
      <c r="E23" s="290"/>
      <c r="F23" s="290"/>
      <c r="G23" s="290"/>
      <c r="H23" s="290"/>
      <c r="I23" s="290"/>
      <c r="J23" s="290"/>
      <c r="K23" s="290"/>
      <c r="L23" s="290"/>
      <c r="M23" s="290"/>
      <c r="N23" s="290"/>
      <c r="O23" s="290"/>
      <c r="P23" s="290"/>
    </row>
    <row r="24" spans="2:16" ht="15" customHeight="1" x14ac:dyDescent="0.25">
      <c r="B24" s="1255">
        <f>B22+1</f>
        <v>11</v>
      </c>
      <c r="C24" s="1266" t="s">
        <v>779</v>
      </c>
      <c r="D24" s="322" t="s">
        <v>7</v>
      </c>
      <c r="E24" s="290" t="str">
        <f>IF(ISBLANK(Físico!E24),"","X")</f>
        <v/>
      </c>
      <c r="F24" s="290" t="str">
        <f>IF(ISBLANK(Físico!F24),"","X")</f>
        <v/>
      </c>
      <c r="G24" s="290" t="str">
        <f>IF(ISBLANK(Físico!G24),"","X")</f>
        <v/>
      </c>
      <c r="H24" s="290" t="str">
        <f>IF(ISBLANK(Físico!H24),"","X")</f>
        <v/>
      </c>
      <c r="I24" s="290" t="str">
        <f>IF(ISBLANK(Físico!I24),"","X")</f>
        <v/>
      </c>
      <c r="J24" s="290" t="str">
        <f>IF(ISBLANK(Físico!J24),"","X")</f>
        <v/>
      </c>
      <c r="K24" s="290" t="str">
        <f>IF(ISBLANK(Físico!K24),"","X")</f>
        <v/>
      </c>
      <c r="L24" s="290" t="str">
        <f>IF(ISBLANK(Físico!L24),"","X")</f>
        <v/>
      </c>
      <c r="M24" s="290" t="str">
        <f>IF(ISBLANK(Físico!M24),"","X")</f>
        <v/>
      </c>
      <c r="N24" s="290" t="str">
        <f>IF(ISBLANK(Físico!N24),"","X")</f>
        <v/>
      </c>
      <c r="O24" s="290" t="str">
        <f>IF(ISBLANK(Físico!O24),"","X")</f>
        <v/>
      </c>
      <c r="P24" s="290" t="str">
        <f>IF(ISBLANK(Físico!#REF!),"","X")</f>
        <v>X</v>
      </c>
    </row>
    <row r="25" spans="2:16" ht="15" customHeight="1" x14ac:dyDescent="0.25">
      <c r="B25" s="1256"/>
      <c r="C25" s="1258"/>
      <c r="D25" s="322" t="s">
        <v>676</v>
      </c>
      <c r="E25" s="290"/>
      <c r="F25" s="290"/>
      <c r="G25" s="290"/>
      <c r="H25" s="290"/>
      <c r="I25" s="290"/>
      <c r="J25" s="290"/>
      <c r="K25" s="290"/>
      <c r="L25" s="290"/>
      <c r="M25" s="290"/>
      <c r="N25" s="290"/>
      <c r="O25" s="290"/>
      <c r="P25" s="290"/>
    </row>
    <row r="26" spans="2:16" ht="15" customHeight="1" x14ac:dyDescent="0.25">
      <c r="B26" s="1259">
        <f>B24+1</f>
        <v>12</v>
      </c>
      <c r="C26" s="1265" t="s">
        <v>1077</v>
      </c>
      <c r="D26" s="324" t="s">
        <v>7</v>
      </c>
      <c r="E26" s="290" t="str">
        <f>IF(ISBLANK(Físico!E26),"","X")</f>
        <v/>
      </c>
      <c r="F26" s="290" t="str">
        <f>IF(ISBLANK(Físico!F26),"","X")</f>
        <v/>
      </c>
      <c r="G26" s="290" t="str">
        <f>IF(ISBLANK(Físico!G26),"","X")</f>
        <v/>
      </c>
      <c r="H26" s="290" t="str">
        <f>IF(ISBLANK(Físico!H26),"","X")</f>
        <v/>
      </c>
      <c r="I26" s="290" t="str">
        <f>IF(ISBLANK(Físico!I26),"","X")</f>
        <v/>
      </c>
      <c r="J26" s="290" t="str">
        <f>IF(ISBLANK(Físico!J26),"","X")</f>
        <v/>
      </c>
      <c r="K26" s="290" t="str">
        <f>IF(ISBLANK(Físico!K26),"","X")</f>
        <v/>
      </c>
      <c r="L26" s="290" t="str">
        <f>IF(ISBLANK(Físico!L26),"","X")</f>
        <v/>
      </c>
      <c r="M26" s="290" t="str">
        <f>IF(ISBLANK(Físico!M26),"","X")</f>
        <v/>
      </c>
      <c r="N26" s="290" t="str">
        <f>IF(ISBLANK(Físico!N26),"","X")</f>
        <v/>
      </c>
      <c r="O26" s="290" t="str">
        <f>IF(ISBLANK(Físico!O26),"","X")</f>
        <v/>
      </c>
      <c r="P26" s="290" t="str">
        <f>IF(ISBLANK(Físico!#REF!),"","X")</f>
        <v>X</v>
      </c>
    </row>
    <row r="27" spans="2:16" ht="15" customHeight="1" x14ac:dyDescent="0.25">
      <c r="B27" s="1260"/>
      <c r="C27" s="1262"/>
      <c r="D27" s="324" t="s">
        <v>676</v>
      </c>
      <c r="E27" s="290"/>
      <c r="F27" s="290"/>
      <c r="G27" s="290"/>
      <c r="H27" s="290"/>
      <c r="I27" s="290"/>
      <c r="J27" s="290"/>
      <c r="K27" s="290"/>
      <c r="L27" s="290"/>
      <c r="M27" s="290"/>
      <c r="N27" s="290"/>
      <c r="O27" s="290"/>
      <c r="P27" s="290"/>
    </row>
    <row r="28" spans="2:16" ht="15" customHeight="1" x14ac:dyDescent="0.25">
      <c r="B28" s="1255">
        <f>B26+1</f>
        <v>13</v>
      </c>
      <c r="C28" s="1263" t="s">
        <v>780</v>
      </c>
      <c r="D28" s="322" t="s">
        <v>7</v>
      </c>
      <c r="E28" s="290" t="str">
        <f>IF(ISBLANK(Físico!E28),"","X")</f>
        <v/>
      </c>
      <c r="F28" s="290" t="str">
        <f>IF(ISBLANK(Físico!F28),"","X")</f>
        <v/>
      </c>
      <c r="G28" s="290" t="str">
        <f>IF(ISBLANK(Físico!G28),"","X")</f>
        <v/>
      </c>
      <c r="H28" s="290" t="str">
        <f>IF(ISBLANK(Físico!H28),"","X")</f>
        <v/>
      </c>
      <c r="I28" s="290" t="str">
        <f>IF(ISBLANK(Físico!I28),"","X")</f>
        <v/>
      </c>
      <c r="J28" s="290" t="str">
        <f>IF(ISBLANK(Físico!J28),"","X")</f>
        <v/>
      </c>
      <c r="K28" s="290" t="str">
        <f>IF(ISBLANK(Físico!K28),"","X")</f>
        <v/>
      </c>
      <c r="L28" s="290" t="str">
        <f>IF(ISBLANK(Físico!L28),"","X")</f>
        <v/>
      </c>
      <c r="M28" s="290" t="str">
        <f>IF(ISBLANK(Físico!M28),"","X")</f>
        <v/>
      </c>
      <c r="N28" s="290" t="str">
        <f>IF(ISBLANK(Físico!N28),"","X")</f>
        <v/>
      </c>
      <c r="O28" s="290" t="str">
        <f>IF(ISBLANK(Físico!O28),"","X")</f>
        <v/>
      </c>
      <c r="P28" s="290" t="str">
        <f>IF(ISBLANK(Físico!#REF!),"","X")</f>
        <v>X</v>
      </c>
    </row>
    <row r="29" spans="2:16" ht="15" customHeight="1" x14ac:dyDescent="0.25">
      <c r="B29" s="1256"/>
      <c r="C29" s="1258"/>
      <c r="D29" s="322" t="s">
        <v>676</v>
      </c>
      <c r="E29" s="290"/>
      <c r="F29" s="290"/>
      <c r="G29" s="290"/>
      <c r="H29" s="290"/>
      <c r="I29" s="290"/>
      <c r="J29" s="290"/>
      <c r="K29" s="290"/>
      <c r="L29" s="290"/>
      <c r="M29" s="290"/>
      <c r="N29" s="290"/>
      <c r="O29" s="290"/>
      <c r="P29" s="290"/>
    </row>
    <row r="30" spans="2:16" ht="15" customHeight="1" x14ac:dyDescent="0.25">
      <c r="B30" s="1259">
        <f>B28+1</f>
        <v>14</v>
      </c>
      <c r="C30" s="1265" t="s">
        <v>1078</v>
      </c>
      <c r="D30" s="324" t="s">
        <v>7</v>
      </c>
      <c r="E30" s="290" t="str">
        <f>IF(ISBLANK(Físico!E30),"","X")</f>
        <v/>
      </c>
      <c r="F30" s="290" t="str">
        <f>IF(ISBLANK(Físico!F30),"","X")</f>
        <v/>
      </c>
      <c r="G30" s="290" t="str">
        <f>IF(ISBLANK(Físico!G30),"","X")</f>
        <v/>
      </c>
      <c r="H30" s="290" t="str">
        <f>IF(ISBLANK(Físico!H30),"","X")</f>
        <v/>
      </c>
      <c r="I30" s="290" t="str">
        <f>IF(ISBLANK(Físico!I30),"","X")</f>
        <v/>
      </c>
      <c r="J30" s="290" t="str">
        <f>IF(ISBLANK(Físico!J30),"","X")</f>
        <v/>
      </c>
      <c r="K30" s="290" t="str">
        <f>IF(ISBLANK(Físico!K30),"","X")</f>
        <v/>
      </c>
      <c r="L30" s="290" t="str">
        <f>IF(ISBLANK(Físico!L30),"","X")</f>
        <v/>
      </c>
      <c r="M30" s="290" t="str">
        <f>IF(ISBLANK(Físico!M30),"","X")</f>
        <v/>
      </c>
      <c r="N30" s="290" t="str">
        <f>IF(ISBLANK(Físico!N30),"","X")</f>
        <v/>
      </c>
      <c r="O30" s="290" t="str">
        <f>IF(ISBLANK(Físico!O30),"","X")</f>
        <v/>
      </c>
      <c r="P30" s="290" t="str">
        <f>IF(ISBLANK(Físico!#REF!),"","X")</f>
        <v>X</v>
      </c>
    </row>
    <row r="31" spans="2:16" ht="15" customHeight="1" x14ac:dyDescent="0.25">
      <c r="B31" s="1260"/>
      <c r="C31" s="1262"/>
      <c r="D31" s="324" t="s">
        <v>676</v>
      </c>
      <c r="E31" s="290"/>
      <c r="F31" s="290"/>
      <c r="G31" s="290"/>
      <c r="H31" s="290"/>
      <c r="I31" s="290"/>
      <c r="J31" s="290"/>
      <c r="K31" s="290"/>
      <c r="L31" s="290"/>
      <c r="M31" s="290"/>
      <c r="N31" s="290"/>
      <c r="O31" s="290"/>
      <c r="P31" s="290"/>
    </row>
  </sheetData>
  <sheetProtection algorithmName="SHA-512" hashValue="gQrX/OnezFnj7h/mrPg4iBnbXl1LOda7gvNbLLksdRgBDlQeZ/zVbggeAXv3iPzA8NA5eoue/2Q/cPjxAqzd8g==" saltValue="9TNpKo09wzeBfsp1nUYQ5Q==" spinCount="100000" sheet="1" objects="1" scenarios="1"/>
  <mergeCells count="30">
    <mergeCell ref="B28:B29"/>
    <mergeCell ref="C28:C29"/>
    <mergeCell ref="B30:B31"/>
    <mergeCell ref="C30:C31"/>
    <mergeCell ref="B22:B23"/>
    <mergeCell ref="C22:C23"/>
    <mergeCell ref="B24:B25"/>
    <mergeCell ref="C24:C25"/>
    <mergeCell ref="B26:B27"/>
    <mergeCell ref="C26:C27"/>
    <mergeCell ref="B20:B21"/>
    <mergeCell ref="C20:C21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:D3"/>
    <mergeCell ref="E2:P2"/>
    <mergeCell ref="B4:B5"/>
    <mergeCell ref="C4:C5"/>
    <mergeCell ref="B6:B7"/>
    <mergeCell ref="C6:C7"/>
  </mergeCells>
  <conditionalFormatting sqref="E4:P31">
    <cfRule type="cellIs" dxfId="7" priority="2" operator="notEqual">
      <formula>""</formula>
    </cfRule>
  </conditionalFormatting>
  <conditionalFormatting sqref="E5:P5 E7:P7 E9:P9 E11:P11 E13:P13 E15:P15 E17:P17 E19:P19 E21:P21 E23:P23 E25:P25 E27:P27 E29:P29 E31:P31">
    <cfRule type="cellIs" dxfId="6" priority="1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>
    <tabColor theme="1"/>
  </sheetPr>
  <dimension ref="B2:Q59"/>
  <sheetViews>
    <sheetView showGridLines="0" workbookViewId="0">
      <pane xSplit="4" ySplit="3" topLeftCell="E16" activePane="bottomRight" state="frozen"/>
      <selection activeCell="E30" sqref="E30"/>
      <selection pane="topRight" activeCell="E30" sqref="E30"/>
      <selection pane="bottomLeft" activeCell="E30" sqref="E30"/>
      <selection pane="bottomRight" activeCell="C32" sqref="C32:C33"/>
    </sheetView>
  </sheetViews>
  <sheetFormatPr defaultColWidth="9.140625" defaultRowHeight="15" customHeight="1" x14ac:dyDescent="0.25"/>
  <cols>
    <col min="1" max="2" width="3.42578125" style="406" customWidth="1"/>
    <col min="3" max="3" width="35.42578125" style="406" customWidth="1"/>
    <col min="4" max="4" width="9.42578125" style="406" customWidth="1"/>
    <col min="5" max="16" width="12.42578125" style="406" customWidth="1"/>
    <col min="17" max="17" width="17" style="406" bestFit="1" customWidth="1"/>
    <col min="18" max="16384" width="9.140625" style="406"/>
  </cols>
  <sheetData>
    <row r="2" spans="2:17" ht="15" customHeight="1" x14ac:dyDescent="0.25">
      <c r="B2" s="1272" t="s">
        <v>795</v>
      </c>
      <c r="C2" s="1273"/>
      <c r="D2" s="1274"/>
      <c r="E2" s="1252" t="s">
        <v>900</v>
      </c>
      <c r="F2" s="1253"/>
      <c r="G2" s="1253"/>
      <c r="H2" s="1253"/>
      <c r="I2" s="1253"/>
      <c r="J2" s="1253"/>
      <c r="K2" s="1253"/>
      <c r="L2" s="1253"/>
      <c r="M2" s="1253"/>
      <c r="N2" s="1253"/>
      <c r="O2" s="1253"/>
      <c r="P2" s="1254"/>
      <c r="Q2" s="1278" t="s">
        <v>1031</v>
      </c>
    </row>
    <row r="3" spans="2:17" ht="15" customHeight="1" x14ac:dyDescent="0.25">
      <c r="B3" s="1275"/>
      <c r="C3" s="1276"/>
      <c r="D3" s="1277"/>
      <c r="E3" s="323" t="s">
        <v>664</v>
      </c>
      <c r="F3" s="323" t="s">
        <v>665</v>
      </c>
      <c r="G3" s="323" t="s">
        <v>666</v>
      </c>
      <c r="H3" s="323" t="s">
        <v>667</v>
      </c>
      <c r="I3" s="323" t="s">
        <v>668</v>
      </c>
      <c r="J3" s="323" t="s">
        <v>669</v>
      </c>
      <c r="K3" s="323" t="s">
        <v>670</v>
      </c>
      <c r="L3" s="323" t="s">
        <v>671</v>
      </c>
      <c r="M3" s="323" t="s">
        <v>672</v>
      </c>
      <c r="N3" s="323" t="s">
        <v>673</v>
      </c>
      <c r="O3" s="323" t="s">
        <v>674</v>
      </c>
      <c r="P3" s="323" t="s">
        <v>675</v>
      </c>
      <c r="Q3" s="1279"/>
    </row>
    <row r="4" spans="2:17" ht="15" customHeight="1" x14ac:dyDescent="0.25">
      <c r="B4" s="1255">
        <v>1</v>
      </c>
      <c r="C4" s="1257" t="s">
        <v>1076</v>
      </c>
      <c r="D4" s="322" t="s">
        <v>7</v>
      </c>
      <c r="E4" s="313" t="str">
        <f>IF(SUM(Financeiro!E4:E5)=0,"",SUM(Financeiro!E4:E5))</f>
        <v/>
      </c>
      <c r="F4" s="313" t="str">
        <f>IF(SUM(Financeiro!F4:F5)=0,"",SUM(Financeiro!F4:F5))</f>
        <v/>
      </c>
      <c r="G4" s="313" t="str">
        <f>IF(SUM(Financeiro!G4:G5)=0,"",SUM(Financeiro!G4:G5))</f>
        <v/>
      </c>
      <c r="H4" s="313" t="str">
        <f>IF(SUM(Financeiro!H4:H5)=0,"",SUM(Financeiro!H4:H5))</f>
        <v/>
      </c>
      <c r="I4" s="313" t="str">
        <f>IF(SUM(Financeiro!I4:I5)=0,"",SUM(Financeiro!I4:I5))</f>
        <v/>
      </c>
      <c r="J4" s="313" t="str">
        <f>IF(SUM(Financeiro!J4:J5)=0,"",SUM(Financeiro!J4:J5))</f>
        <v/>
      </c>
      <c r="K4" s="313" t="str">
        <f>IF(SUM(Financeiro!K4:K5)=0,"",SUM(Financeiro!K4:K5))</f>
        <v/>
      </c>
      <c r="L4" s="313" t="str">
        <f>IF(SUM(Financeiro!L4:L5)=0,"",SUM(Financeiro!L4:L5))</f>
        <v/>
      </c>
      <c r="M4" s="313" t="str">
        <f>IF(SUM(Financeiro!M4:M5)=0,"",SUM(Financeiro!M4:M5))</f>
        <v/>
      </c>
      <c r="N4" s="313" t="str">
        <f>IF(SUM(Financeiro!N4:N5)=0,"",SUM(Financeiro!N4:N5))</f>
        <v/>
      </c>
      <c r="O4" s="313" t="str">
        <f>IF(SUM(Financeiro!O4:O5)=0,"",SUM(Financeiro!O4:O5))</f>
        <v/>
      </c>
      <c r="P4" s="313" t="str">
        <f>IF(SUM(Financeiro!P4:P5)=0,"",SUM(Financeiro!P4:P5))</f>
        <v/>
      </c>
      <c r="Q4" s="327">
        <f t="shared" ref="Q4:Q31" si="0">SUM(E4:P4)</f>
        <v>0</v>
      </c>
    </row>
    <row r="5" spans="2:17" ht="15" customHeight="1" x14ac:dyDescent="0.25">
      <c r="B5" s="1256"/>
      <c r="C5" s="1258"/>
      <c r="D5" s="322" t="s">
        <v>676</v>
      </c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27">
        <f t="shared" si="0"/>
        <v>0</v>
      </c>
    </row>
    <row r="6" spans="2:17" ht="15" customHeight="1" x14ac:dyDescent="0.25">
      <c r="B6" s="1259">
        <f>B4+1</f>
        <v>2</v>
      </c>
      <c r="C6" s="1261" t="s">
        <v>899</v>
      </c>
      <c r="D6" s="324" t="s">
        <v>7</v>
      </c>
      <c r="E6" s="313" t="str">
        <f>IF(SUM(Financeiro!E6:E7)=0,"",SUM(Financeiro!E6:E7))</f>
        <v/>
      </c>
      <c r="F6" s="313" t="str">
        <f>IF(SUM(Financeiro!F6:F7)=0,"",SUM(Financeiro!F6:F7))</f>
        <v/>
      </c>
      <c r="G6" s="313" t="str">
        <f>IF(SUM(Financeiro!G6:G7)=0,"",SUM(Financeiro!G6:G7))</f>
        <v/>
      </c>
      <c r="H6" s="313" t="str">
        <f>IF(SUM(Financeiro!H6:H7)=0,"",SUM(Financeiro!H6:H7))</f>
        <v/>
      </c>
      <c r="I6" s="313" t="str">
        <f>IF(SUM(Financeiro!I6:I7)=0,"",SUM(Financeiro!I6:I7))</f>
        <v/>
      </c>
      <c r="J6" s="313" t="str">
        <f>IF(SUM(Financeiro!J6:J7)=0,"",SUM(Financeiro!J6:J7))</f>
        <v/>
      </c>
      <c r="K6" s="313" t="str">
        <f>IF(SUM(Financeiro!K6:K7)=0,"",SUM(Financeiro!K6:K7))</f>
        <v/>
      </c>
      <c r="L6" s="313" t="str">
        <f>IF(SUM(Financeiro!L6:L7)=0,"",SUM(Financeiro!L6:L7))</f>
        <v/>
      </c>
      <c r="M6" s="313" t="str">
        <f>IF(SUM(Financeiro!M6:M7)=0,"",SUM(Financeiro!M6:M7))</f>
        <v/>
      </c>
      <c r="N6" s="313" t="str">
        <f>IF(SUM(Financeiro!N6:N7)=0,"",SUM(Financeiro!N6:N7))</f>
        <v/>
      </c>
      <c r="O6" s="313" t="str">
        <f>IF(SUM(Financeiro!O6:O7)=0,"",SUM(Financeiro!O6:O7))</f>
        <v/>
      </c>
      <c r="P6" s="313" t="str">
        <f>IF(SUM(Financeiro!P6:P7)=0,"",SUM(Financeiro!P6:P7))</f>
        <v/>
      </c>
      <c r="Q6" s="327">
        <f t="shared" si="0"/>
        <v>0</v>
      </c>
    </row>
    <row r="7" spans="2:17" ht="15" customHeight="1" x14ac:dyDescent="0.25">
      <c r="B7" s="1260"/>
      <c r="C7" s="1262"/>
      <c r="D7" s="324" t="s">
        <v>676</v>
      </c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27">
        <f t="shared" si="0"/>
        <v>0</v>
      </c>
    </row>
    <row r="8" spans="2:17" ht="15" customHeight="1" x14ac:dyDescent="0.25">
      <c r="B8" s="1255">
        <f>B6+1</f>
        <v>3</v>
      </c>
      <c r="C8" s="1264" t="s">
        <v>906</v>
      </c>
      <c r="D8" s="322" t="s">
        <v>7</v>
      </c>
      <c r="E8" s="313" t="str">
        <f>IF(SUM(Financeiro!E8:E9)=0,"",SUM(Financeiro!E8:E9))</f>
        <v/>
      </c>
      <c r="F8" s="313" t="str">
        <f>IF(SUM(Financeiro!F8:F9)=0,"",SUM(Financeiro!F8:F9))</f>
        <v/>
      </c>
      <c r="G8" s="313" t="str">
        <f>IF(SUM(Financeiro!G8:G9)=0,"",SUM(Financeiro!G8:G9))</f>
        <v/>
      </c>
      <c r="H8" s="313" t="str">
        <f>IF(SUM(Financeiro!H8:H9)=0,"",SUM(Financeiro!H8:H9))</f>
        <v/>
      </c>
      <c r="I8" s="313" t="str">
        <f>IF(SUM(Financeiro!I8:I9)=0,"",SUM(Financeiro!I8:I9))</f>
        <v/>
      </c>
      <c r="J8" s="313" t="str">
        <f>IF(SUM(Financeiro!J8:J9)=0,"",SUM(Financeiro!J8:J9))</f>
        <v/>
      </c>
      <c r="K8" s="313" t="str">
        <f>IF(SUM(Financeiro!K8:K9)=0,"",SUM(Financeiro!K8:K9))</f>
        <v/>
      </c>
      <c r="L8" s="313" t="str">
        <f>IF(SUM(Financeiro!L8:L9)=0,"",SUM(Financeiro!L8:L9))</f>
        <v/>
      </c>
      <c r="M8" s="313" t="str">
        <f>IF(SUM(Financeiro!M8:M9)=0,"",SUM(Financeiro!M8:M9))</f>
        <v/>
      </c>
      <c r="N8" s="313" t="str">
        <f>IF(SUM(Financeiro!N8:N9)=0,"",SUM(Financeiro!N8:N9))</f>
        <v/>
      </c>
      <c r="O8" s="313" t="str">
        <f>IF(SUM(Financeiro!O8:O9)=0,"",SUM(Financeiro!O8:O9))</f>
        <v/>
      </c>
      <c r="P8" s="313" t="str">
        <f>IF(SUM(Financeiro!P8:P9)=0,"",SUM(Financeiro!P8:P9))</f>
        <v/>
      </c>
      <c r="Q8" s="327">
        <f t="shared" si="0"/>
        <v>0</v>
      </c>
    </row>
    <row r="9" spans="2:17" ht="15" customHeight="1" x14ac:dyDescent="0.25">
      <c r="B9" s="1256"/>
      <c r="C9" s="1258"/>
      <c r="D9" s="322" t="s">
        <v>676</v>
      </c>
      <c r="E9" s="313"/>
      <c r="F9" s="313"/>
      <c r="G9" s="313"/>
      <c r="H9" s="313"/>
      <c r="I9" s="313"/>
      <c r="J9" s="313"/>
      <c r="K9" s="313"/>
      <c r="L9" s="313"/>
      <c r="M9" s="313"/>
      <c r="N9" s="313"/>
      <c r="O9" s="313"/>
      <c r="P9" s="313"/>
      <c r="Q9" s="327">
        <f t="shared" si="0"/>
        <v>0</v>
      </c>
    </row>
    <row r="10" spans="2:17" ht="15" customHeight="1" x14ac:dyDescent="0.25">
      <c r="B10" s="1259">
        <f>B8+1</f>
        <v>4</v>
      </c>
      <c r="C10" s="1261" t="s">
        <v>775</v>
      </c>
      <c r="D10" s="324" t="s">
        <v>7</v>
      </c>
      <c r="E10" s="313" t="str">
        <f>IF(SUM(Financeiro!E10:E11)=0,"",SUM(Financeiro!E10:E11))</f>
        <v/>
      </c>
      <c r="F10" s="313" t="str">
        <f>IF(SUM(Financeiro!F10:F11)=0,"",SUM(Financeiro!F10:F11))</f>
        <v/>
      </c>
      <c r="G10" s="313" t="str">
        <f>IF(SUM(Financeiro!G10:G11)=0,"",SUM(Financeiro!G10:G11))</f>
        <v/>
      </c>
      <c r="H10" s="313" t="str">
        <f>IF(SUM(Financeiro!H10:H11)=0,"",SUM(Financeiro!H10:H11))</f>
        <v/>
      </c>
      <c r="I10" s="313" t="str">
        <f>IF(SUM(Financeiro!I10:I11)=0,"",SUM(Financeiro!I10:I11))</f>
        <v/>
      </c>
      <c r="J10" s="313" t="str">
        <f>IF(SUM(Financeiro!J10:J11)=0,"",SUM(Financeiro!J10:J11))</f>
        <v/>
      </c>
      <c r="K10" s="313" t="str">
        <f>IF(SUM(Financeiro!K10:K11)=0,"",SUM(Financeiro!K10:K11))</f>
        <v/>
      </c>
      <c r="L10" s="313" t="str">
        <f>IF(SUM(Financeiro!L10:L11)=0,"",SUM(Financeiro!L10:L11))</f>
        <v/>
      </c>
      <c r="M10" s="313" t="str">
        <f>IF(SUM(Financeiro!M10:M11)=0,"",SUM(Financeiro!M10:M11))</f>
        <v/>
      </c>
      <c r="N10" s="313" t="str">
        <f>IF(SUM(Financeiro!N10:N11)=0,"",SUM(Financeiro!N10:N11))</f>
        <v/>
      </c>
      <c r="O10" s="313" t="str">
        <f>IF(SUM(Financeiro!O10:O11)=0,"",SUM(Financeiro!O10:O11))</f>
        <v/>
      </c>
      <c r="P10" s="313" t="str">
        <f>IF(SUM(Financeiro!P10:P11)=0,"",SUM(Financeiro!P10:P11))</f>
        <v/>
      </c>
      <c r="Q10" s="327">
        <f t="shared" si="0"/>
        <v>0</v>
      </c>
    </row>
    <row r="11" spans="2:17" ht="15" customHeight="1" x14ac:dyDescent="0.25">
      <c r="B11" s="1260"/>
      <c r="C11" s="1262"/>
      <c r="D11" s="324" t="s">
        <v>676</v>
      </c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27">
        <f t="shared" si="0"/>
        <v>0</v>
      </c>
    </row>
    <row r="12" spans="2:17" ht="15" customHeight="1" x14ac:dyDescent="0.25">
      <c r="B12" s="1255">
        <f>B10+1</f>
        <v>5</v>
      </c>
      <c r="C12" s="1264" t="s">
        <v>905</v>
      </c>
      <c r="D12" s="322" t="s">
        <v>7</v>
      </c>
      <c r="E12" s="313" t="str">
        <f>IF(SUM(Financeiro!E12:E13)=0,"",SUM(Financeiro!E12:E13))</f>
        <v/>
      </c>
      <c r="F12" s="313" t="str">
        <f>IF(SUM(Financeiro!F12:F13)=0,"",SUM(Financeiro!F12:F13))</f>
        <v/>
      </c>
      <c r="G12" s="313" t="str">
        <f>IF(SUM(Financeiro!G12:G13)=0,"",SUM(Financeiro!G12:G13))</f>
        <v/>
      </c>
      <c r="H12" s="313" t="str">
        <f>IF(SUM(Financeiro!H12:H13)=0,"",SUM(Financeiro!H12:H13))</f>
        <v/>
      </c>
      <c r="I12" s="313" t="str">
        <f>IF(SUM(Financeiro!I12:I13)=0,"",SUM(Financeiro!I12:I13))</f>
        <v/>
      </c>
      <c r="J12" s="313" t="str">
        <f>IF(SUM(Financeiro!J12:J13)=0,"",SUM(Financeiro!J12:J13))</f>
        <v/>
      </c>
      <c r="K12" s="313" t="str">
        <f>IF(SUM(Financeiro!K12:K13)=0,"",SUM(Financeiro!K12:K13))</f>
        <v/>
      </c>
      <c r="L12" s="313" t="str">
        <f>IF(SUM(Financeiro!L12:L13)=0,"",SUM(Financeiro!L12:L13))</f>
        <v/>
      </c>
      <c r="M12" s="313" t="str">
        <f>IF(SUM(Financeiro!M12:M13)=0,"",SUM(Financeiro!M12:M13))</f>
        <v/>
      </c>
      <c r="N12" s="313" t="str">
        <f>IF(SUM(Financeiro!N12:N13)=0,"",SUM(Financeiro!N12:N13))</f>
        <v/>
      </c>
      <c r="O12" s="313" t="str">
        <f>IF(SUM(Financeiro!O12:O13)=0,"",SUM(Financeiro!O12:O13))</f>
        <v/>
      </c>
      <c r="P12" s="313" t="str">
        <f>IF(SUM(Financeiro!P12:P13)=0,"",SUM(Financeiro!P12:P13))</f>
        <v/>
      </c>
      <c r="Q12" s="327">
        <f t="shared" si="0"/>
        <v>0</v>
      </c>
    </row>
    <row r="13" spans="2:17" ht="15" customHeight="1" x14ac:dyDescent="0.25">
      <c r="B13" s="1256"/>
      <c r="C13" s="1258"/>
      <c r="D13" s="322" t="s">
        <v>676</v>
      </c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27">
        <f t="shared" si="0"/>
        <v>0</v>
      </c>
    </row>
    <row r="14" spans="2:17" ht="15" customHeight="1" x14ac:dyDescent="0.25">
      <c r="B14" s="1259">
        <f>B12+1</f>
        <v>6</v>
      </c>
      <c r="C14" s="1261" t="s">
        <v>776</v>
      </c>
      <c r="D14" s="324" t="s">
        <v>7</v>
      </c>
      <c r="E14" s="313" t="str">
        <f>IF(SUM(Financeiro!E14:E15)=0,"",SUM(Financeiro!E14:E15))</f>
        <v/>
      </c>
      <c r="F14" s="313" t="str">
        <f>IF(SUM(Financeiro!F14:F15)=0,"",SUM(Financeiro!F14:F15))</f>
        <v/>
      </c>
      <c r="G14" s="313" t="str">
        <f>IF(SUM(Financeiro!G14:G15)=0,"",SUM(Financeiro!G14:G15))</f>
        <v/>
      </c>
      <c r="H14" s="313" t="str">
        <f>IF(SUM(Financeiro!H14:H15)=0,"",SUM(Financeiro!H14:H15))</f>
        <v/>
      </c>
      <c r="I14" s="313" t="str">
        <f>IF(SUM(Financeiro!I14:I15)=0,"",SUM(Financeiro!I14:I15))</f>
        <v/>
      </c>
      <c r="J14" s="313" t="str">
        <f>IF(SUM(Financeiro!J14:J15)=0,"",SUM(Financeiro!J14:J15))</f>
        <v/>
      </c>
      <c r="K14" s="313" t="str">
        <f>IF(SUM(Financeiro!K14:K15)=0,"",SUM(Financeiro!K14:K15))</f>
        <v/>
      </c>
      <c r="L14" s="313" t="str">
        <f>IF(SUM(Financeiro!L14:L15)=0,"",SUM(Financeiro!L14:L15))</f>
        <v/>
      </c>
      <c r="M14" s="313" t="str">
        <f>IF(SUM(Financeiro!M14:M15)=0,"",SUM(Financeiro!M14:M15))</f>
        <v/>
      </c>
      <c r="N14" s="313" t="str">
        <f>IF(SUM(Financeiro!N14:N15)=0,"",SUM(Financeiro!N14:N15))</f>
        <v/>
      </c>
      <c r="O14" s="313" t="str">
        <f>IF(SUM(Financeiro!O14:O15)=0,"",SUM(Financeiro!O14:O15))</f>
        <v/>
      </c>
      <c r="P14" s="313" t="str">
        <f>IF(SUM(Financeiro!P14:P15)=0,"",SUM(Financeiro!P14:P15))</f>
        <v/>
      </c>
      <c r="Q14" s="327">
        <f t="shared" si="0"/>
        <v>0</v>
      </c>
    </row>
    <row r="15" spans="2:17" ht="15" customHeight="1" x14ac:dyDescent="0.25">
      <c r="B15" s="1260"/>
      <c r="C15" s="1262"/>
      <c r="D15" s="324" t="s">
        <v>676</v>
      </c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27">
        <f t="shared" si="0"/>
        <v>0</v>
      </c>
    </row>
    <row r="16" spans="2:17" ht="15" customHeight="1" x14ac:dyDescent="0.25">
      <c r="B16" s="1255">
        <f>B14+1</f>
        <v>7</v>
      </c>
      <c r="C16" s="1264" t="s">
        <v>175</v>
      </c>
      <c r="D16" s="322" t="s">
        <v>7</v>
      </c>
      <c r="E16" s="313" t="str">
        <f>IF(SUM(Financeiro!E16:E17)=0,"",SUM(Financeiro!E16:E17))</f>
        <v/>
      </c>
      <c r="F16" s="313" t="str">
        <f>IF(SUM(Financeiro!F16:F17)=0,"",SUM(Financeiro!F16:F17))</f>
        <v/>
      </c>
      <c r="G16" s="313" t="str">
        <f>IF(SUM(Financeiro!G16:G17)=0,"",SUM(Financeiro!G16:G17))</f>
        <v/>
      </c>
      <c r="H16" s="313" t="str">
        <f>IF(SUM(Financeiro!H16:H17)=0,"",SUM(Financeiro!H16:H17))</f>
        <v/>
      </c>
      <c r="I16" s="313" t="str">
        <f>IF(SUM(Financeiro!I16:I17)=0,"",SUM(Financeiro!I16:I17))</f>
        <v/>
      </c>
      <c r="J16" s="313" t="str">
        <f>IF(SUM(Financeiro!J16:J17)=0,"",SUM(Financeiro!J16:J17))</f>
        <v/>
      </c>
      <c r="K16" s="313" t="str">
        <f>IF(SUM(Financeiro!K16:K17)=0,"",SUM(Financeiro!K16:K17))</f>
        <v/>
      </c>
      <c r="L16" s="313" t="str">
        <f>IF(SUM(Financeiro!L16:L17)=0,"",SUM(Financeiro!L16:L17))</f>
        <v/>
      </c>
      <c r="M16" s="313" t="str">
        <f>IF(SUM(Financeiro!M16:M17)=0,"",SUM(Financeiro!M16:M17))</f>
        <v/>
      </c>
      <c r="N16" s="313" t="str">
        <f>IF(SUM(Financeiro!N16:N17)=0,"",SUM(Financeiro!N16:N17))</f>
        <v/>
      </c>
      <c r="O16" s="313" t="str">
        <f>IF(SUM(Financeiro!O16:O17)=0,"",SUM(Financeiro!O16:O17))</f>
        <v/>
      </c>
      <c r="P16" s="313" t="str">
        <f>IF(SUM(Financeiro!P16:P17)=0,"",SUM(Financeiro!P16:P17))</f>
        <v/>
      </c>
      <c r="Q16" s="327">
        <f t="shared" si="0"/>
        <v>0</v>
      </c>
    </row>
    <row r="17" spans="2:17" ht="15" customHeight="1" x14ac:dyDescent="0.25">
      <c r="B17" s="1256"/>
      <c r="C17" s="1258"/>
      <c r="D17" s="322" t="s">
        <v>676</v>
      </c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27">
        <f t="shared" si="0"/>
        <v>0</v>
      </c>
    </row>
    <row r="18" spans="2:17" ht="15" customHeight="1" x14ac:dyDescent="0.25">
      <c r="B18" s="1259">
        <f>B16+1</f>
        <v>8</v>
      </c>
      <c r="C18" s="1261" t="s">
        <v>777</v>
      </c>
      <c r="D18" s="324" t="s">
        <v>7</v>
      </c>
      <c r="E18" s="313" t="str">
        <f>IF(SUM(Financeiro!E18:E19)=0,"",SUM(Financeiro!E18:E19))</f>
        <v/>
      </c>
      <c r="F18" s="313" t="str">
        <f>IF(SUM(Financeiro!F18:F19)=0,"",SUM(Financeiro!F18:F19))</f>
        <v/>
      </c>
      <c r="G18" s="313" t="str">
        <f>IF(SUM(Financeiro!G18:G19)=0,"",SUM(Financeiro!G18:G19))</f>
        <v/>
      </c>
      <c r="H18" s="313" t="str">
        <f>IF(SUM(Financeiro!H18:H19)=0,"",SUM(Financeiro!H18:H19))</f>
        <v/>
      </c>
      <c r="I18" s="313" t="str">
        <f>IF(SUM(Financeiro!I18:I19)=0,"",SUM(Financeiro!I18:I19))</f>
        <v/>
      </c>
      <c r="J18" s="313" t="str">
        <f>IF(SUM(Financeiro!J18:J19)=0,"",SUM(Financeiro!J18:J19))</f>
        <v/>
      </c>
      <c r="K18" s="313" t="str">
        <f>IF(SUM(Financeiro!K18:K19)=0,"",SUM(Financeiro!K18:K19))</f>
        <v/>
      </c>
      <c r="L18" s="313" t="str">
        <f>IF(SUM(Financeiro!L18:L19)=0,"",SUM(Financeiro!L18:L19))</f>
        <v/>
      </c>
      <c r="M18" s="313" t="str">
        <f>IF(SUM(Financeiro!M18:M19)=0,"",SUM(Financeiro!M18:M19))</f>
        <v/>
      </c>
      <c r="N18" s="313" t="str">
        <f>IF(SUM(Financeiro!N18:N19)=0,"",SUM(Financeiro!N18:N19))</f>
        <v/>
      </c>
      <c r="O18" s="313" t="str">
        <f>IF(SUM(Financeiro!O18:O19)=0,"",SUM(Financeiro!O18:O19))</f>
        <v/>
      </c>
      <c r="P18" s="313" t="str">
        <f>IF(SUM(Financeiro!P18:P19)=0,"",SUM(Financeiro!P18:P19))</f>
        <v/>
      </c>
      <c r="Q18" s="327">
        <f t="shared" si="0"/>
        <v>0</v>
      </c>
    </row>
    <row r="19" spans="2:17" ht="15" customHeight="1" x14ac:dyDescent="0.25">
      <c r="B19" s="1260"/>
      <c r="C19" s="1262"/>
      <c r="D19" s="324" t="s">
        <v>676</v>
      </c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27">
        <f t="shared" si="0"/>
        <v>0</v>
      </c>
    </row>
    <row r="20" spans="2:17" ht="15" customHeight="1" x14ac:dyDescent="0.25">
      <c r="B20" s="1255">
        <f>B18+1</f>
        <v>9</v>
      </c>
      <c r="C20" s="1271" t="s">
        <v>778</v>
      </c>
      <c r="D20" s="322" t="s">
        <v>7</v>
      </c>
      <c r="E20" s="313" t="str">
        <f>IF(SUM(Financeiro!E20:E21)=0,"",SUM(Financeiro!E20:E21))</f>
        <v/>
      </c>
      <c r="F20" s="313" t="str">
        <f>IF(SUM(Financeiro!F20:F21)=0,"",SUM(Financeiro!F20:F21))</f>
        <v/>
      </c>
      <c r="G20" s="313" t="str">
        <f>IF(SUM(Financeiro!G20:G21)=0,"",SUM(Financeiro!G20:G21))</f>
        <v/>
      </c>
      <c r="H20" s="313" t="str">
        <f>IF(SUM(Financeiro!H20:H21)=0,"",SUM(Financeiro!H20:H21))</f>
        <v/>
      </c>
      <c r="I20" s="313" t="str">
        <f>IF(SUM(Financeiro!I20:I21)=0,"",SUM(Financeiro!I20:I21))</f>
        <v/>
      </c>
      <c r="J20" s="313" t="str">
        <f>IF(SUM(Financeiro!J20:J21)=0,"",SUM(Financeiro!J20:J21))</f>
        <v/>
      </c>
      <c r="K20" s="313" t="str">
        <f>IF(SUM(Financeiro!K20:K21)=0,"",SUM(Financeiro!K20:K21))</f>
        <v/>
      </c>
      <c r="L20" s="313" t="str">
        <f>IF(SUM(Financeiro!L20:L21)=0,"",SUM(Financeiro!L20:L21))</f>
        <v/>
      </c>
      <c r="M20" s="313" t="str">
        <f>IF(SUM(Financeiro!M20:M21)=0,"",SUM(Financeiro!M20:M21))</f>
        <v/>
      </c>
      <c r="N20" s="313" t="str">
        <f>IF(SUM(Financeiro!N20:N21)=0,"",SUM(Financeiro!N20:N21))</f>
        <v/>
      </c>
      <c r="O20" s="313" t="str">
        <f>IF(SUM(Financeiro!O20:O21)=0,"",SUM(Financeiro!O20:O21))</f>
        <v/>
      </c>
      <c r="P20" s="313" t="str">
        <f>IF(SUM(Financeiro!P20:P21)=0,"",SUM(Financeiro!P20:P21))</f>
        <v/>
      </c>
      <c r="Q20" s="327">
        <f t="shared" si="0"/>
        <v>0</v>
      </c>
    </row>
    <row r="21" spans="2:17" ht="15" customHeight="1" x14ac:dyDescent="0.25">
      <c r="B21" s="1256"/>
      <c r="C21" s="1258"/>
      <c r="D21" s="322" t="s">
        <v>676</v>
      </c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27">
        <f t="shared" si="0"/>
        <v>0</v>
      </c>
    </row>
    <row r="22" spans="2:17" ht="15" customHeight="1" x14ac:dyDescent="0.25">
      <c r="B22" s="1259">
        <f>B20+1</f>
        <v>10</v>
      </c>
      <c r="C22" s="1261" t="s">
        <v>177</v>
      </c>
      <c r="D22" s="324" t="s">
        <v>7</v>
      </c>
      <c r="E22" s="313" t="str">
        <f>IF(SUM(Financeiro!E22:E23)=0,"",SUM(Financeiro!E22:E23))</f>
        <v/>
      </c>
      <c r="F22" s="313" t="str">
        <f>IF(SUM(Financeiro!F22:F23)=0,"",SUM(Financeiro!F22:F23))</f>
        <v/>
      </c>
      <c r="G22" s="313" t="str">
        <f>IF(SUM(Financeiro!G22:G23)=0,"",SUM(Financeiro!G22:G23))</f>
        <v/>
      </c>
      <c r="H22" s="313" t="str">
        <f>IF(SUM(Financeiro!H22:H23)=0,"",SUM(Financeiro!H22:H23))</f>
        <v/>
      </c>
      <c r="I22" s="313" t="str">
        <f>IF(SUM(Financeiro!I22:I23)=0,"",SUM(Financeiro!I22:I23))</f>
        <v/>
      </c>
      <c r="J22" s="313" t="str">
        <f>IF(SUM(Financeiro!J22:J23)=0,"",SUM(Financeiro!J22:J23))</f>
        <v/>
      </c>
      <c r="K22" s="313" t="str">
        <f>IF(SUM(Financeiro!K22:K23)=0,"",SUM(Financeiro!K22:K23))</f>
        <v/>
      </c>
      <c r="L22" s="313" t="str">
        <f>IF(SUM(Financeiro!L22:L23)=0,"",SUM(Financeiro!L22:L23))</f>
        <v/>
      </c>
      <c r="M22" s="313" t="str">
        <f>IF(SUM(Financeiro!M22:M23)=0,"",SUM(Financeiro!M22:M23))</f>
        <v/>
      </c>
      <c r="N22" s="313" t="str">
        <f>IF(SUM(Financeiro!N22:N23)=0,"",SUM(Financeiro!N22:N23))</f>
        <v/>
      </c>
      <c r="O22" s="313" t="str">
        <f>IF(SUM(Financeiro!O22:O23)=0,"",SUM(Financeiro!O22:O23))</f>
        <v/>
      </c>
      <c r="P22" s="313" t="str">
        <f>IF(SUM(Financeiro!P22:P23)=0,"",SUM(Financeiro!P22:P23))</f>
        <v/>
      </c>
      <c r="Q22" s="327">
        <f t="shared" si="0"/>
        <v>0</v>
      </c>
    </row>
    <row r="23" spans="2:17" ht="15" customHeight="1" x14ac:dyDescent="0.25">
      <c r="B23" s="1260"/>
      <c r="C23" s="1262"/>
      <c r="D23" s="324" t="s">
        <v>676</v>
      </c>
      <c r="E23" s="313"/>
      <c r="F23" s="313"/>
      <c r="G23" s="313"/>
      <c r="H23" s="313"/>
      <c r="I23" s="313"/>
      <c r="J23" s="313"/>
      <c r="K23" s="313"/>
      <c r="L23" s="313"/>
      <c r="M23" s="313"/>
      <c r="N23" s="313"/>
      <c r="O23" s="313"/>
      <c r="P23" s="313"/>
      <c r="Q23" s="327">
        <f t="shared" si="0"/>
        <v>0</v>
      </c>
    </row>
    <row r="24" spans="2:17" ht="15" customHeight="1" x14ac:dyDescent="0.25">
      <c r="B24" s="1255">
        <f>B22+1</f>
        <v>11</v>
      </c>
      <c r="C24" s="1266" t="s">
        <v>779</v>
      </c>
      <c r="D24" s="322" t="s">
        <v>7</v>
      </c>
      <c r="E24" s="313" t="str">
        <f>IF(SUM(Financeiro!E24:E25)=0,"",SUM(Financeiro!E24:E25))</f>
        <v/>
      </c>
      <c r="F24" s="313" t="str">
        <f>IF(SUM(Financeiro!F24:F25)=0,"",SUM(Financeiro!F24:F25))</f>
        <v/>
      </c>
      <c r="G24" s="313" t="str">
        <f>IF(SUM(Financeiro!G24:G25)=0,"",SUM(Financeiro!G24:G25))</f>
        <v/>
      </c>
      <c r="H24" s="313" t="str">
        <f>IF(SUM(Financeiro!H24:H25)=0,"",SUM(Financeiro!H24:H25))</f>
        <v/>
      </c>
      <c r="I24" s="313" t="str">
        <f>IF(SUM(Financeiro!I24:I25)=0,"",SUM(Financeiro!I24:I25))</f>
        <v/>
      </c>
      <c r="J24" s="313" t="str">
        <f>IF(SUM(Financeiro!J24:J25)=0,"",SUM(Financeiro!J24:J25))</f>
        <v/>
      </c>
      <c r="K24" s="313" t="str">
        <f>IF(SUM(Financeiro!K24:K25)=0,"",SUM(Financeiro!K24:K25))</f>
        <v/>
      </c>
      <c r="L24" s="313" t="str">
        <f>IF(SUM(Financeiro!L24:L25)=0,"",SUM(Financeiro!L24:L25))</f>
        <v/>
      </c>
      <c r="M24" s="313" t="str">
        <f>IF(SUM(Financeiro!M24:M25)=0,"",SUM(Financeiro!M24:M25))</f>
        <v/>
      </c>
      <c r="N24" s="313" t="str">
        <f>IF(SUM(Financeiro!N24:N25)=0,"",SUM(Financeiro!N24:N25))</f>
        <v/>
      </c>
      <c r="O24" s="313" t="str">
        <f>IF(SUM(Financeiro!O24:O25)=0,"",SUM(Financeiro!O24:O25))</f>
        <v/>
      </c>
      <c r="P24" s="313" t="str">
        <f>IF(SUM(Financeiro!P24:P25)=0,"",SUM(Financeiro!P24:P25))</f>
        <v/>
      </c>
      <c r="Q24" s="327">
        <f t="shared" si="0"/>
        <v>0</v>
      </c>
    </row>
    <row r="25" spans="2:17" ht="15" customHeight="1" x14ac:dyDescent="0.25">
      <c r="B25" s="1256"/>
      <c r="C25" s="1258"/>
      <c r="D25" s="322" t="s">
        <v>676</v>
      </c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27">
        <f t="shared" si="0"/>
        <v>0</v>
      </c>
    </row>
    <row r="26" spans="2:17" ht="15" customHeight="1" x14ac:dyDescent="0.25">
      <c r="B26" s="1259">
        <f>B24+1</f>
        <v>12</v>
      </c>
      <c r="C26" s="1265" t="s">
        <v>1077</v>
      </c>
      <c r="D26" s="324" t="s">
        <v>7</v>
      </c>
      <c r="E26" s="313" t="str">
        <f>IF(SUM(Financeiro!E26:E27)=0,"",SUM(Financeiro!E26:E27))</f>
        <v/>
      </c>
      <c r="F26" s="313" t="str">
        <f>IF(SUM(Financeiro!F26:F27)=0,"",SUM(Financeiro!F26:F27))</f>
        <v/>
      </c>
      <c r="G26" s="313" t="str">
        <f>IF(SUM(Financeiro!G26:G27)=0,"",SUM(Financeiro!G26:G27))</f>
        <v/>
      </c>
      <c r="H26" s="313" t="str">
        <f>IF(SUM(Financeiro!H26:H27)=0,"",SUM(Financeiro!H26:H27))</f>
        <v/>
      </c>
      <c r="I26" s="313" t="str">
        <f>IF(SUM(Financeiro!I26:I27)=0,"",SUM(Financeiro!I26:I27))</f>
        <v/>
      </c>
      <c r="J26" s="313" t="str">
        <f>IF(SUM(Financeiro!J26:J27)=0,"",SUM(Financeiro!J26:J27))</f>
        <v/>
      </c>
      <c r="K26" s="313" t="str">
        <f>IF(SUM(Financeiro!K26:K27)=0,"",SUM(Financeiro!K26:K27))</f>
        <v/>
      </c>
      <c r="L26" s="313" t="str">
        <f>IF(SUM(Financeiro!L26:L27)=0,"",SUM(Financeiro!L26:L27))</f>
        <v/>
      </c>
      <c r="M26" s="313" t="str">
        <f>IF(SUM(Financeiro!M26:M27)=0,"",SUM(Financeiro!M26:M27))</f>
        <v/>
      </c>
      <c r="N26" s="313" t="str">
        <f>IF(SUM(Financeiro!N26:N27)=0,"",SUM(Financeiro!N26:N27))</f>
        <v/>
      </c>
      <c r="O26" s="313" t="str">
        <f>IF(SUM(Financeiro!O26:O27)=0,"",SUM(Financeiro!O26:O27))</f>
        <v/>
      </c>
      <c r="P26" s="313" t="str">
        <f>IF(SUM(Financeiro!P26:P27)=0,"",SUM(Financeiro!P26:P27))</f>
        <v/>
      </c>
      <c r="Q26" s="327">
        <f t="shared" si="0"/>
        <v>0</v>
      </c>
    </row>
    <row r="27" spans="2:17" ht="15" customHeight="1" x14ac:dyDescent="0.25">
      <c r="B27" s="1260"/>
      <c r="C27" s="1262"/>
      <c r="D27" s="324" t="s">
        <v>676</v>
      </c>
      <c r="E27" s="313"/>
      <c r="F27" s="313"/>
      <c r="G27" s="313"/>
      <c r="H27" s="313"/>
      <c r="I27" s="313"/>
      <c r="J27" s="313"/>
      <c r="K27" s="313"/>
      <c r="L27" s="313"/>
      <c r="M27" s="313"/>
      <c r="N27" s="313"/>
      <c r="O27" s="313"/>
      <c r="P27" s="313"/>
      <c r="Q27" s="327">
        <f t="shared" si="0"/>
        <v>0</v>
      </c>
    </row>
    <row r="28" spans="2:17" ht="15" customHeight="1" x14ac:dyDescent="0.25">
      <c r="B28" s="1255">
        <f>B26+1</f>
        <v>13</v>
      </c>
      <c r="C28" s="1271" t="s">
        <v>780</v>
      </c>
      <c r="D28" s="322" t="s">
        <v>7</v>
      </c>
      <c r="E28" s="313" t="str">
        <f>IF(SUM(Financeiro!E28:E29)=0,"",SUM(Financeiro!E28:E29))</f>
        <v/>
      </c>
      <c r="F28" s="313" t="str">
        <f>IF(SUM(Financeiro!F28:F29)=0,"",SUM(Financeiro!F28:F29))</f>
        <v/>
      </c>
      <c r="G28" s="313" t="str">
        <f>IF(SUM(Financeiro!G28:G29)=0,"",SUM(Financeiro!G28:G29))</f>
        <v/>
      </c>
      <c r="H28" s="313" t="str">
        <f>IF(SUM(Financeiro!H28:H29)=0,"",SUM(Financeiro!H28:H29))</f>
        <v/>
      </c>
      <c r="I28" s="313" t="str">
        <f>IF(SUM(Financeiro!I28:I29)=0,"",SUM(Financeiro!I28:I29))</f>
        <v/>
      </c>
      <c r="J28" s="313" t="str">
        <f>IF(SUM(Financeiro!J28:J29)=0,"",SUM(Financeiro!J28:J29))</f>
        <v/>
      </c>
      <c r="K28" s="313" t="str">
        <f>IF(SUM(Financeiro!K28:K29)=0,"",SUM(Financeiro!K28:K29))</f>
        <v/>
      </c>
      <c r="L28" s="313" t="str">
        <f>IF(SUM(Financeiro!L28:L29)=0,"",SUM(Financeiro!L28:L29))</f>
        <v/>
      </c>
      <c r="M28" s="313" t="str">
        <f>IF(SUM(Financeiro!M28:M29)=0,"",SUM(Financeiro!M28:M29))</f>
        <v/>
      </c>
      <c r="N28" s="313" t="str">
        <f>IF(SUM(Financeiro!N28:N29)=0,"",SUM(Financeiro!N28:N29))</f>
        <v/>
      </c>
      <c r="O28" s="313" t="str">
        <f>IF(SUM(Financeiro!O28:O29)=0,"",SUM(Financeiro!O28:O29))</f>
        <v/>
      </c>
      <c r="P28" s="313" t="str">
        <f>IF(SUM(Financeiro!P28:P29)=0,"",SUM(Financeiro!P28:P29))</f>
        <v/>
      </c>
      <c r="Q28" s="327">
        <f t="shared" si="0"/>
        <v>0</v>
      </c>
    </row>
    <row r="29" spans="2:17" ht="15" customHeight="1" x14ac:dyDescent="0.25">
      <c r="B29" s="1256"/>
      <c r="C29" s="1258"/>
      <c r="D29" s="322" t="s">
        <v>676</v>
      </c>
      <c r="E29" s="313"/>
      <c r="F29" s="313"/>
      <c r="G29" s="313"/>
      <c r="H29" s="313"/>
      <c r="I29" s="313"/>
      <c r="J29" s="313"/>
      <c r="K29" s="313"/>
      <c r="L29" s="313"/>
      <c r="M29" s="313"/>
      <c r="N29" s="313"/>
      <c r="O29" s="313"/>
      <c r="P29" s="313"/>
      <c r="Q29" s="327">
        <f t="shared" si="0"/>
        <v>0</v>
      </c>
    </row>
    <row r="30" spans="2:17" ht="15" customHeight="1" x14ac:dyDescent="0.25">
      <c r="B30" s="1259">
        <f>B28+1</f>
        <v>14</v>
      </c>
      <c r="C30" s="1265" t="s">
        <v>1078</v>
      </c>
      <c r="D30" s="324" t="s">
        <v>7</v>
      </c>
      <c r="E30" s="313" t="str">
        <f>IF(SUM(Financeiro!E30:E31)=0,"",SUM(Financeiro!E30:E31))</f>
        <v/>
      </c>
      <c r="F30" s="313" t="str">
        <f>IF(SUM(Financeiro!F30:F31)=0,"",SUM(Financeiro!F30:F31))</f>
        <v/>
      </c>
      <c r="G30" s="313" t="str">
        <f>IF(SUM(Financeiro!G30:G31)=0,"",SUM(Financeiro!G30:G31))</f>
        <v/>
      </c>
      <c r="H30" s="313" t="str">
        <f>IF(SUM(Financeiro!H30:H31)=0,"",SUM(Financeiro!H30:H31))</f>
        <v/>
      </c>
      <c r="I30" s="313" t="str">
        <f>IF(SUM(Financeiro!I30:I31)=0,"",SUM(Financeiro!I30:I31))</f>
        <v/>
      </c>
      <c r="J30" s="313" t="str">
        <f>IF(SUM(Financeiro!J30:J31)=0,"",SUM(Financeiro!J30:J31))</f>
        <v/>
      </c>
      <c r="K30" s="313" t="str">
        <f>IF(SUM(Financeiro!K30:K31)=0,"",SUM(Financeiro!K30:K31))</f>
        <v/>
      </c>
      <c r="L30" s="313" t="str">
        <f>IF(SUM(Financeiro!L30:L31)=0,"",SUM(Financeiro!L30:L31))</f>
        <v/>
      </c>
      <c r="M30" s="313" t="str">
        <f>IF(SUM(Financeiro!M30:M31)=0,"",SUM(Financeiro!M30:M31))</f>
        <v/>
      </c>
      <c r="N30" s="313" t="str">
        <f>IF(SUM(Financeiro!N30:N31)=0,"",SUM(Financeiro!N30:N31))</f>
        <v/>
      </c>
      <c r="O30" s="313" t="str">
        <f>IF(SUM(Financeiro!O30:O31)=0,"",SUM(Financeiro!O30:O31))</f>
        <v/>
      </c>
      <c r="P30" s="313" t="str">
        <f>IF(SUM(Financeiro!P30:P31)=0,"",SUM(Financeiro!P30:P31))</f>
        <v/>
      </c>
      <c r="Q30" s="327">
        <f t="shared" si="0"/>
        <v>0</v>
      </c>
    </row>
    <row r="31" spans="2:17" ht="15" customHeight="1" x14ac:dyDescent="0.25">
      <c r="B31" s="1260"/>
      <c r="C31" s="1262"/>
      <c r="D31" s="324" t="s">
        <v>676</v>
      </c>
      <c r="E31" s="313">
        <f>SUMIF($D$4:$D$29,$D$31,E$4:E$29)-E27</f>
        <v>0</v>
      </c>
      <c r="F31" s="313">
        <f t="shared" ref="F31:P31" si="1">SUMIF($D$4:$D$29,$D$31,F$4:F$29)-F27</f>
        <v>0</v>
      </c>
      <c r="G31" s="313">
        <f t="shared" si="1"/>
        <v>0</v>
      </c>
      <c r="H31" s="313">
        <f t="shared" si="1"/>
        <v>0</v>
      </c>
      <c r="I31" s="313">
        <f t="shared" si="1"/>
        <v>0</v>
      </c>
      <c r="J31" s="313">
        <f t="shared" si="1"/>
        <v>0</v>
      </c>
      <c r="K31" s="313">
        <f t="shared" si="1"/>
        <v>0</v>
      </c>
      <c r="L31" s="313">
        <f t="shared" si="1"/>
        <v>0</v>
      </c>
      <c r="M31" s="313">
        <f t="shared" si="1"/>
        <v>0</v>
      </c>
      <c r="N31" s="313">
        <f t="shared" si="1"/>
        <v>0</v>
      </c>
      <c r="O31" s="313">
        <f t="shared" si="1"/>
        <v>0</v>
      </c>
      <c r="P31" s="313">
        <f t="shared" si="1"/>
        <v>0</v>
      </c>
      <c r="Q31" s="327">
        <f t="shared" si="0"/>
        <v>0</v>
      </c>
    </row>
    <row r="32" spans="2:17" ht="15" customHeight="1" x14ac:dyDescent="0.25">
      <c r="B32" s="1267">
        <f>B30+1</f>
        <v>15</v>
      </c>
      <c r="C32" s="1269" t="s">
        <v>677</v>
      </c>
      <c r="D32" s="325" t="s">
        <v>7</v>
      </c>
      <c r="E32" s="326" t="str">
        <f>IF(SUM(Financeiro!E32:E33)=0,"",SUM(Financeiro!E32:E33))</f>
        <v/>
      </c>
      <c r="F32" s="326" t="str">
        <f>IF(SUM(Financeiro!F32:F33)=0,"",SUM(Financeiro!F32:F33))</f>
        <v/>
      </c>
      <c r="G32" s="326" t="str">
        <f>IF(SUM(Financeiro!G32:G33)=0,"",SUM(Financeiro!G32:G33))</f>
        <v/>
      </c>
      <c r="H32" s="326" t="str">
        <f>IF(SUM(Financeiro!H32:H33)=0,"",SUM(Financeiro!H32:H33))</f>
        <v/>
      </c>
      <c r="I32" s="326" t="str">
        <f>IF(SUM(Financeiro!I32:I33)=0,"",SUM(Financeiro!I32:I33))</f>
        <v/>
      </c>
      <c r="J32" s="326" t="str">
        <f>IF(SUM(Financeiro!J32:J33)=0,"",SUM(Financeiro!J32:J33))</f>
        <v/>
      </c>
      <c r="K32" s="326" t="str">
        <f>IF(SUM(Financeiro!K32:K33)=0,"",SUM(Financeiro!K32:K33))</f>
        <v/>
      </c>
      <c r="L32" s="326" t="str">
        <f>IF(SUM(Financeiro!L32:L33)=0,"",SUM(Financeiro!L32:L33))</f>
        <v/>
      </c>
      <c r="M32" s="326" t="str">
        <f>IF(SUM(Financeiro!M32:M33)=0,"",SUM(Financeiro!M32:M33))</f>
        <v/>
      </c>
      <c r="N32" s="326" t="str">
        <f>IF(SUM(Financeiro!N32:N33)=0,"",SUM(Financeiro!N32:N33))</f>
        <v/>
      </c>
      <c r="O32" s="326" t="str">
        <f>IF(SUM(Financeiro!O32:O33)=0,"",SUM(Financeiro!O32:O33))</f>
        <v/>
      </c>
      <c r="P32" s="326" t="str">
        <f>IF(SUM(Financeiro!P32:P33)=0,"",SUM(Financeiro!P32:P33))</f>
        <v/>
      </c>
      <c r="Q32" s="327">
        <f>SUM(E32:P32)</f>
        <v>0</v>
      </c>
    </row>
    <row r="33" spans="2:17" ht="15" customHeight="1" x14ac:dyDescent="0.25">
      <c r="B33" s="1268"/>
      <c r="C33" s="1270"/>
      <c r="D33" s="325" t="s">
        <v>676</v>
      </c>
      <c r="E33" s="326">
        <f>E31+E27</f>
        <v>0</v>
      </c>
      <c r="F33" s="326">
        <f t="shared" ref="F33:P33" si="2">F31+F27</f>
        <v>0</v>
      </c>
      <c r="G33" s="326">
        <f t="shared" si="2"/>
        <v>0</v>
      </c>
      <c r="H33" s="326">
        <f t="shared" si="2"/>
        <v>0</v>
      </c>
      <c r="I33" s="326">
        <f t="shared" si="2"/>
        <v>0</v>
      </c>
      <c r="J33" s="326">
        <f t="shared" si="2"/>
        <v>0</v>
      </c>
      <c r="K33" s="326">
        <f t="shared" si="2"/>
        <v>0</v>
      </c>
      <c r="L33" s="326">
        <f t="shared" si="2"/>
        <v>0</v>
      </c>
      <c r="M33" s="326">
        <f t="shared" si="2"/>
        <v>0</v>
      </c>
      <c r="N33" s="326">
        <f t="shared" si="2"/>
        <v>0</v>
      </c>
      <c r="O33" s="326">
        <f t="shared" si="2"/>
        <v>0</v>
      </c>
      <c r="P33" s="326">
        <f t="shared" si="2"/>
        <v>0</v>
      </c>
      <c r="Q33" s="327">
        <f>SUM(E33:P33)</f>
        <v>0</v>
      </c>
    </row>
    <row r="34" spans="2:17" ht="15" customHeight="1" x14ac:dyDescent="0.25">
      <c r="B34" s="1267">
        <f>B32+1</f>
        <v>16</v>
      </c>
      <c r="C34" s="1269" t="s">
        <v>678</v>
      </c>
      <c r="D34" s="325" t="s">
        <v>7</v>
      </c>
      <c r="E34" s="326" t="str">
        <f>IF(SUM(Financeiro!E34:E35)=0,"",SUM(Financeiro!E34:E35))</f>
        <v/>
      </c>
      <c r="F34" s="326" t="str">
        <f>IF(SUM(Financeiro!F34:F35)=0,"",SUM(Financeiro!F34:F35))</f>
        <v/>
      </c>
      <c r="G34" s="326" t="str">
        <f>IF(SUM(Financeiro!G34:G35)=0,"",SUM(Financeiro!G34:G35))</f>
        <v/>
      </c>
      <c r="H34" s="326" t="str">
        <f>IF(SUM(Financeiro!H34:H35)=0,"",SUM(Financeiro!H34:H35))</f>
        <v/>
      </c>
      <c r="I34" s="326" t="str">
        <f>IF(SUM(Financeiro!I34:I35)=0,"",SUM(Financeiro!I34:I35))</f>
        <v/>
      </c>
      <c r="J34" s="326" t="str">
        <f>IF(SUM(Financeiro!J34:J35)=0,"",SUM(Financeiro!J34:J35))</f>
        <v/>
      </c>
      <c r="K34" s="326" t="str">
        <f>IF(SUM(Financeiro!K34:K35)=0,"",SUM(Financeiro!K34:K35))</f>
        <v/>
      </c>
      <c r="L34" s="326" t="str">
        <f>IF(SUM(Financeiro!L34:L35)=0,"",SUM(Financeiro!L34:L35))</f>
        <v/>
      </c>
      <c r="M34" s="326" t="str">
        <f>IF(SUM(Financeiro!M34:M35)=0,"",SUM(Financeiro!M34:M35))</f>
        <v/>
      </c>
      <c r="N34" s="326" t="str">
        <f>IF(SUM(Financeiro!N34:N35)=0,"",SUM(Financeiro!N34:N35))</f>
        <v/>
      </c>
      <c r="O34" s="326" t="str">
        <f>IF(SUM(Financeiro!O34:O35)=0,"",SUM(Financeiro!O34:O35))</f>
        <v/>
      </c>
      <c r="P34" s="326" t="str">
        <f>IF(SUM(Financeiro!P34:P35)=0,"",SUM(Financeiro!P34:P35))</f>
        <v/>
      </c>
      <c r="Q34" s="327">
        <f>SUM(E34:P34)</f>
        <v>0</v>
      </c>
    </row>
    <row r="35" spans="2:17" ht="15" customHeight="1" x14ac:dyDescent="0.25">
      <c r="B35" s="1268"/>
      <c r="C35" s="1270"/>
      <c r="D35" s="325" t="s">
        <v>676</v>
      </c>
      <c r="E35" s="326">
        <f>E33</f>
        <v>0</v>
      </c>
      <c r="F35" s="326">
        <f>F33+E35</f>
        <v>0</v>
      </c>
      <c r="G35" s="326">
        <f t="shared" ref="G35:P35" si="3">G33+F35</f>
        <v>0</v>
      </c>
      <c r="H35" s="326">
        <f t="shared" si="3"/>
        <v>0</v>
      </c>
      <c r="I35" s="326">
        <f t="shared" si="3"/>
        <v>0</v>
      </c>
      <c r="J35" s="326">
        <f t="shared" si="3"/>
        <v>0</v>
      </c>
      <c r="K35" s="326">
        <f t="shared" si="3"/>
        <v>0</v>
      </c>
      <c r="L35" s="326">
        <f t="shared" si="3"/>
        <v>0</v>
      </c>
      <c r="M35" s="326">
        <f t="shared" si="3"/>
        <v>0</v>
      </c>
      <c r="N35" s="326">
        <f t="shared" si="3"/>
        <v>0</v>
      </c>
      <c r="O35" s="326">
        <f t="shared" si="3"/>
        <v>0</v>
      </c>
      <c r="P35" s="326">
        <f t="shared" si="3"/>
        <v>0</v>
      </c>
      <c r="Q35" s="327">
        <f>P35</f>
        <v>0</v>
      </c>
    </row>
    <row r="37" spans="2:17" ht="15" customHeight="1" x14ac:dyDescent="0.25">
      <c r="B37" s="111"/>
      <c r="C37" s="111"/>
      <c r="D37" s="111"/>
      <c r="E37" s="111"/>
      <c r="F37" s="111"/>
      <c r="G37" s="111"/>
      <c r="H37" s="111"/>
    </row>
    <row r="38" spans="2:17" ht="15" customHeight="1" x14ac:dyDescent="0.25">
      <c r="B38" s="111"/>
      <c r="C38" s="111"/>
      <c r="D38" s="111"/>
      <c r="E38" s="111"/>
      <c r="F38" s="111"/>
      <c r="G38" s="111"/>
      <c r="H38" s="111"/>
    </row>
    <row r="39" spans="2:17" ht="15" customHeight="1" x14ac:dyDescent="0.25">
      <c r="B39" s="111"/>
      <c r="C39" s="111"/>
      <c r="D39" s="111"/>
      <c r="E39" s="111"/>
      <c r="F39" s="111"/>
      <c r="G39" s="111"/>
      <c r="H39" s="111"/>
    </row>
    <row r="40" spans="2:17" ht="15" customHeight="1" x14ac:dyDescent="0.25">
      <c r="B40" s="111"/>
      <c r="C40" s="111"/>
      <c r="D40" s="111"/>
      <c r="E40" s="111"/>
      <c r="F40" s="111"/>
      <c r="G40" s="111"/>
      <c r="H40" s="111"/>
    </row>
    <row r="41" spans="2:17" ht="15" customHeight="1" x14ac:dyDescent="0.25">
      <c r="B41" s="111"/>
      <c r="C41" s="111"/>
      <c r="D41" s="111"/>
      <c r="E41" s="111"/>
      <c r="F41" s="111"/>
      <c r="G41" s="111"/>
      <c r="H41" s="111"/>
    </row>
    <row r="42" spans="2:17" ht="15" customHeight="1" x14ac:dyDescent="0.25">
      <c r="B42" s="111"/>
      <c r="C42" s="111"/>
      <c r="D42" s="111"/>
      <c r="E42" s="111"/>
      <c r="F42" s="111"/>
      <c r="G42" s="111"/>
      <c r="H42" s="111"/>
    </row>
    <row r="43" spans="2:17" ht="15" customHeight="1" x14ac:dyDescent="0.25">
      <c r="B43" s="111"/>
      <c r="C43" s="111"/>
      <c r="D43" s="111"/>
      <c r="E43" s="111"/>
      <c r="F43" s="111"/>
      <c r="G43" s="111"/>
      <c r="H43" s="111"/>
    </row>
    <row r="44" spans="2:17" ht="15" customHeight="1" x14ac:dyDescent="0.25">
      <c r="B44" s="111"/>
      <c r="C44" s="111"/>
      <c r="D44" s="111"/>
      <c r="E44" s="111"/>
      <c r="F44" s="111"/>
      <c r="G44" s="111"/>
      <c r="H44" s="111"/>
    </row>
    <row r="45" spans="2:17" ht="15" customHeight="1" x14ac:dyDescent="0.25">
      <c r="B45" s="111"/>
      <c r="C45" s="111"/>
      <c r="D45" s="111"/>
      <c r="E45" s="111"/>
      <c r="F45" s="111"/>
      <c r="G45" s="111"/>
      <c r="H45" s="111"/>
    </row>
    <row r="46" spans="2:17" ht="15" customHeight="1" x14ac:dyDescent="0.25">
      <c r="B46" s="111"/>
      <c r="C46" s="111"/>
      <c r="D46" s="111"/>
      <c r="E46" s="111"/>
      <c r="F46" s="111"/>
      <c r="G46" s="111"/>
      <c r="H46" s="111"/>
    </row>
    <row r="47" spans="2:17" ht="15" customHeight="1" x14ac:dyDescent="0.25">
      <c r="B47" s="111"/>
      <c r="C47" s="111"/>
      <c r="D47" s="111"/>
      <c r="E47" s="111"/>
      <c r="F47" s="111"/>
      <c r="G47" s="111"/>
      <c r="H47" s="111"/>
    </row>
    <row r="48" spans="2:17" ht="15" customHeight="1" x14ac:dyDescent="0.25">
      <c r="B48" s="111"/>
      <c r="C48" s="111"/>
      <c r="D48" s="111"/>
      <c r="E48" s="111"/>
      <c r="F48" s="111"/>
      <c r="G48" s="111"/>
      <c r="H48" s="111"/>
    </row>
    <row r="49" spans="2:8" ht="15" customHeight="1" x14ac:dyDescent="0.25">
      <c r="B49" s="111"/>
      <c r="C49" s="111"/>
      <c r="D49" s="111"/>
      <c r="E49" s="111"/>
      <c r="F49" s="111"/>
      <c r="G49" s="111"/>
      <c r="H49" s="111"/>
    </row>
    <row r="50" spans="2:8" ht="15" customHeight="1" x14ac:dyDescent="0.25">
      <c r="B50" s="111"/>
      <c r="C50" s="111"/>
      <c r="D50" s="111"/>
      <c r="E50" s="111"/>
      <c r="F50" s="111"/>
      <c r="G50" s="111"/>
      <c r="H50" s="111"/>
    </row>
    <row r="51" spans="2:8" ht="15" customHeight="1" x14ac:dyDescent="0.25">
      <c r="B51" s="111"/>
      <c r="C51" s="111"/>
      <c r="D51" s="111"/>
      <c r="E51" s="111"/>
      <c r="F51" s="111"/>
      <c r="G51" s="111"/>
      <c r="H51" s="111"/>
    </row>
    <row r="52" spans="2:8" ht="15" customHeight="1" x14ac:dyDescent="0.25">
      <c r="B52" s="111"/>
      <c r="C52" s="111"/>
      <c r="D52" s="111"/>
      <c r="E52" s="111"/>
      <c r="F52" s="111"/>
      <c r="G52" s="111"/>
      <c r="H52" s="111"/>
    </row>
    <row r="53" spans="2:8" ht="15" customHeight="1" x14ac:dyDescent="0.25">
      <c r="B53" s="111"/>
      <c r="C53" s="111"/>
      <c r="D53" s="111"/>
      <c r="E53" s="111"/>
      <c r="F53" s="111"/>
      <c r="G53" s="111"/>
      <c r="H53" s="111"/>
    </row>
    <row r="54" spans="2:8" ht="15" customHeight="1" x14ac:dyDescent="0.25">
      <c r="B54" s="111"/>
      <c r="C54" s="111"/>
      <c r="D54" s="111"/>
      <c r="E54" s="111"/>
      <c r="F54" s="111"/>
      <c r="G54" s="111"/>
      <c r="H54" s="111"/>
    </row>
    <row r="55" spans="2:8" ht="15" customHeight="1" x14ac:dyDescent="0.25">
      <c r="B55" s="111"/>
      <c r="C55" s="111"/>
      <c r="D55" s="111"/>
      <c r="E55" s="111"/>
      <c r="F55" s="111"/>
      <c r="G55" s="111"/>
      <c r="H55" s="111"/>
    </row>
    <row r="56" spans="2:8" ht="15" customHeight="1" x14ac:dyDescent="0.25">
      <c r="B56" s="111"/>
      <c r="C56" s="111"/>
      <c r="D56" s="111"/>
      <c r="E56" s="111"/>
      <c r="F56" s="111"/>
      <c r="G56" s="111"/>
      <c r="H56" s="111"/>
    </row>
    <row r="57" spans="2:8" ht="15" customHeight="1" x14ac:dyDescent="0.25">
      <c r="B57" s="111"/>
      <c r="C57" s="111"/>
      <c r="D57" s="111"/>
      <c r="E57" s="111"/>
      <c r="F57" s="111"/>
      <c r="G57" s="111"/>
      <c r="H57" s="111"/>
    </row>
    <row r="58" spans="2:8" ht="15" customHeight="1" x14ac:dyDescent="0.25">
      <c r="B58" s="111"/>
      <c r="C58" s="111"/>
      <c r="D58" s="111"/>
      <c r="E58" s="111"/>
      <c r="F58" s="111"/>
      <c r="G58" s="111"/>
      <c r="H58" s="111"/>
    </row>
    <row r="59" spans="2:8" ht="15" customHeight="1" x14ac:dyDescent="0.25">
      <c r="B59" s="111"/>
      <c r="C59" s="111"/>
      <c r="D59" s="111"/>
      <c r="E59" s="111"/>
      <c r="F59" s="111"/>
      <c r="G59" s="111"/>
      <c r="H59" s="111"/>
    </row>
  </sheetData>
  <sheetProtection algorithmName="SHA-512" hashValue="jlbCY5pwCVKfSnJZH2BR8MvpopfgDZacrXTAd9u403D0+VtSbE3ruCF3WvrlGiS+UQW8vbP9lQ7Nsm6v4u7tWA==" saltValue="O6b9Yg6iuKRZlRbZYHUXgA==" spinCount="100000" sheet="1" objects="1" scenarios="1"/>
  <mergeCells count="35">
    <mergeCell ref="B6:B7"/>
    <mergeCell ref="C6:C7"/>
    <mergeCell ref="B2:D3"/>
    <mergeCell ref="E2:P2"/>
    <mergeCell ref="Q2:Q3"/>
    <mergeCell ref="B4:B5"/>
    <mergeCell ref="C4:C5"/>
    <mergeCell ref="B8:B9"/>
    <mergeCell ref="C8:C9"/>
    <mergeCell ref="B10:B11"/>
    <mergeCell ref="C10:C11"/>
    <mergeCell ref="B12:B13"/>
    <mergeCell ref="C12:C13"/>
    <mergeCell ref="B14:B15"/>
    <mergeCell ref="C14:C15"/>
    <mergeCell ref="B16:B17"/>
    <mergeCell ref="C16:C17"/>
    <mergeCell ref="B18:B19"/>
    <mergeCell ref="C18:C19"/>
    <mergeCell ref="B20:B21"/>
    <mergeCell ref="C20:C21"/>
    <mergeCell ref="B22:B23"/>
    <mergeCell ref="C22:C23"/>
    <mergeCell ref="B24:B25"/>
    <mergeCell ref="C24:C25"/>
    <mergeCell ref="B32:B33"/>
    <mergeCell ref="C32:C33"/>
    <mergeCell ref="B34:B35"/>
    <mergeCell ref="C34:C35"/>
    <mergeCell ref="B26:B27"/>
    <mergeCell ref="C26:C27"/>
    <mergeCell ref="B28:B29"/>
    <mergeCell ref="C28:C29"/>
    <mergeCell ref="B30:B31"/>
    <mergeCell ref="C30:C31"/>
  </mergeCells>
  <conditionalFormatting sqref="E4:P4 E6:P6 E8:P8 E10:P10 E12:P12 E14:P14 E16:P16 E18:P18 E20:P20 E22:P22 E24:P24 E26:P26 E28:P28 E30:P31">
    <cfRule type="cellIs" dxfId="5" priority="3" operator="notEqual">
      <formula>""</formula>
    </cfRule>
  </conditionalFormatting>
  <conditionalFormatting sqref="E5:P5 E7:P7 E9:P9 E11:P11 E13:P13 E15:P15 E17:P17 E19:P19 E21:P21 E23:P23 E25:P25 E27:P27 E29:P29 E31:P31">
    <cfRule type="cellIs" dxfId="4" priority="2" operator="notEqual">
      <formula>""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B31"/>
  <sheetViews>
    <sheetView zoomScale="90" zoomScaleNormal="90" workbookViewId="0">
      <selection activeCell="Z31" sqref="Z31"/>
    </sheetView>
  </sheetViews>
  <sheetFormatPr defaultColWidth="9.140625" defaultRowHeight="12.75" x14ac:dyDescent="0.2"/>
  <cols>
    <col min="1" max="1" width="3.42578125" style="600" customWidth="1"/>
    <col min="2" max="2" width="3" style="600" bestFit="1" customWidth="1"/>
    <col min="3" max="3" width="41.42578125" style="600" customWidth="1"/>
    <col min="4" max="4" width="21.28515625" style="600" customWidth="1"/>
    <col min="5" max="16384" width="9.140625" style="600"/>
  </cols>
  <sheetData>
    <row r="2" spans="2:28" ht="15" customHeight="1" x14ac:dyDescent="0.2">
      <c r="B2" s="601"/>
      <c r="C2" s="1273" t="s">
        <v>898</v>
      </c>
      <c r="D2" s="1274" t="s">
        <v>902</v>
      </c>
      <c r="E2" s="1252" t="s">
        <v>663</v>
      </c>
      <c r="F2" s="1253"/>
      <c r="G2" s="1253"/>
      <c r="H2" s="1253"/>
      <c r="I2" s="1253"/>
      <c r="J2" s="1253"/>
      <c r="K2" s="1253"/>
      <c r="L2" s="1253"/>
      <c r="M2" s="1253"/>
      <c r="N2" s="1253"/>
      <c r="O2" s="1253"/>
      <c r="P2" s="1253"/>
      <c r="Q2" s="1253"/>
      <c r="R2" s="1253"/>
      <c r="S2" s="1253"/>
      <c r="T2" s="1253"/>
      <c r="U2" s="1253"/>
      <c r="V2" s="1253"/>
      <c r="W2" s="1253"/>
      <c r="X2" s="1253"/>
      <c r="Y2" s="1253"/>
      <c r="Z2" s="1253"/>
      <c r="AA2" s="1253"/>
      <c r="AB2" s="1253"/>
    </row>
    <row r="3" spans="2:28" ht="15" x14ac:dyDescent="0.2">
      <c r="B3" s="602"/>
      <c r="C3" s="1276"/>
      <c r="D3" s="1277"/>
      <c r="E3" s="323" t="s">
        <v>664</v>
      </c>
      <c r="F3" s="323" t="s">
        <v>665</v>
      </c>
      <c r="G3" s="323" t="s">
        <v>666</v>
      </c>
      <c r="H3" s="323" t="s">
        <v>667</v>
      </c>
      <c r="I3" s="323" t="s">
        <v>668</v>
      </c>
      <c r="J3" s="323" t="s">
        <v>669</v>
      </c>
      <c r="K3" s="323" t="s">
        <v>670</v>
      </c>
      <c r="L3" s="323" t="s">
        <v>671</v>
      </c>
      <c r="M3" s="323" t="s">
        <v>672</v>
      </c>
      <c r="N3" s="323" t="s">
        <v>673</v>
      </c>
      <c r="O3" s="323" t="s">
        <v>674</v>
      </c>
      <c r="P3" s="323" t="s">
        <v>675</v>
      </c>
      <c r="Q3" s="323" t="s">
        <v>1349</v>
      </c>
      <c r="R3" s="323" t="s">
        <v>1350</v>
      </c>
      <c r="S3" s="323" t="s">
        <v>1351</v>
      </c>
      <c r="T3" s="323" t="s">
        <v>1352</v>
      </c>
      <c r="U3" s="323" t="s">
        <v>1353</v>
      </c>
      <c r="V3" s="323" t="s">
        <v>1354</v>
      </c>
      <c r="W3" s="323" t="s">
        <v>1355</v>
      </c>
      <c r="X3" s="323" t="s">
        <v>1356</v>
      </c>
      <c r="Y3" s="323" t="s">
        <v>1357</v>
      </c>
      <c r="Z3" s="323" t="s">
        <v>1358</v>
      </c>
      <c r="AA3" s="323" t="s">
        <v>1359</v>
      </c>
      <c r="AB3" s="323" t="s">
        <v>1360</v>
      </c>
    </row>
    <row r="4" spans="2:28" ht="15" customHeight="1" x14ac:dyDescent="0.25">
      <c r="B4" s="1255">
        <v>1</v>
      </c>
      <c r="C4" s="1282" t="s">
        <v>1076</v>
      </c>
      <c r="D4" s="1296" t="s">
        <v>1343</v>
      </c>
      <c r="E4" s="1283"/>
      <c r="F4" s="1283"/>
      <c r="G4" s="1283"/>
      <c r="H4" s="1283"/>
      <c r="I4" s="1283"/>
      <c r="J4" s="1283"/>
      <c r="K4" s="1283"/>
      <c r="L4" s="1283"/>
      <c r="M4" s="1283"/>
      <c r="N4" s="1283"/>
      <c r="O4" s="1283"/>
      <c r="P4" s="796"/>
      <c r="Q4" s="796"/>
      <c r="R4" s="796"/>
      <c r="S4" s="796"/>
      <c r="T4" s="796"/>
      <c r="U4" s="796"/>
      <c r="V4" s="796"/>
      <c r="W4" s="796"/>
      <c r="X4" s="796"/>
      <c r="Y4" s="796"/>
      <c r="Z4" s="796"/>
      <c r="AA4" s="796"/>
      <c r="AB4" s="796"/>
    </row>
    <row r="5" spans="2:28" ht="15" customHeight="1" x14ac:dyDescent="0.25">
      <c r="B5" s="1256"/>
      <c r="C5" s="1258"/>
      <c r="D5" s="1297"/>
      <c r="E5" s="1284"/>
      <c r="F5" s="1284"/>
      <c r="G5" s="1284"/>
      <c r="H5" s="1284"/>
      <c r="I5" s="1284"/>
      <c r="J5" s="1284"/>
      <c r="K5" s="1284"/>
      <c r="L5" s="1284"/>
      <c r="M5" s="1284"/>
      <c r="N5" s="1284"/>
      <c r="O5" s="1284"/>
      <c r="P5" s="797"/>
      <c r="Q5" s="797"/>
      <c r="R5" s="797"/>
      <c r="S5" s="797"/>
      <c r="T5" s="797"/>
      <c r="U5" s="797"/>
      <c r="V5" s="797"/>
      <c r="W5" s="797"/>
      <c r="X5" s="797"/>
      <c r="Y5" s="797"/>
      <c r="Z5" s="797"/>
      <c r="AA5" s="797"/>
      <c r="AB5" s="797"/>
    </row>
    <row r="6" spans="2:28" ht="15" customHeight="1" x14ac:dyDescent="0.25">
      <c r="B6" s="1195">
        <f>B4+1</f>
        <v>2</v>
      </c>
      <c r="C6" s="1280" t="s">
        <v>899</v>
      </c>
      <c r="D6" s="1287" t="s">
        <v>1341</v>
      </c>
      <c r="E6" s="1283"/>
      <c r="F6" s="1283"/>
      <c r="G6" s="1283"/>
      <c r="H6" s="1283"/>
      <c r="I6" s="1283"/>
      <c r="J6" s="1283"/>
      <c r="K6" s="1283"/>
      <c r="L6" s="1283"/>
      <c r="M6" s="1283"/>
      <c r="N6" s="1283"/>
      <c r="O6" s="1283"/>
      <c r="P6" s="796"/>
      <c r="Q6" s="796"/>
      <c r="R6" s="796"/>
      <c r="S6" s="796"/>
      <c r="T6" s="796"/>
      <c r="U6" s="796"/>
      <c r="V6" s="796"/>
      <c r="W6" s="796"/>
      <c r="X6" s="796"/>
      <c r="Y6" s="796"/>
      <c r="Z6" s="796"/>
      <c r="AA6" s="796"/>
      <c r="AB6" s="796"/>
    </row>
    <row r="7" spans="2:28" ht="15" customHeight="1" x14ac:dyDescent="0.25">
      <c r="B7" s="1197"/>
      <c r="C7" s="1281"/>
      <c r="D7" s="1286"/>
      <c r="E7" s="1284"/>
      <c r="F7" s="1284"/>
      <c r="G7" s="1284"/>
      <c r="H7" s="1284"/>
      <c r="I7" s="1284"/>
      <c r="J7" s="1284"/>
      <c r="K7" s="1284"/>
      <c r="L7" s="1284"/>
      <c r="M7" s="1284"/>
      <c r="N7" s="1284"/>
      <c r="O7" s="1284"/>
      <c r="P7" s="797"/>
      <c r="Q7" s="797"/>
      <c r="R7" s="797"/>
      <c r="S7" s="797"/>
      <c r="T7" s="797"/>
      <c r="U7" s="797"/>
      <c r="V7" s="797"/>
      <c r="W7" s="797"/>
      <c r="X7" s="797"/>
      <c r="Y7" s="797"/>
      <c r="Z7" s="797"/>
      <c r="AA7" s="797"/>
      <c r="AB7" s="797"/>
    </row>
    <row r="8" spans="2:28" ht="15" customHeight="1" x14ac:dyDescent="0.25">
      <c r="B8" s="1255">
        <f>B6+1</f>
        <v>3</v>
      </c>
      <c r="C8" s="1264" t="s">
        <v>906</v>
      </c>
      <c r="D8" s="1288" t="s">
        <v>1342</v>
      </c>
      <c r="E8" s="1283"/>
      <c r="F8" s="1283"/>
      <c r="G8" s="1283"/>
      <c r="H8" s="1283"/>
      <c r="I8" s="1283"/>
      <c r="J8" s="1283"/>
      <c r="K8" s="1283"/>
      <c r="L8" s="1283"/>
      <c r="M8" s="1283"/>
      <c r="N8" s="1283"/>
      <c r="O8" s="1283"/>
      <c r="P8" s="796"/>
      <c r="Q8" s="796"/>
      <c r="R8" s="796"/>
      <c r="S8" s="796"/>
      <c r="T8" s="796"/>
      <c r="U8" s="796"/>
      <c r="V8" s="796"/>
      <c r="W8" s="796"/>
      <c r="X8" s="796"/>
      <c r="Y8" s="796"/>
      <c r="Z8" s="796"/>
      <c r="AA8" s="796"/>
      <c r="AB8" s="796"/>
    </row>
    <row r="9" spans="2:28" ht="15" customHeight="1" x14ac:dyDescent="0.25">
      <c r="B9" s="1256"/>
      <c r="C9" s="1258"/>
      <c r="D9" s="1289"/>
      <c r="E9" s="1284"/>
      <c r="F9" s="1284"/>
      <c r="G9" s="1284"/>
      <c r="H9" s="1284"/>
      <c r="I9" s="1284"/>
      <c r="J9" s="1284"/>
      <c r="K9" s="1284"/>
      <c r="L9" s="1284"/>
      <c r="M9" s="1284"/>
      <c r="N9" s="1284"/>
      <c r="O9" s="1284"/>
      <c r="P9" s="797"/>
      <c r="Q9" s="797"/>
      <c r="R9" s="797"/>
      <c r="S9" s="797"/>
      <c r="T9" s="797"/>
      <c r="U9" s="797"/>
      <c r="V9" s="797"/>
      <c r="W9" s="797"/>
      <c r="X9" s="797"/>
      <c r="Y9" s="797"/>
      <c r="Z9" s="797"/>
      <c r="AA9" s="797"/>
      <c r="AB9" s="797"/>
    </row>
    <row r="10" spans="2:28" ht="15" customHeight="1" x14ac:dyDescent="0.25">
      <c r="B10" s="1195">
        <f>B8+1</f>
        <v>4</v>
      </c>
      <c r="C10" s="1280" t="s">
        <v>775</v>
      </c>
      <c r="D10" s="1290" t="s">
        <v>1341</v>
      </c>
      <c r="E10" s="1283"/>
      <c r="F10" s="1283"/>
      <c r="G10" s="1283"/>
      <c r="H10" s="1283"/>
      <c r="I10" s="1283"/>
      <c r="J10" s="1283"/>
      <c r="K10" s="1283"/>
      <c r="L10" s="1283"/>
      <c r="M10" s="1283"/>
      <c r="N10" s="1283"/>
      <c r="O10" s="1283"/>
      <c r="P10" s="796"/>
      <c r="Q10" s="796"/>
      <c r="R10" s="796"/>
      <c r="S10" s="796"/>
      <c r="T10" s="796"/>
      <c r="U10" s="796"/>
      <c r="V10" s="796"/>
      <c r="W10" s="796"/>
      <c r="X10" s="796"/>
      <c r="Y10" s="796"/>
      <c r="Z10" s="796"/>
      <c r="AA10" s="796"/>
      <c r="AB10" s="796"/>
    </row>
    <row r="11" spans="2:28" ht="15" customHeight="1" x14ac:dyDescent="0.25">
      <c r="B11" s="1197"/>
      <c r="C11" s="1281"/>
      <c r="D11" s="1286"/>
      <c r="E11" s="1284"/>
      <c r="F11" s="1284"/>
      <c r="G11" s="1284"/>
      <c r="H11" s="1284"/>
      <c r="I11" s="1284"/>
      <c r="J11" s="1284"/>
      <c r="K11" s="1284"/>
      <c r="L11" s="1284"/>
      <c r="M11" s="1284"/>
      <c r="N11" s="1284"/>
      <c r="O11" s="1284"/>
      <c r="P11" s="797"/>
      <c r="Q11" s="797"/>
      <c r="R11" s="797"/>
      <c r="S11" s="797"/>
      <c r="T11" s="797"/>
      <c r="U11" s="797"/>
      <c r="V11" s="797"/>
      <c r="W11" s="797"/>
      <c r="X11" s="797"/>
      <c r="Y11" s="797"/>
      <c r="Z11" s="797"/>
      <c r="AA11" s="797"/>
      <c r="AB11" s="797"/>
    </row>
    <row r="12" spans="2:28" ht="15" customHeight="1" x14ac:dyDescent="0.25">
      <c r="B12" s="1255">
        <f>B10+1</f>
        <v>5</v>
      </c>
      <c r="C12" s="1264" t="s">
        <v>905</v>
      </c>
      <c r="D12" s="1295" t="s">
        <v>1341</v>
      </c>
      <c r="E12" s="1283"/>
      <c r="F12" s="1283"/>
      <c r="G12" s="1283"/>
      <c r="H12" s="1283"/>
      <c r="I12" s="1283"/>
      <c r="J12" s="1283"/>
      <c r="K12" s="1283"/>
      <c r="L12" s="1283"/>
      <c r="M12" s="1283"/>
      <c r="N12" s="1283"/>
      <c r="O12" s="1283"/>
      <c r="P12" s="796"/>
      <c r="Q12" s="796"/>
      <c r="R12" s="796"/>
      <c r="S12" s="796"/>
      <c r="T12" s="796"/>
      <c r="U12" s="796"/>
      <c r="V12" s="796"/>
      <c r="W12" s="796"/>
      <c r="X12" s="796"/>
      <c r="Y12" s="796"/>
      <c r="Z12" s="796"/>
      <c r="AA12" s="796"/>
      <c r="AB12" s="796"/>
    </row>
    <row r="13" spans="2:28" ht="15" customHeight="1" x14ac:dyDescent="0.25">
      <c r="B13" s="1256"/>
      <c r="C13" s="1258"/>
      <c r="D13" s="1289"/>
      <c r="E13" s="1284"/>
      <c r="F13" s="1284"/>
      <c r="G13" s="1284"/>
      <c r="H13" s="1284"/>
      <c r="I13" s="1284"/>
      <c r="J13" s="1284"/>
      <c r="K13" s="1284"/>
      <c r="L13" s="1284"/>
      <c r="M13" s="1284"/>
      <c r="N13" s="1284"/>
      <c r="O13" s="1284"/>
      <c r="P13" s="797"/>
      <c r="Q13" s="797"/>
      <c r="R13" s="797"/>
      <c r="S13" s="797"/>
      <c r="T13" s="797"/>
      <c r="U13" s="797"/>
      <c r="V13" s="797"/>
      <c r="W13" s="797"/>
      <c r="X13" s="797"/>
      <c r="Y13" s="797"/>
      <c r="Z13" s="797"/>
      <c r="AA13" s="797"/>
      <c r="AB13" s="797"/>
    </row>
    <row r="14" spans="2:28" ht="15" customHeight="1" x14ac:dyDescent="0.25">
      <c r="B14" s="1195">
        <f>B12+1</f>
        <v>6</v>
      </c>
      <c r="C14" s="1293" t="s">
        <v>776</v>
      </c>
      <c r="D14" s="1287" t="s">
        <v>1341</v>
      </c>
      <c r="E14" s="1283"/>
      <c r="F14" s="1283"/>
      <c r="G14" s="1283"/>
      <c r="H14" s="1283"/>
      <c r="I14" s="1283"/>
      <c r="J14" s="1283"/>
      <c r="K14" s="1283"/>
      <c r="L14" s="1283"/>
      <c r="M14" s="1283"/>
      <c r="N14" s="1283"/>
      <c r="O14" s="1283"/>
      <c r="P14" s="796"/>
      <c r="Q14" s="796"/>
      <c r="R14" s="796"/>
      <c r="S14" s="796"/>
      <c r="T14" s="796"/>
      <c r="U14" s="796"/>
      <c r="V14" s="796"/>
      <c r="W14" s="796"/>
      <c r="X14" s="796"/>
      <c r="Y14" s="796"/>
      <c r="Z14" s="796"/>
      <c r="AA14" s="796"/>
      <c r="AB14" s="796"/>
    </row>
    <row r="15" spans="2:28" ht="15" customHeight="1" x14ac:dyDescent="0.25">
      <c r="B15" s="1197"/>
      <c r="C15" s="1281"/>
      <c r="D15" s="1286"/>
      <c r="E15" s="1284"/>
      <c r="F15" s="1284"/>
      <c r="G15" s="1284"/>
      <c r="H15" s="1284"/>
      <c r="I15" s="1284"/>
      <c r="J15" s="1284"/>
      <c r="K15" s="1284"/>
      <c r="L15" s="1284"/>
      <c r="M15" s="1284"/>
      <c r="N15" s="1284"/>
      <c r="O15" s="1284"/>
      <c r="P15" s="797"/>
      <c r="Q15" s="797"/>
      <c r="R15" s="797"/>
      <c r="S15" s="797"/>
      <c r="T15" s="797"/>
      <c r="U15" s="797"/>
      <c r="V15" s="797"/>
      <c r="W15" s="797"/>
      <c r="X15" s="797"/>
      <c r="Y15" s="797"/>
      <c r="Z15" s="797"/>
      <c r="AA15" s="797"/>
      <c r="AB15" s="797"/>
    </row>
    <row r="16" spans="2:28" ht="15" customHeight="1" x14ac:dyDescent="0.25">
      <c r="B16" s="1255">
        <f>B14+1</f>
        <v>7</v>
      </c>
      <c r="C16" s="1264" t="s">
        <v>175</v>
      </c>
      <c r="D16" s="1288" t="s">
        <v>1342</v>
      </c>
      <c r="E16" s="1283"/>
      <c r="F16" s="1283"/>
      <c r="G16" s="1283"/>
      <c r="H16" s="1283"/>
      <c r="I16" s="1283"/>
      <c r="J16" s="1283"/>
      <c r="K16" s="1283"/>
      <c r="L16" s="1283"/>
      <c r="M16" s="1283"/>
      <c r="N16" s="1283"/>
      <c r="O16" s="1283"/>
      <c r="P16" s="796"/>
      <c r="Q16" s="796"/>
      <c r="R16" s="796"/>
      <c r="S16" s="796"/>
      <c r="T16" s="796"/>
      <c r="U16" s="796"/>
      <c r="V16" s="796"/>
      <c r="W16" s="796"/>
      <c r="X16" s="796"/>
      <c r="Y16" s="796"/>
      <c r="Z16" s="796"/>
      <c r="AA16" s="796"/>
      <c r="AB16" s="796"/>
    </row>
    <row r="17" spans="2:28" ht="15" customHeight="1" x14ac:dyDescent="0.25">
      <c r="B17" s="1256"/>
      <c r="C17" s="1258"/>
      <c r="D17" s="1289"/>
      <c r="E17" s="1284"/>
      <c r="F17" s="1284"/>
      <c r="G17" s="1284"/>
      <c r="H17" s="1284"/>
      <c r="I17" s="1284"/>
      <c r="J17" s="1284"/>
      <c r="K17" s="1284"/>
      <c r="L17" s="1284"/>
      <c r="M17" s="1284"/>
      <c r="N17" s="1284"/>
      <c r="O17" s="1284"/>
      <c r="P17" s="797"/>
      <c r="Q17" s="797"/>
      <c r="R17" s="797"/>
      <c r="S17" s="797"/>
      <c r="T17" s="797"/>
      <c r="U17" s="797"/>
      <c r="V17" s="797"/>
      <c r="W17" s="797"/>
      <c r="X17" s="797"/>
      <c r="Y17" s="797"/>
      <c r="Z17" s="797"/>
      <c r="AA17" s="797"/>
      <c r="AB17" s="797"/>
    </row>
    <row r="18" spans="2:28" ht="15" customHeight="1" x14ac:dyDescent="0.25">
      <c r="B18" s="1195">
        <f>B16+1</f>
        <v>8</v>
      </c>
      <c r="C18" s="1293" t="s">
        <v>777</v>
      </c>
      <c r="D18" s="1287" t="s">
        <v>1341</v>
      </c>
      <c r="E18" s="1283"/>
      <c r="F18" s="1283"/>
      <c r="G18" s="1283"/>
      <c r="H18" s="1283"/>
      <c r="I18" s="1283"/>
      <c r="J18" s="1283"/>
      <c r="K18" s="1283"/>
      <c r="L18" s="1283"/>
      <c r="M18" s="1283"/>
      <c r="N18" s="1283"/>
      <c r="O18" s="1283"/>
      <c r="P18" s="796"/>
      <c r="Q18" s="796"/>
      <c r="R18" s="796"/>
      <c r="S18" s="796"/>
      <c r="T18" s="796"/>
      <c r="U18" s="796"/>
      <c r="V18" s="796"/>
      <c r="W18" s="796"/>
      <c r="X18" s="796"/>
      <c r="Y18" s="796"/>
      <c r="Z18" s="796"/>
      <c r="AA18" s="796"/>
      <c r="AB18" s="796"/>
    </row>
    <row r="19" spans="2:28" ht="15" customHeight="1" x14ac:dyDescent="0.25">
      <c r="B19" s="1197"/>
      <c r="C19" s="1281"/>
      <c r="D19" s="1286"/>
      <c r="E19" s="1284"/>
      <c r="F19" s="1284"/>
      <c r="G19" s="1284"/>
      <c r="H19" s="1284"/>
      <c r="I19" s="1284"/>
      <c r="J19" s="1284"/>
      <c r="K19" s="1284"/>
      <c r="L19" s="1284"/>
      <c r="M19" s="1284"/>
      <c r="N19" s="1284"/>
      <c r="O19" s="1284"/>
      <c r="P19" s="797"/>
      <c r="Q19" s="797"/>
      <c r="R19" s="797"/>
      <c r="S19" s="797"/>
      <c r="T19" s="797"/>
      <c r="U19" s="797"/>
      <c r="V19" s="797"/>
      <c r="W19" s="797"/>
      <c r="X19" s="797"/>
      <c r="Y19" s="797"/>
      <c r="Z19" s="797"/>
      <c r="AA19" s="797"/>
      <c r="AB19" s="797"/>
    </row>
    <row r="20" spans="2:28" ht="15" customHeight="1" x14ac:dyDescent="0.25">
      <c r="B20" s="1255">
        <f>B18+1</f>
        <v>9</v>
      </c>
      <c r="C20" s="1271" t="s">
        <v>778</v>
      </c>
      <c r="D20" s="1288" t="s">
        <v>1341</v>
      </c>
      <c r="E20" s="1283"/>
      <c r="F20" s="1283"/>
      <c r="G20" s="1283"/>
      <c r="H20" s="1283"/>
      <c r="I20" s="1283"/>
      <c r="J20" s="1283"/>
      <c r="K20" s="1283"/>
      <c r="L20" s="1283"/>
      <c r="M20" s="1283"/>
      <c r="N20" s="1283"/>
      <c r="O20" s="1283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96"/>
      <c r="AB20" s="796"/>
    </row>
    <row r="21" spans="2:28" ht="15" customHeight="1" x14ac:dyDescent="0.25">
      <c r="B21" s="1256"/>
      <c r="C21" s="1258"/>
      <c r="D21" s="1289"/>
      <c r="E21" s="1284"/>
      <c r="F21" s="1284"/>
      <c r="G21" s="1284"/>
      <c r="H21" s="1284"/>
      <c r="I21" s="1284"/>
      <c r="J21" s="1284"/>
      <c r="K21" s="1284"/>
      <c r="L21" s="1284"/>
      <c r="M21" s="1284"/>
      <c r="N21" s="1284"/>
      <c r="O21" s="1284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97"/>
      <c r="AB21" s="797"/>
    </row>
    <row r="22" spans="2:28" ht="15" customHeight="1" x14ac:dyDescent="0.25">
      <c r="B22" s="1195">
        <f>B20+1</f>
        <v>10</v>
      </c>
      <c r="C22" s="1293" t="s">
        <v>177</v>
      </c>
      <c r="D22" s="1287" t="s">
        <v>1341</v>
      </c>
      <c r="E22" s="1283"/>
      <c r="F22" s="1283"/>
      <c r="G22" s="1283"/>
      <c r="H22" s="1283"/>
      <c r="I22" s="1283"/>
      <c r="J22" s="1283"/>
      <c r="K22" s="1283"/>
      <c r="L22" s="1283"/>
      <c r="M22" s="1283"/>
      <c r="N22" s="1283"/>
      <c r="O22" s="1283"/>
      <c r="P22" s="796"/>
      <c r="Q22" s="796"/>
      <c r="R22" s="796"/>
      <c r="S22" s="796"/>
      <c r="T22" s="796"/>
      <c r="U22" s="796"/>
      <c r="V22" s="796"/>
      <c r="W22" s="796"/>
      <c r="X22" s="796"/>
      <c r="Y22" s="796"/>
      <c r="Z22" s="796"/>
      <c r="AA22" s="796"/>
      <c r="AB22" s="796"/>
    </row>
    <row r="23" spans="2:28" ht="15" customHeight="1" x14ac:dyDescent="0.25">
      <c r="B23" s="1197"/>
      <c r="C23" s="1281"/>
      <c r="D23" s="1286"/>
      <c r="E23" s="1284"/>
      <c r="F23" s="1284"/>
      <c r="G23" s="1284"/>
      <c r="H23" s="1284"/>
      <c r="I23" s="1284"/>
      <c r="J23" s="1284"/>
      <c r="K23" s="1284"/>
      <c r="L23" s="1284"/>
      <c r="M23" s="1284"/>
      <c r="N23" s="1284"/>
      <c r="O23" s="1284"/>
      <c r="P23" s="797"/>
      <c r="Q23" s="797"/>
      <c r="R23" s="797"/>
      <c r="S23" s="797"/>
      <c r="T23" s="797"/>
      <c r="U23" s="797"/>
      <c r="V23" s="797"/>
      <c r="W23" s="797"/>
      <c r="X23" s="797"/>
      <c r="Y23" s="797"/>
      <c r="Z23" s="797"/>
      <c r="AA23" s="797"/>
      <c r="AB23" s="797"/>
    </row>
    <row r="24" spans="2:28" ht="15" customHeight="1" x14ac:dyDescent="0.25">
      <c r="B24" s="1255">
        <f>B22+1</f>
        <v>11</v>
      </c>
      <c r="C24" s="1271" t="s">
        <v>779</v>
      </c>
      <c r="D24" s="1288" t="s">
        <v>1341</v>
      </c>
      <c r="E24" s="1283"/>
      <c r="F24" s="1283"/>
      <c r="G24" s="1283"/>
      <c r="H24" s="1283"/>
      <c r="I24" s="1283"/>
      <c r="J24" s="1283"/>
      <c r="K24" s="1283"/>
      <c r="L24" s="1283"/>
      <c r="M24" s="1283"/>
      <c r="N24" s="1283"/>
      <c r="O24" s="1283"/>
      <c r="P24" s="796"/>
      <c r="Q24" s="796"/>
      <c r="R24" s="796"/>
      <c r="S24" s="796"/>
      <c r="T24" s="796"/>
      <c r="U24" s="796"/>
      <c r="V24" s="796"/>
      <c r="W24" s="796"/>
      <c r="X24" s="796"/>
      <c r="Y24" s="796"/>
      <c r="Z24" s="796"/>
      <c r="AA24" s="796"/>
      <c r="AB24" s="796"/>
    </row>
    <row r="25" spans="2:28" ht="15" customHeight="1" x14ac:dyDescent="0.25">
      <c r="B25" s="1256"/>
      <c r="C25" s="1258"/>
      <c r="D25" s="1289"/>
      <c r="E25" s="1284"/>
      <c r="F25" s="1284"/>
      <c r="G25" s="1284"/>
      <c r="H25" s="1284"/>
      <c r="I25" s="1284"/>
      <c r="J25" s="1284"/>
      <c r="K25" s="1284"/>
      <c r="L25" s="1284"/>
      <c r="M25" s="1284"/>
      <c r="N25" s="1284"/>
      <c r="O25" s="1284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97"/>
      <c r="AB25" s="797"/>
    </row>
    <row r="26" spans="2:28" ht="15" customHeight="1" x14ac:dyDescent="0.25">
      <c r="B26" s="1195">
        <f>B24+1</f>
        <v>12</v>
      </c>
      <c r="C26" s="1291" t="s">
        <v>1344</v>
      </c>
      <c r="D26" s="1294" t="s">
        <v>1342</v>
      </c>
      <c r="E26" s="1283"/>
      <c r="F26" s="1283"/>
      <c r="G26" s="1283"/>
      <c r="H26" s="1283"/>
      <c r="I26" s="1283"/>
      <c r="J26" s="1283"/>
      <c r="K26" s="1283"/>
      <c r="L26" s="1283"/>
      <c r="M26" s="1283"/>
      <c r="N26" s="1283"/>
      <c r="O26" s="1283"/>
      <c r="P26" s="796"/>
      <c r="Q26" s="796"/>
      <c r="R26" s="796"/>
      <c r="S26" s="796"/>
      <c r="T26" s="796"/>
      <c r="U26" s="796"/>
      <c r="V26" s="796"/>
      <c r="W26" s="796"/>
      <c r="X26" s="796"/>
      <c r="Y26" s="796"/>
      <c r="Z26" s="796"/>
      <c r="AA26" s="796"/>
      <c r="AB26" s="796"/>
    </row>
    <row r="27" spans="2:28" ht="15" customHeight="1" x14ac:dyDescent="0.25">
      <c r="B27" s="1197"/>
      <c r="C27" s="1281"/>
      <c r="D27" s="1286"/>
      <c r="E27" s="1284"/>
      <c r="F27" s="1284"/>
      <c r="G27" s="1284"/>
      <c r="H27" s="1284"/>
      <c r="I27" s="1284"/>
      <c r="J27" s="1284"/>
      <c r="K27" s="1284"/>
      <c r="L27" s="1284"/>
      <c r="M27" s="1284"/>
      <c r="N27" s="1284"/>
      <c r="O27" s="1284"/>
      <c r="P27" s="797"/>
      <c r="Q27" s="797"/>
      <c r="R27" s="797"/>
      <c r="S27" s="797"/>
      <c r="T27" s="797"/>
      <c r="U27" s="797"/>
      <c r="V27" s="797"/>
      <c r="W27" s="797"/>
      <c r="X27" s="797"/>
      <c r="Y27" s="797"/>
      <c r="Z27" s="797"/>
      <c r="AA27" s="797"/>
      <c r="AB27" s="797"/>
    </row>
    <row r="28" spans="2:28" ht="15" customHeight="1" x14ac:dyDescent="0.25">
      <c r="B28" s="1255">
        <f>B26+1</f>
        <v>13</v>
      </c>
      <c r="C28" s="1271" t="s">
        <v>780</v>
      </c>
      <c r="D28" s="1288" t="s">
        <v>1341</v>
      </c>
      <c r="E28" s="1283"/>
      <c r="F28" s="1283"/>
      <c r="G28" s="1283"/>
      <c r="H28" s="1283"/>
      <c r="I28" s="1283"/>
      <c r="J28" s="1283"/>
      <c r="K28" s="1283"/>
      <c r="L28" s="1283"/>
      <c r="M28" s="1283"/>
      <c r="N28" s="1283"/>
      <c r="O28" s="1283"/>
      <c r="P28" s="796"/>
      <c r="Q28" s="796"/>
      <c r="R28" s="796"/>
      <c r="S28" s="796"/>
      <c r="T28" s="796"/>
      <c r="U28" s="796"/>
      <c r="V28" s="796"/>
      <c r="W28" s="796"/>
      <c r="X28" s="796"/>
      <c r="Y28" s="796"/>
      <c r="Z28" s="796"/>
      <c r="AA28" s="796"/>
      <c r="AB28" s="796"/>
    </row>
    <row r="29" spans="2:28" ht="15" customHeight="1" x14ac:dyDescent="0.25">
      <c r="B29" s="1256"/>
      <c r="C29" s="1258"/>
      <c r="D29" s="1289"/>
      <c r="E29" s="1284"/>
      <c r="F29" s="1284"/>
      <c r="G29" s="1284"/>
      <c r="H29" s="1284"/>
      <c r="I29" s="1284"/>
      <c r="J29" s="1284"/>
      <c r="K29" s="1284"/>
      <c r="L29" s="1284"/>
      <c r="M29" s="1284"/>
      <c r="N29" s="1284"/>
      <c r="O29" s="1284"/>
      <c r="P29" s="797"/>
      <c r="Q29" s="797"/>
      <c r="R29" s="797"/>
      <c r="S29" s="797"/>
      <c r="T29" s="797"/>
      <c r="U29" s="797"/>
      <c r="V29" s="797"/>
      <c r="W29" s="797"/>
      <c r="X29" s="797"/>
      <c r="Y29" s="797"/>
      <c r="Z29" s="797"/>
      <c r="AA29" s="797"/>
      <c r="AB29" s="797"/>
    </row>
    <row r="30" spans="2:28" ht="15" customHeight="1" x14ac:dyDescent="0.25">
      <c r="B30" s="1195">
        <f>B28+1</f>
        <v>14</v>
      </c>
      <c r="C30" s="1292" t="s">
        <v>1340</v>
      </c>
      <c r="D30" s="1285" t="s">
        <v>1345</v>
      </c>
      <c r="E30" s="1283"/>
      <c r="F30" s="1283"/>
      <c r="G30" s="1283"/>
      <c r="H30" s="1283"/>
      <c r="I30" s="1283"/>
      <c r="J30" s="1283"/>
      <c r="K30" s="1283"/>
      <c r="L30" s="1283"/>
      <c r="M30" s="1283"/>
      <c r="N30" s="1283"/>
      <c r="O30" s="1283"/>
      <c r="P30" s="796"/>
      <c r="Q30" s="796"/>
      <c r="R30" s="796"/>
      <c r="S30" s="796"/>
      <c r="T30" s="796"/>
      <c r="U30" s="796"/>
      <c r="V30" s="796"/>
      <c r="W30" s="796"/>
      <c r="X30" s="796"/>
      <c r="Y30" s="796"/>
      <c r="Z30" s="796"/>
      <c r="AA30" s="796"/>
      <c r="AB30" s="796"/>
    </row>
    <row r="31" spans="2:28" ht="15" customHeight="1" x14ac:dyDescent="0.25">
      <c r="B31" s="1197"/>
      <c r="C31" s="1281"/>
      <c r="D31" s="1286"/>
      <c r="E31" s="1284"/>
      <c r="F31" s="1284"/>
      <c r="G31" s="1284"/>
      <c r="H31" s="1284"/>
      <c r="I31" s="1284"/>
      <c r="J31" s="1284"/>
      <c r="K31" s="1284"/>
      <c r="L31" s="1284"/>
      <c r="M31" s="1284"/>
      <c r="N31" s="1284"/>
      <c r="O31" s="1284"/>
      <c r="P31" s="797"/>
      <c r="Q31" s="797"/>
      <c r="R31" s="797"/>
      <c r="S31" s="797"/>
      <c r="T31" s="797"/>
      <c r="U31" s="797"/>
      <c r="V31" s="797"/>
      <c r="W31" s="797"/>
      <c r="X31" s="797"/>
      <c r="Y31" s="797"/>
      <c r="Z31" s="797"/>
      <c r="AA31" s="797"/>
      <c r="AB31" s="797"/>
    </row>
  </sheetData>
  <sheetProtection algorithmName="SHA-512" hashValue="cTOZ8XXL1kyCESPNn/2hcA5ZheaTadjDYH1nmK3LAXzpLHPUzwfxobDlB7y/0RrsHZLL/opn7HQWfNkRX/9ZnQ==" saltValue="nKE/wc+sUoQMqZz8DIEbpw==" spinCount="100000" sheet="1" objects="1" scenarios="1"/>
  <mergeCells count="199">
    <mergeCell ref="K4:K5"/>
    <mergeCell ref="L4:L5"/>
    <mergeCell ref="M4:M5"/>
    <mergeCell ref="N4:N5"/>
    <mergeCell ref="O4:O5"/>
    <mergeCell ref="D4:D5"/>
    <mergeCell ref="E4:E5"/>
    <mergeCell ref="F4:F5"/>
    <mergeCell ref="G4:G5"/>
    <mergeCell ref="H4:H5"/>
    <mergeCell ref="I4:I5"/>
    <mergeCell ref="C2:C3"/>
    <mergeCell ref="K30:K31"/>
    <mergeCell ref="L30:L31"/>
    <mergeCell ref="M30:M31"/>
    <mergeCell ref="N30:N31"/>
    <mergeCell ref="O30:O31"/>
    <mergeCell ref="E30:E31"/>
    <mergeCell ref="F30:F31"/>
    <mergeCell ref="G30:G31"/>
    <mergeCell ref="H30:H31"/>
    <mergeCell ref="I30:I31"/>
    <mergeCell ref="J30:J31"/>
    <mergeCell ref="K28:K29"/>
    <mergeCell ref="L28:L29"/>
    <mergeCell ref="M28:M29"/>
    <mergeCell ref="N28:N29"/>
    <mergeCell ref="O28:O29"/>
    <mergeCell ref="E28:E29"/>
    <mergeCell ref="F28:F29"/>
    <mergeCell ref="G28:G29"/>
    <mergeCell ref="H28:H29"/>
    <mergeCell ref="I28:I29"/>
    <mergeCell ref="D2:D3"/>
    <mergeCell ref="J4:J5"/>
    <mergeCell ref="J28:J29"/>
    <mergeCell ref="K26:K27"/>
    <mergeCell ref="L26:L27"/>
    <mergeCell ref="M26:M27"/>
    <mergeCell ref="N26:N27"/>
    <mergeCell ref="O26:O27"/>
    <mergeCell ref="E26:E27"/>
    <mergeCell ref="F26:F27"/>
    <mergeCell ref="G26:G27"/>
    <mergeCell ref="H26:H27"/>
    <mergeCell ref="I26:I27"/>
    <mergeCell ref="J26:J27"/>
    <mergeCell ref="K24:K25"/>
    <mergeCell ref="L24:L25"/>
    <mergeCell ref="M24:M25"/>
    <mergeCell ref="N24:N25"/>
    <mergeCell ref="O24:O25"/>
    <mergeCell ref="E24:E25"/>
    <mergeCell ref="F24:F25"/>
    <mergeCell ref="G24:G25"/>
    <mergeCell ref="H24:H25"/>
    <mergeCell ref="I24:I25"/>
    <mergeCell ref="J24:J25"/>
    <mergeCell ref="K22:K23"/>
    <mergeCell ref="L22:L23"/>
    <mergeCell ref="M22:M23"/>
    <mergeCell ref="N22:N23"/>
    <mergeCell ref="O22:O23"/>
    <mergeCell ref="E22:E23"/>
    <mergeCell ref="F22:F23"/>
    <mergeCell ref="G22:G23"/>
    <mergeCell ref="H22:H23"/>
    <mergeCell ref="I22:I23"/>
    <mergeCell ref="J22:J23"/>
    <mergeCell ref="K20:K21"/>
    <mergeCell ref="L20:L21"/>
    <mergeCell ref="M20:M21"/>
    <mergeCell ref="N20:N21"/>
    <mergeCell ref="O20:O21"/>
    <mergeCell ref="E20:E21"/>
    <mergeCell ref="F20:F21"/>
    <mergeCell ref="G20:G21"/>
    <mergeCell ref="H20:H21"/>
    <mergeCell ref="I20:I21"/>
    <mergeCell ref="J20:J21"/>
    <mergeCell ref="K18:K19"/>
    <mergeCell ref="L18:L19"/>
    <mergeCell ref="M18:M19"/>
    <mergeCell ref="N18:N19"/>
    <mergeCell ref="O18:O19"/>
    <mergeCell ref="E18:E19"/>
    <mergeCell ref="F18:F19"/>
    <mergeCell ref="G18:G19"/>
    <mergeCell ref="H18:H19"/>
    <mergeCell ref="I18:I19"/>
    <mergeCell ref="J18:J19"/>
    <mergeCell ref="K16:K17"/>
    <mergeCell ref="L16:L17"/>
    <mergeCell ref="M16:M17"/>
    <mergeCell ref="N16:N17"/>
    <mergeCell ref="O16:O17"/>
    <mergeCell ref="E16:E17"/>
    <mergeCell ref="F16:F17"/>
    <mergeCell ref="G16:G17"/>
    <mergeCell ref="H16:H17"/>
    <mergeCell ref="I16:I17"/>
    <mergeCell ref="J16:J17"/>
    <mergeCell ref="K14:K15"/>
    <mergeCell ref="L14:L15"/>
    <mergeCell ref="M14:M15"/>
    <mergeCell ref="N14:N15"/>
    <mergeCell ref="O14:O15"/>
    <mergeCell ref="K10:K11"/>
    <mergeCell ref="L10:L11"/>
    <mergeCell ref="E14:E15"/>
    <mergeCell ref="F14:F15"/>
    <mergeCell ref="G14:G15"/>
    <mergeCell ref="H14:H15"/>
    <mergeCell ref="I14:I15"/>
    <mergeCell ref="J14:J15"/>
    <mergeCell ref="K8:K9"/>
    <mergeCell ref="L8:L9"/>
    <mergeCell ref="M8:M9"/>
    <mergeCell ref="N8:N9"/>
    <mergeCell ref="K12:K13"/>
    <mergeCell ref="L12:L13"/>
    <mergeCell ref="M12:M13"/>
    <mergeCell ref="N12:N13"/>
    <mergeCell ref="O12:O13"/>
    <mergeCell ref="M10:M11"/>
    <mergeCell ref="N10:N11"/>
    <mergeCell ref="O10:O11"/>
    <mergeCell ref="D26:D27"/>
    <mergeCell ref="D28:D29"/>
    <mergeCell ref="E6:E7"/>
    <mergeCell ref="F6:F7"/>
    <mergeCell ref="G6:G7"/>
    <mergeCell ref="H6:H7"/>
    <mergeCell ref="E8:E9"/>
    <mergeCell ref="F8:F9"/>
    <mergeCell ref="G8:G9"/>
    <mergeCell ref="H8:H9"/>
    <mergeCell ref="D12:D13"/>
    <mergeCell ref="D14:D15"/>
    <mergeCell ref="D16:D17"/>
    <mergeCell ref="D18:D19"/>
    <mergeCell ref="D20:D21"/>
    <mergeCell ref="D22:D23"/>
    <mergeCell ref="D24:D25"/>
    <mergeCell ref="E12:E13"/>
    <mergeCell ref="F12:F13"/>
    <mergeCell ref="G12:G13"/>
    <mergeCell ref="H12:H13"/>
    <mergeCell ref="E10:E11"/>
    <mergeCell ref="F10:F11"/>
    <mergeCell ref="G10:G11"/>
    <mergeCell ref="D30:D31"/>
    <mergeCell ref="D6:D7"/>
    <mergeCell ref="D8:D9"/>
    <mergeCell ref="D10:D11"/>
    <mergeCell ref="B26:B27"/>
    <mergeCell ref="C26:C27"/>
    <mergeCell ref="B28:B29"/>
    <mergeCell ref="C28:C29"/>
    <mergeCell ref="B30:B31"/>
    <mergeCell ref="C30:C31"/>
    <mergeCell ref="B20:B21"/>
    <mergeCell ref="C20:C21"/>
    <mergeCell ref="B22:B23"/>
    <mergeCell ref="C22:C23"/>
    <mergeCell ref="B24:B25"/>
    <mergeCell ref="C24:C25"/>
    <mergeCell ref="B14:B15"/>
    <mergeCell ref="C14:C15"/>
    <mergeCell ref="B16:B17"/>
    <mergeCell ref="C16:C17"/>
    <mergeCell ref="B18:B19"/>
    <mergeCell ref="C18:C19"/>
    <mergeCell ref="B8:B9"/>
    <mergeCell ref="C8:C9"/>
    <mergeCell ref="B10:B11"/>
    <mergeCell ref="C10:C11"/>
    <mergeCell ref="B12:B13"/>
    <mergeCell ref="C12:C13"/>
    <mergeCell ref="E2:AB2"/>
    <mergeCell ref="B4:B5"/>
    <mergeCell ref="C4:C5"/>
    <mergeCell ref="B6:B7"/>
    <mergeCell ref="C6:C7"/>
    <mergeCell ref="I6:I7"/>
    <mergeCell ref="J6:J7"/>
    <mergeCell ref="K6:K7"/>
    <mergeCell ref="L6:L7"/>
    <mergeCell ref="M6:M7"/>
    <mergeCell ref="N6:N7"/>
    <mergeCell ref="O6:O7"/>
    <mergeCell ref="I12:I13"/>
    <mergeCell ref="J12:J13"/>
    <mergeCell ref="O8:O9"/>
    <mergeCell ref="H10:H11"/>
    <mergeCell ref="I10:I11"/>
    <mergeCell ref="J10:J11"/>
    <mergeCell ref="I8:I9"/>
    <mergeCell ref="J8:J9"/>
  </mergeCells>
  <phoneticPr fontId="101" type="noConversion"/>
  <conditionalFormatting sqref="E6:AB6 E8:AB8 E10:AB10 E12:AB12 E14:AB14 E16:AB16 E18:AB18 E20:AB20 E22:AB22 E24:AB24 E26:AB26 E28:AB28 E30:AB30 E4:AB4">
    <cfRule type="cellIs" dxfId="3" priority="4" operator="notEqual">
      <formula>""</formula>
    </cfRule>
  </conditionalFormatting>
  <conditionalFormatting sqref="E7:AB7 E9:AB9 E11:AB11 E13:AB13 E15:AB15 E17:AB17 E19:AB19 E21:AB21 E23:AB23 E25:AB25 E27:AB27 E29:AB29 E31:AB31 E5:AB5">
    <cfRule type="cellIs" dxfId="2" priority="3" operator="notEqual">
      <formula>""</formula>
    </cfRule>
  </conditionalFormatting>
  <conditionalFormatting sqref="E6:AB6 E8:AB8 E10:AB10 E12:AB12 E14:AB14 E16:AB16 E18:AB18 E20:AB20 E22:AB22 E24:AB24 E26:AB26 E28:AB28 E30:AB30 E4:AB4">
    <cfRule type="cellIs" dxfId="1" priority="2" operator="notEqual">
      <formula>""</formula>
    </cfRule>
  </conditionalFormatting>
  <conditionalFormatting sqref="E7:AB7 E9:AB9 E11:AB11 E13:AB13 E15:AB15 E17:AB17 E19:AB19 E21:AB21 E23:AB23 E25:AB25 E27:AB27 E29:AB29 E31:AB31 E5:AB5">
    <cfRule type="cellIs" dxfId="0" priority="1" operator="notEqual">
      <formula>""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C35"/>
  <sheetViews>
    <sheetView zoomScale="80" zoomScaleNormal="80" workbookViewId="0">
      <selection activeCell="AC32" sqref="AC32"/>
    </sheetView>
  </sheetViews>
  <sheetFormatPr defaultColWidth="9.140625" defaultRowHeight="12.75" x14ac:dyDescent="0.2"/>
  <cols>
    <col min="1" max="1" width="3.42578125" style="600" customWidth="1"/>
    <col min="2" max="2" width="3" style="600" bestFit="1" customWidth="1"/>
    <col min="3" max="3" width="41.42578125" style="600" customWidth="1"/>
    <col min="4" max="4" width="28.28515625" style="600" bestFit="1" customWidth="1"/>
    <col min="5" max="16" width="16.85546875" style="600" bestFit="1" customWidth="1"/>
    <col min="17" max="28" width="16.85546875" style="600" customWidth="1"/>
    <col min="29" max="29" width="19.42578125" style="600" customWidth="1"/>
    <col min="30" max="16384" width="9.140625" style="600"/>
  </cols>
  <sheetData>
    <row r="2" spans="2:29" ht="15" customHeight="1" x14ac:dyDescent="0.2">
      <c r="B2" s="601"/>
      <c r="C2" s="1273" t="s">
        <v>898</v>
      </c>
      <c r="D2" s="1299" t="s">
        <v>903</v>
      </c>
      <c r="E2" s="1252" t="s">
        <v>900</v>
      </c>
      <c r="F2" s="1253"/>
      <c r="G2" s="1253"/>
      <c r="H2" s="1253"/>
      <c r="I2" s="1253"/>
      <c r="J2" s="1253"/>
      <c r="K2" s="1253"/>
      <c r="L2" s="1253"/>
      <c r="M2" s="1253"/>
      <c r="N2" s="1253"/>
      <c r="O2" s="1253"/>
      <c r="P2" s="1254"/>
      <c r="Q2" s="795"/>
      <c r="R2" s="795"/>
      <c r="S2" s="795"/>
      <c r="T2" s="795"/>
      <c r="U2" s="795"/>
      <c r="V2" s="795"/>
      <c r="W2" s="795"/>
      <c r="X2" s="795"/>
      <c r="Y2" s="795"/>
      <c r="Z2" s="795"/>
      <c r="AA2" s="795"/>
      <c r="AB2" s="795"/>
      <c r="AC2" s="1278" t="s">
        <v>904</v>
      </c>
    </row>
    <row r="3" spans="2:29" ht="15" x14ac:dyDescent="0.2">
      <c r="B3" s="602"/>
      <c r="C3" s="1276"/>
      <c r="D3" s="1300"/>
      <c r="E3" s="323" t="s">
        <v>664</v>
      </c>
      <c r="F3" s="323" t="s">
        <v>665</v>
      </c>
      <c r="G3" s="323" t="s">
        <v>666</v>
      </c>
      <c r="H3" s="323" t="s">
        <v>667</v>
      </c>
      <c r="I3" s="323" t="s">
        <v>668</v>
      </c>
      <c r="J3" s="323" t="s">
        <v>669</v>
      </c>
      <c r="K3" s="323" t="s">
        <v>670</v>
      </c>
      <c r="L3" s="323" t="s">
        <v>671</v>
      </c>
      <c r="M3" s="323" t="s">
        <v>672</v>
      </c>
      <c r="N3" s="323" t="s">
        <v>673</v>
      </c>
      <c r="O3" s="323" t="s">
        <v>674</v>
      </c>
      <c r="P3" s="323" t="s">
        <v>675</v>
      </c>
      <c r="Q3" s="323" t="s">
        <v>1349</v>
      </c>
      <c r="R3" s="323" t="s">
        <v>1350</v>
      </c>
      <c r="S3" s="323" t="s">
        <v>1351</v>
      </c>
      <c r="T3" s="323" t="s">
        <v>1352</v>
      </c>
      <c r="U3" s="323" t="s">
        <v>1353</v>
      </c>
      <c r="V3" s="323" t="s">
        <v>1354</v>
      </c>
      <c r="W3" s="323" t="s">
        <v>1355</v>
      </c>
      <c r="X3" s="323" t="s">
        <v>1356</v>
      </c>
      <c r="Y3" s="323" t="s">
        <v>1357</v>
      </c>
      <c r="Z3" s="323" t="s">
        <v>1358</v>
      </c>
      <c r="AA3" s="323" t="s">
        <v>1359</v>
      </c>
      <c r="AB3" s="323" t="s">
        <v>1360</v>
      </c>
      <c r="AC3" s="1279"/>
    </row>
    <row r="4" spans="2:29" ht="15" customHeight="1" x14ac:dyDescent="0.25">
      <c r="B4" s="1255">
        <v>1</v>
      </c>
      <c r="C4" s="1298" t="s">
        <v>1347</v>
      </c>
      <c r="D4" s="788" t="s">
        <v>1339</v>
      </c>
      <c r="E4" s="789"/>
      <c r="F4" s="789"/>
      <c r="G4" s="789"/>
      <c r="H4" s="789"/>
      <c r="I4" s="789"/>
      <c r="J4" s="789"/>
      <c r="K4" s="789"/>
      <c r="L4" s="789"/>
      <c r="M4" s="789"/>
      <c r="N4" s="789"/>
      <c r="O4" s="789"/>
      <c r="P4" s="789"/>
      <c r="Q4" s="789"/>
      <c r="R4" s="789"/>
      <c r="S4" s="789"/>
      <c r="T4" s="789"/>
      <c r="U4" s="789"/>
      <c r="V4" s="789"/>
      <c r="W4" s="789"/>
      <c r="X4" s="789"/>
      <c r="Y4" s="789"/>
      <c r="Z4" s="789"/>
      <c r="AA4" s="789"/>
      <c r="AB4" s="789"/>
      <c r="AC4" s="327">
        <f>SUM(E4:AB4)</f>
        <v>0</v>
      </c>
    </row>
    <row r="5" spans="2:29" ht="15" x14ac:dyDescent="0.25">
      <c r="B5" s="1256"/>
      <c r="C5" s="1258"/>
      <c r="D5" s="491" t="s">
        <v>901</v>
      </c>
      <c r="E5" s="790"/>
      <c r="F5" s="790"/>
      <c r="G5" s="790"/>
      <c r="H5" s="790"/>
      <c r="I5" s="790"/>
      <c r="J5" s="790"/>
      <c r="K5" s="790"/>
      <c r="L5" s="790"/>
      <c r="M5" s="790"/>
      <c r="N5" s="790"/>
      <c r="O5" s="790"/>
      <c r="P5" s="790"/>
      <c r="Q5" s="790"/>
      <c r="R5" s="790"/>
      <c r="S5" s="790"/>
      <c r="T5" s="790"/>
      <c r="U5" s="790"/>
      <c r="V5" s="790"/>
      <c r="W5" s="790"/>
      <c r="X5" s="790"/>
      <c r="Y5" s="790"/>
      <c r="Z5" s="790"/>
      <c r="AA5" s="790"/>
      <c r="AB5" s="790"/>
      <c r="AC5" s="327">
        <f>SUM(E5:AB5)</f>
        <v>0</v>
      </c>
    </row>
    <row r="6" spans="2:29" ht="15" customHeight="1" x14ac:dyDescent="0.25">
      <c r="B6" s="1195">
        <f>B4+1</f>
        <v>2</v>
      </c>
      <c r="C6" s="1280" t="s">
        <v>899</v>
      </c>
      <c r="D6" s="776" t="s">
        <v>1339</v>
      </c>
      <c r="E6" s="791"/>
      <c r="F6" s="791"/>
      <c r="G6" s="791"/>
      <c r="H6" s="791"/>
      <c r="I6" s="791"/>
      <c r="J6" s="791"/>
      <c r="K6" s="791"/>
      <c r="L6" s="791"/>
      <c r="M6" s="791"/>
      <c r="N6" s="791"/>
      <c r="O6" s="791"/>
      <c r="P6" s="791"/>
      <c r="Q6" s="791"/>
      <c r="R6" s="791"/>
      <c r="S6" s="791"/>
      <c r="T6" s="791"/>
      <c r="U6" s="791"/>
      <c r="V6" s="791"/>
      <c r="W6" s="791"/>
      <c r="X6" s="791"/>
      <c r="Y6" s="791"/>
      <c r="Z6" s="791"/>
      <c r="AA6" s="791"/>
      <c r="AB6" s="791"/>
      <c r="AC6" s="327">
        <f t="shared" ref="AC6:AC25" si="0">SUM(E6:AB6)</f>
        <v>0</v>
      </c>
    </row>
    <row r="7" spans="2:29" ht="15" x14ac:dyDescent="0.25">
      <c r="B7" s="1197"/>
      <c r="C7" s="1281"/>
      <c r="D7" s="492" t="s">
        <v>901</v>
      </c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790"/>
      <c r="P7" s="790"/>
      <c r="Q7" s="790"/>
      <c r="R7" s="790"/>
      <c r="S7" s="790"/>
      <c r="T7" s="790"/>
      <c r="U7" s="790"/>
      <c r="V7" s="790"/>
      <c r="W7" s="790"/>
      <c r="X7" s="790"/>
      <c r="Y7" s="790"/>
      <c r="Z7" s="790"/>
      <c r="AA7" s="790"/>
      <c r="AB7" s="790"/>
      <c r="AC7" s="327">
        <f t="shared" si="0"/>
        <v>0</v>
      </c>
    </row>
    <row r="8" spans="2:29" ht="15" customHeight="1" x14ac:dyDescent="0.25">
      <c r="B8" s="1255">
        <f>B6+1</f>
        <v>3</v>
      </c>
      <c r="C8" s="1264" t="s">
        <v>906</v>
      </c>
      <c r="D8" s="775" t="s">
        <v>1339</v>
      </c>
      <c r="E8" s="791"/>
      <c r="F8" s="791"/>
      <c r="G8" s="791"/>
      <c r="H8" s="791"/>
      <c r="I8" s="791"/>
      <c r="J8" s="791"/>
      <c r="K8" s="791"/>
      <c r="L8" s="791"/>
      <c r="M8" s="791"/>
      <c r="N8" s="791"/>
      <c r="O8" s="791"/>
      <c r="P8" s="791"/>
      <c r="Q8" s="791"/>
      <c r="R8" s="791"/>
      <c r="S8" s="791"/>
      <c r="T8" s="791"/>
      <c r="U8" s="791"/>
      <c r="V8" s="791"/>
      <c r="W8" s="791"/>
      <c r="X8" s="791"/>
      <c r="Y8" s="791"/>
      <c r="Z8" s="791"/>
      <c r="AA8" s="791"/>
      <c r="AB8" s="791"/>
      <c r="AC8" s="327">
        <f t="shared" si="0"/>
        <v>0</v>
      </c>
    </row>
    <row r="9" spans="2:29" ht="15" x14ac:dyDescent="0.25">
      <c r="B9" s="1256"/>
      <c r="C9" s="1258"/>
      <c r="D9" s="493" t="s">
        <v>901</v>
      </c>
      <c r="E9" s="790"/>
      <c r="F9" s="790"/>
      <c r="G9" s="790"/>
      <c r="H9" s="790"/>
      <c r="I9" s="790"/>
      <c r="J9" s="790"/>
      <c r="K9" s="790"/>
      <c r="L9" s="790"/>
      <c r="M9" s="790"/>
      <c r="N9" s="790"/>
      <c r="O9" s="790"/>
      <c r="P9" s="790"/>
      <c r="Q9" s="790"/>
      <c r="R9" s="790"/>
      <c r="S9" s="790"/>
      <c r="T9" s="790"/>
      <c r="U9" s="790"/>
      <c r="V9" s="790"/>
      <c r="W9" s="790"/>
      <c r="X9" s="790"/>
      <c r="Y9" s="790"/>
      <c r="Z9" s="790"/>
      <c r="AA9" s="790"/>
      <c r="AB9" s="790"/>
      <c r="AC9" s="327">
        <f t="shared" si="0"/>
        <v>0</v>
      </c>
    </row>
    <row r="10" spans="2:29" ht="15" customHeight="1" x14ac:dyDescent="0.25">
      <c r="B10" s="1195">
        <f>B8+1</f>
        <v>4</v>
      </c>
      <c r="C10" s="1280" t="s">
        <v>775</v>
      </c>
      <c r="D10" s="776" t="s">
        <v>1339</v>
      </c>
      <c r="E10" s="791"/>
      <c r="F10" s="791"/>
      <c r="G10" s="791"/>
      <c r="H10" s="791"/>
      <c r="I10" s="791"/>
      <c r="J10" s="791"/>
      <c r="K10" s="791"/>
      <c r="L10" s="791"/>
      <c r="M10" s="791"/>
      <c r="N10" s="791"/>
      <c r="O10" s="791"/>
      <c r="P10" s="791"/>
      <c r="Q10" s="791"/>
      <c r="R10" s="791"/>
      <c r="S10" s="791"/>
      <c r="T10" s="791"/>
      <c r="U10" s="791"/>
      <c r="V10" s="791"/>
      <c r="W10" s="791"/>
      <c r="X10" s="791"/>
      <c r="Y10" s="791"/>
      <c r="Z10" s="791"/>
      <c r="AA10" s="791"/>
      <c r="AB10" s="791"/>
      <c r="AC10" s="327">
        <f t="shared" si="0"/>
        <v>0</v>
      </c>
    </row>
    <row r="11" spans="2:29" ht="15" x14ac:dyDescent="0.25">
      <c r="B11" s="1197"/>
      <c r="C11" s="1281"/>
      <c r="D11" s="492" t="s">
        <v>901</v>
      </c>
      <c r="E11" s="790"/>
      <c r="F11" s="790"/>
      <c r="G11" s="790"/>
      <c r="H11" s="790"/>
      <c r="I11" s="790"/>
      <c r="J11" s="790"/>
      <c r="K11" s="790"/>
      <c r="L11" s="790"/>
      <c r="M11" s="790"/>
      <c r="N11" s="790"/>
      <c r="O11" s="790"/>
      <c r="P11" s="790"/>
      <c r="Q11" s="790"/>
      <c r="R11" s="790"/>
      <c r="S11" s="790"/>
      <c r="T11" s="790"/>
      <c r="U11" s="790"/>
      <c r="V11" s="790"/>
      <c r="W11" s="790"/>
      <c r="X11" s="790"/>
      <c r="Y11" s="790"/>
      <c r="Z11" s="790"/>
      <c r="AA11" s="790"/>
      <c r="AB11" s="790"/>
      <c r="AC11" s="327">
        <f t="shared" si="0"/>
        <v>0</v>
      </c>
    </row>
    <row r="12" spans="2:29" ht="15" x14ac:dyDescent="0.25">
      <c r="B12" s="1255">
        <f>B10+1</f>
        <v>5</v>
      </c>
      <c r="C12" s="1264" t="s">
        <v>905</v>
      </c>
      <c r="D12" s="775" t="s">
        <v>1339</v>
      </c>
      <c r="E12" s="791"/>
      <c r="F12" s="791"/>
      <c r="G12" s="791"/>
      <c r="H12" s="791"/>
      <c r="I12" s="791"/>
      <c r="J12" s="791"/>
      <c r="K12" s="791"/>
      <c r="L12" s="791"/>
      <c r="M12" s="791"/>
      <c r="N12" s="791"/>
      <c r="O12" s="791"/>
      <c r="P12" s="791"/>
      <c r="Q12" s="791"/>
      <c r="R12" s="791"/>
      <c r="S12" s="791"/>
      <c r="T12" s="791"/>
      <c r="U12" s="791"/>
      <c r="V12" s="791"/>
      <c r="W12" s="791"/>
      <c r="X12" s="791"/>
      <c r="Y12" s="791"/>
      <c r="Z12" s="791"/>
      <c r="AA12" s="791"/>
      <c r="AB12" s="791"/>
      <c r="AC12" s="327">
        <f t="shared" si="0"/>
        <v>0</v>
      </c>
    </row>
    <row r="13" spans="2:29" ht="15" x14ac:dyDescent="0.25">
      <c r="B13" s="1256"/>
      <c r="C13" s="1258"/>
      <c r="D13" s="493" t="s">
        <v>901</v>
      </c>
      <c r="E13" s="790"/>
      <c r="F13" s="790"/>
      <c r="G13" s="790"/>
      <c r="H13" s="790"/>
      <c r="I13" s="790"/>
      <c r="J13" s="790"/>
      <c r="K13" s="790"/>
      <c r="L13" s="790"/>
      <c r="M13" s="790"/>
      <c r="N13" s="790"/>
      <c r="O13" s="790"/>
      <c r="P13" s="790"/>
      <c r="Q13" s="790"/>
      <c r="R13" s="790"/>
      <c r="S13" s="790"/>
      <c r="T13" s="790"/>
      <c r="U13" s="790"/>
      <c r="V13" s="790"/>
      <c r="W13" s="790"/>
      <c r="X13" s="790"/>
      <c r="Y13" s="790"/>
      <c r="Z13" s="790"/>
      <c r="AA13" s="790"/>
      <c r="AB13" s="790"/>
      <c r="AC13" s="327">
        <f t="shared" si="0"/>
        <v>0</v>
      </c>
    </row>
    <row r="14" spans="2:29" ht="15" x14ac:dyDescent="0.25">
      <c r="B14" s="1195">
        <f>B12+1</f>
        <v>6</v>
      </c>
      <c r="C14" s="1293" t="s">
        <v>776</v>
      </c>
      <c r="D14" s="776" t="s">
        <v>1339</v>
      </c>
      <c r="E14" s="791"/>
      <c r="F14" s="791"/>
      <c r="G14" s="791"/>
      <c r="H14" s="791"/>
      <c r="I14" s="791"/>
      <c r="J14" s="791"/>
      <c r="K14" s="791"/>
      <c r="L14" s="791"/>
      <c r="M14" s="791"/>
      <c r="N14" s="791"/>
      <c r="O14" s="791"/>
      <c r="P14" s="791"/>
      <c r="Q14" s="791"/>
      <c r="R14" s="791"/>
      <c r="S14" s="791"/>
      <c r="T14" s="791"/>
      <c r="U14" s="791"/>
      <c r="V14" s="791"/>
      <c r="W14" s="791"/>
      <c r="X14" s="791"/>
      <c r="Y14" s="791"/>
      <c r="Z14" s="791"/>
      <c r="AA14" s="791"/>
      <c r="AB14" s="791"/>
      <c r="AC14" s="327">
        <f t="shared" si="0"/>
        <v>0</v>
      </c>
    </row>
    <row r="15" spans="2:29" ht="15" x14ac:dyDescent="0.25">
      <c r="B15" s="1197"/>
      <c r="C15" s="1281"/>
      <c r="D15" s="492" t="s">
        <v>901</v>
      </c>
      <c r="E15" s="790"/>
      <c r="F15" s="790"/>
      <c r="G15" s="790"/>
      <c r="H15" s="790"/>
      <c r="I15" s="790"/>
      <c r="J15" s="790"/>
      <c r="K15" s="790"/>
      <c r="L15" s="790"/>
      <c r="M15" s="790"/>
      <c r="N15" s="790"/>
      <c r="O15" s="790"/>
      <c r="P15" s="790"/>
      <c r="Q15" s="790"/>
      <c r="R15" s="790"/>
      <c r="S15" s="790"/>
      <c r="T15" s="790"/>
      <c r="U15" s="790"/>
      <c r="V15" s="790"/>
      <c r="W15" s="790"/>
      <c r="X15" s="790"/>
      <c r="Y15" s="790"/>
      <c r="Z15" s="790"/>
      <c r="AA15" s="790"/>
      <c r="AB15" s="790"/>
      <c r="AC15" s="327">
        <f t="shared" si="0"/>
        <v>0</v>
      </c>
    </row>
    <row r="16" spans="2:29" ht="15" x14ac:dyDescent="0.25">
      <c r="B16" s="1255">
        <f>B14+1</f>
        <v>7</v>
      </c>
      <c r="C16" s="1264" t="s">
        <v>175</v>
      </c>
      <c r="D16" s="775" t="s">
        <v>1339</v>
      </c>
      <c r="E16" s="791"/>
      <c r="F16" s="791"/>
      <c r="G16" s="791"/>
      <c r="H16" s="791"/>
      <c r="I16" s="791"/>
      <c r="J16" s="791"/>
      <c r="K16" s="791"/>
      <c r="L16" s="791"/>
      <c r="M16" s="791"/>
      <c r="N16" s="791"/>
      <c r="O16" s="791"/>
      <c r="P16" s="791"/>
      <c r="Q16" s="791"/>
      <c r="R16" s="791"/>
      <c r="S16" s="791"/>
      <c r="T16" s="791"/>
      <c r="U16" s="791"/>
      <c r="V16" s="791"/>
      <c r="W16" s="791"/>
      <c r="X16" s="791"/>
      <c r="Y16" s="791"/>
      <c r="Z16" s="791"/>
      <c r="AA16" s="791"/>
      <c r="AB16" s="791"/>
      <c r="AC16" s="327">
        <f t="shared" si="0"/>
        <v>0</v>
      </c>
    </row>
    <row r="17" spans="2:29" ht="15" x14ac:dyDescent="0.25">
      <c r="B17" s="1256"/>
      <c r="C17" s="1258"/>
      <c r="D17" s="493" t="s">
        <v>901</v>
      </c>
      <c r="E17" s="790"/>
      <c r="F17" s="790"/>
      <c r="G17" s="790"/>
      <c r="H17" s="790"/>
      <c r="I17" s="790"/>
      <c r="J17" s="790"/>
      <c r="K17" s="790"/>
      <c r="L17" s="790"/>
      <c r="M17" s="790"/>
      <c r="N17" s="790"/>
      <c r="O17" s="790"/>
      <c r="P17" s="790"/>
      <c r="Q17" s="790"/>
      <c r="R17" s="790"/>
      <c r="S17" s="790"/>
      <c r="T17" s="790"/>
      <c r="U17" s="790"/>
      <c r="V17" s="790"/>
      <c r="W17" s="790"/>
      <c r="X17" s="790"/>
      <c r="Y17" s="790"/>
      <c r="Z17" s="790"/>
      <c r="AA17" s="790"/>
      <c r="AB17" s="790"/>
      <c r="AC17" s="327">
        <f t="shared" si="0"/>
        <v>0</v>
      </c>
    </row>
    <row r="18" spans="2:29" ht="15" customHeight="1" x14ac:dyDescent="0.25">
      <c r="B18" s="1195">
        <f>B16+1</f>
        <v>8</v>
      </c>
      <c r="C18" s="1293" t="s">
        <v>777</v>
      </c>
      <c r="D18" s="776" t="s">
        <v>1339</v>
      </c>
      <c r="E18" s="791"/>
      <c r="F18" s="791"/>
      <c r="G18" s="791"/>
      <c r="H18" s="791"/>
      <c r="I18" s="791"/>
      <c r="J18" s="791"/>
      <c r="K18" s="791"/>
      <c r="L18" s="791"/>
      <c r="M18" s="791"/>
      <c r="N18" s="791"/>
      <c r="O18" s="791"/>
      <c r="P18" s="791"/>
      <c r="Q18" s="791"/>
      <c r="R18" s="791"/>
      <c r="S18" s="791"/>
      <c r="T18" s="791"/>
      <c r="U18" s="791"/>
      <c r="V18" s="791"/>
      <c r="W18" s="791"/>
      <c r="X18" s="791"/>
      <c r="Y18" s="791"/>
      <c r="Z18" s="791"/>
      <c r="AA18" s="791"/>
      <c r="AB18" s="791"/>
      <c r="AC18" s="327">
        <f t="shared" si="0"/>
        <v>0</v>
      </c>
    </row>
    <row r="19" spans="2:29" ht="15" x14ac:dyDescent="0.25">
      <c r="B19" s="1197"/>
      <c r="C19" s="1281"/>
      <c r="D19" s="492" t="s">
        <v>901</v>
      </c>
      <c r="E19" s="790"/>
      <c r="F19" s="790"/>
      <c r="G19" s="790"/>
      <c r="H19" s="790"/>
      <c r="I19" s="790"/>
      <c r="J19" s="790"/>
      <c r="K19" s="790"/>
      <c r="L19" s="790"/>
      <c r="M19" s="790"/>
      <c r="N19" s="790"/>
      <c r="O19" s="790"/>
      <c r="P19" s="790"/>
      <c r="Q19" s="790"/>
      <c r="R19" s="790"/>
      <c r="S19" s="790"/>
      <c r="T19" s="790"/>
      <c r="U19" s="790"/>
      <c r="V19" s="790"/>
      <c r="W19" s="790"/>
      <c r="X19" s="790"/>
      <c r="Y19" s="790"/>
      <c r="Z19" s="790"/>
      <c r="AA19" s="790"/>
      <c r="AB19" s="790"/>
      <c r="AC19" s="327">
        <f t="shared" si="0"/>
        <v>0</v>
      </c>
    </row>
    <row r="20" spans="2:29" ht="15" x14ac:dyDescent="0.25">
      <c r="B20" s="1255">
        <f>B18+1</f>
        <v>9</v>
      </c>
      <c r="C20" s="1271" t="s">
        <v>778</v>
      </c>
      <c r="D20" s="775" t="s">
        <v>1339</v>
      </c>
      <c r="E20" s="791"/>
      <c r="F20" s="791"/>
      <c r="G20" s="791"/>
      <c r="H20" s="791"/>
      <c r="I20" s="791"/>
      <c r="J20" s="791"/>
      <c r="K20" s="791"/>
      <c r="L20" s="791"/>
      <c r="M20" s="791"/>
      <c r="N20" s="791"/>
      <c r="O20" s="791"/>
      <c r="P20" s="791"/>
      <c r="Q20" s="791"/>
      <c r="R20" s="791"/>
      <c r="S20" s="791"/>
      <c r="T20" s="791"/>
      <c r="U20" s="791"/>
      <c r="V20" s="791"/>
      <c r="W20" s="791"/>
      <c r="X20" s="791"/>
      <c r="Y20" s="791"/>
      <c r="Z20" s="791"/>
      <c r="AA20" s="791"/>
      <c r="AB20" s="791"/>
      <c r="AC20" s="327">
        <f t="shared" si="0"/>
        <v>0</v>
      </c>
    </row>
    <row r="21" spans="2:29" ht="15" x14ac:dyDescent="0.25">
      <c r="B21" s="1256"/>
      <c r="C21" s="1258"/>
      <c r="D21" s="493" t="s">
        <v>901</v>
      </c>
      <c r="E21" s="790"/>
      <c r="F21" s="790"/>
      <c r="G21" s="790"/>
      <c r="H21" s="790"/>
      <c r="I21" s="790"/>
      <c r="J21" s="790"/>
      <c r="K21" s="790"/>
      <c r="L21" s="790"/>
      <c r="M21" s="790"/>
      <c r="N21" s="790"/>
      <c r="O21" s="790"/>
      <c r="P21" s="790"/>
      <c r="Q21" s="790"/>
      <c r="R21" s="790"/>
      <c r="S21" s="790"/>
      <c r="T21" s="790"/>
      <c r="U21" s="790"/>
      <c r="V21" s="790"/>
      <c r="W21" s="790"/>
      <c r="X21" s="790"/>
      <c r="Y21" s="790"/>
      <c r="Z21" s="790"/>
      <c r="AA21" s="790"/>
      <c r="AB21" s="790"/>
      <c r="AC21" s="327">
        <f>SUM(E21:AB21)</f>
        <v>0</v>
      </c>
    </row>
    <row r="22" spans="2:29" ht="15" x14ac:dyDescent="0.25">
      <c r="B22" s="1195">
        <f>B20+1</f>
        <v>10</v>
      </c>
      <c r="C22" s="1293" t="s">
        <v>177</v>
      </c>
      <c r="D22" s="776" t="s">
        <v>1339</v>
      </c>
      <c r="E22" s="791"/>
      <c r="F22" s="791"/>
      <c r="G22" s="791"/>
      <c r="H22" s="791"/>
      <c r="I22" s="791"/>
      <c r="J22" s="791"/>
      <c r="K22" s="791"/>
      <c r="L22" s="791"/>
      <c r="M22" s="791"/>
      <c r="N22" s="791"/>
      <c r="O22" s="791"/>
      <c r="P22" s="791"/>
      <c r="Q22" s="791"/>
      <c r="R22" s="791"/>
      <c r="S22" s="791"/>
      <c r="T22" s="791"/>
      <c r="U22" s="791"/>
      <c r="V22" s="791"/>
      <c r="W22" s="791"/>
      <c r="X22" s="791"/>
      <c r="Y22" s="791"/>
      <c r="Z22" s="791"/>
      <c r="AA22" s="791"/>
      <c r="AB22" s="791"/>
      <c r="AC22" s="327">
        <f t="shared" si="0"/>
        <v>0</v>
      </c>
    </row>
    <row r="23" spans="2:29" ht="15" x14ac:dyDescent="0.25">
      <c r="B23" s="1197"/>
      <c r="C23" s="1281"/>
      <c r="D23" s="492" t="s">
        <v>901</v>
      </c>
      <c r="E23" s="790"/>
      <c r="F23" s="790"/>
      <c r="G23" s="790"/>
      <c r="H23" s="790"/>
      <c r="I23" s="790"/>
      <c r="J23" s="790"/>
      <c r="K23" s="790"/>
      <c r="L23" s="790"/>
      <c r="M23" s="790"/>
      <c r="N23" s="790"/>
      <c r="O23" s="790"/>
      <c r="P23" s="790"/>
      <c r="Q23" s="790"/>
      <c r="R23" s="790"/>
      <c r="S23" s="790"/>
      <c r="T23" s="790"/>
      <c r="U23" s="790"/>
      <c r="V23" s="790"/>
      <c r="W23" s="790"/>
      <c r="X23" s="790"/>
      <c r="Y23" s="790"/>
      <c r="Z23" s="790"/>
      <c r="AA23" s="790"/>
      <c r="AB23" s="790"/>
      <c r="AC23" s="327">
        <f t="shared" si="0"/>
        <v>0</v>
      </c>
    </row>
    <row r="24" spans="2:29" ht="15" customHeight="1" x14ac:dyDescent="0.25">
      <c r="B24" s="1255">
        <f>B22+1</f>
        <v>11</v>
      </c>
      <c r="C24" s="1271" t="s">
        <v>779</v>
      </c>
      <c r="D24" s="775" t="s">
        <v>1339</v>
      </c>
      <c r="E24" s="791"/>
      <c r="F24" s="791"/>
      <c r="G24" s="791"/>
      <c r="H24" s="791"/>
      <c r="I24" s="791"/>
      <c r="J24" s="791"/>
      <c r="K24" s="791"/>
      <c r="L24" s="791"/>
      <c r="M24" s="791"/>
      <c r="N24" s="791"/>
      <c r="O24" s="791"/>
      <c r="P24" s="791"/>
      <c r="Q24" s="791"/>
      <c r="R24" s="791"/>
      <c r="S24" s="791"/>
      <c r="T24" s="791"/>
      <c r="U24" s="791"/>
      <c r="V24" s="791"/>
      <c r="W24" s="791"/>
      <c r="X24" s="791"/>
      <c r="Y24" s="791"/>
      <c r="Z24" s="791"/>
      <c r="AA24" s="791"/>
      <c r="AB24" s="791"/>
      <c r="AC24" s="327">
        <f t="shared" si="0"/>
        <v>0</v>
      </c>
    </row>
    <row r="25" spans="2:29" ht="15" x14ac:dyDescent="0.25">
      <c r="B25" s="1256"/>
      <c r="C25" s="1258"/>
      <c r="D25" s="493" t="s">
        <v>901</v>
      </c>
      <c r="E25" s="790"/>
      <c r="F25" s="790"/>
      <c r="G25" s="790"/>
      <c r="H25" s="790"/>
      <c r="I25" s="790"/>
      <c r="J25" s="790"/>
      <c r="K25" s="790"/>
      <c r="L25" s="790"/>
      <c r="M25" s="790"/>
      <c r="N25" s="790"/>
      <c r="O25" s="790"/>
      <c r="P25" s="790"/>
      <c r="Q25" s="790"/>
      <c r="R25" s="790"/>
      <c r="S25" s="790"/>
      <c r="T25" s="790"/>
      <c r="U25" s="790"/>
      <c r="V25" s="790"/>
      <c r="W25" s="790"/>
      <c r="X25" s="790"/>
      <c r="Y25" s="790"/>
      <c r="Z25" s="790"/>
      <c r="AA25" s="790"/>
      <c r="AB25" s="790"/>
      <c r="AC25" s="327">
        <f t="shared" si="0"/>
        <v>0</v>
      </c>
    </row>
    <row r="26" spans="2:29" ht="15" customHeight="1" x14ac:dyDescent="0.2">
      <c r="B26" s="1195">
        <f>B24+1</f>
        <v>12</v>
      </c>
      <c r="C26" s="1291" t="s">
        <v>1344</v>
      </c>
      <c r="D26" s="1287" t="s">
        <v>1339</v>
      </c>
      <c r="E26" s="1302"/>
      <c r="F26" s="1302"/>
      <c r="G26" s="1302"/>
      <c r="H26" s="1302"/>
      <c r="I26" s="1302"/>
      <c r="J26" s="1302"/>
      <c r="K26" s="1302"/>
      <c r="L26" s="1302"/>
      <c r="M26" s="1302"/>
      <c r="N26" s="1302"/>
      <c r="O26" s="1302"/>
      <c r="P26" s="1302"/>
      <c r="Q26" s="798"/>
      <c r="R26" s="798"/>
      <c r="S26" s="798"/>
      <c r="T26" s="798"/>
      <c r="U26" s="798"/>
      <c r="V26" s="798"/>
      <c r="W26" s="798"/>
      <c r="X26" s="798"/>
      <c r="Y26" s="798"/>
      <c r="Z26" s="798"/>
      <c r="AA26" s="798"/>
      <c r="AB26" s="798"/>
      <c r="AC26" s="1306">
        <f>SUM(E26:AB27)</f>
        <v>0</v>
      </c>
    </row>
    <row r="27" spans="2:29" ht="15" customHeight="1" x14ac:dyDescent="0.2">
      <c r="B27" s="1197"/>
      <c r="C27" s="1281"/>
      <c r="D27" s="1286"/>
      <c r="E27" s="1303"/>
      <c r="F27" s="1303"/>
      <c r="G27" s="1303"/>
      <c r="H27" s="1303"/>
      <c r="I27" s="1303"/>
      <c r="J27" s="1303"/>
      <c r="K27" s="1303"/>
      <c r="L27" s="1303"/>
      <c r="M27" s="1303"/>
      <c r="N27" s="1303"/>
      <c r="O27" s="1303"/>
      <c r="P27" s="1303"/>
      <c r="Q27" s="799"/>
      <c r="R27" s="799"/>
      <c r="S27" s="799"/>
      <c r="T27" s="799"/>
      <c r="U27" s="799"/>
      <c r="V27" s="799"/>
      <c r="W27" s="799"/>
      <c r="X27" s="799"/>
      <c r="Y27" s="799"/>
      <c r="Z27" s="799"/>
      <c r="AA27" s="799"/>
      <c r="AB27" s="799"/>
      <c r="AC27" s="1307"/>
    </row>
    <row r="28" spans="2:29" ht="15" x14ac:dyDescent="0.25">
      <c r="B28" s="1255">
        <f>B26+1</f>
        <v>13</v>
      </c>
      <c r="C28" s="1271" t="s">
        <v>780</v>
      </c>
      <c r="D28" s="775" t="s">
        <v>1339</v>
      </c>
      <c r="E28" s="791"/>
      <c r="F28" s="791"/>
      <c r="G28" s="791"/>
      <c r="H28" s="791"/>
      <c r="I28" s="791"/>
      <c r="J28" s="791"/>
      <c r="K28" s="791"/>
      <c r="L28" s="791"/>
      <c r="M28" s="791"/>
      <c r="N28" s="791"/>
      <c r="O28" s="791"/>
      <c r="P28" s="791"/>
      <c r="Q28" s="791"/>
      <c r="R28" s="791"/>
      <c r="S28" s="791"/>
      <c r="T28" s="791"/>
      <c r="U28" s="791"/>
      <c r="V28" s="791"/>
      <c r="W28" s="791"/>
      <c r="X28" s="791"/>
      <c r="Y28" s="791"/>
      <c r="Z28" s="791"/>
      <c r="AA28" s="791"/>
      <c r="AB28" s="791"/>
      <c r="AC28" s="327">
        <f>SUM(E28:AB28)</f>
        <v>0</v>
      </c>
    </row>
    <row r="29" spans="2:29" ht="15" x14ac:dyDescent="0.25">
      <c r="B29" s="1256"/>
      <c r="C29" s="1258"/>
      <c r="D29" s="493" t="s">
        <v>901</v>
      </c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0"/>
      <c r="R29" s="790"/>
      <c r="S29" s="790"/>
      <c r="T29" s="790"/>
      <c r="U29" s="790"/>
      <c r="V29" s="790"/>
      <c r="W29" s="790"/>
      <c r="X29" s="790"/>
      <c r="Y29" s="790"/>
      <c r="Z29" s="790"/>
      <c r="AA29" s="790"/>
      <c r="AB29" s="790"/>
      <c r="AC29" s="327">
        <f>SUM(E29:AB29)</f>
        <v>0</v>
      </c>
    </row>
    <row r="30" spans="2:29" ht="15" hidden="1" customHeight="1" x14ac:dyDescent="0.2">
      <c r="B30" s="1195">
        <f>B28+1</f>
        <v>14</v>
      </c>
      <c r="C30" s="1291" t="s">
        <v>1340</v>
      </c>
      <c r="D30" s="1301" t="s">
        <v>1346</v>
      </c>
      <c r="E30" s="1304">
        <f>SUMIF($D$4:$D$29,$D$30,E$4:E$29)-E26</f>
        <v>0</v>
      </c>
      <c r="F30" s="1304">
        <f t="shared" ref="F30:P30" si="1">SUMIF($D$4:$D$29,$D$30,F$4:F$29)-F26</f>
        <v>0</v>
      </c>
      <c r="G30" s="1304">
        <f t="shared" si="1"/>
        <v>0</v>
      </c>
      <c r="H30" s="1304">
        <f t="shared" si="1"/>
        <v>0</v>
      </c>
      <c r="I30" s="1304">
        <f t="shared" si="1"/>
        <v>0</v>
      </c>
      <c r="J30" s="1304">
        <f t="shared" si="1"/>
        <v>0</v>
      </c>
      <c r="K30" s="1304">
        <f t="shared" si="1"/>
        <v>0</v>
      </c>
      <c r="L30" s="1304">
        <f t="shared" si="1"/>
        <v>0</v>
      </c>
      <c r="M30" s="1304">
        <f t="shared" si="1"/>
        <v>0</v>
      </c>
      <c r="N30" s="1304">
        <f t="shared" si="1"/>
        <v>0</v>
      </c>
      <c r="O30" s="1304">
        <f t="shared" si="1"/>
        <v>0</v>
      </c>
      <c r="P30" s="1304">
        <f t="shared" si="1"/>
        <v>0</v>
      </c>
      <c r="Q30" s="800"/>
      <c r="R30" s="800"/>
      <c r="S30" s="800"/>
      <c r="T30" s="800"/>
      <c r="U30" s="800"/>
      <c r="V30" s="800"/>
      <c r="W30" s="800"/>
      <c r="X30" s="800"/>
      <c r="Y30" s="800"/>
      <c r="Z30" s="800"/>
      <c r="AA30" s="800"/>
      <c r="AB30" s="800"/>
      <c r="AC30" s="1308">
        <f>SUM(E30:P31)</f>
        <v>0</v>
      </c>
    </row>
    <row r="31" spans="2:29" ht="15" hidden="1" customHeight="1" x14ac:dyDescent="0.2">
      <c r="B31" s="1197"/>
      <c r="C31" s="1281"/>
      <c r="D31" s="1286"/>
      <c r="E31" s="1305"/>
      <c r="F31" s="1305"/>
      <c r="G31" s="1305"/>
      <c r="H31" s="1305"/>
      <c r="I31" s="1305"/>
      <c r="J31" s="1305"/>
      <c r="K31" s="1305"/>
      <c r="L31" s="1305"/>
      <c r="M31" s="1305"/>
      <c r="N31" s="1305"/>
      <c r="O31" s="1305"/>
      <c r="P31" s="1305"/>
      <c r="Q31" s="801"/>
      <c r="R31" s="801"/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1309"/>
    </row>
    <row r="32" spans="2:29" ht="15" x14ac:dyDescent="0.25">
      <c r="B32" s="1267">
        <f>B30+1</f>
        <v>15</v>
      </c>
      <c r="C32" s="1269" t="s">
        <v>677</v>
      </c>
      <c r="D32" s="325" t="s">
        <v>1339</v>
      </c>
      <c r="E32" s="326">
        <f>SUMIF($D$4:$D$29,$D32,E$4:E$29)</f>
        <v>0</v>
      </c>
      <c r="F32" s="326">
        <f>SUMIF($D$4:$D$29,$D32,F$4:F$29)</f>
        <v>0</v>
      </c>
      <c r="G32" s="326">
        <f t="shared" ref="G32:V33" si="2">SUMIF($D$4:$D$29,$D32,G$4:G$29)</f>
        <v>0</v>
      </c>
      <c r="H32" s="326">
        <f t="shared" si="2"/>
        <v>0</v>
      </c>
      <c r="I32" s="326">
        <f t="shared" si="2"/>
        <v>0</v>
      </c>
      <c r="J32" s="326">
        <f t="shared" si="2"/>
        <v>0</v>
      </c>
      <c r="K32" s="326">
        <f t="shared" si="2"/>
        <v>0</v>
      </c>
      <c r="L32" s="326">
        <f t="shared" si="2"/>
        <v>0</v>
      </c>
      <c r="M32" s="326">
        <f t="shared" si="2"/>
        <v>0</v>
      </c>
      <c r="N32" s="326">
        <f t="shared" si="2"/>
        <v>0</v>
      </c>
      <c r="O32" s="326">
        <f t="shared" si="2"/>
        <v>0</v>
      </c>
      <c r="P32" s="326">
        <f t="shared" si="2"/>
        <v>0</v>
      </c>
      <c r="Q32" s="326">
        <f t="shared" si="2"/>
        <v>0</v>
      </c>
      <c r="R32" s="326">
        <f t="shared" si="2"/>
        <v>0</v>
      </c>
      <c r="S32" s="326">
        <f t="shared" si="2"/>
        <v>0</v>
      </c>
      <c r="T32" s="326">
        <f t="shared" si="2"/>
        <v>0</v>
      </c>
      <c r="U32" s="326">
        <f t="shared" si="2"/>
        <v>0</v>
      </c>
      <c r="V32" s="326">
        <f t="shared" si="2"/>
        <v>0</v>
      </c>
      <c r="W32" s="326">
        <f t="shared" ref="Q32:AB33" si="3">SUMIF($D$4:$D$29,$D32,W$4:W$29)</f>
        <v>0</v>
      </c>
      <c r="X32" s="326">
        <f t="shared" si="3"/>
        <v>0</v>
      </c>
      <c r="Y32" s="326">
        <f t="shared" si="3"/>
        <v>0</v>
      </c>
      <c r="Z32" s="326">
        <f t="shared" si="3"/>
        <v>0</v>
      </c>
      <c r="AA32" s="326">
        <f t="shared" si="3"/>
        <v>0</v>
      </c>
      <c r="AB32" s="326">
        <f t="shared" si="3"/>
        <v>0</v>
      </c>
      <c r="AC32" s="327">
        <f>SUM(E32:AB32)</f>
        <v>0</v>
      </c>
    </row>
    <row r="33" spans="2:29" ht="15" x14ac:dyDescent="0.25">
      <c r="B33" s="1268"/>
      <c r="C33" s="1270"/>
      <c r="D33" s="325" t="s">
        <v>901</v>
      </c>
      <c r="E33" s="326">
        <f>SUMIF($D$4:$D$29,$D33,E$4:E$29)</f>
        <v>0</v>
      </c>
      <c r="F33" s="326">
        <f>SUMIF($D$4:$D$29,$D33,F$4:F$29)</f>
        <v>0</v>
      </c>
      <c r="G33" s="326">
        <f t="shared" si="2"/>
        <v>0</v>
      </c>
      <c r="H33" s="326">
        <f t="shared" si="2"/>
        <v>0</v>
      </c>
      <c r="I33" s="326">
        <f t="shared" si="2"/>
        <v>0</v>
      </c>
      <c r="J33" s="326">
        <f t="shared" si="2"/>
        <v>0</v>
      </c>
      <c r="K33" s="326">
        <f t="shared" si="2"/>
        <v>0</v>
      </c>
      <c r="L33" s="326">
        <f t="shared" si="2"/>
        <v>0</v>
      </c>
      <c r="M33" s="326">
        <f t="shared" si="2"/>
        <v>0</v>
      </c>
      <c r="N33" s="326">
        <f t="shared" si="2"/>
        <v>0</v>
      </c>
      <c r="O33" s="326">
        <f t="shared" si="2"/>
        <v>0</v>
      </c>
      <c r="P33" s="326">
        <f t="shared" si="2"/>
        <v>0</v>
      </c>
      <c r="Q33" s="326">
        <f t="shared" si="3"/>
        <v>0</v>
      </c>
      <c r="R33" s="326">
        <f t="shared" si="3"/>
        <v>0</v>
      </c>
      <c r="S33" s="326">
        <f t="shared" si="3"/>
        <v>0</v>
      </c>
      <c r="T33" s="326">
        <f t="shared" si="3"/>
        <v>0</v>
      </c>
      <c r="U33" s="326">
        <f t="shared" si="3"/>
        <v>0</v>
      </c>
      <c r="V33" s="326">
        <f t="shared" si="3"/>
        <v>0</v>
      </c>
      <c r="W33" s="326">
        <f t="shared" si="3"/>
        <v>0</v>
      </c>
      <c r="X33" s="326">
        <f t="shared" si="3"/>
        <v>0</v>
      </c>
      <c r="Y33" s="326">
        <f t="shared" si="3"/>
        <v>0</v>
      </c>
      <c r="Z33" s="326">
        <f t="shared" si="3"/>
        <v>0</v>
      </c>
      <c r="AA33" s="326">
        <f t="shared" si="3"/>
        <v>0</v>
      </c>
      <c r="AB33" s="326">
        <f t="shared" si="3"/>
        <v>0</v>
      </c>
      <c r="AC33" s="327">
        <f>SUM(E33:AB33)</f>
        <v>0</v>
      </c>
    </row>
    <row r="34" spans="2:29" ht="15" x14ac:dyDescent="0.25">
      <c r="B34" s="1267">
        <f>B32+1</f>
        <v>16</v>
      </c>
      <c r="C34" s="1269" t="s">
        <v>678</v>
      </c>
      <c r="D34" s="325" t="s">
        <v>1339</v>
      </c>
      <c r="E34" s="326">
        <f>E32</f>
        <v>0</v>
      </c>
      <c r="F34" s="326">
        <f>E34+F32</f>
        <v>0</v>
      </c>
      <c r="G34" s="326">
        <f>F34+G32</f>
        <v>0</v>
      </c>
      <c r="H34" s="326">
        <f t="shared" ref="H34:P34" si="4">G34+H32</f>
        <v>0</v>
      </c>
      <c r="I34" s="326">
        <f t="shared" si="4"/>
        <v>0</v>
      </c>
      <c r="J34" s="326">
        <f t="shared" si="4"/>
        <v>0</v>
      </c>
      <c r="K34" s="326">
        <f t="shared" si="4"/>
        <v>0</v>
      </c>
      <c r="L34" s="326">
        <f t="shared" si="4"/>
        <v>0</v>
      </c>
      <c r="M34" s="326">
        <f t="shared" si="4"/>
        <v>0</v>
      </c>
      <c r="N34" s="326">
        <f t="shared" si="4"/>
        <v>0</v>
      </c>
      <c r="O34" s="326">
        <f t="shared" si="4"/>
        <v>0</v>
      </c>
      <c r="P34" s="326">
        <f t="shared" si="4"/>
        <v>0</v>
      </c>
      <c r="Q34" s="326">
        <f t="shared" ref="Q34:Q35" si="5">P34+Q32</f>
        <v>0</v>
      </c>
      <c r="R34" s="326">
        <f t="shared" ref="R34:R35" si="6">Q34+R32</f>
        <v>0</v>
      </c>
      <c r="S34" s="326">
        <f t="shared" ref="S34:S35" si="7">R34+S32</f>
        <v>0</v>
      </c>
      <c r="T34" s="326">
        <f t="shared" ref="T34:T35" si="8">S34+T32</f>
        <v>0</v>
      </c>
      <c r="U34" s="326">
        <f t="shared" ref="U34:U35" si="9">T34+U32</f>
        <v>0</v>
      </c>
      <c r="V34" s="326">
        <f t="shared" ref="V34:V35" si="10">U34+V32</f>
        <v>0</v>
      </c>
      <c r="W34" s="326">
        <f t="shared" ref="W34:W35" si="11">V34+W32</f>
        <v>0</v>
      </c>
      <c r="X34" s="326">
        <f t="shared" ref="X34:X35" si="12">W34+X32</f>
        <v>0</v>
      </c>
      <c r="Y34" s="326">
        <f t="shared" ref="Y34:Y35" si="13">X34+Y32</f>
        <v>0</v>
      </c>
      <c r="Z34" s="326">
        <f t="shared" ref="Z34:Z35" si="14">Y34+Z32</f>
        <v>0</v>
      </c>
      <c r="AA34" s="326">
        <f t="shared" ref="AA34:AA35" si="15">Z34+AA32</f>
        <v>0</v>
      </c>
      <c r="AB34" s="326">
        <f t="shared" ref="AB34:AB35" si="16">AA34+AB32</f>
        <v>0</v>
      </c>
      <c r="AC34" s="327">
        <f>AB34</f>
        <v>0</v>
      </c>
    </row>
    <row r="35" spans="2:29" ht="15" x14ac:dyDescent="0.25">
      <c r="B35" s="1268"/>
      <c r="C35" s="1270"/>
      <c r="D35" s="325" t="s">
        <v>901</v>
      </c>
      <c r="E35" s="326">
        <f>E33</f>
        <v>0</v>
      </c>
      <c r="F35" s="326">
        <f>E35+F33</f>
        <v>0</v>
      </c>
      <c r="G35" s="326">
        <f>F35+G33</f>
        <v>0</v>
      </c>
      <c r="H35" s="326">
        <f t="shared" ref="H35:P35" si="17">G35+H33</f>
        <v>0</v>
      </c>
      <c r="I35" s="326">
        <f t="shared" si="17"/>
        <v>0</v>
      </c>
      <c r="J35" s="326">
        <f t="shared" si="17"/>
        <v>0</v>
      </c>
      <c r="K35" s="326">
        <f t="shared" si="17"/>
        <v>0</v>
      </c>
      <c r="L35" s="326">
        <f t="shared" si="17"/>
        <v>0</v>
      </c>
      <c r="M35" s="326">
        <f t="shared" si="17"/>
        <v>0</v>
      </c>
      <c r="N35" s="326">
        <f t="shared" si="17"/>
        <v>0</v>
      </c>
      <c r="O35" s="326">
        <f t="shared" si="17"/>
        <v>0</v>
      </c>
      <c r="P35" s="326">
        <f t="shared" si="17"/>
        <v>0</v>
      </c>
      <c r="Q35" s="326">
        <f t="shared" si="5"/>
        <v>0</v>
      </c>
      <c r="R35" s="326">
        <f t="shared" si="6"/>
        <v>0</v>
      </c>
      <c r="S35" s="326">
        <f t="shared" si="7"/>
        <v>0</v>
      </c>
      <c r="T35" s="326">
        <f t="shared" si="8"/>
        <v>0</v>
      </c>
      <c r="U35" s="326">
        <f t="shared" si="9"/>
        <v>0</v>
      </c>
      <c r="V35" s="326">
        <f t="shared" si="10"/>
        <v>0</v>
      </c>
      <c r="W35" s="326">
        <f t="shared" si="11"/>
        <v>0</v>
      </c>
      <c r="X35" s="326">
        <f t="shared" si="12"/>
        <v>0</v>
      </c>
      <c r="Y35" s="326">
        <f t="shared" si="13"/>
        <v>0</v>
      </c>
      <c r="Z35" s="326">
        <f t="shared" si="14"/>
        <v>0</v>
      </c>
      <c r="AA35" s="326">
        <f t="shared" si="15"/>
        <v>0</v>
      </c>
      <c r="AB35" s="326">
        <f t="shared" si="16"/>
        <v>0</v>
      </c>
      <c r="AC35" s="327">
        <f>AB35</f>
        <v>0</v>
      </c>
    </row>
  </sheetData>
  <sheetProtection algorithmName="SHA-512" hashValue="Ex67yRTJc2jnjz5CgRGrLIWGWG00BF1n3wm4YyfBKhGsjrdh/o1l2M9hubV3W4LMFZjaQ21nOnb4b663BwUHKg==" saltValue="IHY8uenGWfrsqW82AwXgXw==" spinCount="100000" sheet="1" objects="1" scenarios="1"/>
  <mergeCells count="64">
    <mergeCell ref="AC26:AC27"/>
    <mergeCell ref="AC30:AC31"/>
    <mergeCell ref="C2:C3"/>
    <mergeCell ref="O26:O27"/>
    <mergeCell ref="P26:P27"/>
    <mergeCell ref="E30:E31"/>
    <mergeCell ref="F30:F31"/>
    <mergeCell ref="G30:G31"/>
    <mergeCell ref="H30:H31"/>
    <mergeCell ref="I30:I31"/>
    <mergeCell ref="J30:J31"/>
    <mergeCell ref="K30:K31"/>
    <mergeCell ref="L30:L31"/>
    <mergeCell ref="M30:M31"/>
    <mergeCell ref="N30:N31"/>
    <mergeCell ref="O30:O31"/>
    <mergeCell ref="P30:P31"/>
    <mergeCell ref="J26:J27"/>
    <mergeCell ref="K26:K27"/>
    <mergeCell ref="L26:L27"/>
    <mergeCell ref="M26:M27"/>
    <mergeCell ref="N26:N27"/>
    <mergeCell ref="E26:E27"/>
    <mergeCell ref="F26:F27"/>
    <mergeCell ref="G26:G27"/>
    <mergeCell ref="H26:H27"/>
    <mergeCell ref="I26:I27"/>
    <mergeCell ref="B32:B33"/>
    <mergeCell ref="C32:C33"/>
    <mergeCell ref="B34:B35"/>
    <mergeCell ref="C34:C35"/>
    <mergeCell ref="B30:B31"/>
    <mergeCell ref="C30:C31"/>
    <mergeCell ref="B24:B25"/>
    <mergeCell ref="C24:C25"/>
    <mergeCell ref="B22:B23"/>
    <mergeCell ref="C22:C23"/>
    <mergeCell ref="D30:D31"/>
    <mergeCell ref="B28:B29"/>
    <mergeCell ref="C28:C29"/>
    <mergeCell ref="B26:B27"/>
    <mergeCell ref="C26:C27"/>
    <mergeCell ref="D26:D27"/>
    <mergeCell ref="B20:B21"/>
    <mergeCell ref="C20:C21"/>
    <mergeCell ref="B18:B19"/>
    <mergeCell ref="C18:C19"/>
    <mergeCell ref="B16:B17"/>
    <mergeCell ref="C16:C17"/>
    <mergeCell ref="B14:B15"/>
    <mergeCell ref="C14:C15"/>
    <mergeCell ref="B12:B13"/>
    <mergeCell ref="C12:C13"/>
    <mergeCell ref="B10:B11"/>
    <mergeCell ref="C10:C11"/>
    <mergeCell ref="E2:P2"/>
    <mergeCell ref="AC2:AC3"/>
    <mergeCell ref="B4:B5"/>
    <mergeCell ref="C4:C5"/>
    <mergeCell ref="B8:B9"/>
    <mergeCell ref="C8:C9"/>
    <mergeCell ref="B6:B7"/>
    <mergeCell ref="C6:C7"/>
    <mergeCell ref="D2:D3"/>
  </mergeCells>
  <phoneticPr fontId="101" type="noConversion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5" tint="-0.499984740745262"/>
  </sheetPr>
  <dimension ref="B2:K33"/>
  <sheetViews>
    <sheetView showGridLines="0" zoomScale="90" zoomScaleNormal="90" workbookViewId="0">
      <selection activeCell="O17" sqref="O17"/>
    </sheetView>
  </sheetViews>
  <sheetFormatPr defaultColWidth="9.140625" defaultRowHeight="12.75" x14ac:dyDescent="0.2"/>
  <cols>
    <col min="1" max="1" width="3.42578125" style="396" customWidth="1"/>
    <col min="2" max="2" width="24" style="396" bestFit="1" customWidth="1"/>
    <col min="3" max="3" width="12.42578125" style="396" bestFit="1" customWidth="1"/>
    <col min="4" max="4" width="17.42578125" style="396" bestFit="1" customWidth="1"/>
    <col min="5" max="5" width="16.85546875" style="396" bestFit="1" customWidth="1"/>
    <col min="6" max="6" width="18" style="396" bestFit="1" customWidth="1"/>
    <col min="7" max="7" width="9.140625" style="396"/>
    <col min="8" max="8" width="10" style="396" bestFit="1" customWidth="1"/>
    <col min="9" max="9" width="16.85546875" style="396" bestFit="1" customWidth="1"/>
    <col min="10" max="10" width="7.42578125" style="396" bestFit="1" customWidth="1"/>
    <col min="11" max="11" width="11.42578125" style="396" bestFit="1" customWidth="1"/>
    <col min="12" max="16384" width="9.140625" style="396"/>
  </cols>
  <sheetData>
    <row r="2" spans="2:11" ht="22.5" customHeight="1" x14ac:dyDescent="0.2">
      <c r="B2" s="956" t="s">
        <v>893</v>
      </c>
      <c r="C2" s="957"/>
      <c r="D2" s="957"/>
      <c r="E2" s="957"/>
      <c r="F2" s="957"/>
      <c r="G2" s="957"/>
      <c r="H2" s="957"/>
      <c r="I2" s="957"/>
      <c r="J2" s="957"/>
      <c r="K2" s="958"/>
    </row>
    <row r="3" spans="2:11" ht="15" x14ac:dyDescent="0.25">
      <c r="B3" s="975" t="s">
        <v>706</v>
      </c>
      <c r="C3" s="975"/>
      <c r="D3" s="975"/>
      <c r="E3" s="975"/>
      <c r="F3" s="975"/>
      <c r="G3" s="975"/>
      <c r="H3" s="975"/>
      <c r="I3" s="975" t="s">
        <v>785</v>
      </c>
      <c r="J3" s="975"/>
      <c r="K3" s="975"/>
    </row>
    <row r="4" spans="2:11" s="397" customFormat="1" ht="75" x14ac:dyDescent="0.2">
      <c r="B4" s="96" t="s">
        <v>215</v>
      </c>
      <c r="C4" s="97" t="s">
        <v>225</v>
      </c>
      <c r="D4" s="97" t="s">
        <v>226</v>
      </c>
      <c r="E4" s="97" t="s">
        <v>227</v>
      </c>
      <c r="F4" s="97" t="s">
        <v>228</v>
      </c>
      <c r="G4" s="97" t="s">
        <v>229</v>
      </c>
      <c r="H4" s="98" t="s">
        <v>223</v>
      </c>
      <c r="I4" s="97" t="s">
        <v>230</v>
      </c>
      <c r="J4" s="97" t="s">
        <v>229</v>
      </c>
      <c r="K4" s="98" t="s">
        <v>224</v>
      </c>
    </row>
    <row r="5" spans="2:11" x14ac:dyDescent="0.2">
      <c r="B5" s="70" t="s">
        <v>61</v>
      </c>
      <c r="C5" s="93">
        <f>IlumBenef!G45</f>
        <v>16.667916999999999</v>
      </c>
      <c r="D5" s="93">
        <f>IlumBenef!G43</f>
        <v>0.54399999999999993</v>
      </c>
      <c r="E5" s="94">
        <f>IlumCusto!X110</f>
        <v>2354.73</v>
      </c>
      <c r="F5" s="94">
        <f>IlumBenef!G47</f>
        <v>5663.2517213306846</v>
      </c>
      <c r="G5" s="95">
        <f>IF(F5=0,0,E5/F5)</f>
        <v>0.41579115954371054</v>
      </c>
      <c r="H5" s="976">
        <f>$G$13</f>
        <v>0.55580680164308005</v>
      </c>
      <c r="I5" s="94">
        <f>IlumCusto!X109</f>
        <v>2354.73</v>
      </c>
      <c r="J5" s="95">
        <f>IF(F5=0,0,I5/F5)</f>
        <v>0.41579115954371054</v>
      </c>
      <c r="K5" s="976">
        <f>$J$13</f>
        <v>0.55580680164308005</v>
      </c>
    </row>
    <row r="6" spans="2:11" x14ac:dyDescent="0.2">
      <c r="B6" s="73" t="s">
        <v>721</v>
      </c>
      <c r="C6" s="90">
        <f>CondAmbBenef!G47</f>
        <v>0</v>
      </c>
      <c r="D6" s="90">
        <f>CondAmbBenef!G45</f>
        <v>0</v>
      </c>
      <c r="E6" s="91">
        <f>CondAmbCusto!X50</f>
        <v>0</v>
      </c>
      <c r="F6" s="91">
        <f>CondAmbBenef!G49</f>
        <v>0</v>
      </c>
      <c r="G6" s="92">
        <f t="shared" ref="G6:G13" si="0">IF(F6=0,0,E6/F6)</f>
        <v>0</v>
      </c>
      <c r="H6" s="977"/>
      <c r="I6" s="91">
        <f>CondAmbCusto!X49</f>
        <v>0</v>
      </c>
      <c r="J6" s="92">
        <f t="shared" ref="J6:J12" si="1">IF(F6=0,0,I6/F6)</f>
        <v>0</v>
      </c>
      <c r="K6" s="977"/>
    </row>
    <row r="7" spans="2:11" x14ac:dyDescent="0.2">
      <c r="B7" s="70" t="s">
        <v>41</v>
      </c>
      <c r="C7" s="93">
        <f>MotorBenef!G47</f>
        <v>0</v>
      </c>
      <c r="D7" s="93">
        <f>MotorBenef!G45</f>
        <v>0</v>
      </c>
      <c r="E7" s="94">
        <f>MotorCusto!X110</f>
        <v>0</v>
      </c>
      <c r="F7" s="94">
        <f>MotorBenef!G49</f>
        <v>0</v>
      </c>
      <c r="G7" s="95">
        <f t="shared" si="0"/>
        <v>0</v>
      </c>
      <c r="H7" s="977"/>
      <c r="I7" s="94">
        <f>MotorCusto!X109</f>
        <v>0</v>
      </c>
      <c r="J7" s="95">
        <f t="shared" si="1"/>
        <v>0</v>
      </c>
      <c r="K7" s="977"/>
    </row>
    <row r="8" spans="2:11" x14ac:dyDescent="0.2">
      <c r="B8" s="73" t="s">
        <v>62</v>
      </c>
      <c r="C8" s="90">
        <f>RefrigBenef!G43</f>
        <v>0</v>
      </c>
      <c r="D8" s="90">
        <f>RefrigBenef!G41</f>
        <v>0</v>
      </c>
      <c r="E8" s="91">
        <f>RefrigCusto!X50</f>
        <v>0</v>
      </c>
      <c r="F8" s="91">
        <f>RefrigBenef!G45</f>
        <v>0</v>
      </c>
      <c r="G8" s="92">
        <f t="shared" si="0"/>
        <v>0</v>
      </c>
      <c r="H8" s="977"/>
      <c r="I8" s="91">
        <f>RefrigCusto!X49</f>
        <v>0</v>
      </c>
      <c r="J8" s="92">
        <f t="shared" si="1"/>
        <v>0</v>
      </c>
      <c r="K8" s="977"/>
    </row>
    <row r="9" spans="2:11" x14ac:dyDescent="0.2">
      <c r="B9" s="607" t="s">
        <v>1068</v>
      </c>
      <c r="C9" s="93">
        <f>SolarBenef!G23</f>
        <v>0</v>
      </c>
      <c r="D9" s="93">
        <f>SolarBenef!G25</f>
        <v>0</v>
      </c>
      <c r="E9" s="94">
        <f>SolarCusto!X50</f>
        <v>0</v>
      </c>
      <c r="F9" s="94">
        <f>SolarBenef!G27</f>
        <v>0</v>
      </c>
      <c r="G9" s="95">
        <f t="shared" si="0"/>
        <v>0</v>
      </c>
      <c r="H9" s="977"/>
      <c r="I9" s="94">
        <f>SolarCusto!X49</f>
        <v>0</v>
      </c>
      <c r="J9" s="95">
        <f t="shared" si="1"/>
        <v>0</v>
      </c>
      <c r="K9" s="977"/>
    </row>
    <row r="10" spans="2:11" x14ac:dyDescent="0.2">
      <c r="B10" s="73" t="s">
        <v>1067</v>
      </c>
      <c r="C10" s="90">
        <f>HospBenef!G47</f>
        <v>0</v>
      </c>
      <c r="D10" s="90">
        <f>HospBenef!G45</f>
        <v>0</v>
      </c>
      <c r="E10" s="91">
        <f>HospCusto!X50</f>
        <v>0</v>
      </c>
      <c r="F10" s="91">
        <f>HospBenef!G49</f>
        <v>0</v>
      </c>
      <c r="G10" s="92">
        <f t="shared" si="0"/>
        <v>0</v>
      </c>
      <c r="H10" s="977"/>
      <c r="I10" s="91">
        <f>HospCusto!X49</f>
        <v>0</v>
      </c>
      <c r="J10" s="92">
        <f t="shared" si="1"/>
        <v>0</v>
      </c>
      <c r="K10" s="977"/>
    </row>
    <row r="11" spans="2:11" x14ac:dyDescent="0.2">
      <c r="B11" s="70" t="s">
        <v>134</v>
      </c>
      <c r="C11" s="93">
        <f>OutrosBenef!G41</f>
        <v>0</v>
      </c>
      <c r="D11" s="93">
        <f>OutrosBenef!G39</f>
        <v>0</v>
      </c>
      <c r="E11" s="94">
        <f>OutrosCusto!X50</f>
        <v>0</v>
      </c>
      <c r="F11" s="94">
        <f>OutrosBenef!G43</f>
        <v>0</v>
      </c>
      <c r="G11" s="95">
        <f t="shared" si="0"/>
        <v>0</v>
      </c>
      <c r="H11" s="977"/>
      <c r="I11" s="94">
        <f>OutrosCusto!X49</f>
        <v>0</v>
      </c>
      <c r="J11" s="95">
        <f t="shared" si="1"/>
        <v>0</v>
      </c>
      <c r="K11" s="977"/>
    </row>
    <row r="12" spans="2:11" x14ac:dyDescent="0.2">
      <c r="B12" s="73" t="s">
        <v>988</v>
      </c>
      <c r="C12" s="587">
        <f>FIBenef!G26</f>
        <v>47.3</v>
      </c>
      <c r="D12" s="587">
        <f>FIBenef!G19</f>
        <v>0</v>
      </c>
      <c r="E12" s="588">
        <f>FICusto!X50</f>
        <v>19728.420000000002</v>
      </c>
      <c r="F12" s="588">
        <f>FIBenef!G27</f>
        <v>34068.449896421444</v>
      </c>
      <c r="G12" s="589">
        <f t="shared" si="0"/>
        <v>0.57908182086301141</v>
      </c>
      <c r="H12" s="977"/>
      <c r="I12" s="588">
        <f>FICusto!X49</f>
        <v>19728.420000000002</v>
      </c>
      <c r="J12" s="589">
        <f t="shared" si="1"/>
        <v>0.57908182086301141</v>
      </c>
      <c r="K12" s="977"/>
    </row>
    <row r="13" spans="2:11" ht="15" x14ac:dyDescent="0.25">
      <c r="B13" s="99" t="s">
        <v>31</v>
      </c>
      <c r="C13" s="100">
        <f>SUM(C5:C12)</f>
        <v>63.967917</v>
      </c>
      <c r="D13" s="100">
        <f>SUM(D5:D12)</f>
        <v>0.54399999999999993</v>
      </c>
      <c r="E13" s="101">
        <f>SUM(E5:E12)</f>
        <v>22083.15</v>
      </c>
      <c r="F13" s="101">
        <f>SUM(F5:F12)</f>
        <v>39731.701617752129</v>
      </c>
      <c r="G13" s="102">
        <f t="shared" si="0"/>
        <v>0.55580680164308005</v>
      </c>
      <c r="H13" s="978"/>
      <c r="I13" s="103">
        <f>SUM(I5:I12)</f>
        <v>22083.15</v>
      </c>
      <c r="J13" s="104">
        <f>IF(F13=0,0,I13/F13)</f>
        <v>0.55580680164308005</v>
      </c>
      <c r="K13" s="978"/>
    </row>
    <row r="14" spans="2:11" ht="4.5" customHeight="1" x14ac:dyDescent="0.2"/>
    <row r="15" spans="2:11" ht="15" customHeight="1" x14ac:dyDescent="0.2">
      <c r="B15" s="971" t="s">
        <v>216</v>
      </c>
      <c r="C15" s="972"/>
      <c r="D15" s="979" t="str">
        <f>IF(H5=0,"-",IF(OR(H5&lt;0,SMALL(G5:G11,1)&lt;0),"AO MENOS UMA RCB NEGATIVA, OS CÁLCULOS DEVEM SER REVISADOS",IF(H5&gt;Apresentação!D53,"RCB NÃO PERMITIDA",IF(AND(H5&lt;=Apresentação!D53,LARGE(G5:G11,1)&gt;Apresentação!D53),"RCB PERMITIDA, MAS AO MENOS UM USO FINAL POSSUI RCB ACIMA DO LIMITE PERMITIDO","RCB PERMITIDA"))))</f>
        <v>RCB PERMITIDA</v>
      </c>
      <c r="E15" s="980"/>
      <c r="F15" s="980"/>
      <c r="G15" s="980"/>
      <c r="H15" s="980"/>
      <c r="I15" s="980"/>
      <c r="J15" s="980"/>
      <c r="K15" s="981"/>
    </row>
    <row r="16" spans="2:11" x14ac:dyDescent="0.2">
      <c r="B16" s="973"/>
      <c r="C16" s="974"/>
      <c r="D16" s="982"/>
      <c r="E16" s="983"/>
      <c r="F16" s="983"/>
      <c r="G16" s="983"/>
      <c r="H16" s="983"/>
      <c r="I16" s="983"/>
      <c r="J16" s="983"/>
      <c r="K16" s="984"/>
    </row>
    <row r="17" spans="2:11" ht="5.25" customHeight="1" x14ac:dyDescent="0.2">
      <c r="B17" s="398"/>
    </row>
    <row r="18" spans="2:11" x14ac:dyDescent="0.2">
      <c r="B18" s="399"/>
      <c r="C18" s="399"/>
      <c r="D18" s="963" t="s">
        <v>706</v>
      </c>
      <c r="E18" s="963"/>
      <c r="F18" s="968" t="s">
        <v>786</v>
      </c>
      <c r="G18" s="969"/>
      <c r="H18" s="970"/>
    </row>
    <row r="19" spans="2:11" ht="15" x14ac:dyDescent="0.25">
      <c r="B19" s="959" t="s">
        <v>217</v>
      </c>
      <c r="C19" s="960"/>
      <c r="D19" s="105">
        <f>IFERROR(ROUND(E13/C13,2),0)</f>
        <v>345.22</v>
      </c>
      <c r="E19" s="106" t="s">
        <v>32</v>
      </c>
      <c r="F19" s="964">
        <f>IFERROR(ROUND(I13/C13,2),0)</f>
        <v>345.22</v>
      </c>
      <c r="G19" s="965"/>
      <c r="H19" s="106" t="s">
        <v>32</v>
      </c>
    </row>
    <row r="20" spans="2:11" ht="15" x14ac:dyDescent="0.25">
      <c r="B20" s="961" t="s">
        <v>218</v>
      </c>
      <c r="C20" s="962"/>
      <c r="D20" s="107">
        <f>IFERROR(ROUND(E13/D13,2),0)</f>
        <v>40594.03</v>
      </c>
      <c r="E20" s="108" t="s">
        <v>219</v>
      </c>
      <c r="F20" s="966">
        <f>IFERROR(ROUND(I13/D13,2),0)</f>
        <v>40594.03</v>
      </c>
      <c r="G20" s="967"/>
      <c r="H20" s="108" t="s">
        <v>219</v>
      </c>
    </row>
    <row r="22" spans="2:11" ht="15" x14ac:dyDescent="0.2">
      <c r="B22" s="956" t="s">
        <v>894</v>
      </c>
      <c r="C22" s="957"/>
      <c r="D22" s="957"/>
      <c r="E22" s="957"/>
      <c r="F22" s="957"/>
      <c r="G22" s="957"/>
      <c r="H22" s="957"/>
      <c r="I22" s="957"/>
      <c r="J22" s="957"/>
      <c r="K22" s="958"/>
    </row>
    <row r="23" spans="2:11" ht="15" x14ac:dyDescent="0.25">
      <c r="B23" s="975" t="s">
        <v>706</v>
      </c>
      <c r="C23" s="975"/>
      <c r="D23" s="975"/>
      <c r="E23" s="975"/>
      <c r="F23" s="975"/>
      <c r="G23" s="975"/>
      <c r="H23" s="975"/>
      <c r="I23" s="975" t="s">
        <v>785</v>
      </c>
      <c r="J23" s="975"/>
      <c r="K23" s="975"/>
    </row>
    <row r="24" spans="2:11" ht="75" x14ac:dyDescent="0.2">
      <c r="B24" s="96" t="s">
        <v>215</v>
      </c>
      <c r="C24" s="97" t="s">
        <v>225</v>
      </c>
      <c r="D24" s="97" t="s">
        <v>226</v>
      </c>
      <c r="E24" s="97" t="s">
        <v>227</v>
      </c>
      <c r="F24" s="97" t="s">
        <v>228</v>
      </c>
      <c r="G24" s="97" t="s">
        <v>229</v>
      </c>
      <c r="H24" s="98" t="s">
        <v>223</v>
      </c>
      <c r="I24" s="97" t="s">
        <v>230</v>
      </c>
      <c r="J24" s="97" t="s">
        <v>229</v>
      </c>
      <c r="K24" s="98" t="s">
        <v>224</v>
      </c>
    </row>
    <row r="25" spans="2:11" x14ac:dyDescent="0.2">
      <c r="B25" s="70" t="str">
        <f t="shared" ref="B25:B31" si="2">B5</f>
        <v>Iluminação</v>
      </c>
      <c r="C25" s="93">
        <f>C5</f>
        <v>16.667916999999999</v>
      </c>
      <c r="D25" s="93">
        <f>D5</f>
        <v>0.54399999999999993</v>
      </c>
      <c r="E25" s="94">
        <f>E5</f>
        <v>2354.73</v>
      </c>
      <c r="F25" s="94">
        <f>12*(ContrDesemp!D4*ContrDesemp!M4+ContrDesemp!D5*ContrDesemp!M5)+ContrDesemp!D7*ContrDesemp!M7</f>
        <v>0</v>
      </c>
      <c r="G25" s="95">
        <f>IF(F25=0,0,E25/F25)</f>
        <v>0</v>
      </c>
      <c r="H25" s="976">
        <f>$G$33</f>
        <v>0</v>
      </c>
      <c r="I25" s="94">
        <f>I5</f>
        <v>2354.73</v>
      </c>
      <c r="J25" s="95">
        <f>IF(F25=0,0,I25/F25)</f>
        <v>0</v>
      </c>
      <c r="K25" s="976">
        <f>$J$33</f>
        <v>0</v>
      </c>
    </row>
    <row r="26" spans="2:11" x14ac:dyDescent="0.2">
      <c r="B26" s="73" t="str">
        <f t="shared" si="2"/>
        <v>Cond. Ambiental</v>
      </c>
      <c r="C26" s="90">
        <f t="shared" ref="C26:C32" si="3">C6</f>
        <v>0</v>
      </c>
      <c r="D26" s="90">
        <f t="shared" ref="D26:E32" si="4">D6</f>
        <v>0</v>
      </c>
      <c r="E26" s="91">
        <f t="shared" si="4"/>
        <v>0</v>
      </c>
      <c r="F26" s="91">
        <f>12*(ContrDesemp!E4*ContrDesemp!M4+ContrDesemp!E5*ContrDesemp!M5)+ContrDesemp!E7*ContrDesemp!M7</f>
        <v>0</v>
      </c>
      <c r="G26" s="92">
        <f t="shared" ref="G26:G33" si="5">IF(F26=0,0,E26/F26)</f>
        <v>0</v>
      </c>
      <c r="H26" s="977"/>
      <c r="I26" s="91">
        <f t="shared" ref="I26:I32" si="6">I6</f>
        <v>0</v>
      </c>
      <c r="J26" s="92">
        <f t="shared" ref="J26:J33" si="7">IF(F26=0,0,I26/F26)</f>
        <v>0</v>
      </c>
      <c r="K26" s="977"/>
    </row>
    <row r="27" spans="2:11" x14ac:dyDescent="0.2">
      <c r="B27" s="70" t="str">
        <f t="shared" si="2"/>
        <v>Motores</v>
      </c>
      <c r="C27" s="93">
        <f t="shared" si="3"/>
        <v>0</v>
      </c>
      <c r="D27" s="93">
        <f t="shared" si="4"/>
        <v>0</v>
      </c>
      <c r="E27" s="94">
        <f t="shared" si="4"/>
        <v>0</v>
      </c>
      <c r="F27" s="94">
        <f>12*(ContrDesemp!F4*ContrDesemp!M4+ContrDesemp!F5*ContrDesemp!M5)+ContrDesemp!F7*ContrDesemp!M7</f>
        <v>0</v>
      </c>
      <c r="G27" s="95">
        <f>IF(F27=0,0,E27/F27)</f>
        <v>0</v>
      </c>
      <c r="H27" s="977"/>
      <c r="I27" s="94">
        <f t="shared" si="6"/>
        <v>0</v>
      </c>
      <c r="J27" s="95">
        <f t="shared" si="7"/>
        <v>0</v>
      </c>
      <c r="K27" s="977"/>
    </row>
    <row r="28" spans="2:11" x14ac:dyDescent="0.2">
      <c r="B28" s="73" t="str">
        <f t="shared" si="2"/>
        <v>Refrigeração</v>
      </c>
      <c r="C28" s="90">
        <f t="shared" si="3"/>
        <v>0</v>
      </c>
      <c r="D28" s="90">
        <f t="shared" si="4"/>
        <v>0</v>
      </c>
      <c r="E28" s="91">
        <f t="shared" si="4"/>
        <v>0</v>
      </c>
      <c r="F28" s="91">
        <f>12*(ContrDesemp!G4*ContrDesemp!M4+ContrDesemp!G5*ContrDesemp!M5)+ContrDesemp!G7*ContrDesemp!M7</f>
        <v>0</v>
      </c>
      <c r="G28" s="92">
        <f t="shared" si="5"/>
        <v>0</v>
      </c>
      <c r="H28" s="977"/>
      <c r="I28" s="91">
        <f t="shared" si="6"/>
        <v>0</v>
      </c>
      <c r="J28" s="92">
        <f t="shared" si="7"/>
        <v>0</v>
      </c>
      <c r="K28" s="977"/>
    </row>
    <row r="29" spans="2:11" x14ac:dyDescent="0.2">
      <c r="B29" s="70" t="str">
        <f t="shared" si="2"/>
        <v>Aquecimento Solar</v>
      </c>
      <c r="C29" s="93">
        <f t="shared" si="3"/>
        <v>0</v>
      </c>
      <c r="D29" s="93">
        <f t="shared" si="4"/>
        <v>0</v>
      </c>
      <c r="E29" s="94">
        <f t="shared" si="4"/>
        <v>0</v>
      </c>
      <c r="F29" s="94">
        <f>12*(ContrDesemp!H4*ContrDesemp!M4+ContrDesemp!H5*ContrDesemp!M5)+ContrDesemp!H7*ContrDesemp!M7</f>
        <v>0</v>
      </c>
      <c r="G29" s="95">
        <f t="shared" si="5"/>
        <v>0</v>
      </c>
      <c r="H29" s="977"/>
      <c r="I29" s="94">
        <f t="shared" si="6"/>
        <v>0</v>
      </c>
      <c r="J29" s="95">
        <f t="shared" si="7"/>
        <v>0</v>
      </c>
      <c r="K29" s="977"/>
    </row>
    <row r="30" spans="2:11" x14ac:dyDescent="0.2">
      <c r="B30" s="73" t="str">
        <f t="shared" si="2"/>
        <v>Equip. hospitalar</v>
      </c>
      <c r="C30" s="90">
        <f t="shared" si="3"/>
        <v>0</v>
      </c>
      <c r="D30" s="90">
        <f t="shared" si="4"/>
        <v>0</v>
      </c>
      <c r="E30" s="91">
        <f t="shared" si="4"/>
        <v>0</v>
      </c>
      <c r="F30" s="91">
        <f>12*(ContrDesemp!I4*ContrDesemp!M4+ContrDesemp!I5*ContrDesemp!M5)+ContrDesemp!I7*ContrDesemp!M7</f>
        <v>0</v>
      </c>
      <c r="G30" s="92">
        <f t="shared" si="5"/>
        <v>0</v>
      </c>
      <c r="H30" s="977"/>
      <c r="I30" s="91">
        <f t="shared" si="6"/>
        <v>0</v>
      </c>
      <c r="J30" s="92">
        <f t="shared" si="7"/>
        <v>0</v>
      </c>
      <c r="K30" s="977"/>
    </row>
    <row r="31" spans="2:11" x14ac:dyDescent="0.2">
      <c r="B31" s="70" t="str">
        <f t="shared" si="2"/>
        <v>Outros</v>
      </c>
      <c r="C31" s="93">
        <f t="shared" si="3"/>
        <v>0</v>
      </c>
      <c r="D31" s="93">
        <f t="shared" si="4"/>
        <v>0</v>
      </c>
      <c r="E31" s="94">
        <f t="shared" si="4"/>
        <v>0</v>
      </c>
      <c r="F31" s="94">
        <f>12*(ContrDesemp!J4*ContrDesemp!M4+ContrDesemp!J5*ContrDesemp!M5)+ContrDesemp!J7*ContrDesemp!M7</f>
        <v>0</v>
      </c>
      <c r="G31" s="95">
        <f t="shared" si="5"/>
        <v>0</v>
      </c>
      <c r="H31" s="977"/>
      <c r="I31" s="94">
        <f t="shared" si="6"/>
        <v>0</v>
      </c>
      <c r="J31" s="95">
        <f t="shared" si="7"/>
        <v>0</v>
      </c>
      <c r="K31" s="977"/>
    </row>
    <row r="32" spans="2:11" x14ac:dyDescent="0.2">
      <c r="B32" s="73" t="str">
        <f>B12</f>
        <v>Fontes Incentivadas</v>
      </c>
      <c r="C32" s="587">
        <f t="shared" si="3"/>
        <v>47.3</v>
      </c>
      <c r="D32" s="587">
        <f t="shared" si="4"/>
        <v>0</v>
      </c>
      <c r="E32" s="588">
        <f t="shared" si="4"/>
        <v>19728.420000000002</v>
      </c>
      <c r="F32" s="588">
        <f>12*(ContrDesemp!K4*ContrDesemp!M4+ContrDesemp!K5*ContrDesemp!M5)+ContrDesemp!K7*ContrDesemp!M7</f>
        <v>0</v>
      </c>
      <c r="G32" s="589">
        <f t="shared" si="5"/>
        <v>0</v>
      </c>
      <c r="H32" s="977"/>
      <c r="I32" s="588">
        <f t="shared" si="6"/>
        <v>19728.420000000002</v>
      </c>
      <c r="J32" s="589">
        <f t="shared" ref="J32" si="8">IF(F32=0,0,I32/F32)</f>
        <v>0</v>
      </c>
      <c r="K32" s="977"/>
    </row>
    <row r="33" spans="2:11" ht="15" x14ac:dyDescent="0.25">
      <c r="B33" s="99" t="s">
        <v>31</v>
      </c>
      <c r="C33" s="100">
        <f>SUM(C25:C32)</f>
        <v>63.967917</v>
      </c>
      <c r="D33" s="100">
        <f>SUM(D25:D32)</f>
        <v>0.54399999999999993</v>
      </c>
      <c r="E33" s="101">
        <f>SUM(E25:E32)</f>
        <v>22083.15</v>
      </c>
      <c r="F33" s="101">
        <f>SUM(F25:F32)</f>
        <v>0</v>
      </c>
      <c r="G33" s="102">
        <f t="shared" si="5"/>
        <v>0</v>
      </c>
      <c r="H33" s="978"/>
      <c r="I33" s="103">
        <f>SUM(I25:I32)</f>
        <v>22083.15</v>
      </c>
      <c r="J33" s="104">
        <f t="shared" si="7"/>
        <v>0</v>
      </c>
      <c r="K33" s="978"/>
    </row>
  </sheetData>
  <sheetProtection algorithmName="SHA-512" hashValue="UlBLEfJn1pl8XltkcVHuqMggRTBKCfzpVvnYwmZ5ar2qFRGAbrt0U8DIo/BBLkCaCC/mJJ6g3x/dd8x7udA97w==" saltValue="9WErSac76eLMKoXmx5ylQw==" spinCount="100000" sheet="1" objects="1" scenarios="1"/>
  <mergeCells count="18">
    <mergeCell ref="B22:K22"/>
    <mergeCell ref="B23:H23"/>
    <mergeCell ref="I23:K23"/>
    <mergeCell ref="H25:H33"/>
    <mergeCell ref="K25:K33"/>
    <mergeCell ref="B2:K2"/>
    <mergeCell ref="B19:C19"/>
    <mergeCell ref="B20:C20"/>
    <mergeCell ref="D18:E18"/>
    <mergeCell ref="F19:G19"/>
    <mergeCell ref="F20:G20"/>
    <mergeCell ref="F18:H18"/>
    <mergeCell ref="B15:C16"/>
    <mergeCell ref="B3:H3"/>
    <mergeCell ref="I3:K3"/>
    <mergeCell ref="H5:H13"/>
    <mergeCell ref="K5:K13"/>
    <mergeCell ref="D15:K16"/>
  </mergeCells>
  <conditionalFormatting sqref="D15">
    <cfRule type="containsText" dxfId="152" priority="5" stopIfTrue="1" operator="containsText" text="RCB PERMITIDA, MAS AO MENOS UM USO FINAL POSSUI RCB ACIMA DO LIMITE PERMITIDO">
      <formula>NOT(ISERROR(SEARCH("RCB PERMITIDA, MAS AO MENOS UM USO FINAL POSSUI RCB ACIMA DO LIMITE PERMITIDO",D15)))</formula>
    </cfRule>
    <cfRule type="containsText" dxfId="151" priority="6" stopIfTrue="1" operator="containsText" text="RCB PERMITIDA">
      <formula>NOT(ISERROR(SEARCH("RCB PERMITIDA",D15)))</formula>
    </cfRule>
    <cfRule type="containsText" dxfId="150" priority="7" stopIfTrue="1" operator="containsText" text="RCB NÃO PERMITIDA">
      <formula>NOT(ISERROR(SEARCH("RCB NÃO PERMITIDA",D15)))</formula>
    </cfRule>
    <cfRule type="containsText" dxfId="149" priority="8" stopIfTrue="1" operator="containsText" text="AO MENOS UMA RCB NEGATIVA, OS CÁLCULOS DEVEM SER REVISADOS">
      <formula>NOT(ISERROR(SEARCH("AO MENOS UMA RCB NEGATIVA, OS CÁLCULOS DEVEM SER REVISADOS",D15)))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1">
    <tabColor theme="6" tint="-0.499984740745262"/>
  </sheetPr>
  <dimension ref="A2:AD15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0" sqref="D30"/>
    </sheetView>
  </sheetViews>
  <sheetFormatPr defaultColWidth="9.140625" defaultRowHeight="15" x14ac:dyDescent="0.25"/>
  <cols>
    <col min="1" max="1" width="2.85546875" style="389" customWidth="1"/>
    <col min="2" max="2" width="24.42578125" style="440" bestFit="1" customWidth="1"/>
    <col min="3" max="3" width="13.42578125" style="442" bestFit="1" customWidth="1"/>
    <col min="4" max="4" width="15.85546875" style="441" bestFit="1" customWidth="1"/>
    <col min="5" max="5" width="13.42578125" style="389" bestFit="1" customWidth="1"/>
    <col min="6" max="6" width="15.85546875" style="389" bestFit="1" customWidth="1"/>
    <col min="7" max="7" width="13.42578125" style="389" bestFit="1" customWidth="1"/>
    <col min="8" max="8" width="15.85546875" style="389" bestFit="1" customWidth="1"/>
    <col min="9" max="9" width="13.42578125" style="389" bestFit="1" customWidth="1"/>
    <col min="10" max="10" width="15.85546875" style="389" bestFit="1" customWidth="1"/>
    <col min="11" max="11" width="13.42578125" style="389" bestFit="1" customWidth="1"/>
    <col min="12" max="12" width="15.85546875" style="389" bestFit="1" customWidth="1"/>
    <col min="13" max="13" width="13.42578125" style="389" bestFit="1" customWidth="1"/>
    <col min="14" max="14" width="15.85546875" style="389" bestFit="1" customWidth="1"/>
    <col min="15" max="15" width="13.42578125" style="389" bestFit="1" customWidth="1"/>
    <col min="16" max="16" width="15.85546875" style="389" bestFit="1" customWidth="1"/>
    <col min="17" max="17" width="13.42578125" style="389" bestFit="1" customWidth="1"/>
    <col min="18" max="18" width="15.85546875" style="389" bestFit="1" customWidth="1"/>
    <col min="19" max="19" width="13.42578125" style="389" bestFit="1" customWidth="1"/>
    <col min="20" max="20" width="15.85546875" style="389" bestFit="1" customWidth="1"/>
    <col min="21" max="21" width="13.42578125" style="389" bestFit="1" customWidth="1"/>
    <col min="22" max="22" width="15.85546875" style="389" bestFit="1" customWidth="1"/>
    <col min="23" max="23" width="13.42578125" style="389" bestFit="1" customWidth="1"/>
    <col min="24" max="24" width="15.85546875" style="389" bestFit="1" customWidth="1"/>
    <col min="25" max="25" width="13.42578125" style="389" bestFit="1" customWidth="1"/>
    <col min="26" max="26" width="15.85546875" style="389" bestFit="1" customWidth="1"/>
    <col min="27" max="16384" width="9.140625" style="389"/>
  </cols>
  <sheetData>
    <row r="2" spans="1:30" ht="25.5" customHeight="1" x14ac:dyDescent="0.25">
      <c r="B2" s="987" t="s">
        <v>881</v>
      </c>
      <c r="C2" s="988"/>
      <c r="D2" s="988"/>
      <c r="E2" s="988"/>
      <c r="F2" s="989"/>
      <c r="G2" s="985" t="s">
        <v>870</v>
      </c>
      <c r="H2" s="986"/>
      <c r="I2" s="985" t="s">
        <v>871</v>
      </c>
      <c r="J2" s="986"/>
      <c r="K2" s="985" t="s">
        <v>872</v>
      </c>
      <c r="L2" s="986"/>
      <c r="M2" s="985" t="s">
        <v>873</v>
      </c>
      <c r="N2" s="986"/>
      <c r="O2" s="985" t="s">
        <v>874</v>
      </c>
      <c r="P2" s="986"/>
      <c r="Q2" s="985" t="s">
        <v>875</v>
      </c>
      <c r="R2" s="986"/>
      <c r="S2" s="985" t="s">
        <v>876</v>
      </c>
      <c r="T2" s="986"/>
      <c r="U2" s="985" t="s">
        <v>877</v>
      </c>
      <c r="V2" s="986"/>
      <c r="W2" s="985" t="s">
        <v>878</v>
      </c>
      <c r="X2" s="986"/>
      <c r="Y2" s="985" t="s">
        <v>673</v>
      </c>
      <c r="Z2" s="986"/>
      <c r="AA2" s="985" t="s">
        <v>674</v>
      </c>
      <c r="AB2" s="986"/>
      <c r="AC2" s="985" t="s">
        <v>675</v>
      </c>
      <c r="AD2" s="986"/>
    </row>
    <row r="3" spans="1:30" x14ac:dyDescent="0.25">
      <c r="B3" s="438" t="s">
        <v>18</v>
      </c>
      <c r="C3" s="438" t="s">
        <v>3</v>
      </c>
      <c r="D3" s="438" t="s">
        <v>19</v>
      </c>
      <c r="E3" s="438" t="s">
        <v>20</v>
      </c>
      <c r="F3" s="439" t="s">
        <v>17</v>
      </c>
      <c r="G3" s="438" t="s">
        <v>20</v>
      </c>
      <c r="H3" s="439" t="s">
        <v>17</v>
      </c>
      <c r="I3" s="438" t="s">
        <v>20</v>
      </c>
      <c r="J3" s="439" t="s">
        <v>17</v>
      </c>
      <c r="K3" s="438" t="s">
        <v>20</v>
      </c>
      <c r="L3" s="439" t="s">
        <v>17</v>
      </c>
      <c r="M3" s="438" t="s">
        <v>20</v>
      </c>
      <c r="N3" s="439" t="s">
        <v>17</v>
      </c>
      <c r="O3" s="438" t="s">
        <v>20</v>
      </c>
      <c r="P3" s="439" t="s">
        <v>17</v>
      </c>
      <c r="Q3" s="438" t="s">
        <v>20</v>
      </c>
      <c r="R3" s="439" t="s">
        <v>17</v>
      </c>
      <c r="S3" s="438" t="s">
        <v>20</v>
      </c>
      <c r="T3" s="439" t="s">
        <v>17</v>
      </c>
      <c r="U3" s="438" t="s">
        <v>20</v>
      </c>
      <c r="V3" s="439" t="s">
        <v>17</v>
      </c>
      <c r="W3" s="438" t="s">
        <v>20</v>
      </c>
      <c r="X3" s="439" t="s">
        <v>17</v>
      </c>
      <c r="Y3" s="438" t="s">
        <v>20</v>
      </c>
      <c r="Z3" s="439" t="s">
        <v>17</v>
      </c>
      <c r="AA3" s="438" t="s">
        <v>20</v>
      </c>
      <c r="AB3" s="439" t="s">
        <v>17</v>
      </c>
      <c r="AC3" s="438" t="s">
        <v>20</v>
      </c>
      <c r="AD3" s="439" t="s">
        <v>17</v>
      </c>
    </row>
    <row r="4" spans="1:30" x14ac:dyDescent="0.25">
      <c r="B4" s="450" t="s">
        <v>869</v>
      </c>
      <c r="C4" s="462">
        <v>0.5</v>
      </c>
      <c r="D4" s="463">
        <v>120</v>
      </c>
      <c r="E4" s="458">
        <f>IFERROR(F4/D4,0)</f>
        <v>16.666500000000003</v>
      </c>
      <c r="F4" s="453">
        <f>C4*'Custo Contábil'!$D$8</f>
        <v>1999.9800000000002</v>
      </c>
      <c r="G4" s="453">
        <f>$E4/12</f>
        <v>1.3888750000000003</v>
      </c>
      <c r="H4" s="453">
        <f>$F4/12</f>
        <v>166.66500000000002</v>
      </c>
      <c r="I4" s="453">
        <f>$E4/12</f>
        <v>1.3888750000000003</v>
      </c>
      <c r="J4" s="453">
        <f>$F4/12</f>
        <v>166.66500000000002</v>
      </c>
      <c r="K4" s="453">
        <f>$E4/12</f>
        <v>1.3888750000000003</v>
      </c>
      <c r="L4" s="453">
        <f>$F4/12</f>
        <v>166.66500000000002</v>
      </c>
      <c r="M4" s="453">
        <f>$E4/12</f>
        <v>1.3888750000000003</v>
      </c>
      <c r="N4" s="453">
        <f>$F4/12</f>
        <v>166.66500000000002</v>
      </c>
      <c r="O4" s="453">
        <f>$E4/12</f>
        <v>1.3888750000000003</v>
      </c>
      <c r="P4" s="453">
        <f>$F4/12</f>
        <v>166.66500000000002</v>
      </c>
      <c r="Q4" s="453">
        <f>$E4/12</f>
        <v>1.3888750000000003</v>
      </c>
      <c r="R4" s="453">
        <f>$F4/12</f>
        <v>166.66500000000002</v>
      </c>
      <c r="S4" s="453">
        <f>$E4/12</f>
        <v>1.3888750000000003</v>
      </c>
      <c r="T4" s="453">
        <f>$F4/12</f>
        <v>166.66500000000002</v>
      </c>
      <c r="U4" s="453">
        <f>$E4/12</f>
        <v>1.3888750000000003</v>
      </c>
      <c r="V4" s="453">
        <f>$F4/12</f>
        <v>166.66500000000002</v>
      </c>
      <c r="W4" s="453">
        <f>$E4/12</f>
        <v>1.3888750000000003</v>
      </c>
      <c r="X4" s="453">
        <f>$F4/12</f>
        <v>166.66500000000002</v>
      </c>
      <c r="Y4" s="453">
        <f>$E4/12</f>
        <v>1.3888750000000003</v>
      </c>
      <c r="Z4" s="453">
        <f>$F4/12</f>
        <v>166.66500000000002</v>
      </c>
      <c r="AA4" s="453">
        <f>$E4/12</f>
        <v>1.3888750000000003</v>
      </c>
      <c r="AB4" s="453">
        <f>$F4/12</f>
        <v>166.66500000000002</v>
      </c>
      <c r="AC4" s="453">
        <f>$E4/12</f>
        <v>1.3888750000000003</v>
      </c>
      <c r="AD4" s="453">
        <f>$F4/12</f>
        <v>166.66500000000002</v>
      </c>
    </row>
    <row r="5" spans="1:30" x14ac:dyDescent="0.25">
      <c r="B5" s="451" t="s">
        <v>39</v>
      </c>
      <c r="C5" s="464">
        <v>0.1</v>
      </c>
      <c r="D5" s="465">
        <v>80</v>
      </c>
      <c r="E5" s="459">
        <f>IFERROR(F5/D5,0)</f>
        <v>4.999950000000001</v>
      </c>
      <c r="F5" s="454">
        <f>C5*'Custo Contábil'!$D$8</f>
        <v>399.99600000000009</v>
      </c>
      <c r="G5" s="454">
        <f t="shared" ref="G5:U7" si="0">$E5/12</f>
        <v>0.4166625000000001</v>
      </c>
      <c r="H5" s="454">
        <f t="shared" ref="H5:V7" si="1">$F5/12</f>
        <v>33.333000000000006</v>
      </c>
      <c r="I5" s="454">
        <f t="shared" si="0"/>
        <v>0.4166625000000001</v>
      </c>
      <c r="J5" s="454">
        <f t="shared" si="1"/>
        <v>33.333000000000006</v>
      </c>
      <c r="K5" s="454">
        <f t="shared" si="0"/>
        <v>0.4166625000000001</v>
      </c>
      <c r="L5" s="454">
        <f t="shared" si="1"/>
        <v>33.333000000000006</v>
      </c>
      <c r="M5" s="454">
        <f t="shared" si="0"/>
        <v>0.4166625000000001</v>
      </c>
      <c r="N5" s="454">
        <f t="shared" si="1"/>
        <v>33.333000000000006</v>
      </c>
      <c r="O5" s="454">
        <f t="shared" si="0"/>
        <v>0.4166625000000001</v>
      </c>
      <c r="P5" s="454">
        <f t="shared" si="1"/>
        <v>33.333000000000006</v>
      </c>
      <c r="Q5" s="454">
        <f t="shared" si="0"/>
        <v>0.4166625000000001</v>
      </c>
      <c r="R5" s="454">
        <f t="shared" si="1"/>
        <v>33.333000000000006</v>
      </c>
      <c r="S5" s="454">
        <f t="shared" si="0"/>
        <v>0.4166625000000001</v>
      </c>
      <c r="T5" s="454">
        <f t="shared" si="1"/>
        <v>33.333000000000006</v>
      </c>
      <c r="U5" s="454">
        <f t="shared" si="0"/>
        <v>0.4166625000000001</v>
      </c>
      <c r="V5" s="454">
        <f t="shared" si="1"/>
        <v>33.333000000000006</v>
      </c>
      <c r="W5" s="454">
        <f>$E5/12</f>
        <v>0.4166625000000001</v>
      </c>
      <c r="X5" s="454">
        <f>$F5/12</f>
        <v>33.333000000000006</v>
      </c>
      <c r="Y5" s="454">
        <f>$E5/12</f>
        <v>0.4166625000000001</v>
      </c>
      <c r="Z5" s="454">
        <f>$F5/12</f>
        <v>33.333000000000006</v>
      </c>
      <c r="AA5" s="454">
        <f>$E5/12</f>
        <v>0.4166625000000001</v>
      </c>
      <c r="AB5" s="454">
        <f>$F5/12</f>
        <v>33.333000000000006</v>
      </c>
      <c r="AC5" s="454">
        <f>$E5/12</f>
        <v>0.4166625000000001</v>
      </c>
      <c r="AD5" s="454">
        <f>$F5/12</f>
        <v>33.333000000000006</v>
      </c>
    </row>
    <row r="6" spans="1:30" x14ac:dyDescent="0.25">
      <c r="B6" s="450" t="s">
        <v>42</v>
      </c>
      <c r="C6" s="462">
        <v>0.1</v>
      </c>
      <c r="D6" s="463">
        <v>50</v>
      </c>
      <c r="E6" s="458">
        <f>IFERROR(F6/D6,0)</f>
        <v>7.9999200000000021</v>
      </c>
      <c r="F6" s="453">
        <f>C6*'Custo Contábil'!$D$8</f>
        <v>399.99600000000009</v>
      </c>
      <c r="G6" s="453">
        <f t="shared" si="0"/>
        <v>0.66666000000000014</v>
      </c>
      <c r="H6" s="453">
        <f t="shared" si="1"/>
        <v>33.333000000000006</v>
      </c>
      <c r="I6" s="453">
        <f t="shared" si="0"/>
        <v>0.66666000000000014</v>
      </c>
      <c r="J6" s="453">
        <f t="shared" si="1"/>
        <v>33.333000000000006</v>
      </c>
      <c r="K6" s="453">
        <f t="shared" si="0"/>
        <v>0.66666000000000014</v>
      </c>
      <c r="L6" s="453">
        <f t="shared" si="1"/>
        <v>33.333000000000006</v>
      </c>
      <c r="M6" s="453">
        <f t="shared" si="0"/>
        <v>0.66666000000000014</v>
      </c>
      <c r="N6" s="453">
        <f t="shared" si="1"/>
        <v>33.333000000000006</v>
      </c>
      <c r="O6" s="453">
        <f t="shared" si="0"/>
        <v>0.66666000000000014</v>
      </c>
      <c r="P6" s="453">
        <f t="shared" si="1"/>
        <v>33.333000000000006</v>
      </c>
      <c r="Q6" s="453">
        <f t="shared" si="0"/>
        <v>0.66666000000000014</v>
      </c>
      <c r="R6" s="453">
        <f t="shared" si="1"/>
        <v>33.333000000000006</v>
      </c>
      <c r="S6" s="453">
        <f t="shared" si="0"/>
        <v>0.66666000000000014</v>
      </c>
      <c r="T6" s="453">
        <f t="shared" si="1"/>
        <v>33.333000000000006</v>
      </c>
      <c r="U6" s="453">
        <f t="shared" si="0"/>
        <v>0.66666000000000014</v>
      </c>
      <c r="V6" s="453">
        <f t="shared" si="1"/>
        <v>33.333000000000006</v>
      </c>
      <c r="W6" s="453">
        <f>$E6/12</f>
        <v>0.66666000000000014</v>
      </c>
      <c r="X6" s="453">
        <f>$F6/12</f>
        <v>33.333000000000006</v>
      </c>
      <c r="Y6" s="453">
        <f>$E6/12</f>
        <v>0.66666000000000014</v>
      </c>
      <c r="Z6" s="453">
        <f>$F6/12</f>
        <v>33.333000000000006</v>
      </c>
      <c r="AA6" s="453">
        <f>$E6/12</f>
        <v>0.66666000000000014</v>
      </c>
      <c r="AB6" s="453">
        <f>$F6/12</f>
        <v>33.333000000000006</v>
      </c>
      <c r="AC6" s="453">
        <f>$E6/12</f>
        <v>0.66666000000000014</v>
      </c>
      <c r="AD6" s="453">
        <f>$F6/12</f>
        <v>33.333000000000006</v>
      </c>
    </row>
    <row r="7" spans="1:30" x14ac:dyDescent="0.25">
      <c r="B7" s="451" t="s">
        <v>66</v>
      </c>
      <c r="C7" s="464">
        <v>0.3</v>
      </c>
      <c r="D7" s="465">
        <v>70</v>
      </c>
      <c r="E7" s="459">
        <f>IFERROR(F7/D7,0)</f>
        <v>17.142685714285715</v>
      </c>
      <c r="F7" s="454">
        <f>C7*'Custo Contábil'!$D$8</f>
        <v>1199.9880000000001</v>
      </c>
      <c r="G7" s="454">
        <f t="shared" si="0"/>
        <v>1.4285571428571429</v>
      </c>
      <c r="H7" s="454">
        <f t="shared" si="1"/>
        <v>99.999000000000009</v>
      </c>
      <c r="I7" s="454">
        <f t="shared" si="0"/>
        <v>1.4285571428571429</v>
      </c>
      <c r="J7" s="454">
        <f t="shared" si="1"/>
        <v>99.999000000000009</v>
      </c>
      <c r="K7" s="454">
        <f t="shared" si="0"/>
        <v>1.4285571428571429</v>
      </c>
      <c r="L7" s="454">
        <f t="shared" si="1"/>
        <v>99.999000000000009</v>
      </c>
      <c r="M7" s="454">
        <f t="shared" si="0"/>
        <v>1.4285571428571429</v>
      </c>
      <c r="N7" s="454">
        <f t="shared" si="1"/>
        <v>99.999000000000009</v>
      </c>
      <c r="O7" s="454">
        <f t="shared" si="0"/>
        <v>1.4285571428571429</v>
      </c>
      <c r="P7" s="454">
        <f t="shared" si="1"/>
        <v>99.999000000000009</v>
      </c>
      <c r="Q7" s="454">
        <f t="shared" si="0"/>
        <v>1.4285571428571429</v>
      </c>
      <c r="R7" s="454">
        <f t="shared" si="1"/>
        <v>99.999000000000009</v>
      </c>
      <c r="S7" s="454">
        <f t="shared" si="0"/>
        <v>1.4285571428571429</v>
      </c>
      <c r="T7" s="454">
        <f t="shared" si="1"/>
        <v>99.999000000000009</v>
      </c>
      <c r="U7" s="454">
        <f t="shared" si="0"/>
        <v>1.4285571428571429</v>
      </c>
      <c r="V7" s="454">
        <f t="shared" si="1"/>
        <v>99.999000000000009</v>
      </c>
      <c r="W7" s="454">
        <f>$E7/12</f>
        <v>1.4285571428571429</v>
      </c>
      <c r="X7" s="454">
        <f>$F7/12</f>
        <v>99.999000000000009</v>
      </c>
      <c r="Y7" s="454">
        <f>$E7/12</f>
        <v>1.4285571428571429</v>
      </c>
      <c r="Z7" s="454">
        <f>$F7/12</f>
        <v>99.999000000000009</v>
      </c>
      <c r="AA7" s="454">
        <f>$E7/12</f>
        <v>1.4285571428571429</v>
      </c>
      <c r="AB7" s="454">
        <f>$F7/12</f>
        <v>99.999000000000009</v>
      </c>
      <c r="AC7" s="454">
        <f>$E7/12</f>
        <v>1.4285571428571429</v>
      </c>
      <c r="AD7" s="454">
        <f>$F7/12</f>
        <v>99.999000000000009</v>
      </c>
    </row>
    <row r="8" spans="1:30" x14ac:dyDescent="0.25">
      <c r="B8" s="990" t="s">
        <v>31</v>
      </c>
      <c r="C8" s="991"/>
      <c r="D8" s="992"/>
      <c r="E8" s="457">
        <f>SUM(E4:E7)</f>
        <v>46.809055714285719</v>
      </c>
      <c r="F8" s="457">
        <f>SUM(F4:F7)</f>
        <v>3999.9600000000009</v>
      </c>
    </row>
    <row r="10" spans="1:30" x14ac:dyDescent="0.25">
      <c r="A10" s="452"/>
      <c r="B10" s="455"/>
      <c r="C10" s="389"/>
      <c r="D10" s="389"/>
    </row>
    <row r="11" spans="1:30" x14ac:dyDescent="0.25">
      <c r="B11" s="365"/>
      <c r="C11" s="389"/>
      <c r="D11" s="389"/>
    </row>
    <row r="12" spans="1:30" x14ac:dyDescent="0.25">
      <c r="B12" s="456"/>
      <c r="C12" s="389"/>
      <c r="D12" s="389"/>
    </row>
    <row r="13" spans="1:30" x14ac:dyDescent="0.25">
      <c r="B13" s="456"/>
      <c r="C13" s="389"/>
      <c r="D13" s="389"/>
    </row>
    <row r="14" spans="1:30" x14ac:dyDescent="0.25">
      <c r="B14" s="456"/>
      <c r="C14" s="389"/>
      <c r="D14" s="389"/>
    </row>
    <row r="15" spans="1:30" x14ac:dyDescent="0.25">
      <c r="B15" s="456"/>
      <c r="C15" s="389"/>
      <c r="D15" s="389"/>
    </row>
  </sheetData>
  <sheetProtection algorithmName="SHA-512" hashValue="CHKdB+aQSB3PE6EPlCUv73q/72dP8qyArJ+CF/xMHlhkeK8+odpE+7gLAAiz4GzGCyc74uf66OEdpyYI9etxZQ==" saltValue="B001OghrRjj2AtlZK3lsoQ==" spinCount="100000" sheet="1" autoFilter="0"/>
  <mergeCells count="14">
    <mergeCell ref="Y2:Z2"/>
    <mergeCell ref="AA2:AB2"/>
    <mergeCell ref="B2:F2"/>
    <mergeCell ref="AC2:AD2"/>
    <mergeCell ref="B8:D8"/>
    <mergeCell ref="O2:P2"/>
    <mergeCell ref="Q2:R2"/>
    <mergeCell ref="S2:T2"/>
    <mergeCell ref="U2:V2"/>
    <mergeCell ref="W2:X2"/>
    <mergeCell ref="G2:H2"/>
    <mergeCell ref="I2:J2"/>
    <mergeCell ref="K2:L2"/>
    <mergeCell ref="M2:N2"/>
  </mergeCells>
  <phoneticPr fontId="37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Q18"/>
  <sheetViews>
    <sheetView zoomScale="90" zoomScaleNormal="90" workbookViewId="0">
      <pane xSplit="11" ySplit="4" topLeftCell="L5" activePane="bottomRight" state="frozen"/>
      <selection activeCell="C7" sqref="C7:D7"/>
      <selection pane="topRight" activeCell="C7" sqref="C7:D7"/>
      <selection pane="bottomLeft" activeCell="C7" sqref="C7:D7"/>
      <selection pane="bottomRight" activeCell="L6" sqref="L6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10" width="12.42578125" style="509" customWidth="1"/>
    <col min="11" max="11" width="20.140625" style="509" bestFit="1" customWidth="1"/>
    <col min="12" max="17" width="28.42578125" style="509" customWidth="1"/>
    <col min="18" max="16384" width="9.140625" style="509"/>
  </cols>
  <sheetData>
    <row r="2" spans="2:17" ht="22.5" customHeight="1" x14ac:dyDescent="0.2">
      <c r="B2" s="577"/>
      <c r="C2" s="578"/>
      <c r="D2" s="1006" t="s">
        <v>952</v>
      </c>
      <c r="E2" s="1006"/>
      <c r="F2" s="1006"/>
      <c r="G2" s="1006"/>
      <c r="H2" s="1006"/>
      <c r="I2" s="1006"/>
      <c r="J2" s="1006"/>
      <c r="K2" s="579"/>
      <c r="L2" s="548"/>
      <c r="M2" s="548"/>
      <c r="N2" s="548"/>
      <c r="O2" s="548"/>
      <c r="P2" s="548"/>
      <c r="Q2" s="548"/>
    </row>
    <row r="3" spans="2:17" s="510" customFormat="1" ht="15" customHeight="1" x14ac:dyDescent="0.2">
      <c r="B3" s="1001"/>
      <c r="C3" s="1002"/>
      <c r="D3" s="1002"/>
      <c r="E3" s="1002"/>
      <c r="F3" s="1002"/>
      <c r="G3" s="1002"/>
      <c r="H3" s="1002"/>
      <c r="I3" s="1002"/>
      <c r="J3" s="1002"/>
      <c r="K3" s="1002"/>
      <c r="L3" s="521" t="s">
        <v>917</v>
      </c>
      <c r="M3" s="521" t="s">
        <v>926</v>
      </c>
      <c r="N3" s="521" t="s">
        <v>927</v>
      </c>
      <c r="O3" s="521" t="s">
        <v>943</v>
      </c>
      <c r="P3" s="521" t="s">
        <v>944</v>
      </c>
      <c r="Q3" s="521" t="s">
        <v>945</v>
      </c>
    </row>
    <row r="4" spans="2:17" ht="30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295</v>
      </c>
      <c r="K4" s="580" t="s">
        <v>953</v>
      </c>
      <c r="L4" s="501" t="s">
        <v>954</v>
      </c>
      <c r="M4" s="501" t="s">
        <v>954</v>
      </c>
      <c r="N4" s="501" t="s">
        <v>954</v>
      </c>
      <c r="O4" s="501" t="s">
        <v>954</v>
      </c>
      <c r="P4" s="501" t="s">
        <v>954</v>
      </c>
      <c r="Q4" s="501" t="s">
        <v>954</v>
      </c>
    </row>
    <row r="5" spans="2:17" x14ac:dyDescent="0.2">
      <c r="B5" s="503">
        <v>1</v>
      </c>
      <c r="C5" s="996" t="s">
        <v>1428</v>
      </c>
      <c r="D5" s="997"/>
      <c r="E5" s="997"/>
      <c r="F5" s="997"/>
      <c r="G5" s="997"/>
      <c r="H5" s="998"/>
      <c r="I5" s="514">
        <v>1</v>
      </c>
      <c r="J5" s="514">
        <v>50</v>
      </c>
      <c r="K5" s="520">
        <f>IFERROR(SMALL(L5:Q5,1),0)</f>
        <v>133.36000000000001</v>
      </c>
      <c r="L5" s="515">
        <v>133.36000000000001</v>
      </c>
      <c r="M5" s="515"/>
      <c r="N5" s="515"/>
      <c r="O5" s="515"/>
      <c r="P5" s="515"/>
      <c r="Q5" s="515"/>
    </row>
    <row r="6" spans="2:17" x14ac:dyDescent="0.2">
      <c r="B6" s="503">
        <v>2</v>
      </c>
      <c r="C6" s="996"/>
      <c r="D6" s="997"/>
      <c r="E6" s="997"/>
      <c r="F6" s="997"/>
      <c r="G6" s="997"/>
      <c r="H6" s="998"/>
      <c r="I6" s="514"/>
      <c r="J6" s="514"/>
      <c r="K6" s="520">
        <f t="shared" ref="K6:K9" si="0">IFERROR(SMALL(L6:Q6,1),0)</f>
        <v>0</v>
      </c>
      <c r="L6" s="515"/>
      <c r="M6" s="515"/>
      <c r="N6" s="515"/>
      <c r="O6" s="515"/>
      <c r="P6" s="515"/>
      <c r="Q6" s="515"/>
    </row>
    <row r="7" spans="2:17" x14ac:dyDescent="0.2">
      <c r="B7" s="503">
        <v>3</v>
      </c>
      <c r="C7" s="996"/>
      <c r="D7" s="997"/>
      <c r="E7" s="997"/>
      <c r="F7" s="997"/>
      <c r="G7" s="997"/>
      <c r="H7" s="998"/>
      <c r="I7" s="767"/>
      <c r="J7" s="767"/>
      <c r="K7" s="520">
        <f t="shared" si="0"/>
        <v>0</v>
      </c>
      <c r="L7" s="768"/>
      <c r="M7" s="515"/>
      <c r="N7" s="515"/>
      <c r="O7" s="515"/>
      <c r="P7" s="515"/>
      <c r="Q7" s="515"/>
    </row>
    <row r="8" spans="2:17" x14ac:dyDescent="0.2">
      <c r="B8" s="503">
        <v>4</v>
      </c>
      <c r="C8" s="996"/>
      <c r="D8" s="997"/>
      <c r="E8" s="997"/>
      <c r="F8" s="997"/>
      <c r="G8" s="997"/>
      <c r="H8" s="998"/>
      <c r="I8" s="514"/>
      <c r="J8" s="514"/>
      <c r="K8" s="520">
        <f t="shared" si="0"/>
        <v>0</v>
      </c>
      <c r="L8" s="515"/>
      <c r="M8" s="768"/>
      <c r="N8" s="515"/>
      <c r="O8" s="515"/>
      <c r="P8" s="515"/>
      <c r="Q8" s="515"/>
    </row>
    <row r="9" spans="2:17" x14ac:dyDescent="0.2">
      <c r="B9" s="503">
        <v>5</v>
      </c>
      <c r="C9" s="999"/>
      <c r="D9" s="999"/>
      <c r="E9" s="999"/>
      <c r="F9" s="999"/>
      <c r="G9" s="999"/>
      <c r="H9" s="1000"/>
      <c r="I9" s="514"/>
      <c r="J9" s="514"/>
      <c r="K9" s="520">
        <f t="shared" si="0"/>
        <v>0</v>
      </c>
      <c r="L9" s="515"/>
      <c r="M9" s="515"/>
      <c r="N9" s="515"/>
      <c r="O9" s="515"/>
      <c r="P9" s="515"/>
      <c r="Q9" s="515"/>
    </row>
    <row r="10" spans="2:17" s="510" customFormat="1" ht="15" customHeight="1" x14ac:dyDescent="0.2">
      <c r="B10" s="516"/>
      <c r="C10" s="1007" t="s">
        <v>928</v>
      </c>
      <c r="D10" s="1007"/>
      <c r="E10" s="1007"/>
      <c r="F10" s="1007"/>
      <c r="G10" s="1007"/>
      <c r="H10" s="1007"/>
      <c r="I10" s="1007"/>
      <c r="J10" s="1007"/>
      <c r="K10" s="1007"/>
      <c r="L10" s="521" t="s">
        <v>917</v>
      </c>
      <c r="M10" s="521" t="s">
        <v>926</v>
      </c>
      <c r="N10" s="521" t="s">
        <v>927</v>
      </c>
      <c r="O10" s="521" t="s">
        <v>943</v>
      </c>
      <c r="P10" s="521" t="s">
        <v>944</v>
      </c>
      <c r="Q10" s="521" t="s">
        <v>945</v>
      </c>
    </row>
    <row r="11" spans="2:17" ht="15" customHeight="1" x14ac:dyDescent="0.2">
      <c r="B11" s="993" t="s">
        <v>918</v>
      </c>
      <c r="C11" s="994"/>
      <c r="D11" s="994"/>
      <c r="E11" s="994"/>
      <c r="F11" s="994"/>
      <c r="G11" s="994"/>
      <c r="H11" s="994"/>
      <c r="I11" s="994"/>
      <c r="J11" s="994"/>
      <c r="K11" s="995"/>
      <c r="L11" s="810" t="s">
        <v>1420</v>
      </c>
      <c r="M11" s="535"/>
      <c r="N11" s="535"/>
      <c r="O11" s="535"/>
      <c r="P11" s="535"/>
      <c r="Q11" s="535"/>
    </row>
    <row r="12" spans="2:17" ht="15" customHeight="1" x14ac:dyDescent="0.2">
      <c r="B12" s="993" t="s">
        <v>919</v>
      </c>
      <c r="C12" s="994"/>
      <c r="D12" s="994"/>
      <c r="E12" s="994"/>
      <c r="F12" s="994"/>
      <c r="G12" s="994"/>
      <c r="H12" s="994"/>
      <c r="I12" s="994"/>
      <c r="J12" s="994"/>
      <c r="K12" s="995"/>
      <c r="L12" s="810">
        <v>30849093000194</v>
      </c>
      <c r="M12" s="536"/>
      <c r="N12" s="536"/>
      <c r="O12" s="536"/>
      <c r="P12" s="536"/>
      <c r="Q12" s="536"/>
    </row>
    <row r="13" spans="2:17" ht="15" customHeight="1" x14ac:dyDescent="0.2">
      <c r="B13" s="993" t="s">
        <v>920</v>
      </c>
      <c r="C13" s="994"/>
      <c r="D13" s="994"/>
      <c r="E13" s="994"/>
      <c r="F13" s="994"/>
      <c r="G13" s="994"/>
      <c r="H13" s="994"/>
      <c r="I13" s="994"/>
      <c r="J13" s="994"/>
      <c r="K13" s="995"/>
      <c r="L13" s="537">
        <v>44729</v>
      </c>
      <c r="M13" s="537"/>
      <c r="N13" s="537"/>
      <c r="O13" s="537"/>
      <c r="P13" s="537"/>
      <c r="Q13" s="537"/>
    </row>
    <row r="14" spans="2:17" ht="15" customHeight="1" x14ac:dyDescent="0.2">
      <c r="B14" s="993" t="s">
        <v>921</v>
      </c>
      <c r="C14" s="994"/>
      <c r="D14" s="994"/>
      <c r="E14" s="994"/>
      <c r="F14" s="994"/>
      <c r="G14" s="994"/>
      <c r="H14" s="994"/>
      <c r="I14" s="994"/>
      <c r="J14" s="994"/>
      <c r="K14" s="995"/>
      <c r="L14" s="537">
        <v>44821</v>
      </c>
      <c r="M14" s="537"/>
      <c r="N14" s="537"/>
      <c r="O14" s="537"/>
      <c r="P14" s="537"/>
      <c r="Q14" s="537"/>
    </row>
    <row r="15" spans="2:17" ht="15" customHeight="1" x14ac:dyDescent="0.2">
      <c r="B15" s="993" t="s">
        <v>922</v>
      </c>
      <c r="C15" s="994"/>
      <c r="D15" s="994"/>
      <c r="E15" s="994"/>
      <c r="F15" s="994"/>
      <c r="G15" s="994"/>
      <c r="H15" s="994"/>
      <c r="I15" s="994"/>
      <c r="J15" s="994"/>
      <c r="K15" s="995"/>
      <c r="L15" s="535" t="s">
        <v>1421</v>
      </c>
      <c r="M15" s="535"/>
      <c r="N15" s="535"/>
      <c r="O15" s="535"/>
      <c r="P15" s="535"/>
      <c r="Q15" s="535"/>
    </row>
    <row r="16" spans="2:17" ht="15" x14ac:dyDescent="0.2">
      <c r="B16" s="993" t="s">
        <v>923</v>
      </c>
      <c r="C16" s="994"/>
      <c r="D16" s="994"/>
      <c r="E16" s="994"/>
      <c r="F16" s="994"/>
      <c r="G16" s="994"/>
      <c r="H16" s="994"/>
      <c r="I16" s="994"/>
      <c r="J16" s="994"/>
      <c r="K16" s="995"/>
      <c r="L16" s="811" t="s">
        <v>1422</v>
      </c>
      <c r="M16" s="538"/>
      <c r="N16" s="538"/>
      <c r="O16" s="538"/>
      <c r="P16" s="538"/>
      <c r="Q16" s="538"/>
    </row>
    <row r="17" spans="2:17" ht="15" x14ac:dyDescent="0.2">
      <c r="B17" s="993" t="s">
        <v>924</v>
      </c>
      <c r="C17" s="994"/>
      <c r="D17" s="994"/>
      <c r="E17" s="994"/>
      <c r="F17" s="994"/>
      <c r="G17" s="994"/>
      <c r="H17" s="994"/>
      <c r="I17" s="994"/>
      <c r="J17" s="994"/>
      <c r="K17" s="995"/>
      <c r="L17" s="539" t="s">
        <v>1423</v>
      </c>
      <c r="M17" s="539"/>
      <c r="N17" s="539"/>
      <c r="O17" s="539"/>
      <c r="P17" s="539"/>
      <c r="Q17" s="539"/>
    </row>
    <row r="18" spans="2:17" ht="15" customHeight="1" x14ac:dyDescent="0.2">
      <c r="B18" s="1008" t="s">
        <v>925</v>
      </c>
      <c r="C18" s="1009"/>
      <c r="D18" s="1009"/>
      <c r="E18" s="1009"/>
      <c r="F18" s="1009"/>
      <c r="G18" s="1009"/>
      <c r="H18" s="1009"/>
      <c r="I18" s="1009"/>
      <c r="J18" s="1009"/>
      <c r="K18" s="1010"/>
      <c r="L18" s="1011" t="s">
        <v>915</v>
      </c>
      <c r="M18" s="1012"/>
      <c r="N18" s="1012"/>
      <c r="O18" s="1012"/>
      <c r="P18" s="1012"/>
      <c r="Q18" s="1013"/>
    </row>
  </sheetData>
  <sheetProtection password="C9A4" sheet="1" objects="1" scenarios="1"/>
  <mergeCells count="18">
    <mergeCell ref="B15:K15"/>
    <mergeCell ref="B16:K16"/>
    <mergeCell ref="B17:K17"/>
    <mergeCell ref="B18:K18"/>
    <mergeCell ref="L18:Q18"/>
    <mergeCell ref="D2:J2"/>
    <mergeCell ref="C10:K10"/>
    <mergeCell ref="B11:K11"/>
    <mergeCell ref="B12:K12"/>
    <mergeCell ref="B13:K13"/>
    <mergeCell ref="B14:K14"/>
    <mergeCell ref="C8:H8"/>
    <mergeCell ref="C9:H9"/>
    <mergeCell ref="B3:K3"/>
    <mergeCell ref="B4:H4"/>
    <mergeCell ref="C5:H5"/>
    <mergeCell ref="C6:H6"/>
    <mergeCell ref="C7:H7"/>
  </mergeCells>
  <conditionalFormatting sqref="L5:Q9">
    <cfRule type="cellIs" dxfId="148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21"/>
  <sheetViews>
    <sheetView zoomScale="90" zoomScaleNormal="90" workbookViewId="0">
      <selection activeCell="N5" sqref="N5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10" width="12.42578125" style="509" customWidth="1"/>
    <col min="11" max="11" width="13.42578125" style="509" bestFit="1" customWidth="1"/>
    <col min="12" max="13" width="15.42578125" style="509" customWidth="1"/>
    <col min="14" max="15" width="14.42578125" style="509" customWidth="1"/>
    <col min="16" max="16384" width="9.140625" style="509"/>
  </cols>
  <sheetData>
    <row r="2" spans="2:15" ht="22.5" customHeight="1" x14ac:dyDescent="0.2">
      <c r="B2" s="1023" t="s">
        <v>955</v>
      </c>
      <c r="C2" s="1006"/>
      <c r="D2" s="1006"/>
      <c r="E2" s="1006"/>
      <c r="F2" s="1006"/>
      <c r="G2" s="1006"/>
      <c r="H2" s="1006"/>
      <c r="I2" s="1006"/>
      <c r="J2" s="1006"/>
      <c r="K2" s="1006"/>
      <c r="L2" s="1006"/>
      <c r="M2" s="556"/>
      <c r="N2" s="556"/>
      <c r="O2" s="556"/>
    </row>
    <row r="3" spans="2:15" s="510" customFormat="1" ht="15" customHeight="1" x14ac:dyDescent="0.2">
      <c r="B3" s="1001"/>
      <c r="C3" s="1002"/>
      <c r="D3" s="1002"/>
      <c r="E3" s="1002"/>
      <c r="F3" s="1002"/>
      <c r="G3" s="1002"/>
      <c r="H3" s="1002"/>
      <c r="I3" s="1002"/>
      <c r="J3" s="1002"/>
      <c r="K3" s="1002"/>
      <c r="L3" s="1016"/>
      <c r="M3" s="1001" t="s">
        <v>214</v>
      </c>
      <c r="N3" s="1002"/>
      <c r="O3" s="1016"/>
    </row>
    <row r="4" spans="2:15" ht="15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295</v>
      </c>
      <c r="K4" s="500" t="s">
        <v>296</v>
      </c>
      <c r="L4" s="502" t="s">
        <v>0</v>
      </c>
      <c r="M4" s="500" t="s">
        <v>796</v>
      </c>
      <c r="N4" s="501" t="s">
        <v>240</v>
      </c>
      <c r="O4" s="501" t="s">
        <v>241</v>
      </c>
    </row>
    <row r="5" spans="2:15" x14ac:dyDescent="0.2">
      <c r="B5" s="503">
        <v>1</v>
      </c>
      <c r="C5" s="1017" t="str">
        <f>IF(ISBLANK('Diagnóstico (ORÇ)'!C5:H5)," ",'Diagnóstico (ORÇ)'!C5:H5)</f>
        <v>Diagnóstico energético</v>
      </c>
      <c r="D5" s="1018"/>
      <c r="E5" s="1018"/>
      <c r="F5" s="1018"/>
      <c r="G5" s="1018"/>
      <c r="H5" s="1019"/>
      <c r="I5" s="522">
        <f>'Diagnóstico (ORÇ)'!I5</f>
        <v>1</v>
      </c>
      <c r="J5" s="522">
        <f>'Diagnóstico (ORÇ)'!J5</f>
        <v>50</v>
      </c>
      <c r="K5" s="520">
        <f>'Diagnóstico (ORÇ)'!K5</f>
        <v>133.36000000000001</v>
      </c>
      <c r="L5" s="505">
        <f>I5*K5*J5</f>
        <v>6668.0000000000009</v>
      </c>
      <c r="M5" s="504">
        <f t="shared" ref="M5:M9" si="0">L5-N5-O5</f>
        <v>6668.0000000000009</v>
      </c>
      <c r="N5" s="515"/>
      <c r="O5" s="515"/>
    </row>
    <row r="6" spans="2:15" x14ac:dyDescent="0.2">
      <c r="B6" s="503">
        <v>2</v>
      </c>
      <c r="C6" s="1017" t="str">
        <f>IF(ISBLANK('Diagnóstico (ORÇ)'!C6:H6)," ",'Diagnóstico (ORÇ)'!C6:H6)</f>
        <v xml:space="preserve"> </v>
      </c>
      <c r="D6" s="1018"/>
      <c r="E6" s="1018"/>
      <c r="F6" s="1018"/>
      <c r="G6" s="1018"/>
      <c r="H6" s="1019"/>
      <c r="I6" s="522">
        <f>'Diagnóstico (ORÇ)'!I6</f>
        <v>0</v>
      </c>
      <c r="J6" s="522">
        <f>'Diagnóstico (ORÇ)'!J6</f>
        <v>0</v>
      </c>
      <c r="K6" s="520">
        <f>'Diagnóstico (ORÇ)'!K6</f>
        <v>0</v>
      </c>
      <c r="L6" s="505">
        <f t="shared" ref="L6:L9" si="1">I6*K6*J6</f>
        <v>0</v>
      </c>
      <c r="M6" s="504">
        <f t="shared" si="0"/>
        <v>0</v>
      </c>
      <c r="N6" s="768"/>
      <c r="O6" s="768"/>
    </row>
    <row r="7" spans="2:15" x14ac:dyDescent="0.2">
      <c r="B7" s="503">
        <v>3</v>
      </c>
      <c r="C7" s="1017" t="str">
        <f>IF(ISBLANK('Diagnóstico (ORÇ)'!C7:H7)," ",'Diagnóstico (ORÇ)'!C7:H7)</f>
        <v xml:space="preserve"> </v>
      </c>
      <c r="D7" s="1018"/>
      <c r="E7" s="1018"/>
      <c r="F7" s="1018"/>
      <c r="G7" s="1018"/>
      <c r="H7" s="1019"/>
      <c r="I7" s="522">
        <f>'Diagnóstico (ORÇ)'!I7</f>
        <v>0</v>
      </c>
      <c r="J7" s="522">
        <f>'Diagnóstico (ORÇ)'!J7</f>
        <v>0</v>
      </c>
      <c r="K7" s="520">
        <f>'Diagnóstico (ORÇ)'!K7</f>
        <v>0</v>
      </c>
      <c r="L7" s="505">
        <f t="shared" si="1"/>
        <v>0</v>
      </c>
      <c r="M7" s="504">
        <f t="shared" si="0"/>
        <v>0</v>
      </c>
      <c r="N7" s="515"/>
      <c r="O7" s="515"/>
    </row>
    <row r="8" spans="2:15" x14ac:dyDescent="0.2">
      <c r="B8" s="503">
        <v>4</v>
      </c>
      <c r="C8" s="1017" t="str">
        <f>IF(ISBLANK('Diagnóstico (ORÇ)'!C8:H8)," ",'Diagnóstico (ORÇ)'!C8:H8)</f>
        <v xml:space="preserve"> </v>
      </c>
      <c r="D8" s="1018"/>
      <c r="E8" s="1018"/>
      <c r="F8" s="1018"/>
      <c r="G8" s="1018"/>
      <c r="H8" s="1019"/>
      <c r="I8" s="522">
        <f>'Diagnóstico (ORÇ)'!I8</f>
        <v>0</v>
      </c>
      <c r="J8" s="522">
        <f>'Diagnóstico (ORÇ)'!J8</f>
        <v>0</v>
      </c>
      <c r="K8" s="520">
        <f>'Diagnóstico (ORÇ)'!K8</f>
        <v>0</v>
      </c>
      <c r="L8" s="505">
        <f t="shared" si="1"/>
        <v>0</v>
      </c>
      <c r="M8" s="504">
        <f t="shared" si="0"/>
        <v>0</v>
      </c>
      <c r="N8" s="515"/>
      <c r="O8" s="515"/>
    </row>
    <row r="9" spans="2:15" x14ac:dyDescent="0.2">
      <c r="B9" s="503">
        <v>5</v>
      </c>
      <c r="C9" s="1017" t="str">
        <f>IF(ISBLANK('Diagnóstico (ORÇ)'!C9:H9)," ",'Diagnóstico (ORÇ)'!C9:H9)</f>
        <v xml:space="preserve"> </v>
      </c>
      <c r="D9" s="1018"/>
      <c r="E9" s="1018"/>
      <c r="F9" s="1018"/>
      <c r="G9" s="1018"/>
      <c r="H9" s="1019"/>
      <c r="I9" s="522">
        <f>'Diagnóstico (ORÇ)'!I9</f>
        <v>0</v>
      </c>
      <c r="J9" s="522">
        <f>'Diagnóstico (ORÇ)'!J9</f>
        <v>0</v>
      </c>
      <c r="K9" s="520">
        <f>'Diagnóstico (ORÇ)'!K9</f>
        <v>0</v>
      </c>
      <c r="L9" s="505">
        <f t="shared" si="1"/>
        <v>0</v>
      </c>
      <c r="M9" s="504">
        <f t="shared" si="0"/>
        <v>0</v>
      </c>
      <c r="N9" s="515"/>
      <c r="O9" s="515"/>
    </row>
    <row r="10" spans="2:15" s="510" customFormat="1" ht="15" customHeight="1" x14ac:dyDescent="0.2">
      <c r="B10" s="1024" t="s">
        <v>956</v>
      </c>
      <c r="C10" s="1025"/>
      <c r="D10" s="1025"/>
      <c r="E10" s="1025"/>
      <c r="F10" s="1025"/>
      <c r="G10" s="1025"/>
      <c r="H10" s="1025"/>
      <c r="I10" s="1025"/>
      <c r="J10" s="1025"/>
      <c r="K10" s="1026"/>
      <c r="L10" s="505">
        <f>SUM(L5:L9)</f>
        <v>6668.0000000000009</v>
      </c>
      <c r="M10" s="505">
        <f>SUM(M5:M9)</f>
        <v>6668.0000000000009</v>
      </c>
      <c r="N10" s="505">
        <f>SUM(N5:N9)</f>
        <v>0</v>
      </c>
      <c r="O10" s="505">
        <f>SUM(O5:O9)</f>
        <v>0</v>
      </c>
    </row>
    <row r="11" spans="2:15" s="510" customFormat="1" ht="15" customHeight="1" x14ac:dyDescent="0.2">
      <c r="B11" s="1001" t="s">
        <v>910</v>
      </c>
      <c r="C11" s="1002"/>
      <c r="D11" s="1002"/>
      <c r="E11" s="1002"/>
      <c r="F11" s="1002"/>
      <c r="G11" s="1002"/>
      <c r="H11" s="1002"/>
      <c r="I11" s="1002"/>
      <c r="J11" s="1002"/>
      <c r="K11" s="1002"/>
      <c r="L11" s="1016"/>
      <c r="M11" s="1001" t="s">
        <v>214</v>
      </c>
      <c r="N11" s="1002"/>
      <c r="O11" s="1016"/>
    </row>
    <row r="12" spans="2:15" s="510" customFormat="1" ht="15" customHeight="1" x14ac:dyDescent="0.25">
      <c r="B12" s="1027" t="s">
        <v>912</v>
      </c>
      <c r="C12" s="1028"/>
      <c r="D12" s="1028"/>
      <c r="E12" s="1028"/>
      <c r="F12" s="1028"/>
      <c r="G12" s="1028"/>
      <c r="H12" s="1028"/>
      <c r="I12" s="1028"/>
      <c r="J12" s="1028"/>
      <c r="K12" s="1029"/>
      <c r="L12" s="511" t="s">
        <v>0</v>
      </c>
      <c r="M12" s="512" t="s">
        <v>796</v>
      </c>
      <c r="N12" s="513" t="s">
        <v>240</v>
      </c>
      <c r="O12" s="513" t="s">
        <v>241</v>
      </c>
    </row>
    <row r="13" spans="2:15" ht="15" x14ac:dyDescent="0.25">
      <c r="B13" s="506"/>
      <c r="C13" s="1014" t="s">
        <v>61</v>
      </c>
      <c r="D13" s="1014"/>
      <c r="E13" s="1014"/>
      <c r="F13" s="1014"/>
      <c r="G13" s="1014"/>
      <c r="H13" s="1014"/>
      <c r="I13" s="1014"/>
      <c r="J13" s="1014"/>
      <c r="K13" s="1015"/>
      <c r="L13" s="507">
        <f>SUM(M13:O13)</f>
        <v>682.41188687103079</v>
      </c>
      <c r="M13" s="507">
        <f>'Custo Contábil'!$D$37*M$10</f>
        <v>682.41188687103079</v>
      </c>
      <c r="N13" s="507">
        <f>'Custo Contábil'!$D$37*N$10</f>
        <v>0</v>
      </c>
      <c r="O13" s="507">
        <f>'Custo Contábil'!$D$37*O$10</f>
        <v>0</v>
      </c>
    </row>
    <row r="14" spans="2:15" ht="15" x14ac:dyDescent="0.25">
      <c r="B14" s="506"/>
      <c r="C14" s="1014" t="s">
        <v>203</v>
      </c>
      <c r="D14" s="1014"/>
      <c r="E14" s="1014"/>
      <c r="F14" s="1014"/>
      <c r="G14" s="1014"/>
      <c r="H14" s="1014"/>
      <c r="I14" s="1014"/>
      <c r="J14" s="1014"/>
      <c r="K14" s="1015"/>
      <c r="L14" s="507">
        <f t="shared" ref="L14:L20" si="2">SUM(M14:O14)</f>
        <v>0</v>
      </c>
      <c r="M14" s="507">
        <f>'Custo Contábil'!$E$37*M$10</f>
        <v>0</v>
      </c>
      <c r="N14" s="507">
        <f>'Custo Contábil'!$E$37*N$10</f>
        <v>0</v>
      </c>
      <c r="O14" s="507">
        <f>'Custo Contábil'!$E$37*O$10</f>
        <v>0</v>
      </c>
    </row>
    <row r="15" spans="2:15" ht="15" x14ac:dyDescent="0.25">
      <c r="B15" s="506"/>
      <c r="C15" s="1014" t="s">
        <v>41</v>
      </c>
      <c r="D15" s="1014"/>
      <c r="E15" s="1014"/>
      <c r="F15" s="1014"/>
      <c r="G15" s="1014"/>
      <c r="H15" s="1014"/>
      <c r="I15" s="1014"/>
      <c r="J15" s="1014"/>
      <c r="K15" s="1015"/>
      <c r="L15" s="507">
        <f t="shared" si="2"/>
        <v>0</v>
      </c>
      <c r="M15" s="507">
        <f>'Custo Contábil'!$F$37*M$10</f>
        <v>0</v>
      </c>
      <c r="N15" s="507">
        <f>'Custo Contábil'!$F$37*N$10</f>
        <v>0</v>
      </c>
      <c r="O15" s="507">
        <f>'Custo Contábil'!$F$37*O$10</f>
        <v>0</v>
      </c>
    </row>
    <row r="16" spans="2:15" ht="15" x14ac:dyDescent="0.25">
      <c r="B16" s="506"/>
      <c r="C16" s="1014" t="s">
        <v>222</v>
      </c>
      <c r="D16" s="1014"/>
      <c r="E16" s="1014"/>
      <c r="F16" s="1014"/>
      <c r="G16" s="1014"/>
      <c r="H16" s="1014"/>
      <c r="I16" s="1014"/>
      <c r="J16" s="1014"/>
      <c r="K16" s="1015"/>
      <c r="L16" s="507">
        <f t="shared" si="2"/>
        <v>0</v>
      </c>
      <c r="M16" s="507">
        <f>'Custo Contábil'!$G$37*M$10</f>
        <v>0</v>
      </c>
      <c r="N16" s="507">
        <f>'Custo Contábil'!$G$37*N$10</f>
        <v>0</v>
      </c>
      <c r="O16" s="507">
        <f>'Custo Contábil'!$G$37*O$10</f>
        <v>0</v>
      </c>
    </row>
    <row r="17" spans="2:15" ht="15" x14ac:dyDescent="0.25">
      <c r="B17" s="506"/>
      <c r="C17" s="1014" t="s">
        <v>205</v>
      </c>
      <c r="D17" s="1014"/>
      <c r="E17" s="1014"/>
      <c r="F17" s="1014"/>
      <c r="G17" s="1014"/>
      <c r="H17" s="1014"/>
      <c r="I17" s="1014"/>
      <c r="J17" s="1014"/>
      <c r="K17" s="1015"/>
      <c r="L17" s="507">
        <f t="shared" si="2"/>
        <v>0</v>
      </c>
      <c r="M17" s="507">
        <f>'Custo Contábil'!$H$37*M$10</f>
        <v>0</v>
      </c>
      <c r="N17" s="507">
        <f>'Custo Contábil'!$H$37*N$10</f>
        <v>0</v>
      </c>
      <c r="O17" s="507">
        <f>'Custo Contábil'!$H$37*O$10</f>
        <v>0</v>
      </c>
    </row>
    <row r="18" spans="2:15" ht="15" x14ac:dyDescent="0.25">
      <c r="B18" s="506"/>
      <c r="C18" s="1014" t="s">
        <v>135</v>
      </c>
      <c r="D18" s="1014"/>
      <c r="E18" s="1014"/>
      <c r="F18" s="1014"/>
      <c r="G18" s="1014"/>
      <c r="H18" s="1014"/>
      <c r="I18" s="1014"/>
      <c r="J18" s="1014"/>
      <c r="K18" s="1015"/>
      <c r="L18" s="507">
        <f t="shared" si="2"/>
        <v>0</v>
      </c>
      <c r="M18" s="507">
        <f>'Custo Contábil'!$I$37*M$10</f>
        <v>0</v>
      </c>
      <c r="N18" s="507">
        <f>'Custo Contábil'!$I$37*N$10</f>
        <v>0</v>
      </c>
      <c r="O18" s="507">
        <f>'Custo Contábil'!$I$37*O$10</f>
        <v>0</v>
      </c>
    </row>
    <row r="19" spans="2:15" ht="15" x14ac:dyDescent="0.25">
      <c r="B19" s="506"/>
      <c r="C19" s="1014" t="s">
        <v>134</v>
      </c>
      <c r="D19" s="1014"/>
      <c r="E19" s="1014"/>
      <c r="F19" s="1014"/>
      <c r="G19" s="1014"/>
      <c r="H19" s="1014"/>
      <c r="I19" s="1014"/>
      <c r="J19" s="1014"/>
      <c r="K19" s="1015"/>
      <c r="L19" s="507">
        <f t="shared" si="2"/>
        <v>0</v>
      </c>
      <c r="M19" s="507">
        <f>'Custo Contábil'!$J$37*M$10</f>
        <v>0</v>
      </c>
      <c r="N19" s="507">
        <f>'Custo Contábil'!$J$37*N$10</f>
        <v>0</v>
      </c>
      <c r="O19" s="507">
        <f>'Custo Contábil'!$J$37*O$10</f>
        <v>0</v>
      </c>
    </row>
    <row r="20" spans="2:15" ht="15" x14ac:dyDescent="0.25">
      <c r="B20" s="506"/>
      <c r="C20" s="1014" t="s">
        <v>994</v>
      </c>
      <c r="D20" s="1014"/>
      <c r="E20" s="1014"/>
      <c r="F20" s="1014"/>
      <c r="G20" s="1014"/>
      <c r="H20" s="1014"/>
      <c r="I20" s="1014"/>
      <c r="J20" s="1014"/>
      <c r="K20" s="1015"/>
      <c r="L20" s="507">
        <f t="shared" si="2"/>
        <v>5985.5881131289698</v>
      </c>
      <c r="M20" s="507">
        <f>'Custo Contábil'!$K$37*M$10</f>
        <v>5985.5881131289698</v>
      </c>
      <c r="N20" s="507">
        <f>'Custo Contábil'!$K$37*N$10</f>
        <v>0</v>
      </c>
      <c r="O20" s="507">
        <f>'Custo Contábil'!$K$37*O$10</f>
        <v>0</v>
      </c>
    </row>
    <row r="21" spans="2:15" ht="15" x14ac:dyDescent="0.25">
      <c r="B21" s="1020" t="s">
        <v>956</v>
      </c>
      <c r="C21" s="1021"/>
      <c r="D21" s="1021"/>
      <c r="E21" s="1021"/>
      <c r="F21" s="1021"/>
      <c r="G21" s="1021"/>
      <c r="H21" s="1021"/>
      <c r="I21" s="1021"/>
      <c r="J21" s="1021"/>
      <c r="K21" s="1022"/>
      <c r="L21" s="508">
        <f>L10</f>
        <v>6668.0000000000009</v>
      </c>
      <c r="M21" s="508">
        <f>M10</f>
        <v>6668.0000000000009</v>
      </c>
      <c r="N21" s="508">
        <f>N10</f>
        <v>0</v>
      </c>
      <c r="O21" s="508">
        <f>O10</f>
        <v>0</v>
      </c>
    </row>
  </sheetData>
  <sheetProtection algorithmName="SHA-512" hashValue="c8SPDIInQ6SnLLNZVK4+QYSrsOFqkxl1Yzs+E49xUwxGtUlyPdFzgJOCcxX8lBAzg6cgXZFw3ffTDnqyaoy8uQ==" saltValue="/Dl4YiR2M3fRhM8e2+9LaQ==" spinCount="100000" sheet="1" objects="1" scenarios="1"/>
  <mergeCells count="22">
    <mergeCell ref="B21:K21"/>
    <mergeCell ref="B2:L2"/>
    <mergeCell ref="C20:K20"/>
    <mergeCell ref="C13:K13"/>
    <mergeCell ref="C14:K14"/>
    <mergeCell ref="C15:K15"/>
    <mergeCell ref="C16:K16"/>
    <mergeCell ref="C17:K17"/>
    <mergeCell ref="C18:K18"/>
    <mergeCell ref="B10:K10"/>
    <mergeCell ref="B11:L11"/>
    <mergeCell ref="B3:L3"/>
    <mergeCell ref="B12:K12"/>
    <mergeCell ref="C7:H7"/>
    <mergeCell ref="C8:H8"/>
    <mergeCell ref="C9:H9"/>
    <mergeCell ref="C19:K19"/>
    <mergeCell ref="M3:O3"/>
    <mergeCell ref="B4:H4"/>
    <mergeCell ref="C5:H5"/>
    <mergeCell ref="C6:H6"/>
    <mergeCell ref="M11:O11"/>
  </mergeCells>
  <conditionalFormatting sqref="L5:O10 L13:O21">
    <cfRule type="cellIs" dxfId="147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P23"/>
  <sheetViews>
    <sheetView zoomScale="90" zoomScaleNormal="90" workbookViewId="0">
      <pane xSplit="10" ySplit="4" topLeftCell="K5" activePane="bottomRight" state="frozen"/>
      <selection activeCell="C7" sqref="C7:D7"/>
      <selection pane="topRight" activeCell="C7" sqref="C7:D7"/>
      <selection pane="bottomLeft" activeCell="C7" sqref="C7:D7"/>
      <selection pane="bottomRight" activeCell="K6" sqref="K6"/>
    </sheetView>
  </sheetViews>
  <sheetFormatPr defaultColWidth="9.140625" defaultRowHeight="12.75" x14ac:dyDescent="0.2"/>
  <cols>
    <col min="1" max="2" width="3.42578125" style="509" customWidth="1"/>
    <col min="3" max="8" width="9.140625" style="509"/>
    <col min="9" max="9" width="12.42578125" style="509" customWidth="1"/>
    <col min="10" max="10" width="20.140625" style="509" bestFit="1" customWidth="1"/>
    <col min="11" max="16" width="28.42578125" style="509" customWidth="1"/>
    <col min="17" max="16384" width="9.140625" style="509"/>
  </cols>
  <sheetData>
    <row r="2" spans="2:16" ht="22.5" customHeight="1" x14ac:dyDescent="0.2">
      <c r="B2" s="1023" t="s">
        <v>913</v>
      </c>
      <c r="C2" s="1006"/>
      <c r="D2" s="1006"/>
      <c r="E2" s="1006"/>
      <c r="F2" s="1006"/>
      <c r="G2" s="1006"/>
      <c r="H2" s="1006"/>
      <c r="I2" s="1006"/>
      <c r="J2" s="1006"/>
      <c r="K2" s="548"/>
      <c r="L2" s="548"/>
      <c r="M2" s="548"/>
      <c r="N2" s="548"/>
      <c r="O2" s="548"/>
      <c r="P2" s="548"/>
    </row>
    <row r="3" spans="2:16" s="510" customFormat="1" ht="15" customHeight="1" x14ac:dyDescent="0.2">
      <c r="B3" s="1001"/>
      <c r="C3" s="1002"/>
      <c r="D3" s="1002"/>
      <c r="E3" s="1002"/>
      <c r="F3" s="1002"/>
      <c r="G3" s="1002"/>
      <c r="H3" s="1002"/>
      <c r="I3" s="1002"/>
      <c r="J3" s="1002"/>
      <c r="K3" s="521" t="s">
        <v>917</v>
      </c>
      <c r="L3" s="521" t="s">
        <v>926</v>
      </c>
      <c r="M3" s="521" t="s">
        <v>927</v>
      </c>
      <c r="N3" s="521" t="s">
        <v>943</v>
      </c>
      <c r="O3" s="521" t="s">
        <v>944</v>
      </c>
      <c r="P3" s="521" t="s">
        <v>945</v>
      </c>
    </row>
    <row r="4" spans="2:16" ht="15" x14ac:dyDescent="0.25">
      <c r="B4" s="1003" t="s">
        <v>914</v>
      </c>
      <c r="C4" s="1004"/>
      <c r="D4" s="1004"/>
      <c r="E4" s="1004"/>
      <c r="F4" s="1004"/>
      <c r="G4" s="1004"/>
      <c r="H4" s="1005"/>
      <c r="I4" s="500" t="s">
        <v>16</v>
      </c>
      <c r="J4" s="500" t="s">
        <v>916</v>
      </c>
      <c r="K4" s="501" t="s">
        <v>239</v>
      </c>
      <c r="L4" s="501" t="s">
        <v>239</v>
      </c>
      <c r="M4" s="501" t="s">
        <v>239</v>
      </c>
      <c r="N4" s="501" t="s">
        <v>239</v>
      </c>
      <c r="O4" s="501" t="s">
        <v>239</v>
      </c>
      <c r="P4" s="501" t="s">
        <v>239</v>
      </c>
    </row>
    <row r="5" spans="2:16" x14ac:dyDescent="0.2">
      <c r="B5" s="503">
        <v>1</v>
      </c>
      <c r="C5" s="1030" t="s">
        <v>909</v>
      </c>
      <c r="D5" s="999"/>
      <c r="E5" s="999"/>
      <c r="F5" s="999"/>
      <c r="G5" s="999"/>
      <c r="H5" s="1000"/>
      <c r="I5" s="514">
        <v>1</v>
      </c>
      <c r="J5" s="520">
        <f>IFERROR(SMALL(K5:P5,1),0)</f>
        <v>5000</v>
      </c>
      <c r="K5" s="515">
        <v>5000</v>
      </c>
      <c r="L5" s="515"/>
      <c r="M5" s="515"/>
      <c r="N5" s="515"/>
      <c r="O5" s="515"/>
      <c r="P5" s="515"/>
    </row>
    <row r="6" spans="2:16" x14ac:dyDescent="0.2">
      <c r="B6" s="503">
        <v>2</v>
      </c>
      <c r="C6" s="999"/>
      <c r="D6" s="999"/>
      <c r="E6" s="999"/>
      <c r="F6" s="999"/>
      <c r="G6" s="999"/>
      <c r="H6" s="1000"/>
      <c r="I6" s="514"/>
      <c r="J6" s="520">
        <f t="shared" ref="J6:J14" si="0">IFERROR(SMALL(K6:P6,1),0)</f>
        <v>0</v>
      </c>
      <c r="K6" s="515"/>
      <c r="L6" s="515"/>
      <c r="M6" s="515"/>
      <c r="N6" s="515"/>
      <c r="O6" s="515"/>
      <c r="P6" s="515"/>
    </row>
    <row r="7" spans="2:16" x14ac:dyDescent="0.2">
      <c r="B7" s="503">
        <v>3</v>
      </c>
      <c r="C7" s="999"/>
      <c r="D7" s="999"/>
      <c r="E7" s="999"/>
      <c r="F7" s="999"/>
      <c r="G7" s="999"/>
      <c r="H7" s="1000"/>
      <c r="I7" s="767"/>
      <c r="J7" s="520">
        <f t="shared" si="0"/>
        <v>0</v>
      </c>
      <c r="K7" s="515"/>
      <c r="L7" s="515"/>
      <c r="M7" s="515"/>
      <c r="N7" s="515"/>
      <c r="O7" s="515"/>
      <c r="P7" s="515"/>
    </row>
    <row r="8" spans="2:16" x14ac:dyDescent="0.2">
      <c r="B8" s="503">
        <v>4</v>
      </c>
      <c r="C8" s="999"/>
      <c r="D8" s="999"/>
      <c r="E8" s="999"/>
      <c r="F8" s="999"/>
      <c r="G8" s="999"/>
      <c r="H8" s="1000"/>
      <c r="I8" s="514"/>
      <c r="J8" s="520">
        <f t="shared" si="0"/>
        <v>0</v>
      </c>
      <c r="K8" s="515"/>
      <c r="L8" s="515"/>
      <c r="M8" s="515"/>
      <c r="N8" s="515"/>
      <c r="O8" s="768"/>
      <c r="P8" s="515"/>
    </row>
    <row r="9" spans="2:16" x14ac:dyDescent="0.2">
      <c r="B9" s="503">
        <v>5</v>
      </c>
      <c r="C9" s="999"/>
      <c r="D9" s="999"/>
      <c r="E9" s="999"/>
      <c r="F9" s="999"/>
      <c r="G9" s="999"/>
      <c r="H9" s="1000"/>
      <c r="I9" s="514"/>
      <c r="J9" s="520">
        <f t="shared" si="0"/>
        <v>0</v>
      </c>
      <c r="K9" s="515"/>
      <c r="L9" s="515"/>
      <c r="M9" s="515"/>
      <c r="N9" s="515"/>
      <c r="O9" s="515"/>
      <c r="P9" s="515"/>
    </row>
    <row r="10" spans="2:16" x14ac:dyDescent="0.2">
      <c r="B10" s="503">
        <v>6</v>
      </c>
      <c r="C10" s="999"/>
      <c r="D10" s="999"/>
      <c r="E10" s="999"/>
      <c r="F10" s="999"/>
      <c r="G10" s="999"/>
      <c r="H10" s="1000"/>
      <c r="I10" s="514"/>
      <c r="J10" s="520">
        <f t="shared" si="0"/>
        <v>0</v>
      </c>
      <c r="K10" s="515"/>
      <c r="L10" s="515"/>
      <c r="M10" s="515"/>
      <c r="N10" s="515"/>
      <c r="O10" s="515"/>
      <c r="P10" s="768"/>
    </row>
    <row r="11" spans="2:16" x14ac:dyDescent="0.2">
      <c r="B11" s="503">
        <v>7</v>
      </c>
      <c r="C11" s="999"/>
      <c r="D11" s="999"/>
      <c r="E11" s="999"/>
      <c r="F11" s="999"/>
      <c r="G11" s="999"/>
      <c r="H11" s="1000"/>
      <c r="I11" s="514"/>
      <c r="J11" s="520">
        <f t="shared" si="0"/>
        <v>0</v>
      </c>
      <c r="K11" s="515"/>
      <c r="L11" s="515"/>
      <c r="M11" s="515"/>
      <c r="N11" s="515"/>
      <c r="O11" s="515"/>
      <c r="P11" s="515"/>
    </row>
    <row r="12" spans="2:16" x14ac:dyDescent="0.2">
      <c r="B12" s="503">
        <v>8</v>
      </c>
      <c r="C12" s="999"/>
      <c r="D12" s="999"/>
      <c r="E12" s="999"/>
      <c r="F12" s="999"/>
      <c r="G12" s="999"/>
      <c r="H12" s="1000"/>
      <c r="I12" s="514"/>
      <c r="J12" s="520">
        <f t="shared" si="0"/>
        <v>0</v>
      </c>
      <c r="K12" s="515"/>
      <c r="L12" s="515"/>
      <c r="M12" s="515"/>
      <c r="N12" s="515"/>
      <c r="O12" s="515"/>
      <c r="P12" s="515"/>
    </row>
    <row r="13" spans="2:16" x14ac:dyDescent="0.2">
      <c r="B13" s="503">
        <v>9</v>
      </c>
      <c r="C13" s="999"/>
      <c r="D13" s="999"/>
      <c r="E13" s="999"/>
      <c r="F13" s="999"/>
      <c r="G13" s="999"/>
      <c r="H13" s="1000"/>
      <c r="I13" s="514"/>
      <c r="J13" s="520">
        <f t="shared" si="0"/>
        <v>0</v>
      </c>
      <c r="K13" s="515"/>
      <c r="L13" s="515"/>
      <c r="M13" s="515"/>
      <c r="N13" s="515"/>
      <c r="O13" s="515"/>
      <c r="P13" s="515"/>
    </row>
    <row r="14" spans="2:16" x14ac:dyDescent="0.2">
      <c r="B14" s="517">
        <v>10</v>
      </c>
      <c r="C14" s="1031"/>
      <c r="D14" s="1031"/>
      <c r="E14" s="1031"/>
      <c r="F14" s="1031"/>
      <c r="G14" s="1031"/>
      <c r="H14" s="1032"/>
      <c r="I14" s="518"/>
      <c r="J14" s="520">
        <f t="shared" si="0"/>
        <v>0</v>
      </c>
      <c r="K14" s="519"/>
      <c r="L14" s="519"/>
      <c r="M14" s="519"/>
      <c r="N14" s="519"/>
      <c r="O14" s="519"/>
      <c r="P14" s="519"/>
    </row>
    <row r="15" spans="2:16" s="510" customFormat="1" ht="15" customHeight="1" x14ac:dyDescent="0.2">
      <c r="B15" s="516"/>
      <c r="C15" s="1007" t="s">
        <v>928</v>
      </c>
      <c r="D15" s="1007"/>
      <c r="E15" s="1007"/>
      <c r="F15" s="1007"/>
      <c r="G15" s="1007"/>
      <c r="H15" s="1007"/>
      <c r="I15" s="1007"/>
      <c r="J15" s="1007"/>
      <c r="K15" s="521" t="s">
        <v>917</v>
      </c>
      <c r="L15" s="521" t="s">
        <v>926</v>
      </c>
      <c r="M15" s="521" t="s">
        <v>927</v>
      </c>
      <c r="N15" s="521" t="s">
        <v>943</v>
      </c>
      <c r="O15" s="521" t="s">
        <v>944</v>
      </c>
      <c r="P15" s="521" t="s">
        <v>945</v>
      </c>
    </row>
    <row r="16" spans="2:16" ht="15" customHeight="1" x14ac:dyDescent="0.2">
      <c r="B16" s="993" t="s">
        <v>918</v>
      </c>
      <c r="C16" s="994"/>
      <c r="D16" s="994"/>
      <c r="E16" s="994"/>
      <c r="F16" s="994"/>
      <c r="G16" s="994"/>
      <c r="H16" s="994"/>
      <c r="I16" s="994"/>
      <c r="J16" s="995"/>
      <c r="K16" s="535"/>
      <c r="L16" s="535"/>
      <c r="M16" s="535"/>
      <c r="N16" s="535"/>
      <c r="O16" s="535"/>
      <c r="P16" s="535"/>
    </row>
    <row r="17" spans="2:16" ht="15" customHeight="1" x14ac:dyDescent="0.2">
      <c r="B17" s="993" t="s">
        <v>919</v>
      </c>
      <c r="C17" s="994"/>
      <c r="D17" s="994"/>
      <c r="E17" s="994"/>
      <c r="F17" s="994"/>
      <c r="G17" s="994"/>
      <c r="H17" s="994"/>
      <c r="I17" s="994"/>
      <c r="J17" s="995"/>
      <c r="K17" s="536"/>
      <c r="L17" s="536"/>
      <c r="M17" s="536"/>
      <c r="N17" s="536"/>
      <c r="O17" s="536"/>
      <c r="P17" s="536"/>
    </row>
    <row r="18" spans="2:16" ht="15" customHeight="1" x14ac:dyDescent="0.2">
      <c r="B18" s="993" t="s">
        <v>920</v>
      </c>
      <c r="C18" s="994"/>
      <c r="D18" s="994"/>
      <c r="E18" s="994"/>
      <c r="F18" s="994"/>
      <c r="G18" s="994"/>
      <c r="H18" s="994"/>
      <c r="I18" s="994"/>
      <c r="J18" s="995"/>
      <c r="K18" s="537"/>
      <c r="L18" s="537"/>
      <c r="M18" s="537"/>
      <c r="N18" s="537"/>
      <c r="O18" s="537"/>
      <c r="P18" s="537"/>
    </row>
    <row r="19" spans="2:16" ht="15" customHeight="1" x14ac:dyDescent="0.2">
      <c r="B19" s="993" t="s">
        <v>921</v>
      </c>
      <c r="C19" s="994"/>
      <c r="D19" s="994"/>
      <c r="E19" s="994"/>
      <c r="F19" s="994"/>
      <c r="G19" s="994"/>
      <c r="H19" s="994"/>
      <c r="I19" s="994"/>
      <c r="J19" s="995"/>
      <c r="K19" s="537"/>
      <c r="L19" s="537"/>
      <c r="M19" s="537"/>
      <c r="N19" s="537"/>
      <c r="O19" s="537"/>
      <c r="P19" s="537"/>
    </row>
    <row r="20" spans="2:16" ht="15" customHeight="1" x14ac:dyDescent="0.2">
      <c r="B20" s="993" t="s">
        <v>922</v>
      </c>
      <c r="C20" s="994"/>
      <c r="D20" s="994"/>
      <c r="E20" s="994"/>
      <c r="F20" s="994"/>
      <c r="G20" s="994"/>
      <c r="H20" s="994"/>
      <c r="I20" s="994"/>
      <c r="J20" s="995"/>
      <c r="K20" s="535"/>
      <c r="L20" s="535"/>
      <c r="M20" s="535"/>
      <c r="N20" s="535"/>
      <c r="O20" s="535"/>
      <c r="P20" s="769"/>
    </row>
    <row r="21" spans="2:16" ht="15" x14ac:dyDescent="0.2">
      <c r="B21" s="993" t="s">
        <v>923</v>
      </c>
      <c r="C21" s="994"/>
      <c r="D21" s="994"/>
      <c r="E21" s="994"/>
      <c r="F21" s="994"/>
      <c r="G21" s="994"/>
      <c r="H21" s="994"/>
      <c r="I21" s="994"/>
      <c r="J21" s="995"/>
      <c r="K21" s="538"/>
      <c r="L21" s="538"/>
      <c r="M21" s="538"/>
      <c r="N21" s="538"/>
      <c r="O21" s="538"/>
      <c r="P21" s="538"/>
    </row>
    <row r="22" spans="2:16" ht="15" x14ac:dyDescent="0.2">
      <c r="B22" s="993" t="s">
        <v>924</v>
      </c>
      <c r="C22" s="994"/>
      <c r="D22" s="994"/>
      <c r="E22" s="994"/>
      <c r="F22" s="994"/>
      <c r="G22" s="994"/>
      <c r="H22" s="994"/>
      <c r="I22" s="994"/>
      <c r="J22" s="995"/>
      <c r="K22" s="539"/>
      <c r="L22" s="539"/>
      <c r="M22" s="539"/>
      <c r="N22" s="539"/>
      <c r="O22" s="539"/>
      <c r="P22" s="539"/>
    </row>
    <row r="23" spans="2:16" ht="15" customHeight="1" x14ac:dyDescent="0.2">
      <c r="B23" s="1008" t="s">
        <v>925</v>
      </c>
      <c r="C23" s="1009"/>
      <c r="D23" s="1009"/>
      <c r="E23" s="1009"/>
      <c r="F23" s="1009"/>
      <c r="G23" s="1009"/>
      <c r="H23" s="1009"/>
      <c r="I23" s="1009"/>
      <c r="J23" s="1010"/>
      <c r="K23" s="1011" t="s">
        <v>915</v>
      </c>
      <c r="L23" s="1012"/>
      <c r="M23" s="1012"/>
      <c r="N23" s="1012"/>
      <c r="O23" s="1012"/>
      <c r="P23" s="1013"/>
    </row>
  </sheetData>
  <sheetProtection password="C9A4" sheet="1" objects="1" scenarios="1"/>
  <mergeCells count="23">
    <mergeCell ref="K23:P23"/>
    <mergeCell ref="B23:J23"/>
    <mergeCell ref="C15:J15"/>
    <mergeCell ref="B16:J16"/>
    <mergeCell ref="B17:J17"/>
    <mergeCell ref="B18:J18"/>
    <mergeCell ref="B19:J19"/>
    <mergeCell ref="B20:J20"/>
    <mergeCell ref="B21:J21"/>
    <mergeCell ref="B22:J22"/>
    <mergeCell ref="C13:H13"/>
    <mergeCell ref="C14:H14"/>
    <mergeCell ref="C7:H7"/>
    <mergeCell ref="C8:H8"/>
    <mergeCell ref="C9:H9"/>
    <mergeCell ref="C10:H10"/>
    <mergeCell ref="C11:H11"/>
    <mergeCell ref="C12:H12"/>
    <mergeCell ref="B3:J3"/>
    <mergeCell ref="B4:H4"/>
    <mergeCell ref="C5:H5"/>
    <mergeCell ref="C6:H6"/>
    <mergeCell ref="B2:J2"/>
  </mergeCells>
  <conditionalFormatting sqref="K5:P14">
    <cfRule type="cellIs" dxfId="146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46</vt:i4>
      </vt:variant>
      <vt:variant>
        <vt:lpstr>Intervalos nomeados</vt:lpstr>
      </vt:variant>
      <vt:variant>
        <vt:i4>5</vt:i4>
      </vt:variant>
    </vt:vector>
  </HeadingPairs>
  <TitlesOfParts>
    <vt:vector size="51" baseType="lpstr">
      <vt:lpstr>Apresentação</vt:lpstr>
      <vt:lpstr>Apoio</vt:lpstr>
      <vt:lpstr>Custo Contábil</vt:lpstr>
      <vt:lpstr>IndFinanceiro</vt:lpstr>
      <vt:lpstr>RCB</vt:lpstr>
      <vt:lpstr>MOP</vt:lpstr>
      <vt:lpstr>Diagnóstico (ORÇ)</vt:lpstr>
      <vt:lpstr>Diagnóstico</vt:lpstr>
      <vt:lpstr>Marketing (ORÇ)</vt:lpstr>
      <vt:lpstr>Marketing</vt:lpstr>
      <vt:lpstr>Transporte</vt:lpstr>
      <vt:lpstr>Descarte (ORÇ)</vt:lpstr>
      <vt:lpstr>Descarte</vt:lpstr>
      <vt:lpstr>M&amp;V (ORÇ)</vt:lpstr>
      <vt:lpstr>M&amp;V</vt:lpstr>
      <vt:lpstr>Treinamento (ORÇ)</vt:lpstr>
      <vt:lpstr>Treinamento</vt:lpstr>
      <vt:lpstr>ContrDesemp</vt:lpstr>
      <vt:lpstr>IlumCusto (ORÇ)</vt:lpstr>
      <vt:lpstr>IlumCusto</vt:lpstr>
      <vt:lpstr>IlumBenef</vt:lpstr>
      <vt:lpstr>CondAmbCusto (ORÇ)</vt:lpstr>
      <vt:lpstr>CondAmbCusto</vt:lpstr>
      <vt:lpstr>CondAmbBenef</vt:lpstr>
      <vt:lpstr>MotorCusto (ORÇ)</vt:lpstr>
      <vt:lpstr>MotorCusto</vt:lpstr>
      <vt:lpstr>MotorBenef</vt:lpstr>
      <vt:lpstr>RefrigCusto (ORÇ)</vt:lpstr>
      <vt:lpstr>RefrigCusto</vt:lpstr>
      <vt:lpstr>RefrigBenef</vt:lpstr>
      <vt:lpstr>SolarCusto (ORÇ)</vt:lpstr>
      <vt:lpstr>SolarCusto</vt:lpstr>
      <vt:lpstr>SolarBenef</vt:lpstr>
      <vt:lpstr>HospCusto (ORÇ)</vt:lpstr>
      <vt:lpstr>HospCusto</vt:lpstr>
      <vt:lpstr>HospBenef</vt:lpstr>
      <vt:lpstr>OutrosCusto (ORÇ)</vt:lpstr>
      <vt:lpstr>OutrosCusto</vt:lpstr>
      <vt:lpstr>OutrosBenef</vt:lpstr>
      <vt:lpstr>FICusto (ORÇ)</vt:lpstr>
      <vt:lpstr>FICusto</vt:lpstr>
      <vt:lpstr>FIBenef</vt:lpstr>
      <vt:lpstr>C. Físico</vt:lpstr>
      <vt:lpstr>C. Financeiro</vt:lpstr>
      <vt:lpstr>Físico</vt:lpstr>
      <vt:lpstr>Financeiro</vt:lpstr>
      <vt:lpstr>Atividade</vt:lpstr>
      <vt:lpstr>CED</vt:lpstr>
      <vt:lpstr>CEE</vt:lpstr>
      <vt:lpstr>Desc</vt:lpstr>
      <vt:lpstr>FC</vt:lpstr>
    </vt:vector>
  </TitlesOfParts>
  <Manager>Marcio dos Santos Lautert</Manager>
  <Company>Celesc Distribuição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Cálculo RCB</dc:title>
  <dc:subject>RCB</dc:subject>
  <dc:creator>Arthur Rangel Laureano</dc:creator>
  <cp:keywords>RCB, Custo Evitado de Energia, Custo Evitado de Demanda</cp:keywords>
  <dc:description>Divisão de Eficiência Energética
Contribuições de Pierry Moreno Reinaldo, Marcio dos Santos Lautert, Thiago Jeremias e Marco Aurélio Gianesini</dc:description>
  <cp:lastModifiedBy>usuario</cp:lastModifiedBy>
  <cp:lastPrinted>2012-05-28T12:41:49Z</cp:lastPrinted>
  <dcterms:created xsi:type="dcterms:W3CDTF">2008-07-29T12:00:10Z</dcterms:created>
  <dcterms:modified xsi:type="dcterms:W3CDTF">2022-06-20T20:27:51Z</dcterms:modified>
  <cp:contentStatus>Final - Versão 11</cp:contentStatus>
</cp:coreProperties>
</file>