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24226"/>
  <mc:AlternateContent xmlns:mc="http://schemas.openxmlformats.org/markup-compatibility/2006">
    <mc:Choice Requires="x15">
      <x15ac:absPath xmlns:x15ac="http://schemas.microsoft.com/office/spreadsheetml/2010/11/ac" url="/Users/juanpadilla/Documents/"/>
    </mc:Choice>
  </mc:AlternateContent>
  <xr:revisionPtr revIDLastSave="0" documentId="8_{2A3B5BA7-A090-BC41-B66B-68EE5AD295E9}" xr6:coauthVersionLast="47" xr6:coauthVersionMax="47" xr10:uidLastSave="{00000000-0000-0000-0000-000000000000}"/>
  <bookViews>
    <workbookView xWindow="44280" yWindow="4000" windowWidth="34780" windowHeight="21900" activeTab="5" xr2:uid="{00000000-000D-0000-FFFF-FFFF00000000}"/>
  </bookViews>
  <sheets>
    <sheet name="STLD_DCF" sheetId="14" r:id="rId1"/>
    <sheet name="WACC" sheetId="17" r:id="rId2"/>
    <sheet name="Public_Comps" sheetId="15" r:id="rId3"/>
    <sheet name="M&amp;A_Comps" sheetId="20" r:id="rId4"/>
    <sheet name="Val_sum" sheetId="21" r:id="rId5"/>
    <sheet name="Val_Graph" sheetId="22" r:id="rId6"/>
    <sheet name="MA_Comps" sheetId="16" state="hidden" r:id="rId7"/>
    <sheet name="ValSum" sheetId="18" state="hidden" r:id="rId8"/>
  </sheets>
  <externalReferences>
    <externalReference r:id="rId9"/>
    <externalReference r:id="rId10"/>
  </externalReferences>
  <definedNames>
    <definedName name="Company_Name" localSheetId="3">[1]STLD_DCF!$G$8</definedName>
    <definedName name="Company_Name" localSheetId="4">[1]STLD_DCF!$G$8</definedName>
    <definedName name="Company_Name">STLD_DCF!$G$8</definedName>
    <definedName name="Cost_of_Debt" localSheetId="3">[1]WACC!$F$8</definedName>
    <definedName name="Cost_of_Debt" localSheetId="4">[1]WACC!$F$8</definedName>
    <definedName name="Cost_of_Debt">WACC!$F$8</definedName>
    <definedName name="Cost_of_Preferred" localSheetId="3">[1]WACC!$F$9</definedName>
    <definedName name="Cost_of_Preferred" localSheetId="4">[1]WACC!$F$9</definedName>
    <definedName name="Cost_of_Preferred">WACC!$F$9</definedName>
    <definedName name="Diluted_Shares" localSheetId="3">[1]STLD_DCF!$G$12</definedName>
    <definedName name="Diluted_Shares" localSheetId="4">[1]STLD_DCF!$G$12</definedName>
    <definedName name="Diluted_Shares">STLD_DCF!$G$11</definedName>
    <definedName name="Discount_Rate" localSheetId="3">[1]STLD_DCF!$G$15</definedName>
    <definedName name="Discount_Rate" localSheetId="4">[1]STLD_DCF!$G$15</definedName>
    <definedName name="Discount_Rate">STLD_DCF!$G$14</definedName>
    <definedName name="Equity_Risk_Premium" localSheetId="3">[1]WACC!$F$7</definedName>
    <definedName name="Equity_Risk_Premium" localSheetId="4">[1]WACC!$F$7</definedName>
    <definedName name="Equity_Risk_Premium">WACC!$F$7</definedName>
    <definedName name="Hist_Year" localSheetId="3">[1]STLD_DCF!$G$18</definedName>
    <definedName name="Hist_Year" localSheetId="4">[1]STLD_DCF!$G$18</definedName>
    <definedName name="Hist_Year">STLD_DCF!$G$17</definedName>
    <definedName name="LT_Average_Steel_Price" localSheetId="3">[1]STLD_DCF!$G$30</definedName>
    <definedName name="LT_Average_Steel_Price" localSheetId="4">[1]STLD_DCF!$G$30</definedName>
    <definedName name="LT_Average_Steel_Price">STLD_DCF!$G$31</definedName>
    <definedName name="LT_COGS_Pct_Sales" localSheetId="3">[1]STLD_DCF!$G$32</definedName>
    <definedName name="LT_COGS_Pct_Sales" localSheetId="4">[1]STLD_DCF!$G$32</definedName>
    <definedName name="LT_COGS_Pct_Sales">STLD_DCF!$G$33</definedName>
    <definedName name="LT_Utilization_Rate" localSheetId="3">[1]STLD_DCF!$G$31</definedName>
    <definedName name="LT_Utilization_Rate" localSheetId="4">[1]STLD_DCF!$G$31</definedName>
    <definedName name="LT_Utilization_Rate">STLD_DCF!$G$32</definedName>
    <definedName name="_xlnm.Print_Area" localSheetId="3">'M&amp;A_Comps'!$A$1:$K$32</definedName>
    <definedName name="_xlnm.Print_Area" localSheetId="6">MA_Comps!$A$1:$K$32</definedName>
    <definedName name="_xlnm.Print_Area" localSheetId="2">Public_Comps!$A$1:$AB$40</definedName>
    <definedName name="_xlnm.Print_Area" localSheetId="0">STLD_DCF!$A$1:$T$18</definedName>
    <definedName name="_xlnm.Print_Area" localSheetId="4">Val_sum!$A$1:$N$43</definedName>
    <definedName name="_xlnm.Print_Area" localSheetId="7">ValSum!$A$1:$N$43</definedName>
    <definedName name="_xlnm.Print_Area" localSheetId="1">WACC!$A$1:$M$42</definedName>
    <definedName name="Pub_Comps_Data" localSheetId="3">[1]Public_Comps!$B$7:$AA$21</definedName>
    <definedName name="Pub_Comps_Data" localSheetId="4">[1]Public_Comps!$B$7:$AA$21</definedName>
    <definedName name="Pub_Comps_Data">Public_Comps!$B$7:$AA$21</definedName>
    <definedName name="Pub_Comps_Info_Range" localSheetId="3">[1]Public_Comps!$B$7:$AA$7</definedName>
    <definedName name="Pub_Comps_Info_Range" localSheetId="4">[1]Public_Comps!$B$7:$AA$7</definedName>
    <definedName name="Pub_Comps_Info_Range">Public_Comps!$B$7:$AA$7</definedName>
    <definedName name="Risk_Free_Rate" localSheetId="3">[1]WACC!$F$6</definedName>
    <definedName name="Risk_Free_Rate" localSheetId="4">[1]WACC!$F$6</definedName>
    <definedName name="Risk_Free_Rate">WACC!$F$6</definedName>
    <definedName name="Share_Price" localSheetId="3">[1]STLD_DCF!$G$11</definedName>
    <definedName name="Share_Price" localSheetId="4">[1]STLD_DCF!$G$11</definedName>
    <definedName name="Share_Price">STLD_DCF!$G$10</definedName>
    <definedName name="Tax_Rate" localSheetId="3">[1]STLD_DCF!$G$14</definedName>
    <definedName name="Tax_Rate" localSheetId="4">[1]STLD_DCF!$G$14</definedName>
    <definedName name="Tax_Rate">STLD_DCF!$G$13</definedName>
    <definedName name="Ticker" localSheetId="3">[1]STLD_DCF!$G$9</definedName>
    <definedName name="Ticker" localSheetId="4">[1]STLD_DCF!$G$9</definedName>
    <definedName name="Ticker">STLD_DCF!$G$9</definedName>
    <definedName name="Ticker_Range" localSheetId="3">[1]Public_Comps!$C$7:$C$21</definedName>
    <definedName name="Ticker_Range" localSheetId="4">[1]Public_Comps!$C$7:$C$21</definedName>
    <definedName name="Ticker_Range">Public_Comps!$C$7:$C$21</definedName>
    <definedName name="Units" localSheetId="3">[1]STLD_DCF!$G$17</definedName>
    <definedName name="Units" localSheetId="4">[1]STLD_DCF!$G$17</definedName>
    <definedName name="Units">STLD_DCF!$G$16</definedName>
    <definedName name="Val_Date">[1]STLD_DCF!$G$10</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4" i="14" l="1"/>
  <c r="H24" i="21"/>
  <c r="I42" i="21" s="1"/>
  <c r="I24" i="21" s="1"/>
  <c r="L27" i="21"/>
  <c r="L15" i="21" l="1"/>
  <c r="I49" i="22" s="1"/>
  <c r="G54" i="22"/>
  <c r="H54" i="22"/>
  <c r="I54" i="22"/>
  <c r="F54" i="22"/>
  <c r="F41" i="22"/>
  <c r="K41" i="22" s="1"/>
  <c r="J42" i="22"/>
  <c r="I42" i="22"/>
  <c r="H42" i="22"/>
  <c r="G42" i="22"/>
  <c r="F42" i="22"/>
  <c r="K42" i="22" s="1"/>
  <c r="J44" i="22"/>
  <c r="I44" i="22"/>
  <c r="H44" i="22"/>
  <c r="G44" i="22"/>
  <c r="F44" i="22"/>
  <c r="K44" i="22" s="1"/>
  <c r="J45" i="22"/>
  <c r="I45" i="22"/>
  <c r="H45" i="22"/>
  <c r="G45" i="22"/>
  <c r="F45" i="22"/>
  <c r="K45" i="22" s="1"/>
  <c r="J46" i="22"/>
  <c r="I46" i="22"/>
  <c r="H46" i="22"/>
  <c r="G46" i="22"/>
  <c r="F46" i="22"/>
  <c r="K46" i="22" s="1"/>
  <c r="J47" i="22"/>
  <c r="I47" i="22"/>
  <c r="H47" i="22"/>
  <c r="G47" i="22"/>
  <c r="F47" i="22"/>
  <c r="K47" i="22" s="1"/>
  <c r="J48" i="22"/>
  <c r="I48" i="22"/>
  <c r="H48" i="22"/>
  <c r="G48" i="22"/>
  <c r="F48" i="22"/>
  <c r="K48" i="22" s="1"/>
  <c r="J49" i="22"/>
  <c r="H49" i="22"/>
  <c r="G49" i="22"/>
  <c r="F49" i="22"/>
  <c r="K49" i="22" s="1"/>
  <c r="J50" i="22"/>
  <c r="I50" i="22"/>
  <c r="H50" i="22"/>
  <c r="G50" i="22"/>
  <c r="F50" i="22"/>
  <c r="K50" i="22" s="1"/>
  <c r="J51" i="22"/>
  <c r="I51" i="22"/>
  <c r="H51" i="22"/>
  <c r="G51" i="22"/>
  <c r="F51" i="22"/>
  <c r="K51" i="22" s="1"/>
  <c r="J52" i="22"/>
  <c r="I52" i="22"/>
  <c r="H52" i="22"/>
  <c r="G52" i="22"/>
  <c r="F52" i="22"/>
  <c r="K52" i="22" s="1"/>
  <c r="B39" i="22"/>
  <c r="B41" i="22"/>
  <c r="B42" i="22"/>
  <c r="B44" i="22"/>
  <c r="B45" i="22"/>
  <c r="B46" i="22"/>
  <c r="B47" i="22"/>
  <c r="B48" i="22"/>
  <c r="B49" i="22"/>
  <c r="B50" i="22"/>
  <c r="B51" i="22"/>
  <c r="B52" i="22"/>
  <c r="M42" i="21"/>
  <c r="M24" i="21" s="1"/>
  <c r="J41" i="22" s="1"/>
  <c r="M46" i="22" l="1"/>
  <c r="L46" i="22"/>
  <c r="L50" i="22"/>
  <c r="O42" i="22"/>
  <c r="M48" i="22"/>
  <c r="N48" i="22"/>
  <c r="M42" i="22"/>
  <c r="L42" i="22"/>
  <c r="M49" i="22"/>
  <c r="O44" i="22"/>
  <c r="O46" i="22"/>
  <c r="N45" i="22"/>
  <c r="L51" i="22"/>
  <c r="L47" i="22"/>
  <c r="M50" i="22"/>
  <c r="O48" i="22"/>
  <c r="M45" i="22"/>
  <c r="N42" i="22"/>
  <c r="N46" i="22"/>
  <c r="M52" i="22"/>
  <c r="O45" i="22"/>
  <c r="O49" i="22"/>
  <c r="N50" i="22"/>
  <c r="M47" i="22"/>
  <c r="N47" i="22"/>
  <c r="L52" i="22"/>
  <c r="N52" i="22"/>
  <c r="L49" i="22"/>
  <c r="O47" i="22"/>
  <c r="N49" i="22"/>
  <c r="M44" i="22"/>
  <c r="N44" i="22"/>
  <c r="N51" i="22"/>
  <c r="L48" i="22"/>
  <c r="O52" i="22"/>
  <c r="L44" i="22"/>
  <c r="M51" i="22"/>
  <c r="O51" i="22"/>
  <c r="L45" i="22"/>
  <c r="O50" i="22"/>
  <c r="K34" i="21"/>
  <c r="K15" i="21"/>
  <c r="M27" i="21"/>
  <c r="J39" i="22" s="1"/>
  <c r="I39" i="22"/>
  <c r="K27" i="21"/>
  <c r="H39" i="22" s="1"/>
  <c r="J27" i="21"/>
  <c r="G39" i="22" s="1"/>
  <c r="I27" i="21"/>
  <c r="F39" i="22" s="1"/>
  <c r="K39" i="22" s="1"/>
  <c r="E36" i="21"/>
  <c r="E35" i="21"/>
  <c r="E34" i="21"/>
  <c r="E33" i="21"/>
  <c r="E32" i="21"/>
  <c r="E31" i="21"/>
  <c r="E30" i="21"/>
  <c r="L42" i="21"/>
  <c r="K42" i="21"/>
  <c r="I31" i="21"/>
  <c r="E29" i="21"/>
  <c r="H23" i="21"/>
  <c r="H12" i="21" a="1"/>
  <c r="H12" i="21" s="1"/>
  <c r="C23" i="21" a="1"/>
  <c r="C23" i="21" s="1"/>
  <c r="C12" i="21" a="1"/>
  <c r="C12" i="21" s="1"/>
  <c r="B2" i="21"/>
  <c r="B5" i="21"/>
  <c r="C5" i="21"/>
  <c r="I5" i="21"/>
  <c r="L41" i="21"/>
  <c r="B7" i="20"/>
  <c r="G11" i="20"/>
  <c r="H11" i="20"/>
  <c r="I11" i="20"/>
  <c r="J11" i="20"/>
  <c r="J29" i="20" s="1"/>
  <c r="H12" i="20"/>
  <c r="H31" i="20" s="1"/>
  <c r="I12" i="20"/>
  <c r="J12" i="20"/>
  <c r="J27" i="20" s="1"/>
  <c r="F13" i="20"/>
  <c r="F29" i="20" s="1"/>
  <c r="J13" i="20"/>
  <c r="J30" i="20" s="1"/>
  <c r="I14" i="20"/>
  <c r="J14" i="20"/>
  <c r="I15" i="20"/>
  <c r="J15" i="20"/>
  <c r="G16" i="20"/>
  <c r="H16" i="20"/>
  <c r="I16" i="20"/>
  <c r="J16" i="20"/>
  <c r="I17" i="20"/>
  <c r="J17" i="20"/>
  <c r="I18" i="20"/>
  <c r="J18" i="20"/>
  <c r="I19" i="20"/>
  <c r="J19" i="20"/>
  <c r="I20" i="20"/>
  <c r="J20" i="20"/>
  <c r="I21" i="20"/>
  <c r="J21" i="20"/>
  <c r="I22" i="20"/>
  <c r="J22" i="20"/>
  <c r="I23" i="20"/>
  <c r="J23" i="20"/>
  <c r="I24" i="20"/>
  <c r="J24" i="20"/>
  <c r="J28" i="20" s="1"/>
  <c r="I25" i="20"/>
  <c r="J25" i="20"/>
  <c r="G27" i="20"/>
  <c r="G28" i="20"/>
  <c r="H28" i="20"/>
  <c r="G29" i="20"/>
  <c r="G30" i="20"/>
  <c r="H30" i="20"/>
  <c r="F31" i="20"/>
  <c r="G31" i="20"/>
  <c r="H38" i="14"/>
  <c r="G38" i="14" s="1"/>
  <c r="K38" i="14"/>
  <c r="J38" i="14"/>
  <c r="D16" i="17"/>
  <c r="I50" i="14"/>
  <c r="H50" i="14"/>
  <c r="G50" i="14"/>
  <c r="O39" i="22" l="1"/>
  <c r="N39" i="22"/>
  <c r="M39" i="22"/>
  <c r="L39" i="22"/>
  <c r="L23" i="21"/>
  <c r="K24" i="21"/>
  <c r="H41" i="22" s="1"/>
  <c r="M41" i="22" s="1"/>
  <c r="M35" i="21"/>
  <c r="M16" i="21" s="1"/>
  <c r="M34" i="21"/>
  <c r="M15" i="21" s="1"/>
  <c r="I37" i="21"/>
  <c r="I18" i="21" s="1"/>
  <c r="K32" i="21"/>
  <c r="K13" i="21" s="1"/>
  <c r="M31" i="21"/>
  <c r="M12" i="21" s="1"/>
  <c r="J36" i="21"/>
  <c r="J17" i="21" s="1"/>
  <c r="I39" i="21"/>
  <c r="I20" i="21" s="1"/>
  <c r="I38" i="21"/>
  <c r="I19" i="21" s="1"/>
  <c r="L37" i="21"/>
  <c r="L18" i="21" s="1"/>
  <c r="I36" i="21"/>
  <c r="I17" i="21" s="1"/>
  <c r="I35" i="21"/>
  <c r="I16" i="21" s="1"/>
  <c r="I34" i="21"/>
  <c r="I15" i="21" s="1"/>
  <c r="M41" i="21"/>
  <c r="M23" i="21" s="1"/>
  <c r="J34" i="21"/>
  <c r="J15" i="21" s="1"/>
  <c r="I41" i="21"/>
  <c r="I23" i="21" s="1"/>
  <c r="J31" i="21"/>
  <c r="J12" i="21" s="1"/>
  <c r="L24" i="21"/>
  <c r="I41" i="22" s="1"/>
  <c r="J35" i="21"/>
  <c r="J16" i="21" s="1"/>
  <c r="K31" i="21"/>
  <c r="K12" i="21" s="1"/>
  <c r="J41" i="21"/>
  <c r="J23" i="21" s="1"/>
  <c r="J42" i="21"/>
  <c r="J24" i="21" s="1"/>
  <c r="G41" i="22" s="1"/>
  <c r="L41" i="22" s="1"/>
  <c r="K41" i="21"/>
  <c r="K23" i="21" s="1"/>
  <c r="K39" i="21"/>
  <c r="K20" i="21" s="1"/>
  <c r="K38" i="21"/>
  <c r="K19" i="21" s="1"/>
  <c r="L31" i="21"/>
  <c r="L12" i="21" s="1"/>
  <c r="I33" i="21"/>
  <c r="I14" i="21" s="1"/>
  <c r="I32" i="21"/>
  <c r="I13" i="21" s="1"/>
  <c r="I13" i="20"/>
  <c r="I27" i="20"/>
  <c r="H27" i="20"/>
  <c r="F30" i="20"/>
  <c r="I29" i="20"/>
  <c r="J31" i="20"/>
  <c r="H29" i="20"/>
  <c r="F27" i="20"/>
  <c r="F28" i="20"/>
  <c r="O41" i="22" l="1"/>
  <c r="N41" i="22"/>
  <c r="L32" i="21"/>
  <c r="L13" i="21" s="1"/>
  <c r="K35" i="21"/>
  <c r="K16" i="21" s="1"/>
  <c r="L35" i="21"/>
  <c r="L16" i="21" s="1"/>
  <c r="M39" i="21"/>
  <c r="M20" i="21" s="1"/>
  <c r="M32" i="21"/>
  <c r="M13" i="21" s="1"/>
  <c r="L39" i="21"/>
  <c r="L20" i="21" s="1"/>
  <c r="I12" i="21"/>
  <c r="E37" i="21"/>
  <c r="E41" i="21" s="1"/>
  <c r="E42" i="21" s="1"/>
  <c r="M37" i="21"/>
  <c r="M18" i="21" s="1"/>
  <c r="J32" i="21"/>
  <c r="J13" i="21" s="1"/>
  <c r="L38" i="21"/>
  <c r="L19" i="21" s="1"/>
  <c r="K33" i="21"/>
  <c r="K14" i="21" s="1"/>
  <c r="L33" i="21"/>
  <c r="L14" i="21" s="1"/>
  <c r="M33" i="21"/>
  <c r="M14" i="21" s="1"/>
  <c r="M36" i="21"/>
  <c r="M17" i="21" s="1"/>
  <c r="L34" i="21"/>
  <c r="K36" i="21"/>
  <c r="K17" i="21" s="1"/>
  <c r="M38" i="21"/>
  <c r="M19" i="21" s="1"/>
  <c r="J37" i="21"/>
  <c r="J18" i="21" s="1"/>
  <c r="L36" i="21"/>
  <c r="L17" i="21" s="1"/>
  <c r="J38" i="21"/>
  <c r="J19" i="21" s="1"/>
  <c r="K37" i="21"/>
  <c r="K18" i="21" s="1"/>
  <c r="J39" i="21"/>
  <c r="J20" i="21" s="1"/>
  <c r="J33" i="21"/>
  <c r="J14" i="21" s="1"/>
  <c r="I28" i="20"/>
  <c r="I30" i="20"/>
  <c r="I31" i="20"/>
  <c r="F146" i="14" l="1"/>
  <c r="G132" i="14"/>
  <c r="H132" i="14"/>
  <c r="I132" i="14"/>
  <c r="J132" i="14"/>
  <c r="K132" i="14"/>
  <c r="L132" i="14"/>
  <c r="M132" i="14"/>
  <c r="N132" i="14"/>
  <c r="O132" i="14"/>
  <c r="F132" i="14"/>
  <c r="E132" i="14"/>
  <c r="O117" i="14"/>
  <c r="N117" i="14"/>
  <c r="M117" i="14"/>
  <c r="L117" i="14"/>
  <c r="K117" i="14"/>
  <c r="J117" i="14"/>
  <c r="I117" i="14"/>
  <c r="H117" i="14"/>
  <c r="G117" i="14"/>
  <c r="F117" i="14"/>
  <c r="M42" i="14"/>
  <c r="M41" i="14"/>
  <c r="O98" i="14"/>
  <c r="I106" i="14"/>
  <c r="H106" i="14"/>
  <c r="I68" i="14"/>
  <c r="H68" i="14"/>
  <c r="G68" i="14"/>
  <c r="I86" i="14"/>
  <c r="H86" i="14"/>
  <c r="I84" i="14"/>
  <c r="H84" i="14"/>
  <c r="G84" i="14"/>
  <c r="G81" i="14"/>
  <c r="H81" i="14"/>
  <c r="I81" i="14"/>
  <c r="I85" i="14"/>
  <c r="H85" i="14"/>
  <c r="G85" i="14"/>
  <c r="G98" i="14"/>
  <c r="H98" i="14"/>
  <c r="I98" i="14"/>
  <c r="O94" i="14"/>
  <c r="N94" i="14"/>
  <c r="M94" i="14"/>
  <c r="L94" i="14"/>
  <c r="K94" i="14"/>
  <c r="K93" i="14" s="1"/>
  <c r="J94" i="14"/>
  <c r="I94" i="14"/>
  <c r="G94" i="14"/>
  <c r="H94" i="14"/>
  <c r="J93" i="14"/>
  <c r="L93" i="14"/>
  <c r="I101" i="14"/>
  <c r="G105" i="14"/>
  <c r="H105" i="14"/>
  <c r="G106" i="14"/>
  <c r="H103" i="14"/>
  <c r="G103" i="14"/>
  <c r="G102" i="14"/>
  <c r="H102" i="14"/>
  <c r="G95" i="14"/>
  <c r="H95" i="14"/>
  <c r="I95" i="14"/>
  <c r="G79" i="14"/>
  <c r="H79" i="14"/>
  <c r="I79" i="14"/>
  <c r="H48" i="14"/>
  <c r="I48" i="14"/>
  <c r="M48" i="14"/>
  <c r="L48" i="14"/>
  <c r="K48" i="14"/>
  <c r="J48" i="14"/>
  <c r="J47" i="14"/>
  <c r="M43" i="14" l="1"/>
  <c r="M79" i="14" s="1"/>
  <c r="I102" i="14"/>
  <c r="I103" i="14"/>
  <c r="O102" i="14" l="1"/>
  <c r="N102" i="14"/>
  <c r="M102" i="14"/>
  <c r="L102" i="14"/>
  <c r="K102" i="14"/>
  <c r="J102" i="14"/>
  <c r="G59" i="14" l="1"/>
  <c r="J58" i="14"/>
  <c r="I58" i="14"/>
  <c r="I74" i="14"/>
  <c r="H74" i="14"/>
  <c r="G74" i="14"/>
  <c r="H71" i="14"/>
  <c r="G71" i="14"/>
  <c r="K41" i="14"/>
  <c r="J41" i="14"/>
  <c r="J42" i="14" s="1"/>
  <c r="K47" i="14"/>
  <c r="P55" i="14"/>
  <c r="O55" i="14"/>
  <c r="N55" i="14"/>
  <c r="M55" i="14"/>
  <c r="L55" i="14"/>
  <c r="K55" i="14"/>
  <c r="J55" i="14"/>
  <c r="I55" i="14"/>
  <c r="H55" i="14"/>
  <c r="G55" i="14"/>
  <c r="L64" i="14"/>
  <c r="M64" i="14" s="1"/>
  <c r="M63" i="14" s="1"/>
  <c r="K64" i="14"/>
  <c r="J64" i="14"/>
  <c r="I44" i="14"/>
  <c r="K53" i="14"/>
  <c r="J53" i="14"/>
  <c r="K58" i="14"/>
  <c r="H42" i="14"/>
  <c r="G42" i="14"/>
  <c r="Q59" i="14"/>
  <c r="P59" i="14"/>
  <c r="O59" i="14"/>
  <c r="N59" i="14"/>
  <c r="M59" i="14"/>
  <c r="L59" i="14"/>
  <c r="K59" i="14"/>
  <c r="J59" i="14"/>
  <c r="I59" i="14"/>
  <c r="H59" i="14"/>
  <c r="S59" i="14"/>
  <c r="G53" i="14"/>
  <c r="H53" i="14"/>
  <c r="I53" i="14"/>
  <c r="H44" i="14"/>
  <c r="I42" i="14"/>
  <c r="I71" i="14"/>
  <c r="W8" i="15"/>
  <c r="K74" i="14" l="1"/>
  <c r="L63" i="14"/>
  <c r="L53" i="14" s="1"/>
  <c r="M53" i="14"/>
  <c r="J74" i="14"/>
  <c r="J73" i="14" s="1"/>
  <c r="J70" i="14" s="1"/>
  <c r="M23" i="14"/>
  <c r="O50" i="14" l="1"/>
  <c r="N50" i="14"/>
  <c r="F8" i="17"/>
  <c r="T21" i="15"/>
  <c r="N21" i="15"/>
  <c r="G25" i="14"/>
  <c r="G22" i="14"/>
  <c r="I21" i="15"/>
  <c r="H21" i="15"/>
  <c r="P13" i="15"/>
  <c r="V13" i="15"/>
  <c r="U13" i="15"/>
  <c r="S13" i="15"/>
  <c r="R13" i="15"/>
  <c r="O13" i="15"/>
  <c r="V11" i="15"/>
  <c r="U11" i="15"/>
  <c r="S11" i="15"/>
  <c r="R11" i="15"/>
  <c r="P11" i="15"/>
  <c r="O11" i="15"/>
  <c r="W13" i="15"/>
  <c r="W11" i="15"/>
  <c r="W12" i="15"/>
  <c r="L12" i="15"/>
  <c r="Z11" i="15"/>
  <c r="AA11" i="15"/>
  <c r="Y11" i="15"/>
  <c r="X11" i="15"/>
  <c r="Z10" i="15"/>
  <c r="Y10" i="15"/>
  <c r="X10" i="15"/>
  <c r="W10" i="15"/>
  <c r="L10" i="15"/>
  <c r="Y9" i="15"/>
  <c r="X9" i="15"/>
  <c r="W9" i="15"/>
  <c r="L9" i="15"/>
  <c r="Y8" i="15"/>
  <c r="X8" i="15"/>
  <c r="F8" i="15"/>
  <c r="R7" i="15"/>
  <c r="H82" i="14"/>
  <c r="G19" i="14" l="1"/>
  <c r="G27" i="14" s="1"/>
  <c r="B16" i="17"/>
  <c r="M8" i="15" l="1"/>
  <c r="N26" i="15" s="1"/>
  <c r="M27" i="18"/>
  <c r="L27" i="18"/>
  <c r="K27" i="18"/>
  <c r="J27" i="18"/>
  <c r="I27" i="18"/>
  <c r="E39" i="18"/>
  <c r="C23" i="18" a="1"/>
  <c r="C23" i="18" s="1"/>
  <c r="D162" i="14" l="1"/>
  <c r="D163" i="14" s="1"/>
  <c r="D164" i="14" s="1"/>
  <c r="D165" i="14" s="1"/>
  <c r="D166" i="14" s="1"/>
  <c r="D167" i="14" s="1"/>
  <c r="D168" i="14" s="1"/>
  <c r="D169" i="14" s="1"/>
  <c r="D170" i="14" s="1"/>
  <c r="D171" i="14" s="1"/>
  <c r="D172" i="14" s="1"/>
  <c r="E160" i="14"/>
  <c r="D149" i="14"/>
  <c r="D150" i="14" s="1"/>
  <c r="D151" i="14" s="1"/>
  <c r="D152" i="14" s="1"/>
  <c r="D153" i="14" s="1"/>
  <c r="D154" i="14" s="1"/>
  <c r="D155" i="14" s="1"/>
  <c r="D156" i="14" s="1"/>
  <c r="D157" i="14" s="1"/>
  <c r="D148" i="14"/>
  <c r="F160" i="14"/>
  <c r="D120" i="14"/>
  <c r="D121" i="14" s="1"/>
  <c r="D122" i="14" s="1"/>
  <c r="D123" i="14" s="1"/>
  <c r="D124" i="14" s="1"/>
  <c r="D125" i="14" s="1"/>
  <c r="D126" i="14" s="1"/>
  <c r="D127" i="14" s="1"/>
  <c r="D128" i="14" s="1"/>
  <c r="D119" i="14"/>
  <c r="D134" i="14"/>
  <c r="D135" i="14" s="1"/>
  <c r="D136" i="14" s="1"/>
  <c r="D137" i="14" s="1"/>
  <c r="D138" i="14" s="1"/>
  <c r="D139" i="14" s="1"/>
  <c r="D140" i="14" s="1"/>
  <c r="D141" i="14" s="1"/>
  <c r="D142" i="14" s="1"/>
  <c r="D143" i="14" s="1"/>
  <c r="R32" i="14"/>
  <c r="M32" i="14"/>
  <c r="M29" i="14"/>
  <c r="R29" i="14" s="1"/>
  <c r="M27" i="14"/>
  <c r="R27" i="14" s="1"/>
  <c r="M26" i="14"/>
  <c r="R26" i="14" s="1"/>
  <c r="M24" i="14"/>
  <c r="R24" i="14" s="1"/>
  <c r="C39" i="15"/>
  <c r="B39" i="15"/>
  <c r="C31" i="17"/>
  <c r="C30" i="17"/>
  <c r="K21" i="17"/>
  <c r="K20" i="17"/>
  <c r="K19" i="17"/>
  <c r="K18" i="17"/>
  <c r="K17" i="17"/>
  <c r="G19" i="17"/>
  <c r="G18" i="17"/>
  <c r="G17" i="17"/>
  <c r="D17" i="17"/>
  <c r="K12" i="17"/>
  <c r="K16" i="17" s="1"/>
  <c r="I12" i="17"/>
  <c r="G12" i="17"/>
  <c r="G16" i="17" s="1"/>
  <c r="E12" i="17"/>
  <c r="E21" i="17" s="1"/>
  <c r="D12" i="17"/>
  <c r="B12" i="17"/>
  <c r="B18" i="17" s="1"/>
  <c r="C25" i="17"/>
  <c r="B25" i="17"/>
  <c r="K21" i="15"/>
  <c r="E21" i="15"/>
  <c r="D21" i="15"/>
  <c r="C21" i="15"/>
  <c r="B21" i="15"/>
  <c r="D25" i="17" s="1"/>
  <c r="L35" i="17" s="1"/>
  <c r="J21" i="15"/>
  <c r="M28" i="14"/>
  <c r="R28" i="14" s="1"/>
  <c r="P98" i="14"/>
  <c r="I82" i="14"/>
  <c r="G82" i="14"/>
  <c r="P71" i="14"/>
  <c r="Q71" i="14" s="1"/>
  <c r="O68" i="14"/>
  <c r="P68" i="14"/>
  <c r="Q68" i="14"/>
  <c r="R68" i="14"/>
  <c r="S68" i="14"/>
  <c r="N68" i="14"/>
  <c r="P50" i="14"/>
  <c r="Q50" i="14"/>
  <c r="R50" i="14"/>
  <c r="S50" i="14"/>
  <c r="O52" i="14"/>
  <c r="P52" i="14"/>
  <c r="Q52" i="14"/>
  <c r="R52" i="14"/>
  <c r="S52" i="14"/>
  <c r="N52" i="14"/>
  <c r="L38" i="14"/>
  <c r="M38" i="14" s="1"/>
  <c r="N38" i="14" s="1"/>
  <c r="O38" i="14" s="1"/>
  <c r="P38" i="14" s="1"/>
  <c r="Q38" i="14" s="1"/>
  <c r="R38" i="14" s="1"/>
  <c r="S38" i="14" s="1"/>
  <c r="J77" i="14"/>
  <c r="K77" i="14" s="1"/>
  <c r="L77" i="14" s="1"/>
  <c r="M77" i="14" s="1"/>
  <c r="N77" i="14" s="1"/>
  <c r="O77" i="14" s="1"/>
  <c r="P77" i="14" s="1"/>
  <c r="Q77" i="14" s="1"/>
  <c r="R77" i="14" s="1"/>
  <c r="S77" i="14" s="1"/>
  <c r="H77" i="14"/>
  <c r="G77" i="14" s="1"/>
  <c r="E30" i="17" l="1"/>
  <c r="G146" i="14"/>
  <c r="R23" i="14"/>
  <c r="F21" i="15"/>
  <c r="I30" i="17" s="1"/>
  <c r="G88" i="14"/>
  <c r="K31" i="17"/>
  <c r="K23" i="17"/>
  <c r="K30" i="17"/>
  <c r="L21" i="15"/>
  <c r="H23" i="18"/>
  <c r="M25" i="14"/>
  <c r="R25" i="14" s="1"/>
  <c r="G30" i="17"/>
  <c r="D18" i="17"/>
  <c r="E16" i="17"/>
  <c r="I16" i="17"/>
  <c r="B17" i="17"/>
  <c r="E17" i="17"/>
  <c r="G21" i="17"/>
  <c r="B19" i="17"/>
  <c r="E19" i="17"/>
  <c r="G20" i="17"/>
  <c r="B20" i="17"/>
  <c r="E20" i="17"/>
  <c r="D19" i="17"/>
  <c r="D20" i="17"/>
  <c r="D21" i="17"/>
  <c r="E18" i="17"/>
  <c r="B21" i="17"/>
  <c r="Q98" i="14"/>
  <c r="R71" i="14"/>
  <c r="H111" i="14"/>
  <c r="I111" i="14"/>
  <c r="Q21" i="15" s="1"/>
  <c r="Q55" i="14"/>
  <c r="R55" i="14"/>
  <c r="S55" i="14"/>
  <c r="L16" i="17" l="1"/>
  <c r="H146" i="14"/>
  <c r="G160" i="14"/>
  <c r="E23" i="17"/>
  <c r="E30" i="18" a="1"/>
  <c r="E30" i="18" s="1"/>
  <c r="F39" i="15"/>
  <c r="T39" i="15"/>
  <c r="G111" i="14"/>
  <c r="H112" i="14" s="1"/>
  <c r="I41" i="18"/>
  <c r="M41" i="18"/>
  <c r="L41" i="18"/>
  <c r="J41" i="18"/>
  <c r="K41" i="18"/>
  <c r="K23" i="18" s="1"/>
  <c r="M21" i="15"/>
  <c r="N39" i="15" s="1"/>
  <c r="H16" i="17"/>
  <c r="G23" i="17"/>
  <c r="I112" i="14"/>
  <c r="F16" i="17"/>
  <c r="J30" i="17"/>
  <c r="F30" i="17"/>
  <c r="H30" i="17"/>
  <c r="D23" i="17"/>
  <c r="J16" i="17"/>
  <c r="S102" i="14"/>
  <c r="P102" i="14"/>
  <c r="Q102" i="14"/>
  <c r="R102" i="14"/>
  <c r="S94" i="14"/>
  <c r="P94" i="14"/>
  <c r="R94" i="14"/>
  <c r="Q94" i="14"/>
  <c r="R98" i="14"/>
  <c r="I88" i="14"/>
  <c r="I90" i="14" s="1"/>
  <c r="I108" i="14" s="1"/>
  <c r="G90" i="14"/>
  <c r="G108" i="14" s="1"/>
  <c r="H88" i="14"/>
  <c r="H90" i="14" s="1"/>
  <c r="H108" i="14" s="1"/>
  <c r="O74" i="14"/>
  <c r="M74" i="14"/>
  <c r="Q74" i="14"/>
  <c r="S71" i="14"/>
  <c r="K73" i="14"/>
  <c r="K70" i="14" s="1"/>
  <c r="K82" i="14" s="1"/>
  <c r="L74" i="14"/>
  <c r="P74" i="14"/>
  <c r="R74" i="14"/>
  <c r="N74" i="14"/>
  <c r="S74" i="14"/>
  <c r="K42" i="14"/>
  <c r="K43" i="14" s="1"/>
  <c r="K79" i="14" s="1"/>
  <c r="P21" i="15" s="1"/>
  <c r="H109" i="14" l="1"/>
  <c r="I109" i="14"/>
  <c r="I146" i="14"/>
  <c r="H160" i="14"/>
  <c r="J23" i="18"/>
  <c r="I23" i="18"/>
  <c r="M23" i="18"/>
  <c r="L23" i="18"/>
  <c r="P39" i="15"/>
  <c r="M39" i="15"/>
  <c r="J82" i="14"/>
  <c r="Y21" i="15"/>
  <c r="H24" i="18"/>
  <c r="Q39" i="15"/>
  <c r="L39" i="17"/>
  <c r="K95" i="14"/>
  <c r="S98" i="14"/>
  <c r="K67" i="14"/>
  <c r="K81" i="14" s="1"/>
  <c r="K84" i="14" s="1"/>
  <c r="V21" i="15" s="1"/>
  <c r="J43" i="14"/>
  <c r="J44" i="14" l="1"/>
  <c r="J79" i="14"/>
  <c r="J146" i="14"/>
  <c r="I160" i="14"/>
  <c r="M42" i="18"/>
  <c r="M24" i="18" s="1"/>
  <c r="L42" i="18"/>
  <c r="L24" i="18" s="1"/>
  <c r="J42" i="18"/>
  <c r="J24" i="18" s="1"/>
  <c r="I42" i="18"/>
  <c r="I24" i="18" s="1"/>
  <c r="K42" i="18"/>
  <c r="K24" i="18" s="1"/>
  <c r="K111" i="14"/>
  <c r="S21" i="15" s="1"/>
  <c r="V39" i="15"/>
  <c r="K85" i="14"/>
  <c r="K88" i="14"/>
  <c r="K44" i="14"/>
  <c r="J67" i="14" l="1"/>
  <c r="J101" i="14"/>
  <c r="J103" i="14" s="1"/>
  <c r="K146" i="14"/>
  <c r="J160" i="14"/>
  <c r="O21" i="15"/>
  <c r="AA21" i="15"/>
  <c r="S39" i="15"/>
  <c r="M11" i="14" s="1"/>
  <c r="J95" i="14"/>
  <c r="K101" i="14"/>
  <c r="K103" i="14" s="1"/>
  <c r="K90" i="14"/>
  <c r="K97" i="14"/>
  <c r="J81" i="14"/>
  <c r="J84" i="14" s="1"/>
  <c r="J111" i="14" l="1"/>
  <c r="J86" i="14"/>
  <c r="L146" i="14"/>
  <c r="K160" i="14"/>
  <c r="J85" i="14"/>
  <c r="U21" i="15"/>
  <c r="U39" i="15" s="1"/>
  <c r="W21" i="15"/>
  <c r="O39" i="15"/>
  <c r="R21" i="15"/>
  <c r="R39" i="15" s="1"/>
  <c r="J88" i="14"/>
  <c r="J97" i="14" s="1"/>
  <c r="K86" i="14"/>
  <c r="M146" i="14" l="1"/>
  <c r="L160" i="14"/>
  <c r="J112" i="14"/>
  <c r="K112" i="14"/>
  <c r="H12" i="18" a="1"/>
  <c r="Z21" i="15"/>
  <c r="X21" i="15"/>
  <c r="J90" i="14"/>
  <c r="J108" i="14" s="1"/>
  <c r="J109" i="14" s="1"/>
  <c r="N146" i="14" l="1"/>
  <c r="M160" i="14"/>
  <c r="H12" i="18"/>
  <c r="O146" i="14" l="1"/>
  <c r="O160" i="14" s="1"/>
  <c r="N160" i="14"/>
  <c r="C31" i="15" l="1"/>
  <c r="B31" i="15"/>
  <c r="C30" i="15"/>
  <c r="B30" i="15"/>
  <c r="C29" i="15"/>
  <c r="B29" i="15"/>
  <c r="C28" i="15"/>
  <c r="B28" i="15"/>
  <c r="C27" i="15"/>
  <c r="B27" i="15"/>
  <c r="C26" i="15"/>
  <c r="B26" i="15"/>
  <c r="Y13" i="15"/>
  <c r="Z13" i="15"/>
  <c r="F13" i="15"/>
  <c r="I21" i="17" l="1"/>
  <c r="L21" i="17" s="1"/>
  <c r="M13" i="15"/>
  <c r="V31" i="15"/>
  <c r="F31" i="15"/>
  <c r="T31" i="15"/>
  <c r="U31" i="15"/>
  <c r="X13" i="15"/>
  <c r="AA13" i="15"/>
  <c r="H21" i="17" l="1"/>
  <c r="F21" i="17"/>
  <c r="J21" i="17"/>
  <c r="O31" i="15"/>
  <c r="N31" i="15"/>
  <c r="S31" i="15"/>
  <c r="R31" i="15"/>
  <c r="M31" i="15"/>
  <c r="Q31" i="15"/>
  <c r="P31" i="15"/>
  <c r="AA12" i="15"/>
  <c r="Z12" i="15"/>
  <c r="Y12" i="15"/>
  <c r="X12" i="15"/>
  <c r="F9" i="15"/>
  <c r="F11" i="15"/>
  <c r="T29" i="15" s="1"/>
  <c r="F12" i="15"/>
  <c r="T30" i="15" s="1"/>
  <c r="F10" i="15"/>
  <c r="I20" i="17" l="1"/>
  <c r="H20" i="17" s="1"/>
  <c r="M12" i="15"/>
  <c r="I19" i="17"/>
  <c r="J19" i="17" s="1"/>
  <c r="M11" i="15"/>
  <c r="I18" i="17"/>
  <c r="F18" i="17" s="1"/>
  <c r="M10" i="15"/>
  <c r="I17" i="17"/>
  <c r="M9" i="15"/>
  <c r="F26" i="15"/>
  <c r="F30" i="15"/>
  <c r="V30" i="15"/>
  <c r="U30" i="15"/>
  <c r="F27" i="15"/>
  <c r="V27" i="15"/>
  <c r="U27" i="15"/>
  <c r="T27" i="15"/>
  <c r="V28" i="15"/>
  <c r="U28" i="15"/>
  <c r="T28" i="15"/>
  <c r="F28" i="15"/>
  <c r="F29" i="15"/>
  <c r="M15" i="15" l="1"/>
  <c r="J20" i="17"/>
  <c r="F20" i="17"/>
  <c r="L20" i="17"/>
  <c r="F19" i="17"/>
  <c r="H19" i="17"/>
  <c r="L19" i="17"/>
  <c r="I23" i="17"/>
  <c r="H18" i="17"/>
  <c r="L18" i="17"/>
  <c r="J18" i="17"/>
  <c r="H17" i="17"/>
  <c r="F17" i="17"/>
  <c r="L17" i="17"/>
  <c r="J17" i="17"/>
  <c r="S30" i="15"/>
  <c r="R30" i="15"/>
  <c r="Q30" i="15"/>
  <c r="P30" i="15"/>
  <c r="O30" i="15"/>
  <c r="M30" i="15"/>
  <c r="N30" i="15"/>
  <c r="B17" i="18"/>
  <c r="B16" i="18"/>
  <c r="B14" i="18"/>
  <c r="B13" i="18"/>
  <c r="B20" i="18"/>
  <c r="B19" i="18"/>
  <c r="L23" i="17" l="1"/>
  <c r="D30" i="17" s="1"/>
  <c r="L30" i="17" s="1"/>
  <c r="L33" i="17" s="1"/>
  <c r="L37" i="17" s="1"/>
  <c r="J23" i="17"/>
  <c r="J31" i="17" s="1"/>
  <c r="I31" i="17" s="1"/>
  <c r="F23" i="17"/>
  <c r="H23" i="17"/>
  <c r="J25" i="16"/>
  <c r="I25" i="16"/>
  <c r="J18" i="16"/>
  <c r="I18" i="16"/>
  <c r="J17" i="16"/>
  <c r="I17" i="16"/>
  <c r="G16" i="16"/>
  <c r="I16" i="16" s="1"/>
  <c r="J24" i="16"/>
  <c r="I24" i="16"/>
  <c r="J23" i="16"/>
  <c r="I23" i="16"/>
  <c r="J21" i="16"/>
  <c r="I21" i="16"/>
  <c r="J20" i="16"/>
  <c r="I20" i="16"/>
  <c r="J19" i="16"/>
  <c r="I19" i="16"/>
  <c r="J15" i="16"/>
  <c r="I15" i="16"/>
  <c r="J14" i="16"/>
  <c r="I14" i="16"/>
  <c r="F13" i="16"/>
  <c r="J13" i="16" s="1"/>
  <c r="I12" i="16"/>
  <c r="H12" i="16"/>
  <c r="J12" i="16" s="1"/>
  <c r="H11" i="16"/>
  <c r="J11" i="16" s="1"/>
  <c r="G11" i="16"/>
  <c r="I11" i="16" s="1"/>
  <c r="J22" i="16"/>
  <c r="I22" i="16"/>
  <c r="V29" i="15"/>
  <c r="U29" i="15"/>
  <c r="AA10" i="15"/>
  <c r="AA9" i="15"/>
  <c r="Z9" i="15"/>
  <c r="H31" i="17" l="1"/>
  <c r="G31" i="17" s="1"/>
  <c r="D31" i="17"/>
  <c r="H16" i="16"/>
  <c r="J16" i="16" s="1"/>
  <c r="O27" i="15"/>
  <c r="I13" i="16"/>
  <c r="F31" i="17" l="1"/>
  <c r="E31" i="17" s="1"/>
  <c r="L31" i="17" s="1"/>
  <c r="L34" i="17" s="1"/>
  <c r="L38" i="17" s="1"/>
  <c r="L41" i="17" s="1"/>
  <c r="N27" i="15"/>
  <c r="M27" i="15"/>
  <c r="S27" i="15"/>
  <c r="R27" i="15"/>
  <c r="Q27" i="15"/>
  <c r="P27" i="15"/>
  <c r="S29" i="15"/>
  <c r="M29" i="15"/>
  <c r="P29" i="15"/>
  <c r="O29" i="15"/>
  <c r="N29" i="15"/>
  <c r="R29" i="15"/>
  <c r="Q29" i="15"/>
  <c r="B27" i="17" l="1"/>
  <c r="B4" i="16" l="1"/>
  <c r="B3" i="17"/>
  <c r="T25" i="15"/>
  <c r="Q25" i="15"/>
  <c r="N25" i="15"/>
  <c r="Y7" i="15"/>
  <c r="T7" i="15"/>
  <c r="U7" i="15" l="1"/>
  <c r="R25" i="15"/>
  <c r="Z7" i="15"/>
  <c r="U25" i="15"/>
  <c r="O25" i="15"/>
  <c r="H31" i="16"/>
  <c r="G31" i="16"/>
  <c r="H30" i="16"/>
  <c r="G30" i="16"/>
  <c r="H29" i="16"/>
  <c r="G29" i="16"/>
  <c r="H28" i="16"/>
  <c r="G28" i="16"/>
  <c r="H27" i="16"/>
  <c r="G27" i="16"/>
  <c r="F31" i="16"/>
  <c r="F30" i="16"/>
  <c r="F29" i="16"/>
  <c r="F28" i="16"/>
  <c r="F27" i="16"/>
  <c r="P25" i="15" l="1"/>
  <c r="S7" i="15"/>
  <c r="AA7" i="15"/>
  <c r="S25" i="15"/>
  <c r="V25" i="15"/>
  <c r="V7" i="15"/>
  <c r="B7" i="16" l="1"/>
  <c r="V19" i="15" l="1"/>
  <c r="V18" i="15"/>
  <c r="S16" i="15"/>
  <c r="S15" i="15"/>
  <c r="V16" i="15"/>
  <c r="S19" i="15"/>
  <c r="P18" i="15"/>
  <c r="AA8" i="15"/>
  <c r="Z8" i="15"/>
  <c r="P19" i="15" l="1"/>
  <c r="V17" i="15"/>
  <c r="S17" i="15"/>
  <c r="P15" i="15"/>
  <c r="S18" i="15"/>
  <c r="M26" i="15"/>
  <c r="P16" i="15"/>
  <c r="P17" i="15"/>
  <c r="V15" i="15"/>
  <c r="Q7" i="15"/>
  <c r="AA19" i="15" l="1"/>
  <c r="AA18" i="15"/>
  <c r="AA17" i="15"/>
  <c r="AA16" i="15"/>
  <c r="AA15" i="15"/>
  <c r="V26" i="15" l="1"/>
  <c r="U26" i="15"/>
  <c r="T26" i="15"/>
  <c r="R28" i="15" l="1"/>
  <c r="Q28" i="15"/>
  <c r="P28" i="15"/>
  <c r="N28" i="15"/>
  <c r="M28" i="15"/>
  <c r="O28" i="15"/>
  <c r="S28" i="15"/>
  <c r="P26" i="15"/>
  <c r="Q26" i="15"/>
  <c r="R26" i="15"/>
  <c r="O26" i="15"/>
  <c r="S26" i="15"/>
  <c r="V33" i="15"/>
  <c r="V36" i="15"/>
  <c r="V37" i="15"/>
  <c r="V35" i="15"/>
  <c r="V34" i="15"/>
  <c r="P35" i="15" l="1"/>
  <c r="S36" i="15"/>
  <c r="P33" i="15"/>
  <c r="P36" i="15"/>
  <c r="P34" i="15"/>
  <c r="P37" i="15"/>
  <c r="S34" i="15"/>
  <c r="S33" i="15"/>
  <c r="S37" i="15"/>
  <c r="S35" i="15"/>
  <c r="M10" i="14" s="1"/>
  <c r="I5" i="18" l="1"/>
  <c r="C5" i="18"/>
  <c r="J27" i="16" l="1"/>
  <c r="J28" i="16"/>
  <c r="J29" i="16"/>
  <c r="J30" i="16"/>
  <c r="J31" i="16"/>
  <c r="I31" i="16"/>
  <c r="I30" i="16"/>
  <c r="I29" i="16"/>
  <c r="I28" i="16"/>
  <c r="I27" i="16"/>
  <c r="F33" i="15"/>
  <c r="M33" i="15"/>
  <c r="F34" i="15"/>
  <c r="M34" i="15"/>
  <c r="F35" i="15"/>
  <c r="M35" i="15"/>
  <c r="F36" i="15"/>
  <c r="M36" i="15"/>
  <c r="F37" i="15"/>
  <c r="M37" i="15"/>
  <c r="F15" i="15"/>
  <c r="N15" i="15"/>
  <c r="O15" i="15"/>
  <c r="Q15" i="15"/>
  <c r="R15" i="15"/>
  <c r="T15" i="15"/>
  <c r="U15" i="15"/>
  <c r="F16" i="15"/>
  <c r="M16" i="15"/>
  <c r="N16" i="15"/>
  <c r="O16" i="15"/>
  <c r="Q16" i="15"/>
  <c r="R16" i="15"/>
  <c r="T16" i="15"/>
  <c r="U16" i="15"/>
  <c r="F17" i="15"/>
  <c r="M17" i="15"/>
  <c r="N17" i="15"/>
  <c r="O17" i="15"/>
  <c r="Q17" i="15"/>
  <c r="R17" i="15"/>
  <c r="T17" i="15"/>
  <c r="U17" i="15"/>
  <c r="F18" i="15"/>
  <c r="M18" i="15"/>
  <c r="N18" i="15"/>
  <c r="O18" i="15"/>
  <c r="Q18" i="15"/>
  <c r="R18" i="15"/>
  <c r="T18" i="15"/>
  <c r="U18" i="15"/>
  <c r="F19" i="15"/>
  <c r="M19" i="15"/>
  <c r="N19" i="15"/>
  <c r="O19" i="15"/>
  <c r="Q19" i="15"/>
  <c r="R19" i="15"/>
  <c r="T19" i="15"/>
  <c r="U19" i="15"/>
  <c r="D19" i="15"/>
  <c r="D18" i="15"/>
  <c r="D17" i="15"/>
  <c r="D16" i="15"/>
  <c r="D15" i="15"/>
  <c r="B3" i="18" l="1"/>
  <c r="U35" i="15"/>
  <c r="Z15" i="15"/>
  <c r="Y15" i="15"/>
  <c r="X15" i="15"/>
  <c r="W16" i="15"/>
  <c r="Q33" i="15"/>
  <c r="W19" i="15"/>
  <c r="X19" i="15"/>
  <c r="R33" i="15"/>
  <c r="N33" i="15"/>
  <c r="T33" i="15"/>
  <c r="W15" i="15"/>
  <c r="X17" i="15"/>
  <c r="Z18" i="15"/>
  <c r="O33" i="15"/>
  <c r="U33" i="15"/>
  <c r="Y16" i="15"/>
  <c r="U37" i="15"/>
  <c r="U36" i="15"/>
  <c r="U34" i="15"/>
  <c r="Z16" i="15"/>
  <c r="Y18" i="15"/>
  <c r="X18" i="15"/>
  <c r="X16" i="15"/>
  <c r="T37" i="15"/>
  <c r="T36" i="15"/>
  <c r="T35" i="15"/>
  <c r="T34" i="15"/>
  <c r="Y19" i="15"/>
  <c r="Y17" i="15"/>
  <c r="W18" i="15"/>
  <c r="R37" i="15"/>
  <c r="R36" i="15"/>
  <c r="R35" i="15"/>
  <c r="R34" i="15"/>
  <c r="Z19" i="15"/>
  <c r="Z17" i="15"/>
  <c r="Q37" i="15"/>
  <c r="Q36" i="15"/>
  <c r="Q35" i="15"/>
  <c r="Q34" i="15"/>
  <c r="O37" i="15"/>
  <c r="O36" i="15"/>
  <c r="O35" i="15"/>
  <c r="O34" i="15"/>
  <c r="N37" i="15"/>
  <c r="N36" i="15"/>
  <c r="N35" i="15"/>
  <c r="N34" i="15"/>
  <c r="W17" i="15"/>
  <c r="C12" i="18" l="1" a="1"/>
  <c r="C12" i="18" l="1"/>
  <c r="M31" i="18" s="1"/>
  <c r="M12" i="18" s="1"/>
  <c r="I31" i="18"/>
  <c r="E29" i="18" s="1"/>
  <c r="L32" i="18"/>
  <c r="L13" i="18" s="1"/>
  <c r="M36" i="18"/>
  <c r="M17" i="18" s="1"/>
  <c r="L38" i="18"/>
  <c r="L19" i="18" s="1"/>
  <c r="J39" i="18"/>
  <c r="J20" i="18" s="1"/>
  <c r="J32" i="18"/>
  <c r="J13" i="18" s="1"/>
  <c r="L33" i="18"/>
  <c r="L14" i="18" s="1"/>
  <c r="J37" i="18"/>
  <c r="J18" i="18" s="1"/>
  <c r="I34" i="18"/>
  <c r="I15" i="18" s="1"/>
  <c r="K31" i="18"/>
  <c r="K12" i="18" s="1"/>
  <c r="M33" i="18"/>
  <c r="M14" i="18" s="1"/>
  <c r="M35" i="18"/>
  <c r="M16" i="18" s="1"/>
  <c r="L37" i="18"/>
  <c r="L18" i="18" s="1"/>
  <c r="J38" i="18"/>
  <c r="J19" i="18" s="1"/>
  <c r="I33" i="18"/>
  <c r="I14" i="18" s="1"/>
  <c r="M32" i="18"/>
  <c r="M13" i="18" s="1"/>
  <c r="L34" i="18"/>
  <c r="L15" i="18" s="1"/>
  <c r="J34" i="18"/>
  <c r="J15" i="18" s="1"/>
  <c r="J36" i="18"/>
  <c r="J17" i="18" s="1"/>
  <c r="I32" i="18"/>
  <c r="I13" i="18" s="1"/>
  <c r="K36" i="18"/>
  <c r="K17" i="18" s="1"/>
  <c r="K38" i="18"/>
  <c r="K19" i="18" s="1"/>
  <c r="J33" i="18"/>
  <c r="J14" i="18" s="1"/>
  <c r="I39" i="18"/>
  <c r="I20" i="18" s="1"/>
  <c r="L36" i="18"/>
  <c r="L17" i="18" s="1"/>
  <c r="I36" i="18"/>
  <c r="I17" i="18" s="1"/>
  <c r="I37" i="18"/>
  <c r="I18" i="18" s="1"/>
  <c r="L31" i="18"/>
  <c r="L12" i="18" s="1"/>
  <c r="L35" i="18"/>
  <c r="L16" i="18" s="1"/>
  <c r="I38" i="18"/>
  <c r="I19" i="18" s="1"/>
  <c r="M39" i="18"/>
  <c r="M20" i="18" s="1"/>
  <c r="K37" i="18"/>
  <c r="K18" i="18" s="1"/>
  <c r="K32" i="18"/>
  <c r="K13" i="18" s="1"/>
  <c r="K39" i="18"/>
  <c r="K20" i="18" s="1"/>
  <c r="J31" i="18"/>
  <c r="J12" i="18" s="1"/>
  <c r="K33" i="18"/>
  <c r="K14" i="18" s="1"/>
  <c r="M37" i="18"/>
  <c r="M18" i="18" s="1"/>
  <c r="J35" i="18"/>
  <c r="J16" i="18" s="1"/>
  <c r="K34" i="18"/>
  <c r="K15" i="18" s="1"/>
  <c r="M34" i="18"/>
  <c r="M15" i="18" s="1"/>
  <c r="L39" i="18"/>
  <c r="L20" i="18" s="1"/>
  <c r="M38" i="18"/>
  <c r="M19" i="18" s="1"/>
  <c r="K35" i="18"/>
  <c r="K16" i="18" s="1"/>
  <c r="I35" i="18"/>
  <c r="I16" i="18" s="1"/>
  <c r="L58" i="14"/>
  <c r="L105" i="14" s="1"/>
  <c r="K105" i="14"/>
  <c r="K108" i="14" s="1"/>
  <c r="I12" i="18" l="1"/>
  <c r="E37" i="18"/>
  <c r="J105" i="14"/>
  <c r="K106" i="14"/>
  <c r="E41" i="18" l="1"/>
  <c r="E42" i="18" s="1"/>
  <c r="J106" i="14"/>
  <c r="K109" i="14"/>
  <c r="S64" i="14" l="1"/>
  <c r="S63" i="14" s="1"/>
  <c r="P64" i="14"/>
  <c r="P63" i="14" s="1"/>
  <c r="L73" i="14"/>
  <c r="L70" i="14" s="1"/>
  <c r="L82" i="14" s="1"/>
  <c r="Q64" i="14" l="1"/>
  <c r="Q63" i="14" s="1"/>
  <c r="N64" i="14"/>
  <c r="N63" i="14" s="1"/>
  <c r="N53" i="14" s="1"/>
  <c r="O64" i="14"/>
  <c r="O63" i="14" s="1"/>
  <c r="R64" i="14"/>
  <c r="R63" i="14" s="1"/>
  <c r="M58" i="14"/>
  <c r="M105" i="14" s="1"/>
  <c r="L47" i="14"/>
  <c r="L41" i="14" l="1"/>
  <c r="M93" i="14"/>
  <c r="M47" i="14"/>
  <c r="N58" i="14"/>
  <c r="N105" i="14" s="1"/>
  <c r="M73" i="14"/>
  <c r="M70" i="14" s="1"/>
  <c r="M82" i="14" s="1"/>
  <c r="N93" i="14" l="1"/>
  <c r="O58" i="14"/>
  <c r="O105" i="14" s="1"/>
  <c r="N47" i="14"/>
  <c r="O53" i="14"/>
  <c r="N73" i="14"/>
  <c r="N70" i="14" s="1"/>
  <c r="N82" i="14" s="1"/>
  <c r="L42" i="14"/>
  <c r="L43" i="14" s="1"/>
  <c r="N41" i="14" l="1"/>
  <c r="N48" i="14"/>
  <c r="L44" i="14"/>
  <c r="L79" i="14"/>
  <c r="P58" i="14"/>
  <c r="P105" i="14" s="1"/>
  <c r="P53" i="14"/>
  <c r="O93" i="14"/>
  <c r="O73" i="14"/>
  <c r="O70" i="14" s="1"/>
  <c r="O82" i="14" s="1"/>
  <c r="O47" i="14"/>
  <c r="O41" i="14" l="1"/>
  <c r="O48" i="14"/>
  <c r="M44" i="14"/>
  <c r="P47" i="14"/>
  <c r="P73" i="14"/>
  <c r="P70" i="14" s="1"/>
  <c r="P82" i="14" s="1"/>
  <c r="Q53" i="14"/>
  <c r="Q58" i="14"/>
  <c r="Q105" i="14" s="1"/>
  <c r="P93" i="14"/>
  <c r="L106" i="14"/>
  <c r="L67" i="14"/>
  <c r="L81" i="14" s="1"/>
  <c r="L84" i="14" s="1"/>
  <c r="L101" i="14"/>
  <c r="L95" i="14"/>
  <c r="N42" i="14"/>
  <c r="N43" i="14" s="1"/>
  <c r="N79" i="14" s="1"/>
  <c r="L103" i="14" l="1"/>
  <c r="M67" i="14"/>
  <c r="M81" i="14" s="1"/>
  <c r="M84" i="14" s="1"/>
  <c r="M101" i="14"/>
  <c r="M103" i="14" s="1"/>
  <c r="M106" i="14"/>
  <c r="M95" i="14"/>
  <c r="R53" i="14"/>
  <c r="Q93" i="14"/>
  <c r="Q47" i="14"/>
  <c r="Q73" i="14"/>
  <c r="Q70" i="14" s="1"/>
  <c r="Q82" i="14" s="1"/>
  <c r="R58" i="14"/>
  <c r="R105" i="14" s="1"/>
  <c r="L111" i="14"/>
  <c r="L112" i="14" s="1"/>
  <c r="L88" i="14"/>
  <c r="L97" i="14" s="1"/>
  <c r="L86" i="14"/>
  <c r="L85" i="14"/>
  <c r="N44" i="14"/>
  <c r="N101" i="14"/>
  <c r="O42" i="14"/>
  <c r="O43" i="14" s="1"/>
  <c r="P41" i="14"/>
  <c r="P48" i="14"/>
  <c r="L90" i="14" l="1"/>
  <c r="L108" i="14" s="1"/>
  <c r="L109" i="14"/>
  <c r="N103" i="14"/>
  <c r="N67" i="14"/>
  <c r="N81" i="14" s="1"/>
  <c r="N84" i="14" s="1"/>
  <c r="N106" i="14"/>
  <c r="N95" i="14"/>
  <c r="P42" i="14"/>
  <c r="P43" i="14" s="1"/>
  <c r="O79" i="14"/>
  <c r="O101" i="14" s="1"/>
  <c r="O44" i="14"/>
  <c r="S53" i="14"/>
  <c r="R47" i="14"/>
  <c r="R93" i="14"/>
  <c r="S58" i="14"/>
  <c r="S105" i="14" s="1"/>
  <c r="R73" i="14"/>
  <c r="R70" i="14" s="1"/>
  <c r="R82" i="14" s="1"/>
  <c r="M85" i="14"/>
  <c r="M86" i="14"/>
  <c r="M111" i="14"/>
  <c r="M112" i="14" s="1"/>
  <c r="M88" i="14"/>
  <c r="M97" i="14" s="1"/>
  <c r="Q41" i="14"/>
  <c r="Q48" i="14"/>
  <c r="M90" i="14" l="1"/>
  <c r="M108" i="14" s="1"/>
  <c r="M109" i="14" s="1"/>
  <c r="P44" i="14"/>
  <c r="P79" i="14"/>
  <c r="N111" i="14"/>
  <c r="N112" i="14" s="1"/>
  <c r="N86" i="14"/>
  <c r="N88" i="14"/>
  <c r="N97" i="14" s="1"/>
  <c r="N85" i="14"/>
  <c r="O103" i="14"/>
  <c r="O67" i="14"/>
  <c r="O81" i="14" s="1"/>
  <c r="O84" i="14" s="1"/>
  <c r="O106" i="14"/>
  <c r="O95" i="14"/>
  <c r="R41" i="14"/>
  <c r="R48" i="14"/>
  <c r="S47" i="14"/>
  <c r="S93" i="14"/>
  <c r="S73" i="14"/>
  <c r="S70" i="14" s="1"/>
  <c r="S82" i="14" s="1"/>
  <c r="Q42" i="14"/>
  <c r="Q43" i="14" s="1"/>
  <c r="O85" i="14" l="1"/>
  <c r="O88" i="14"/>
  <c r="O97" i="14" s="1"/>
  <c r="O111" i="14"/>
  <c r="O112" i="14" s="1"/>
  <c r="O86" i="14"/>
  <c r="Q79" i="14"/>
  <c r="Q44" i="14"/>
  <c r="S41" i="14"/>
  <c r="S48" i="14"/>
  <c r="R42" i="14"/>
  <c r="R43" i="14" s="1"/>
  <c r="N90" i="14"/>
  <c r="P67" i="14"/>
  <c r="P81" i="14" s="1"/>
  <c r="P84" i="14" s="1"/>
  <c r="P101" i="14"/>
  <c r="P103" i="14" s="1"/>
  <c r="P106" i="14"/>
  <c r="P95" i="14"/>
  <c r="N108" i="14" l="1"/>
  <c r="N109" i="14" s="1"/>
  <c r="S42" i="14"/>
  <c r="S43" i="14" s="1"/>
  <c r="P88" i="14"/>
  <c r="P97" i="14" s="1"/>
  <c r="P86" i="14"/>
  <c r="P111" i="14"/>
  <c r="P112" i="14" s="1"/>
  <c r="P85" i="14"/>
  <c r="R44" i="14"/>
  <c r="R79" i="14"/>
  <c r="Q101" i="14"/>
  <c r="Q103" i="14" s="1"/>
  <c r="Q67" i="14"/>
  <c r="Q81" i="14" s="1"/>
  <c r="Q84" i="14" s="1"/>
  <c r="Q106" i="14"/>
  <c r="Q95" i="14"/>
  <c r="O90" i="14"/>
  <c r="O108" i="14" l="1"/>
  <c r="O109" i="14" s="1"/>
  <c r="R67" i="14"/>
  <c r="R81" i="14" s="1"/>
  <c r="R84" i="14" s="1"/>
  <c r="R101" i="14"/>
  <c r="R103" i="14" s="1"/>
  <c r="R106" i="14"/>
  <c r="R95" i="14"/>
  <c r="Q88" i="14"/>
  <c r="Q97" i="14" s="1"/>
  <c r="Q85" i="14"/>
  <c r="Q86" i="14"/>
  <c r="Q111" i="14"/>
  <c r="Q112" i="14" s="1"/>
  <c r="P90" i="14"/>
  <c r="P108" i="14" s="1"/>
  <c r="S44" i="14"/>
  <c r="S79" i="14"/>
  <c r="Q90" i="14" l="1"/>
  <c r="Q108" i="14" s="1"/>
  <c r="Q109" i="14" s="1"/>
  <c r="R88" i="14"/>
  <c r="R97" i="14" s="1"/>
  <c r="R85" i="14"/>
  <c r="R86" i="14"/>
  <c r="R111" i="14"/>
  <c r="R112" i="14" s="1"/>
  <c r="P109" i="14"/>
  <c r="S67" i="14"/>
  <c r="S81" i="14" s="1"/>
  <c r="S84" i="14" s="1"/>
  <c r="S101" i="14"/>
  <c r="S103" i="14" s="1"/>
  <c r="S106" i="14"/>
  <c r="S95" i="14"/>
  <c r="R90" i="14" l="1"/>
  <c r="R108" i="14" s="1"/>
  <c r="S85" i="14"/>
  <c r="S86" i="14"/>
  <c r="S111" i="14"/>
  <c r="S112" i="14" s="1"/>
  <c r="S88" i="14"/>
  <c r="S97" i="14" s="1"/>
  <c r="R109" i="14" l="1"/>
  <c r="S90" i="14"/>
  <c r="S108" i="14" l="1"/>
  <c r="R14" i="14" l="1"/>
  <c r="R15" i="14" s="1"/>
  <c r="M13" i="14" s="1"/>
  <c r="R18" i="14"/>
  <c r="M18" i="14"/>
  <c r="S109" i="14"/>
  <c r="R17" i="14" l="1"/>
  <c r="R19" i="14" s="1"/>
  <c r="R30" i="14" s="1"/>
  <c r="R34" i="14" s="1"/>
  <c r="D117" i="14" s="1"/>
  <c r="M14" i="14" l="1"/>
  <c r="M17" i="14" s="1"/>
  <c r="M19" i="14" s="1"/>
  <c r="R21" i="14"/>
  <c r="D132" i="14"/>
  <c r="D146" i="14"/>
  <c r="R35" i="14"/>
  <c r="D160" i="14"/>
  <c r="M30" i="14" l="1"/>
  <c r="M34" i="14" s="1"/>
  <c r="M35" i="14" s="1"/>
  <c r="M21"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Brian DeChesare</author>
    <author>BIWS</author>
  </authors>
  <commentList>
    <comment ref="G11" authorId="0" shapeId="0" xr:uid="{246B8901-ED49-4FE5-8D99-3EA7E804C5F2}">
      <text>
        <r>
          <rPr>
            <b/>
            <sz val="9"/>
            <color indexed="81"/>
            <rFont val="Tahoma"/>
            <family val="2"/>
          </rPr>
          <t>BIWS:</t>
        </r>
        <r>
          <rPr>
            <sz val="9"/>
            <color indexed="81"/>
            <rFont val="Tahoma"/>
            <family val="2"/>
          </rPr>
          <t xml:space="preserve">
Very rough estimate based on the 9-month results here:
https://sec.report/Document/0001104659-21-010548/</t>
        </r>
      </text>
    </comment>
    <comment ref="H11" authorId="0" shapeId="0" xr:uid="{804F6FA4-73B6-409B-88AF-5493966D57B2}">
      <text>
        <r>
          <rPr>
            <b/>
            <sz val="9"/>
            <color indexed="81"/>
            <rFont val="Tahoma"/>
            <family val="2"/>
          </rPr>
          <t>BIWS:</t>
        </r>
        <r>
          <rPr>
            <sz val="9"/>
            <color indexed="81"/>
            <rFont val="Tahoma"/>
            <family val="2"/>
          </rPr>
          <t xml:space="preserve">
Very rough estimate based on the 9-month results here:
https://sec.report/Document/0001104659-21-010548/</t>
        </r>
      </text>
    </comment>
    <comment ref="G12" authorId="0" shapeId="0" xr:uid="{E849B139-DB68-41D4-BE56-183EE7C7E171}">
      <text>
        <r>
          <rPr>
            <b/>
            <sz val="9"/>
            <color indexed="81"/>
            <rFont val="Tahoma"/>
            <family val="2"/>
          </rPr>
          <t>BIWS:</t>
        </r>
        <r>
          <rPr>
            <sz val="9"/>
            <color indexed="81"/>
            <rFont val="Tahoma"/>
            <family val="2"/>
          </rPr>
          <t xml:space="preserve">
Estimates based on:
https://sec.report/Document/0000764065-21-000045/</t>
        </r>
      </text>
    </comment>
    <comment ref="H12" authorId="0" shapeId="0" xr:uid="{583F9011-E18D-48B6-B740-B721A0097335}">
      <text>
        <r>
          <rPr>
            <b/>
            <sz val="9"/>
            <color indexed="81"/>
            <rFont val="Tahoma"/>
            <family val="2"/>
          </rPr>
          <t>BIWS:</t>
        </r>
        <r>
          <rPr>
            <sz val="9"/>
            <color indexed="81"/>
            <rFont val="Tahoma"/>
            <family val="2"/>
          </rPr>
          <t xml:space="preserve">
Estimates based on:
https://sec.report/Document/0000764065-21-000045/</t>
        </r>
      </text>
    </comment>
    <comment ref="F13" authorId="0" shapeId="0" xr:uid="{387E0BB6-0CFC-4A67-BF72-0787178E1830}">
      <text>
        <r>
          <rPr>
            <b/>
            <sz val="9"/>
            <color rgb="FF000000"/>
            <rFont val="Tahoma"/>
            <family val="2"/>
          </rPr>
          <t>BIWS:</t>
        </r>
        <r>
          <rPr>
            <sz val="9"/>
            <color rgb="FF000000"/>
            <rFont val="Tahoma"/>
            <family val="2"/>
          </rPr>
          <t xml:space="preserve">
</t>
        </r>
        <r>
          <rPr>
            <sz val="9"/>
            <color rgb="FF000000"/>
            <rFont val="Tahoma"/>
            <family val="2"/>
          </rPr>
          <t>Excluding Op. Lease Liabilities because it's U.S. GAAP.</t>
        </r>
      </text>
    </comment>
    <comment ref="G16" authorId="0" shapeId="0" xr:uid="{6C89CBD3-E19A-4696-9B46-A0529070594B}">
      <text>
        <r>
          <rPr>
            <b/>
            <sz val="9"/>
            <color indexed="81"/>
            <rFont val="Tahoma"/>
            <family val="2"/>
          </rPr>
          <t>BIWS:</t>
        </r>
        <r>
          <rPr>
            <sz val="9"/>
            <color indexed="81"/>
            <rFont val="Tahoma"/>
            <family val="2"/>
          </rPr>
          <t xml:space="preserve">
Per estimate here:
https://investors.forterrabp.com/node/6816/html</t>
        </r>
      </text>
    </comment>
    <comment ref="H16" authorId="0" shapeId="0" xr:uid="{08845573-4268-4A2C-A76F-B098D157ABF1}">
      <text>
        <r>
          <rPr>
            <b/>
            <sz val="9"/>
            <color indexed="81"/>
            <rFont val="Tahoma"/>
            <family val="2"/>
          </rPr>
          <t>BIWS:</t>
        </r>
        <r>
          <rPr>
            <sz val="9"/>
            <color indexed="81"/>
            <rFont val="Tahoma"/>
            <family val="2"/>
          </rPr>
          <t xml:space="preserve">
Per estimate here (and very rough estimate of 4% of Revenue for D&amp;A based on Parent):
https://investors.forterrabp.com/node/6816/html</t>
        </r>
      </text>
    </comment>
    <comment ref="H18" authorId="0" shapeId="0" xr:uid="{DD88766D-C4D3-4EAC-A114-320D76540C4E}">
      <text>
        <r>
          <rPr>
            <b/>
            <sz val="9"/>
            <color indexed="81"/>
            <rFont val="Tahoma"/>
            <family val="2"/>
          </rPr>
          <t>BIWS:</t>
        </r>
        <r>
          <rPr>
            <sz val="9"/>
            <color indexed="81"/>
            <rFont val="Tahoma"/>
            <family val="2"/>
          </rPr>
          <t xml:space="preserve">
Estimate based on:
https://www.rttnews.com/2383760/nucor-to-acquire-gallatin-steel-for-a-cash-purchase-price-of-770-mln.aspx</t>
        </r>
      </text>
    </comment>
    <comment ref="G22" authorId="1" shapeId="0" xr:uid="{41B37E28-8577-4551-8616-C2DA9E20206A}">
      <text>
        <r>
          <rPr>
            <b/>
            <sz val="9"/>
            <color indexed="81"/>
            <rFont val="Tahoma"/>
            <family val="2"/>
          </rPr>
          <t>BIWS:</t>
        </r>
        <r>
          <rPr>
            <sz val="9"/>
            <color indexed="81"/>
            <rFont val="Tahoma"/>
            <family val="2"/>
          </rPr>
          <t xml:space="preserve">
Estimated based on pro-forma results as if acquisitions had been included from the start of the year.</t>
        </r>
      </text>
    </comment>
    <comment ref="H22" authorId="1" shapeId="0" xr:uid="{F7EED1C3-F480-4FAE-91AE-2D1FD1AF2F73}">
      <text>
        <r>
          <rPr>
            <b/>
            <sz val="9"/>
            <color indexed="81"/>
            <rFont val="Tahoma"/>
            <family val="2"/>
          </rPr>
          <t>BIWS:</t>
        </r>
        <r>
          <rPr>
            <sz val="9"/>
            <color indexed="81"/>
            <rFont val="Tahoma"/>
            <family val="2"/>
          </rPr>
          <t xml:space="preserve">
Estimated based on pro-forma results as if acquisitions had been included from the start of the year.</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<sst xmlns="http://schemas.openxmlformats.org/spreadsheetml/2006/main" count="583" uniqueCount="265">
  <si>
    <t>Projected</t>
  </si>
  <si>
    <t>Effective Tax Rate:</t>
  </si>
  <si>
    <t>Discount Rate (WACC):</t>
  </si>
  <si>
    <t>Company Name:</t>
  </si>
  <si>
    <t>Current Share Price:</t>
  </si>
  <si>
    <t>Implied Enterprise Value:</t>
  </si>
  <si>
    <t>Diluted Shares Outstanding:</t>
  </si>
  <si>
    <t>Implied Share Price from DCF:</t>
  </si>
  <si>
    <t>Premium / (Discount) to Current:</t>
  </si>
  <si>
    <t>Capitalization</t>
  </si>
  <si>
    <t>Share</t>
  </si>
  <si>
    <t>Equity</t>
  </si>
  <si>
    <t>Enterprise</t>
  </si>
  <si>
    <t>Company Name</t>
  </si>
  <si>
    <t>Ticker</t>
  </si>
  <si>
    <t>Price</t>
  </si>
  <si>
    <t>Value</t>
  </si>
  <si>
    <t>LTM</t>
  </si>
  <si>
    <t>Revenue</t>
  </si>
  <si>
    <t>EBITDA</t>
  </si>
  <si>
    <t>Growth</t>
  </si>
  <si>
    <t>EBITDA Margin</t>
  </si>
  <si>
    <t>Enterprise Value /</t>
  </si>
  <si>
    <t>Acquirer Name</t>
  </si>
  <si>
    <t>Target Name</t>
  </si>
  <si>
    <t>Date</t>
  </si>
  <si>
    <t>Valuation Multiples</t>
  </si>
  <si>
    <t>Transaction</t>
  </si>
  <si>
    <t>X</t>
  </si>
  <si>
    <t>Nucor Corporation</t>
  </si>
  <si>
    <t>NUE</t>
  </si>
  <si>
    <t>CMC</t>
  </si>
  <si>
    <t>Reliance Steel &amp; Aluminum Co.</t>
  </si>
  <si>
    <t>Maximum</t>
  </si>
  <si>
    <t>75th Percentile</t>
  </si>
  <si>
    <t>Median</t>
  </si>
  <si>
    <t>25th Percentile</t>
  </si>
  <si>
    <t>Minimum</t>
  </si>
  <si>
    <t>Shares</t>
  </si>
  <si>
    <t>Risk-Free Rate:</t>
  </si>
  <si>
    <t>Equity Risk Premium:</t>
  </si>
  <si>
    <t>Pre-Tax Cost of Debt:</t>
  </si>
  <si>
    <t>Cost of Preferred Stock:</t>
  </si>
  <si>
    <t>Levered</t>
  </si>
  <si>
    <t>Preferred</t>
  </si>
  <si>
    <t>Unlevered</t>
  </si>
  <si>
    <t>Name</t>
  </si>
  <si>
    <t>Beta</t>
  </si>
  <si>
    <t>Debt</t>
  </si>
  <si>
    <t>% Debt</t>
  </si>
  <si>
    <t>Stock</t>
  </si>
  <si>
    <t>% Preferred</t>
  </si>
  <si>
    <t>% Equity</t>
  </si>
  <si>
    <t>Tax Rate</t>
  </si>
  <si>
    <t>Median:</t>
  </si>
  <si>
    <t>Cost of Equity Based on Comparables, Current Capital Structure:</t>
  </si>
  <si>
    <t>Cost of Equity Based on Historical Beta:</t>
  </si>
  <si>
    <t>WACC, Current Capital Structure:</t>
  </si>
  <si>
    <t>WACC, Current Capital Structure and Historical Cost of Equity:</t>
  </si>
  <si>
    <t>STLD</t>
  </si>
  <si>
    <t>Methodology Name</t>
  </si>
  <si>
    <t>75th</t>
  </si>
  <si>
    <t>25th</t>
  </si>
  <si>
    <t>Applicable</t>
  </si>
  <si>
    <t>Percentile</t>
  </si>
  <si>
    <t>Company</t>
  </si>
  <si>
    <t>Multiple</t>
  </si>
  <si>
    <t>Figure</t>
  </si>
  <si>
    <t>Public Company Comparables:</t>
  </si>
  <si>
    <t>LTM P / E:</t>
  </si>
  <si>
    <t>Precedent Transactions:</t>
  </si>
  <si>
    <t>Discounted Cash Flow Analysis:</t>
  </si>
  <si>
    <t>Implied Enterprise Value or Equity Value at a Range of Multiples:</t>
  </si>
  <si>
    <t>Enterprise Value --&gt;</t>
  </si>
  <si>
    <t>Equity Value --&gt;</t>
  </si>
  <si>
    <t>%</t>
  </si>
  <si>
    <t>Conversion Units:</t>
  </si>
  <si>
    <t>Diluted</t>
  </si>
  <si>
    <t>Net Income</t>
  </si>
  <si>
    <t>Operating Statistics:</t>
  </si>
  <si>
    <t>Valuation Statistics:</t>
  </si>
  <si>
    <t>Cash</t>
  </si>
  <si>
    <t>Other &amp;</t>
  </si>
  <si>
    <t>NCI</t>
  </si>
  <si>
    <t>P / E Multiple</t>
  </si>
  <si>
    <t>Discount Rate Calculations - Assumptions:</t>
  </si>
  <si>
    <t>Comparable Companies - Unlevered Beta Calculation:</t>
  </si>
  <si>
    <t>Ticker:</t>
  </si>
  <si>
    <t>Cost of Equity Based on Comparables, "Optimal" Capital Structure:</t>
  </si>
  <si>
    <t>WACC, "Optimal" Capital Structure:</t>
  </si>
  <si>
    <t>Average WACC Produced by All Methods:</t>
  </si>
  <si>
    <t>Severstal Columbus, LLC</t>
  </si>
  <si>
    <t>ThyssenKrupp Steel USA, LLC</t>
  </si>
  <si>
    <t>Waupaca Foundry, Inc.</t>
  </si>
  <si>
    <t>N/A</t>
  </si>
  <si>
    <t>North Star BlueScope Steel, LLC</t>
  </si>
  <si>
    <t>Severstal Dearborn, Inc.</t>
  </si>
  <si>
    <t>AK Steel Corporation</t>
  </si>
  <si>
    <t>Announcement</t>
  </si>
  <si>
    <t>Metals USA Holdings Corp.</t>
  </si>
  <si>
    <t>($ USD in Millions Except Per Share Amounts in USD as Stated)</t>
  </si>
  <si>
    <t>($ USD in Millions Except Per Share Amounts in USD as Stated and Per Unit Amounts)</t>
  </si>
  <si>
    <t>#</t>
  </si>
  <si>
    <t>Last Fiscal Year:</t>
  </si>
  <si>
    <t>Cleveland-Cliffs Inc.</t>
  </si>
  <si>
    <t>CLF</t>
  </si>
  <si>
    <t xml:space="preserve">TEV / </t>
  </si>
  <si>
    <t>Precedent Transactions - U.S.-Based Steel Manufacturer Sellers with Transaction Enterprise Values Above $500 Million USD</t>
  </si>
  <si>
    <t>Announced Between August 1st, 2011, and July 31st, 2021</t>
  </si>
  <si>
    <t>Big River Steel LLC</t>
  </si>
  <si>
    <t>ArcelorMittal USA LLC</t>
  </si>
  <si>
    <t>AK Steel Holding Corporation</t>
  </si>
  <si>
    <t>IPSCO Tubulars Inc.</t>
  </si>
  <si>
    <t>TAMCO Steel, Inc. and Gerdau Reinforcing Steel West and Rebar Steel Mill and Fabrication Business</t>
  </si>
  <si>
    <t>United States Pipe and Foundry Company, LLC</t>
  </si>
  <si>
    <t>Thomas &amp; Betts International, LLC, Meyer Steel Structures</t>
  </si>
  <si>
    <t>Skyline Steel, LLC</t>
  </si>
  <si>
    <t>Percentage</t>
  </si>
  <si>
    <t>Acquired</t>
  </si>
  <si>
    <t>Gallatin Steel Company</t>
  </si>
  <si>
    <t>CY 22</t>
  </si>
  <si>
    <t>United States Steel Corporation</t>
  </si>
  <si>
    <t>Tenaris S.A.</t>
  </si>
  <si>
    <t>CMC Steel Fabricators, Inc.</t>
  </si>
  <si>
    <t>Forterra, Inc.</t>
  </si>
  <si>
    <t>BlueScope Steel Limited</t>
  </si>
  <si>
    <t>Hitachi Metals, Ltd.</t>
  </si>
  <si>
    <t>Steel Dynamics, Inc.</t>
  </si>
  <si>
    <t>Trinity Industries, Inc.</t>
  </si>
  <si>
    <t>ArcelorMittal; Nippon Steel Corporation</t>
  </si>
  <si>
    <t>(Only &gt;= 50% Acquisitions; Asset Sales and Divestitures Also Included)</t>
  </si>
  <si>
    <t>LTM TEV / Revenue:</t>
  </si>
  <si>
    <t>LTM TEV / EBITDA:</t>
  </si>
  <si>
    <t>ATI</t>
  </si>
  <si>
    <t>SCHN</t>
  </si>
  <si>
    <t>$ / Share</t>
  </si>
  <si>
    <t>M Shares</t>
  </si>
  <si>
    <t>Projected:</t>
  </si>
  <si>
    <t>Historical:</t>
  </si>
  <si>
    <t>Revenue:</t>
  </si>
  <si>
    <t>(-) Operating Expenses:</t>
  </si>
  <si>
    <t>Operating Income (EBIT):</t>
  </si>
  <si>
    <t>(-) COGS:</t>
  </si>
  <si>
    <t>(-) Taxes, Excluding Effect of Interest:</t>
  </si>
  <si>
    <t>Net Operating Profit After Taxes (NOPAT):</t>
  </si>
  <si>
    <t>Adjustments for Non-Cash Charges:</t>
  </si>
  <si>
    <t>(+/-) Deferred Income Taxes:</t>
  </si>
  <si>
    <t>(+) Depreciation &amp; Amortization:</t>
  </si>
  <si>
    <t>(+/-) Net Change in Working Capital:</t>
  </si>
  <si>
    <t>(-) Capital Expenditures;</t>
  </si>
  <si>
    <t>Unlevered Free Cash Flow</t>
  </si>
  <si>
    <t>EBITDA:</t>
  </si>
  <si>
    <t>Assumptions and Drivers:</t>
  </si>
  <si>
    <t>Net Sales by Segment:</t>
  </si>
  <si>
    <t>Steel Operations:</t>
  </si>
  <si>
    <t>Other Segments &amp; Eliminations:</t>
  </si>
  <si>
    <t>Total Consolidated Sales:</t>
  </si>
  <si>
    <t>Annual Growth Rate:</t>
  </si>
  <si>
    <t>Steel Operations - Shipments</t>
  </si>
  <si>
    <t>Average Sales Price per Ton:</t>
  </si>
  <si>
    <t>Utilization Rate:</t>
  </si>
  <si>
    <t>Shipping Capacity:</t>
  </si>
  <si>
    <t>Other Segments Rev % Steel Operations Rev.:</t>
  </si>
  <si>
    <t>Capital Expenditures:</t>
  </si>
  <si>
    <t>Maintenance CapEx:</t>
  </si>
  <si>
    <t>Maintenance CapEx per Steel Capacity:</t>
  </si>
  <si>
    <t>Growth CapEx:</t>
  </si>
  <si>
    <t>Capacity Growth from CapEx:</t>
  </si>
  <si>
    <t>Capacity Growth per CapEx Spending:</t>
  </si>
  <si>
    <t>Expenses:</t>
  </si>
  <si>
    <t>Cost of Goods Sold:</t>
  </si>
  <si>
    <t>% Sales:</t>
  </si>
  <si>
    <t>Operating Expenses:</t>
  </si>
  <si>
    <t>OpEx per Employee:</t>
  </si>
  <si>
    <t># Employees:</t>
  </si>
  <si>
    <t>Steel Shipping Capacity per Employee:</t>
  </si>
  <si>
    <t>Units:</t>
  </si>
  <si>
    <t>K Tons</t>
  </si>
  <si>
    <t>$ / Ton</t>
  </si>
  <si>
    <t>$ M</t>
  </si>
  <si>
    <t>Long-Term Utilization Rate:</t>
  </si>
  <si>
    <t>Long-Term Average Steel Price per Ton:</t>
  </si>
  <si>
    <t>K Tons / $ M</t>
  </si>
  <si>
    <t>% Revenue</t>
  </si>
  <si>
    <t>% Revenue:</t>
  </si>
  <si>
    <t>$ 000 / Ton</t>
  </si>
  <si>
    <t>$ / Empl.</t>
  </si>
  <si>
    <t># of People</t>
  </si>
  <si>
    <t>Tons / Empl.</t>
  </si>
  <si>
    <t>Operating Margin:</t>
  </si>
  <si>
    <t>Growth Rate:</t>
  </si>
  <si>
    <t>D&amp;A per Shipping Capacity:</t>
  </si>
  <si>
    <t>D&amp;A % Revenue:</t>
  </si>
  <si>
    <t>% Income Statement Taxes:</t>
  </si>
  <si>
    <t>% Change in Revenue:</t>
  </si>
  <si>
    <t>Current Equity Value</t>
  </si>
  <si>
    <t>(-) Net Operating Losses:</t>
  </si>
  <si>
    <t>(-) Cash &amp; Investments:</t>
  </si>
  <si>
    <t>(+) Total Debt &amp; Finance Leases:</t>
  </si>
  <si>
    <t>(+) Preferred Stock:</t>
  </si>
  <si>
    <t>(+) Noncontrolling interests:</t>
  </si>
  <si>
    <t>(+) Unfunded Pensions:</t>
  </si>
  <si>
    <t>Current Enterprise Value</t>
  </si>
  <si>
    <t>(+) Operating Leases:</t>
  </si>
  <si>
    <t xml:space="preserve">Value </t>
  </si>
  <si>
    <t>Current Capital Structure:</t>
  </si>
  <si>
    <t>"Optimal" Capital Structure:</t>
  </si>
  <si>
    <t>Terminal Value - Multiples Method:</t>
  </si>
  <si>
    <t>Terminal Value - Perpituity Method</t>
  </si>
  <si>
    <t>(+) PV of Terminal Value:</t>
  </si>
  <si>
    <t>(+) PV of UFCFs:</t>
  </si>
  <si>
    <t>Expected Long-Term GDP Growth:</t>
  </si>
  <si>
    <t>Baseline Terminal FCF Growth Rate:</t>
  </si>
  <si>
    <t>Baseline Terminal Value:</t>
  </si>
  <si>
    <t>Implied Terminal EBITDA Multiple:</t>
  </si>
  <si>
    <t>Median CY 22 TEV / EBITDA of Comps:</t>
  </si>
  <si>
    <t>Median CY 22 TEV / EBITDA of Target:</t>
  </si>
  <si>
    <t>% of Implied TEV from Terminal Value:</t>
  </si>
  <si>
    <t>(+) Cash &amp; Investments:</t>
  </si>
  <si>
    <t>(+) Net Operating Losses:</t>
  </si>
  <si>
    <t>(-) Total Debt &amp; Finance Leases:</t>
  </si>
  <si>
    <t>(-) Preferred Stock:</t>
  </si>
  <si>
    <t>(-) Operating Leases:</t>
  </si>
  <si>
    <t>(-) Noncontrolling interests:</t>
  </si>
  <si>
    <t>(-) Unfunded Pensions:</t>
  </si>
  <si>
    <t>Implied Equity Value:</t>
  </si>
  <si>
    <t xml:space="preserve">Sensitivity Analyses: </t>
  </si>
  <si>
    <t xml:space="preserve">Terminal TEV / EBITDA Multiple: </t>
  </si>
  <si>
    <t xml:space="preserve">Terminal FCF Growth Rates: </t>
  </si>
  <si>
    <t>Long-Term Utilizaiton Rate:</t>
  </si>
  <si>
    <t>Long-Term COGS % Sales:</t>
  </si>
  <si>
    <t>CY 23</t>
  </si>
  <si>
    <t>Steel Dynamics - DCF Assumptions:</t>
  </si>
  <si>
    <t>DCF Analysis - Steel Dynamics</t>
  </si>
  <si>
    <t>Comparable Companies - U.S.-Based Steel Manufacturing Companies with Projected Calendar Year 2022 Revenue Above $2 Billion</t>
  </si>
  <si>
    <t>Steel Dynamics Inc. - Unlevered Free Cash Flow Projections:</t>
  </si>
  <si>
    <t>WACC Analysis - Steel Dynamics</t>
  </si>
  <si>
    <t>$600-$1100 Long-Term Steel Price per Ton, 15-20% Gross Margin:</t>
  </si>
  <si>
    <t>Valuation Summary - Steel Dynamics Inc.</t>
  </si>
  <si>
    <t>Valuation Date</t>
  </si>
  <si>
    <t>Cleveland-Cliffs, Inc.</t>
  </si>
  <si>
    <t xml:space="preserve">ATI Inc. </t>
  </si>
  <si>
    <t>Commercial Metals Company</t>
  </si>
  <si>
    <t>Schnitzer Steel Industries, Inc.</t>
  </si>
  <si>
    <t xml:space="preserve">STEEL DYNAMICS, INC. </t>
  </si>
  <si>
    <t>Implied Share Price:</t>
  </si>
  <si>
    <t>(-) Noncontrolling Interests:</t>
  </si>
  <si>
    <t>(-) Debt &amp; Finance Leases:</t>
  </si>
  <si>
    <t>min</t>
  </si>
  <si>
    <t>median</t>
  </si>
  <si>
    <t>max</t>
  </si>
  <si>
    <t>min point</t>
  </si>
  <si>
    <t>25th point</t>
  </si>
  <si>
    <t>med point</t>
  </si>
  <si>
    <t xml:space="preserve">75th point </t>
  </si>
  <si>
    <t>max point</t>
  </si>
  <si>
    <t>CY 22 TEV / Revenue:</t>
  </si>
  <si>
    <t>CY 23 TEV / Revenue:</t>
  </si>
  <si>
    <t>CY 22 TEV / EBITDA:</t>
  </si>
  <si>
    <t>CY 23 TEV / EBITDA:</t>
  </si>
  <si>
    <t>CY 22 P / E:</t>
  </si>
  <si>
    <t>CY 23 P / E:</t>
  </si>
  <si>
    <t>$900 - $1300 Steel Price per Ton, 15-20% Gross Margin:</t>
  </si>
  <si>
    <t>Long-Term COGS % Sales</t>
  </si>
  <si>
    <t>Announced Between August 1st, 2011, and September 30th,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</si>
</sst>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4">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0_);_(&quot;$&quot;* \(#,##0.0\);_(&quot;$&quot;* &quot;-&quot;?_);_(@_)"/>
    <numFmt numFmtId="165" formatCode="0.0%;\(0.0%\)"/>
    <numFmt numFmtId="166" formatCode="_(* #,##0.0_);_(* \(#,##0.0\);_(* &quot;-&quot;?_);_(@_)"/>
    <numFmt numFmtId="167" formatCode="_(0.0\ \x_);\(0.0\ \x\);_(&quot;–&quot;_);_(@_)"/>
    <numFmt numFmtId="168" formatCode="_(0.0%_);\(0.0%\);_(&quot;–&quot;_);_(@_)"/>
    <numFmt numFmtId="169" formatCode="0.0\ \x"/>
    <numFmt numFmtId="170" formatCode="_(* #,##0.000_);_(* \(#,##0.000\);_(* &quot;-&quot;???_);_(@_)"/>
    <numFmt numFmtId="171" formatCode="_(#,##0.0%_);\(#,##0.0%\);_(&quot;–&quot;_)_%;_(@_)_%"/>
    <numFmt numFmtId="172" formatCode="_(* #,##0_);_(* \(#,##0\);_(* &quot;-&quot;????_);_(@_)"/>
    <numFmt numFmtId="173" formatCode="_(&quot;$&quot;* #,##0.0_);_(&quot;$&quot;* \(#,##0.0\);_(&quot;$&quot;* &quot;-&quot;_);_(@_)"/>
    <numFmt numFmtId="174" formatCode="_(&quot;$&quot;#,##0.00_)_%;\(&quot;$&quot;#,##0.00\)_%;_(&quot;–&quot;_)_%;_(@_)_%"/>
    <numFmt numFmtId="175" formatCode="_(&quot;$&quot;* #,##0.0_);_(&quot;$&quot;* \(#,##0.0\);_(&quot;$&quot;* &quot;-&quot;??_);_(@_)"/>
    <numFmt numFmtId="176" formatCode="_(* #,##0.0_);_(* \(#,##0.0\);_(* &quot;-&quot;??_);_(@_)"/>
    <numFmt numFmtId="177" formatCode="_(0.00%_);\(0.00%\);_(&quot;–&quot;_)_%;_(@_)_%"/>
    <numFmt numFmtId="178" formatCode="_(#,##0.00_)_%;\(#,##0.00\)_%;_(&quot;–&quot;_)_%;_(@_)_%"/>
    <numFmt numFmtId="179" formatCode="_(0.0%_);\(0.0%\);_(&quot;–&quot;_)_%;_(@_)_%"/>
    <numFmt numFmtId="180" formatCode="_(#,##0.00_);\(#,##0.00\);_(&quot;–&quot;_);_(@_)"/>
    <numFmt numFmtId="181" formatCode="0.0%"/>
    <numFmt numFmtId="182" formatCode="0.00%;\(0.00%\)"/>
    <numFmt numFmtId="183" formatCode="_(#,##0.00%_);\(#,##0.00%\);_(&quot;–&quot;_)_%;_(@_)_%"/>
    <numFmt numFmtId="184" formatCode="yyyy\-mm\-dd"/>
    <numFmt numFmtId="185" formatCode="&quot;FY&quot;yy"/>
    <numFmt numFmtId="186" formatCode="#,##0.000_);\(#,##0.000\)"/>
    <numFmt numFmtId="187" formatCode="_(* #,##0_);_(* \(#,##0\);_(* &quot;-&quot;?_);_(@_)"/>
    <numFmt numFmtId="188" formatCode="_(* #,##0_);_(* \(#,##0\);_(* &quot;-&quot;??_);_(@_)"/>
    <numFmt numFmtId="189" formatCode="0.0"/>
    <numFmt numFmtId="190" formatCode="0.000"/>
    <numFmt numFmtId="191" formatCode="_(* #,##0.000_);_(* \(#,##0.000\);_(* &quot;-&quot;?_);_(@_)"/>
  </numFmts>
  <fonts count="5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9"/>
      <color indexed="81"/>
      <name val="Tahoma"/>
      <family val="2"/>
    </font>
    <font>
      <b/>
      <sz val="9"/>
      <color indexed="81"/>
      <name val="Tahoma"/>
      <family val="2"/>
    </font>
    <font>
      <sz val="11"/>
      <color theme="1"/>
      <name val="Calibri"/>
      <family val="2"/>
      <scheme val="minor"/>
    </font>
    <font>
      <b/>
      <sz val="14"/>
      <color theme="1"/>
      <name val="Calibri"/>
      <family val="2"/>
    </font>
    <font>
      <sz val="12"/>
      <name val="Calibri"/>
      <family val="2"/>
      <scheme val="minor"/>
    </font>
    <font>
      <b/>
      <sz val="12"/>
      <color indexed="9"/>
      <name val="Calibri"/>
      <family val="2"/>
      <scheme val="minor"/>
    </font>
    <font>
      <b/>
      <u/>
      <sz val="12"/>
      <color indexed="9"/>
      <name val="Calibri"/>
      <family val="2"/>
      <scheme val="minor"/>
    </font>
    <font>
      <u/>
      <sz val="12"/>
      <color indexed="9"/>
      <name val="Calibri"/>
      <family val="2"/>
      <scheme val="minor"/>
    </font>
    <font>
      <sz val="12"/>
      <color indexed="9"/>
      <name val="Calibri"/>
      <family val="2"/>
      <scheme val="minor"/>
    </font>
    <font>
      <sz val="12"/>
      <color rgb="FF0000FF"/>
      <name val="Calibri"/>
      <family val="2"/>
      <scheme val="minor"/>
    </font>
    <font>
      <b/>
      <sz val="12"/>
      <name val="Calibri"/>
      <family val="2"/>
      <scheme val="minor"/>
    </font>
    <font>
      <b/>
      <sz val="12"/>
      <color theme="0"/>
      <name val="Calibri"/>
      <family val="2"/>
      <scheme val="minor"/>
    </font>
    <font>
      <sz val="8"/>
      <color indexed="8"/>
      <name val="Arial"/>
      <family val="2"/>
    </font>
    <font>
      <sz val="12"/>
      <color indexed="8"/>
      <name val="Calibri"/>
      <family val="2"/>
      <scheme val="minor"/>
    </font>
    <font>
      <sz val="12"/>
      <color theme="1"/>
      <name val="Calibri"/>
      <family val="2"/>
      <scheme val="minor"/>
    </font>
    <font>
      <b/>
      <sz val="12"/>
      <color theme="1"/>
      <name val="Calibri"/>
      <family val="2"/>
      <scheme val="minor"/>
    </font>
    <font>
      <sz val="12"/>
      <color rgb="FF0000FF"/>
      <name val="Calibri"/>
      <family val="2"/>
    </font>
    <font>
      <sz val="12"/>
      <color rgb="FF00B050"/>
      <name val="Calibri"/>
      <family val="2"/>
      <scheme val="minor"/>
    </font>
    <font>
      <i/>
      <sz val="12"/>
      <color theme="1"/>
      <name val="Calibri"/>
      <family val="2"/>
      <scheme val="minor"/>
    </font>
    <font>
      <sz val="12"/>
      <name val="Calibri"/>
      <family val="2"/>
    </font>
    <font>
      <sz val="12"/>
      <color rgb="FFFF0000"/>
      <name val="Calibri"/>
      <family val="2"/>
      <scheme val="minor"/>
    </font>
    <font>
      <b/>
      <sz val="12"/>
      <color theme="1"/>
      <name val="Calibri"/>
      <family val="2"/>
    </font>
    <font>
      <b/>
      <sz val="12"/>
      <color rgb="FFFFFFFF"/>
      <name val="Calibri"/>
      <family val="2"/>
    </font>
    <font>
      <sz val="12"/>
      <color rgb="FFFFFFFF"/>
      <name val="Calibri"/>
      <family val="2"/>
    </font>
    <font>
      <sz val="12"/>
      <color rgb="FFFF0000"/>
      <name val="Calibri"/>
      <family val="2"/>
    </font>
    <font>
      <sz val="12"/>
      <color rgb="FF00B050"/>
      <name val="Calibri"/>
      <family val="2"/>
    </font>
    <font>
      <sz val="12"/>
      <name val="Calibri"/>
      <family val="2"/>
      <scheme val="minor"/>
    </font>
    <font>
      <sz val="12"/>
      <color rgb="FFFF0000"/>
      <name val="Calibri"/>
      <family val="2"/>
      <scheme val="minor"/>
    </font>
    <font>
      <sz val="12"/>
      <color theme="1"/>
      <name val="Calibri"/>
      <family val="2"/>
      <scheme val="minor"/>
    </font>
    <font>
      <b/>
      <sz val="12"/>
      <color theme="0"/>
      <name val="Calibri"/>
      <family val="2"/>
      <scheme val="minor"/>
    </font>
    <font>
      <sz val="12"/>
      <color rgb="FF0000FF"/>
      <name val="Calibri"/>
      <family val="2"/>
      <scheme val="minor"/>
    </font>
    <font>
      <b/>
      <sz val="12"/>
      <name val="Calibri"/>
      <family val="2"/>
      <scheme val="minor"/>
    </font>
    <font>
      <sz val="12"/>
      <color rgb="FF00B050"/>
      <name val="Calibri"/>
      <family val="2"/>
      <scheme val="minor"/>
    </font>
    <font>
      <i/>
      <sz val="12"/>
      <name val="Calibri"/>
      <family val="2"/>
      <scheme val="minor"/>
    </font>
    <font>
      <b/>
      <i/>
      <sz val="12"/>
      <color theme="0"/>
      <name val="Calibri"/>
      <family val="2"/>
      <scheme val="minor"/>
    </font>
    <font>
      <b/>
      <i/>
      <sz val="12"/>
      <color rgb="FFFFFFFF"/>
      <name val="Calibri"/>
      <family val="2"/>
      <scheme val="minor"/>
    </font>
    <font>
      <b/>
      <sz val="12"/>
      <color rgb="FFFF0000"/>
      <name val="Calibri"/>
      <family val="2"/>
      <scheme val="minor"/>
    </font>
    <font>
      <b/>
      <sz val="9"/>
      <color rgb="FF000000"/>
      <name val="Tahoma"/>
      <family val="2"/>
    </font>
    <font>
      <sz val="9"/>
      <color rgb="FF000000"/>
      <name val="Tahoma"/>
      <family val="2"/>
    </font>
    <font>
      <sz val="12"/>
      <color theme="1"/>
      <name val="Calibri"/>
      <family val="2"/>
    </font>
    <font>
      <sz val="12"/>
      <color theme="0"/>
      <name val="Calibri"/>
      <family val="2"/>
      <scheme val="minor"/>
    </font>
    <font>
      <sz val="11"/>
      <color theme="0"/>
      <name val="Calibri"/>
      <family val="2"/>
      <scheme val="minor"/>
    </font>
    <font>
      <b/>
      <sz val="30"/>
      <color theme="1"/>
      <name val="Calibri"/>
      <family val="2"/>
      <scheme val="minor"/>
    </font>
    <font>
      <u/>
      <sz val="11"/>
      <color theme="10"/>
      <name val="Calibri"/>
      <family val="2"/>
      <scheme val="minor"/>
    </font>
    <font>
      <sz val="12"/>
      <color theme="10"/>
      <name val="Calibri"/>
      <family val="2"/>
      <scheme val="minor"/>
    </font>
  </fonts>
  <fills count="12">
    <fill>
      <patternFill patternType="none"/>
    </fill>
    <fill>
      <patternFill patternType="gray125"/>
    </fill>
    <fill>
      <patternFill patternType="solid">
        <fgColor rgb="FFFFFFCC"/>
      </patternFill>
    </fill>
    <fill>
      <patternFill patternType="solid">
        <fgColor rgb="FFFFFF99"/>
        <bgColor indexed="64"/>
      </patternFill>
    </fill>
    <fill>
      <patternFill patternType="solid">
        <fgColor theme="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3" tint="0.59996337778862885"/>
        <bgColor indexed="64"/>
      </patternFill>
    </fill>
    <fill>
      <patternFill patternType="solid">
        <fgColor theme="5"/>
        <bgColor indexed="64"/>
      </patternFill>
    </fill>
    <fill>
      <patternFill patternType="solid">
        <fgColor theme="5"/>
        <bgColor rgb="FF000000"/>
      </patternFill>
    </fill>
    <fill>
      <patternFill patternType="solid">
        <fgColor theme="5" tint="0.39997558519241921"/>
        <bgColor indexed="64"/>
      </patternFill>
    </fill>
    <fill>
      <patternFill patternType="solid">
        <fgColor rgb="FFC00000"/>
        <bgColor indexed="64"/>
      </patternFill>
    </fill>
  </fills>
  <borders count="2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rgb="FFB2B2B2"/>
      </top>
      <bottom/>
      <diagonal/>
    </border>
    <border>
      <left/>
      <right/>
      <top style="thin">
        <color theme="0"/>
      </top>
      <bottom/>
      <diagonal/>
    </border>
    <border>
      <left style="thin">
        <color theme="0"/>
      </left>
      <right/>
      <top/>
      <bottom/>
      <diagonal/>
    </border>
    <border>
      <left style="thin">
        <color theme="0"/>
      </left>
      <right/>
      <top style="thin">
        <color theme="0"/>
      </top>
      <bottom/>
      <diagonal/>
    </border>
    <border>
      <left/>
      <right/>
      <top/>
      <bottom style="thin">
        <color theme="1"/>
      </bottom>
      <diagonal/>
    </border>
    <border>
      <left/>
      <right/>
      <top style="thin">
        <color theme="1"/>
      </top>
      <bottom/>
      <diagonal/>
    </border>
    <border>
      <left style="thin">
        <color theme="0" tint="-0.24994659260841701"/>
      </left>
      <right style="thin">
        <color theme="0" tint="-0.24994659260841701"/>
      </right>
      <top style="thin">
        <color theme="0" tint="-0.24994659260841701"/>
      </top>
      <bottom/>
      <diagonal/>
    </border>
    <border>
      <left/>
      <right style="thin">
        <color theme="0" tint="-0.24994659260841701"/>
      </right>
      <top/>
      <bottom/>
      <diagonal/>
    </border>
    <border>
      <left/>
      <right style="thin">
        <color theme="1"/>
      </right>
      <top style="thin">
        <color theme="1"/>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diagonal/>
    </border>
  </borders>
  <cellStyleXfs count="11">
    <xf numFmtId="0" fontId="0" fillId="0" borderId="0"/>
    <xf numFmtId="0" fontId="10" fillId="0" borderId="0"/>
    <xf numFmtId="0" fontId="13" fillId="2" borderId="7" applyNumberFormat="0" applyFont="0" applyAlignment="0" applyProtection="0"/>
    <xf numFmtId="0" fontId="13" fillId="0" borderId="0"/>
    <xf numFmtId="0" fontId="13" fillId="0" borderId="0"/>
    <xf numFmtId="0" fontId="23" fillId="0" borderId="0" applyAlignment="0"/>
    <xf numFmtId="0" fontId="13" fillId="0" borderId="0"/>
    <xf numFmtId="44"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0" fontId="54" fillId="0" borderId="0" applyNumberFormat="0" applyFill="0" applyBorder="0" applyAlignment="0" applyProtection="0"/>
  </cellStyleXfs>
  <cellXfs count="361">
    <xf numFmtId="0" fontId="0" fillId="0" borderId="0" xfId="0"/>
    <xf numFmtId="49" fontId="14" fillId="0" borderId="0" xfId="1" applyNumberFormat="1" applyFont="1"/>
    <xf numFmtId="0" fontId="14" fillId="0" borderId="0" xfId="1" applyFont="1"/>
    <xf numFmtId="0" fontId="14" fillId="0" borderId="0" xfId="0" applyFont="1"/>
    <xf numFmtId="0" fontId="14" fillId="0" borderId="0" xfId="4" applyFont="1"/>
    <xf numFmtId="164" fontId="0" fillId="0" borderId="0" xfId="0" applyNumberFormat="1"/>
    <xf numFmtId="0" fontId="15" fillId="0" borderId="0" xfId="1" applyFont="1"/>
    <xf numFmtId="0" fontId="19" fillId="4" borderId="0" xfId="1" applyFont="1" applyFill="1"/>
    <xf numFmtId="0" fontId="16" fillId="4" borderId="0" xfId="1" applyFont="1" applyFill="1" applyAlignment="1">
      <alignment horizontal="center"/>
    </xf>
    <xf numFmtId="0" fontId="17" fillId="4" borderId="0" xfId="1" applyFont="1" applyFill="1" applyAlignment="1">
      <alignment horizontal="centerContinuous"/>
    </xf>
    <xf numFmtId="0" fontId="16" fillId="4" borderId="5" xfId="1" applyFont="1" applyFill="1" applyBorder="1"/>
    <xf numFmtId="0" fontId="16" fillId="4" borderId="5" xfId="1" applyFont="1" applyFill="1" applyBorder="1" applyAlignment="1">
      <alignment horizontal="center"/>
    </xf>
    <xf numFmtId="0" fontId="18" fillId="4" borderId="0" xfId="1" applyFont="1" applyFill="1" applyAlignment="1">
      <alignment horizontal="centerContinuous"/>
    </xf>
    <xf numFmtId="44" fontId="20" fillId="0" borderId="0" xfId="1" applyNumberFormat="1" applyFont="1"/>
    <xf numFmtId="166" fontId="20" fillId="0" borderId="0" xfId="1" applyNumberFormat="1" applyFont="1"/>
    <xf numFmtId="164" fontId="20" fillId="0" borderId="0" xfId="1" applyNumberFormat="1" applyFont="1"/>
    <xf numFmtId="43" fontId="20" fillId="0" borderId="0" xfId="1" applyNumberFormat="1" applyFont="1"/>
    <xf numFmtId="0" fontId="15" fillId="0" borderId="1" xfId="1" applyFont="1" applyBorder="1"/>
    <xf numFmtId="0" fontId="15" fillId="0" borderId="2" xfId="1" applyFont="1" applyBorder="1"/>
    <xf numFmtId="44" fontId="15" fillId="0" borderId="2" xfId="1" applyNumberFormat="1" applyFont="1" applyBorder="1"/>
    <xf numFmtId="175" fontId="15" fillId="0" borderId="2" xfId="1" applyNumberFormat="1" applyFont="1" applyBorder="1"/>
    <xf numFmtId="171" fontId="15" fillId="0" borderId="2" xfId="1" applyNumberFormat="1" applyFont="1" applyBorder="1"/>
    <xf numFmtId="171" fontId="15" fillId="0" borderId="3" xfId="1" applyNumberFormat="1" applyFont="1" applyBorder="1"/>
    <xf numFmtId="0" fontId="15" fillId="0" borderId="11" xfId="1" applyFont="1" applyBorder="1"/>
    <xf numFmtId="43" fontId="15" fillId="0" borderId="0" xfId="1" applyNumberFormat="1" applyFont="1"/>
    <xf numFmtId="176" fontId="15" fillId="0" borderId="0" xfId="1" applyNumberFormat="1" applyFont="1"/>
    <xf numFmtId="171" fontId="15" fillId="0" borderId="0" xfId="1" applyNumberFormat="1" applyFont="1"/>
    <xf numFmtId="171" fontId="15" fillId="0" borderId="12" xfId="1" applyNumberFormat="1" applyFont="1" applyBorder="1"/>
    <xf numFmtId="0" fontId="21" fillId="7" borderId="13" xfId="1" applyFont="1" applyFill="1" applyBorder="1"/>
    <xf numFmtId="0" fontId="21" fillId="0" borderId="0" xfId="1" applyFont="1"/>
    <xf numFmtId="0" fontId="15" fillId="0" borderId="4" xfId="1" applyFont="1" applyBorder="1"/>
    <xf numFmtId="0" fontId="21" fillId="0" borderId="5" xfId="1" applyFont="1" applyBorder="1"/>
    <xf numFmtId="43" fontId="15" fillId="0" borderId="5" xfId="1" applyNumberFormat="1" applyFont="1" applyBorder="1"/>
    <xf numFmtId="176" fontId="15" fillId="0" borderId="5" xfId="1" applyNumberFormat="1" applyFont="1" applyBorder="1"/>
    <xf numFmtId="171" fontId="15" fillId="0" borderId="5" xfId="1" applyNumberFormat="1" applyFont="1" applyBorder="1"/>
    <xf numFmtId="171" fontId="15" fillId="0" borderId="6" xfId="1" applyNumberFormat="1" applyFont="1" applyBorder="1"/>
    <xf numFmtId="164" fontId="15" fillId="0" borderId="0" xfId="1" applyNumberFormat="1" applyFont="1"/>
    <xf numFmtId="0" fontId="16" fillId="4" borderId="0" xfId="1" applyFont="1" applyFill="1"/>
    <xf numFmtId="169" fontId="15" fillId="0" borderId="0" xfId="1" applyNumberFormat="1" applyFont="1"/>
    <xf numFmtId="166" fontId="15" fillId="0" borderId="0" xfId="1" applyNumberFormat="1" applyFont="1"/>
    <xf numFmtId="169" fontId="15" fillId="0" borderId="2" xfId="1" applyNumberFormat="1" applyFont="1" applyBorder="1"/>
    <xf numFmtId="169" fontId="15" fillId="0" borderId="3" xfId="1" applyNumberFormat="1" applyFont="1" applyBorder="1"/>
    <xf numFmtId="169" fontId="15" fillId="0" borderId="12" xfId="1" applyNumberFormat="1" applyFont="1" applyBorder="1"/>
    <xf numFmtId="169" fontId="21" fillId="7" borderId="14" xfId="1" applyNumberFormat="1" applyFont="1" applyFill="1" applyBorder="1"/>
    <xf numFmtId="169" fontId="21" fillId="7" borderId="15" xfId="1" applyNumberFormat="1" applyFont="1" applyFill="1" applyBorder="1"/>
    <xf numFmtId="169" fontId="15" fillId="0" borderId="5" xfId="1" applyNumberFormat="1" applyFont="1" applyBorder="1"/>
    <xf numFmtId="169" fontId="15" fillId="0" borderId="6" xfId="1" applyNumberFormat="1" applyFont="1" applyBorder="1"/>
    <xf numFmtId="0" fontId="15" fillId="0" borderId="2" xfId="1" applyFont="1" applyBorder="1" applyAlignment="1">
      <alignment horizontal="right"/>
    </xf>
    <xf numFmtId="0" fontId="15" fillId="0" borderId="0" xfId="1" applyFont="1" applyAlignment="1">
      <alignment horizontal="right"/>
    </xf>
    <xf numFmtId="0" fontId="21" fillId="7" borderId="14" xfId="1" applyFont="1" applyFill="1" applyBorder="1" applyAlignment="1">
      <alignment horizontal="right"/>
    </xf>
    <xf numFmtId="0" fontId="15" fillId="0" borderId="5" xfId="1" applyFont="1" applyBorder="1" applyAlignment="1">
      <alignment horizontal="right"/>
    </xf>
    <xf numFmtId="184" fontId="24" fillId="0" borderId="0" xfId="5" applyNumberFormat="1" applyFont="1" applyAlignment="1">
      <alignment horizontal="center" vertical="top"/>
    </xf>
    <xf numFmtId="0" fontId="25" fillId="0" borderId="0" xfId="0" applyFont="1"/>
    <xf numFmtId="0" fontId="15" fillId="0" borderId="0" xfId="0" applyFont="1"/>
    <xf numFmtId="166" fontId="20" fillId="0" borderId="0" xfId="0" applyNumberFormat="1" applyFont="1"/>
    <xf numFmtId="164" fontId="26" fillId="5" borderId="5" xfId="0" applyNumberFormat="1" applyFont="1" applyFill="1" applyBorder="1"/>
    <xf numFmtId="0" fontId="15" fillId="0" borderId="0" xfId="1" applyFont="1" applyAlignment="1">
      <alignment horizontal="left" indent="1"/>
    </xf>
    <xf numFmtId="0" fontId="21" fillId="5" borderId="2" xfId="1" applyFont="1" applyFill="1" applyBorder="1" applyAlignment="1">
      <alignment horizontal="left"/>
    </xf>
    <xf numFmtId="0" fontId="15" fillId="5" borderId="2" xfId="1" applyFont="1" applyFill="1" applyBorder="1"/>
    <xf numFmtId="166" fontId="21" fillId="5" borderId="0" xfId="1" applyNumberFormat="1" applyFont="1" applyFill="1"/>
    <xf numFmtId="0" fontId="15" fillId="0" borderId="0" xfId="1" applyFont="1" applyAlignment="1">
      <alignment horizontal="center"/>
    </xf>
    <xf numFmtId="0" fontId="21" fillId="6" borderId="1" xfId="1" applyFont="1" applyFill="1" applyBorder="1"/>
    <xf numFmtId="0" fontId="15" fillId="6" borderId="2" xfId="1" applyFont="1" applyFill="1" applyBorder="1"/>
    <xf numFmtId="44" fontId="21" fillId="6" borderId="3" xfId="1" applyNumberFormat="1" applyFont="1" applyFill="1" applyBorder="1"/>
    <xf numFmtId="0" fontId="21" fillId="6" borderId="4" xfId="1" applyFont="1" applyFill="1" applyBorder="1"/>
    <xf numFmtId="0" fontId="15" fillId="6" borderId="5" xfId="1" applyFont="1" applyFill="1" applyBorder="1"/>
    <xf numFmtId="165" fontId="21" fillId="6" borderId="6" xfId="1" applyNumberFormat="1" applyFont="1" applyFill="1" applyBorder="1"/>
    <xf numFmtId="1" fontId="15" fillId="0" borderId="0" xfId="1" applyNumberFormat="1" applyFont="1"/>
    <xf numFmtId="0" fontId="21" fillId="0" borderId="0" xfId="1" applyFont="1" applyAlignment="1">
      <alignment horizontal="center"/>
    </xf>
    <xf numFmtId="0" fontId="32" fillId="0" borderId="0" xfId="0" applyFont="1"/>
    <xf numFmtId="0" fontId="9" fillId="0" borderId="0" xfId="0" applyFont="1"/>
    <xf numFmtId="0" fontId="31" fillId="0" borderId="0" xfId="0" applyFont="1"/>
    <xf numFmtId="9" fontId="9" fillId="0" borderId="0" xfId="0" applyNumberFormat="1" applyFont="1"/>
    <xf numFmtId="0" fontId="34" fillId="0" borderId="0" xfId="0" applyFont="1"/>
    <xf numFmtId="177" fontId="27" fillId="0" borderId="0" xfId="0" applyNumberFormat="1" applyFont="1"/>
    <xf numFmtId="0" fontId="35" fillId="0" borderId="0" xfId="0" applyFont="1"/>
    <xf numFmtId="1" fontId="36" fillId="0" borderId="0" xfId="0" applyNumberFormat="1" applyFont="1"/>
    <xf numFmtId="0" fontId="36" fillId="0" borderId="0" xfId="0" applyFont="1"/>
    <xf numFmtId="174" fontId="15" fillId="0" borderId="0" xfId="1" applyNumberFormat="1" applyFont="1"/>
    <xf numFmtId="0" fontId="9" fillId="0" borderId="0" xfId="4" applyFont="1"/>
    <xf numFmtId="0" fontId="26" fillId="0" borderId="0" xfId="0" applyFont="1"/>
    <xf numFmtId="0" fontId="9" fillId="0" borderId="0" xfId="0" applyFont="1" applyAlignment="1">
      <alignment horizontal="left" indent="1"/>
    </xf>
    <xf numFmtId="169" fontId="28" fillId="0" borderId="0" xfId="0" applyNumberFormat="1" applyFont="1"/>
    <xf numFmtId="164" fontId="28" fillId="0" borderId="0" xfId="0" applyNumberFormat="1" applyFont="1"/>
    <xf numFmtId="44" fontId="9" fillId="0" borderId="0" xfId="0" applyNumberFormat="1" applyFont="1"/>
    <xf numFmtId="166" fontId="28" fillId="0" borderId="0" xfId="0" applyNumberFormat="1" applyFont="1"/>
    <xf numFmtId="43" fontId="9" fillId="0" borderId="0" xfId="0" applyNumberFormat="1" applyFont="1"/>
    <xf numFmtId="0" fontId="26" fillId="0" borderId="0" xfId="0" applyFont="1" applyAlignment="1">
      <alignment horizontal="left"/>
    </xf>
    <xf numFmtId="43" fontId="28" fillId="0" borderId="0" xfId="0" applyNumberFormat="1" applyFont="1"/>
    <xf numFmtId="0" fontId="21" fillId="5" borderId="5" xfId="1" applyFont="1" applyFill="1" applyBorder="1"/>
    <xf numFmtId="0" fontId="9" fillId="5" borderId="5" xfId="0" applyFont="1" applyFill="1" applyBorder="1"/>
    <xf numFmtId="0" fontId="26" fillId="5" borderId="5" xfId="4" applyFont="1" applyFill="1" applyBorder="1" applyAlignment="1">
      <alignment horizontal="centerContinuous"/>
    </xf>
    <xf numFmtId="0" fontId="9" fillId="5" borderId="5" xfId="4" applyFont="1" applyFill="1" applyBorder="1" applyAlignment="1">
      <alignment horizontal="centerContinuous"/>
    </xf>
    <xf numFmtId="164" fontId="9" fillId="0" borderId="0" xfId="0" applyNumberFormat="1" applyFont="1"/>
    <xf numFmtId="166" fontId="28" fillId="0" borderId="5" xfId="0" applyNumberFormat="1" applyFont="1" applyBorder="1"/>
    <xf numFmtId="170" fontId="28" fillId="0" borderId="0" xfId="0" applyNumberFormat="1" applyFont="1"/>
    <xf numFmtId="0" fontId="29" fillId="0" borderId="0" xfId="0" applyFont="1"/>
    <xf numFmtId="0" fontId="31" fillId="0" borderId="0" xfId="1" applyFont="1"/>
    <xf numFmtId="0" fontId="8" fillId="0" borderId="0" xfId="0" applyFont="1"/>
    <xf numFmtId="0" fontId="7" fillId="0" borderId="0" xfId="0" applyFont="1"/>
    <xf numFmtId="0" fontId="6" fillId="0" borderId="0" xfId="0" applyFont="1"/>
    <xf numFmtId="0" fontId="37" fillId="0" borderId="0" xfId="1" applyFont="1"/>
    <xf numFmtId="0" fontId="38" fillId="0" borderId="0" xfId="1" applyFont="1"/>
    <xf numFmtId="0" fontId="39" fillId="0" borderId="0" xfId="0" applyFont="1"/>
    <xf numFmtId="183" fontId="43" fillId="0" borderId="17" xfId="0" applyNumberFormat="1" applyFont="1" applyBorder="1"/>
    <xf numFmtId="0" fontId="44" fillId="0" borderId="0" xfId="1" applyFont="1" applyAlignment="1">
      <alignment horizontal="center"/>
    </xf>
    <xf numFmtId="171" fontId="20" fillId="0" borderId="0" xfId="1" applyNumberFormat="1" applyFont="1" applyAlignment="1">
      <alignment horizontal="center"/>
    </xf>
    <xf numFmtId="166" fontId="15" fillId="0" borderId="0" xfId="0" applyNumberFormat="1" applyFont="1"/>
    <xf numFmtId="166" fontId="21" fillId="7" borderId="14" xfId="1" applyNumberFormat="1" applyFont="1" applyFill="1" applyBorder="1"/>
    <xf numFmtId="0" fontId="30" fillId="0" borderId="0" xfId="0" applyFont="1" applyAlignment="1">
      <alignment horizontal="center"/>
    </xf>
    <xf numFmtId="1" fontId="30" fillId="0" borderId="0" xfId="0" applyNumberFormat="1" applyFont="1" applyAlignment="1">
      <alignment horizontal="center"/>
    </xf>
    <xf numFmtId="9" fontId="15" fillId="0" borderId="0" xfId="1" applyNumberFormat="1" applyFont="1"/>
    <xf numFmtId="167" fontId="28" fillId="0" borderId="0" xfId="0" applyNumberFormat="1" applyFont="1" applyAlignment="1">
      <alignment horizontal="center"/>
    </xf>
    <xf numFmtId="180" fontId="9" fillId="0" borderId="0" xfId="0" applyNumberFormat="1" applyFont="1" applyAlignment="1">
      <alignment horizontal="center"/>
    </xf>
    <xf numFmtId="164" fontId="42" fillId="0" borderId="0" xfId="1" applyNumberFormat="1" applyFont="1"/>
    <xf numFmtId="165" fontId="37" fillId="0" borderId="0" xfId="1" applyNumberFormat="1" applyFont="1"/>
    <xf numFmtId="0" fontId="37" fillId="0" borderId="0" xfId="1" applyFont="1" applyAlignment="1">
      <alignment horizontal="left" indent="1"/>
    </xf>
    <xf numFmtId="166" fontId="39" fillId="0" borderId="0" xfId="0" applyNumberFormat="1" applyFont="1"/>
    <xf numFmtId="167" fontId="37" fillId="0" borderId="0" xfId="1" applyNumberFormat="1" applyFont="1"/>
    <xf numFmtId="164" fontId="39" fillId="0" borderId="0" xfId="0" applyNumberFormat="1" applyFont="1"/>
    <xf numFmtId="166" fontId="20" fillId="0" borderId="0" xfId="7" applyNumberFormat="1" applyFont="1"/>
    <xf numFmtId="0" fontId="15" fillId="0" borderId="0" xfId="1" applyFont="1" applyAlignment="1">
      <alignment horizontal="left" indent="2"/>
    </xf>
    <xf numFmtId="166" fontId="5" fillId="0" borderId="0" xfId="1" applyNumberFormat="1" applyFont="1"/>
    <xf numFmtId="0" fontId="21" fillId="0" borderId="2" xfId="1" applyFont="1" applyBorder="1"/>
    <xf numFmtId="0" fontId="37" fillId="0" borderId="2" xfId="1" applyFont="1" applyBorder="1"/>
    <xf numFmtId="168" fontId="37" fillId="0" borderId="0" xfId="1" applyNumberFormat="1" applyFont="1"/>
    <xf numFmtId="44" fontId="37" fillId="0" borderId="0" xfId="1" applyNumberFormat="1" applyFont="1"/>
    <xf numFmtId="43" fontId="37" fillId="0" borderId="0" xfId="1" applyNumberFormat="1" applyFont="1"/>
    <xf numFmtId="0" fontId="44" fillId="0" borderId="0" xfId="1" applyFont="1"/>
    <xf numFmtId="0" fontId="37" fillId="0" borderId="0" xfId="1" applyFont="1" applyAlignment="1">
      <alignment horizontal="center"/>
    </xf>
    <xf numFmtId="0" fontId="44" fillId="0" borderId="21" xfId="1" applyFont="1" applyBorder="1" applyAlignment="1">
      <alignment horizontal="center"/>
    </xf>
    <xf numFmtId="166" fontId="37" fillId="0" borderId="0" xfId="1" applyNumberFormat="1" applyFont="1" applyAlignment="1">
      <alignment horizontal="left" indent="1"/>
    </xf>
    <xf numFmtId="165" fontId="15" fillId="3" borderId="7" xfId="2" applyNumberFormat="1" applyFont="1" applyFill="1" applyAlignment="1">
      <alignment horizontal="center"/>
    </xf>
    <xf numFmtId="165" fontId="20" fillId="3" borderId="7" xfId="2" applyNumberFormat="1" applyFont="1" applyFill="1" applyAlignment="1">
      <alignment horizontal="center"/>
    </xf>
    <xf numFmtId="168" fontId="5" fillId="0" borderId="0" xfId="1" applyNumberFormat="1" applyFont="1"/>
    <xf numFmtId="166" fontId="21" fillId="0" borderId="2" xfId="1" applyNumberFormat="1" applyFont="1" applyBorder="1" applyAlignment="1">
      <alignment horizontal="left" indent="1"/>
    </xf>
    <xf numFmtId="164" fontId="5" fillId="0" borderId="0" xfId="1" applyNumberFormat="1" applyFont="1"/>
    <xf numFmtId="186" fontId="37" fillId="0" borderId="0" xfId="7" applyNumberFormat="1" applyFont="1"/>
    <xf numFmtId="170" fontId="15" fillId="3" borderId="7" xfId="2" applyNumberFormat="1" applyFont="1" applyFill="1" applyAlignment="1">
      <alignment horizontal="center"/>
    </xf>
    <xf numFmtId="166" fontId="5" fillId="3" borderId="7" xfId="0" applyNumberFormat="1" applyFont="1" applyFill="1" applyBorder="1"/>
    <xf numFmtId="176" fontId="37" fillId="0" borderId="0" xfId="1" applyNumberFormat="1" applyFont="1"/>
    <xf numFmtId="166" fontId="5" fillId="0" borderId="0" xfId="7" applyNumberFormat="1" applyFont="1"/>
    <xf numFmtId="0" fontId="44" fillId="0" borderId="0" xfId="1" applyFont="1" applyAlignment="1">
      <alignment horizontal="left" indent="1"/>
    </xf>
    <xf numFmtId="187" fontId="5" fillId="0" borderId="0" xfId="7" applyNumberFormat="1" applyFont="1"/>
    <xf numFmtId="188" fontId="37" fillId="0" borderId="0" xfId="1" applyNumberFormat="1" applyFont="1"/>
    <xf numFmtId="41" fontId="5" fillId="3" borderId="7" xfId="0" applyNumberFormat="1" applyFont="1" applyFill="1" applyBorder="1"/>
    <xf numFmtId="0" fontId="5" fillId="0" borderId="0" xfId="1" applyFont="1"/>
    <xf numFmtId="168" fontId="29" fillId="0" borderId="0" xfId="1" applyNumberFormat="1" applyFont="1"/>
    <xf numFmtId="166" fontId="21" fillId="0" borderId="0" xfId="7" applyNumberFormat="1" applyFont="1"/>
    <xf numFmtId="164" fontId="26" fillId="0" borderId="0" xfId="1" applyNumberFormat="1" applyFont="1"/>
    <xf numFmtId="166" fontId="21" fillId="0" borderId="0" xfId="1" applyNumberFormat="1" applyFont="1"/>
    <xf numFmtId="0" fontId="47" fillId="0" borderId="0" xfId="1" applyFont="1"/>
    <xf numFmtId="190" fontId="5" fillId="0" borderId="0" xfId="1" applyNumberFormat="1" applyFont="1"/>
    <xf numFmtId="191" fontId="5" fillId="3" borderId="7" xfId="0" applyNumberFormat="1" applyFont="1" applyFill="1" applyBorder="1"/>
    <xf numFmtId="166" fontId="41" fillId="3" borderId="8" xfId="0" applyNumberFormat="1" applyFont="1" applyFill="1" applyBorder="1" applyAlignment="1">
      <alignment horizontal="left" indent="1"/>
    </xf>
    <xf numFmtId="166" fontId="41" fillId="3" borderId="23" xfId="0" applyNumberFormat="1" applyFont="1" applyFill="1" applyBorder="1" applyAlignment="1">
      <alignment horizontal="left" indent="1"/>
    </xf>
    <xf numFmtId="10" fontId="15" fillId="3" borderId="8" xfId="8" applyNumberFormat="1" applyFont="1" applyFill="1" applyBorder="1" applyAlignment="1">
      <alignment horizontal="center"/>
    </xf>
    <xf numFmtId="179" fontId="5" fillId="0" borderId="0" xfId="0" applyNumberFormat="1" applyFont="1" applyAlignment="1">
      <alignment horizontal="center" vertical="top" wrapText="1"/>
    </xf>
    <xf numFmtId="164" fontId="15" fillId="0" borderId="0" xfId="1" applyNumberFormat="1" applyFont="1" applyAlignment="1">
      <alignment horizontal="center"/>
    </xf>
    <xf numFmtId="179" fontId="30" fillId="0" borderId="0" xfId="0" applyNumberFormat="1" applyFont="1" applyAlignment="1">
      <alignment horizontal="center"/>
    </xf>
    <xf numFmtId="166" fontId="15" fillId="0" borderId="0" xfId="1" applyNumberFormat="1" applyFont="1" applyAlignment="1">
      <alignment horizontal="center"/>
    </xf>
    <xf numFmtId="178" fontId="50" fillId="0" borderId="0" xfId="0" applyNumberFormat="1" applyFont="1"/>
    <xf numFmtId="0" fontId="26" fillId="5" borderId="21" xfId="0" applyFont="1" applyFill="1" applyBorder="1"/>
    <xf numFmtId="0" fontId="39" fillId="5" borderId="21" xfId="0" applyFont="1" applyFill="1" applyBorder="1"/>
    <xf numFmtId="0" fontId="37" fillId="0" borderId="0" xfId="1" applyFont="1" applyAlignment="1">
      <alignment horizontal="left"/>
    </xf>
    <xf numFmtId="0" fontId="44" fillId="0" borderId="24" xfId="1" applyFont="1" applyBorder="1" applyAlignment="1">
      <alignment horizontal="center"/>
    </xf>
    <xf numFmtId="189" fontId="26" fillId="5" borderId="21" xfId="0" applyNumberFormat="1" applyFont="1" applyFill="1" applyBorder="1"/>
    <xf numFmtId="0" fontId="26" fillId="5" borderId="22" xfId="0" applyFont="1" applyFill="1" applyBorder="1"/>
    <xf numFmtId="164" fontId="26" fillId="5" borderId="22" xfId="0" applyNumberFormat="1" applyFont="1" applyFill="1" applyBorder="1"/>
    <xf numFmtId="168" fontId="44" fillId="0" borderId="0" xfId="1" applyNumberFormat="1" applyFont="1"/>
    <xf numFmtId="0" fontId="15" fillId="0" borderId="0" xfId="1" applyFont="1" applyAlignment="1">
      <alignment horizontal="left"/>
    </xf>
    <xf numFmtId="164" fontId="26" fillId="5" borderId="25" xfId="0" applyNumberFormat="1" applyFont="1" applyFill="1" applyBorder="1"/>
    <xf numFmtId="0" fontId="26" fillId="5" borderId="26" xfId="0" applyFont="1" applyFill="1" applyBorder="1"/>
    <xf numFmtId="0" fontId="26" fillId="5" borderId="28" xfId="0" applyFont="1" applyFill="1" applyBorder="1"/>
    <xf numFmtId="168" fontId="26" fillId="5" borderId="27" xfId="8" applyNumberFormat="1" applyFont="1" applyFill="1" applyBorder="1"/>
    <xf numFmtId="44" fontId="37" fillId="0" borderId="1" xfId="1" applyNumberFormat="1" applyFont="1" applyBorder="1"/>
    <xf numFmtId="44" fontId="37" fillId="0" borderId="2" xfId="1" applyNumberFormat="1" applyFont="1" applyBorder="1"/>
    <xf numFmtId="43" fontId="37" fillId="0" borderId="11" xfId="1" applyNumberFormat="1" applyFont="1" applyBorder="1"/>
    <xf numFmtId="44" fontId="37" fillId="0" borderId="11" xfId="1" applyNumberFormat="1" applyFont="1" applyBorder="1"/>
    <xf numFmtId="43" fontId="21" fillId="0" borderId="11" xfId="1" applyNumberFormat="1" applyFont="1" applyBorder="1"/>
    <xf numFmtId="43" fontId="21" fillId="0" borderId="0" xfId="1" applyNumberFormat="1" applyFont="1"/>
    <xf numFmtId="43" fontId="15" fillId="0" borderId="11" xfId="1" applyNumberFormat="1" applyFont="1" applyBorder="1"/>
    <xf numFmtId="44" fontId="21" fillId="0" borderId="2" xfId="1" applyNumberFormat="1" applyFont="1" applyBorder="1"/>
    <xf numFmtId="44" fontId="21" fillId="0" borderId="0" xfId="1" applyNumberFormat="1" applyFont="1"/>
    <xf numFmtId="164" fontId="31" fillId="0" borderId="0" xfId="1" applyNumberFormat="1" applyFont="1"/>
    <xf numFmtId="166" fontId="47" fillId="0" borderId="2" xfId="1" applyNumberFormat="1" applyFont="1" applyBorder="1"/>
    <xf numFmtId="166" fontId="31" fillId="0" borderId="0" xfId="1" applyNumberFormat="1" applyFont="1"/>
    <xf numFmtId="168" fontId="31" fillId="0" borderId="0" xfId="1" applyNumberFormat="1" applyFont="1"/>
    <xf numFmtId="43" fontId="37" fillId="0" borderId="0" xfId="1" applyNumberFormat="1" applyFont="1" applyAlignment="1">
      <alignment horizontal="left" indent="1"/>
    </xf>
    <xf numFmtId="164" fontId="31" fillId="3" borderId="7" xfId="0" applyNumberFormat="1" applyFont="1" applyFill="1" applyBorder="1"/>
    <xf numFmtId="166" fontId="31" fillId="0" borderId="0" xfId="7" applyNumberFormat="1" applyFont="1"/>
    <xf numFmtId="3" fontId="31" fillId="0" borderId="0" xfId="1" applyNumberFormat="1" applyFont="1"/>
    <xf numFmtId="0" fontId="4" fillId="0" borderId="0" xfId="0" applyFont="1"/>
    <xf numFmtId="3" fontId="9" fillId="0" borderId="0" xfId="0" applyNumberFormat="1" applyFont="1"/>
    <xf numFmtId="44" fontId="31" fillId="0" borderId="0" xfId="1" applyNumberFormat="1" applyFont="1"/>
    <xf numFmtId="43" fontId="31" fillId="0" borderId="0" xfId="1" applyNumberFormat="1" applyFont="1"/>
    <xf numFmtId="178" fontId="35" fillId="0" borderId="0" xfId="0" applyNumberFormat="1" applyFont="1"/>
    <xf numFmtId="179" fontId="31" fillId="0" borderId="0" xfId="0" applyNumberFormat="1" applyFont="1" applyAlignment="1">
      <alignment horizontal="center" vertical="top" wrapText="1"/>
    </xf>
    <xf numFmtId="43" fontId="9" fillId="0" borderId="0" xfId="9" applyFont="1"/>
    <xf numFmtId="43" fontId="4" fillId="0" borderId="0" xfId="9" applyFont="1"/>
    <xf numFmtId="0" fontId="51" fillId="0" borderId="0" xfId="1" applyFont="1"/>
    <xf numFmtId="44" fontId="31" fillId="3" borderId="9" xfId="0" applyNumberFormat="1" applyFont="1" applyFill="1" applyBorder="1"/>
    <xf numFmtId="170" fontId="31" fillId="3" borderId="8" xfId="0" applyNumberFormat="1" applyFont="1" applyFill="1" applyBorder="1"/>
    <xf numFmtId="165" fontId="31" fillId="3" borderId="10" xfId="2" applyNumberFormat="1" applyFont="1" applyFill="1" applyBorder="1" applyAlignment="1">
      <alignment horizontal="center"/>
    </xf>
    <xf numFmtId="166" fontId="31" fillId="3" borderId="8" xfId="0" applyNumberFormat="1" applyFont="1" applyFill="1" applyBorder="1" applyAlignment="1">
      <alignment horizontal="left" indent="1"/>
    </xf>
    <xf numFmtId="0" fontId="22" fillId="8" borderId="0" xfId="1" applyFont="1" applyFill="1"/>
    <xf numFmtId="0" fontId="22" fillId="8" borderId="5" xfId="1" applyFont="1" applyFill="1" applyBorder="1"/>
    <xf numFmtId="0" fontId="40" fillId="8" borderId="0" xfId="1" applyFont="1" applyFill="1"/>
    <xf numFmtId="0" fontId="22" fillId="8" borderId="0" xfId="1" applyFont="1" applyFill="1" applyAlignment="1">
      <alignment horizontal="centerContinuous"/>
    </xf>
    <xf numFmtId="0" fontId="40" fillId="8" borderId="0" xfId="1" applyFont="1" applyFill="1" applyAlignment="1">
      <alignment horizontal="centerContinuous"/>
    </xf>
    <xf numFmtId="0" fontId="22" fillId="8" borderId="19" xfId="1" applyFont="1" applyFill="1" applyBorder="1" applyAlignment="1">
      <alignment horizontal="centerContinuous"/>
    </xf>
    <xf numFmtId="0" fontId="40" fillId="8" borderId="5" xfId="1" applyFont="1" applyFill="1" applyBorder="1"/>
    <xf numFmtId="185" fontId="40" fillId="8" borderId="18" xfId="1" applyNumberFormat="1" applyFont="1" applyFill="1" applyBorder="1" applyAlignment="1">
      <alignment horizontal="center"/>
    </xf>
    <xf numFmtId="185" fontId="40" fillId="8" borderId="20" xfId="1" applyNumberFormat="1" applyFont="1" applyFill="1" applyBorder="1" applyAlignment="1">
      <alignment horizontal="center"/>
    </xf>
    <xf numFmtId="165" fontId="31" fillId="3" borderId="7" xfId="2" applyNumberFormat="1" applyFont="1" applyFill="1" applyAlignment="1">
      <alignment horizontal="center"/>
    </xf>
    <xf numFmtId="166" fontId="31" fillId="3" borderId="7" xfId="0" applyNumberFormat="1" applyFont="1" applyFill="1" applyBorder="1"/>
    <xf numFmtId="41" fontId="31" fillId="3" borderId="7" xfId="0" applyNumberFormat="1" applyFont="1" applyFill="1" applyBorder="1"/>
    <xf numFmtId="0" fontId="31" fillId="3" borderId="7" xfId="2" applyFont="1" applyFill="1" applyAlignment="1">
      <alignment horizontal="centerContinuous"/>
    </xf>
    <xf numFmtId="172" fontId="31" fillId="3" borderId="8" xfId="0" applyNumberFormat="1" applyFont="1" applyFill="1" applyBorder="1" applyAlignment="1">
      <alignment horizontal="center"/>
    </xf>
    <xf numFmtId="184" fontId="31" fillId="3" borderId="7" xfId="0" applyNumberFormat="1" applyFont="1" applyFill="1" applyBorder="1" applyAlignment="1">
      <alignment horizontal="center"/>
    </xf>
    <xf numFmtId="164" fontId="31" fillId="3" borderId="9" xfId="0" applyNumberFormat="1" applyFont="1" applyFill="1" applyBorder="1"/>
    <xf numFmtId="169" fontId="31" fillId="3" borderId="0" xfId="1" applyNumberFormat="1" applyFont="1" applyFill="1"/>
    <xf numFmtId="0" fontId="33" fillId="8" borderId="5" xfId="0" applyFont="1" applyFill="1" applyBorder="1"/>
    <xf numFmtId="0" fontId="34" fillId="8" borderId="5" xfId="0" applyFont="1" applyFill="1" applyBorder="1"/>
    <xf numFmtId="0" fontId="16" fillId="8" borderId="0" xfId="1" applyFont="1" applyFill="1"/>
    <xf numFmtId="0" fontId="16" fillId="8" borderId="0" xfId="1" applyFont="1" applyFill="1" applyAlignment="1">
      <alignment horizontal="center"/>
    </xf>
    <xf numFmtId="0" fontId="16" fillId="8" borderId="5" xfId="1" applyFont="1" applyFill="1" applyBorder="1"/>
    <xf numFmtId="0" fontId="16" fillId="8" borderId="5" xfId="1" applyFont="1" applyFill="1" applyBorder="1" applyAlignment="1">
      <alignment horizontal="center"/>
    </xf>
    <xf numFmtId="0" fontId="21" fillId="10" borderId="13" xfId="1" applyFont="1" applyFill="1" applyBorder="1" applyAlignment="1">
      <alignment horizontal="left"/>
    </xf>
    <xf numFmtId="0" fontId="21" fillId="10" borderId="14" xfId="1" applyFont="1" applyFill="1" applyBorder="1"/>
    <xf numFmtId="178" fontId="21" fillId="10" borderId="14" xfId="1" applyNumberFormat="1" applyFont="1" applyFill="1" applyBorder="1"/>
    <xf numFmtId="181" fontId="21" fillId="10" borderId="14" xfId="8" applyNumberFormat="1" applyFont="1" applyFill="1" applyBorder="1" applyAlignment="1"/>
    <xf numFmtId="178" fontId="21" fillId="10" borderId="14" xfId="1" applyNumberFormat="1" applyFont="1" applyFill="1" applyBorder="1" applyAlignment="1">
      <alignment horizontal="right"/>
    </xf>
    <xf numFmtId="0" fontId="22" fillId="11" borderId="13" xfId="1" applyFont="1" applyFill="1" applyBorder="1"/>
    <xf numFmtId="0" fontId="22" fillId="11" borderId="14" xfId="1" applyFont="1" applyFill="1" applyBorder="1"/>
    <xf numFmtId="178" fontId="22" fillId="11" borderId="14" xfId="1" applyNumberFormat="1" applyFont="1" applyFill="1" applyBorder="1"/>
    <xf numFmtId="42" fontId="22" fillId="11" borderId="14" xfId="1" applyNumberFormat="1" applyFont="1" applyFill="1" applyBorder="1"/>
    <xf numFmtId="9" fontId="22" fillId="11" borderId="14" xfId="1" applyNumberFormat="1" applyFont="1" applyFill="1" applyBorder="1"/>
    <xf numFmtId="43" fontId="22" fillId="11" borderId="15" xfId="1" applyNumberFormat="1" applyFont="1" applyFill="1" applyBorder="1"/>
    <xf numFmtId="0" fontId="22" fillId="11" borderId="1" xfId="1" applyFont="1" applyFill="1" applyBorder="1"/>
    <xf numFmtId="0" fontId="22" fillId="11" borderId="2" xfId="1" applyFont="1" applyFill="1" applyBorder="1"/>
    <xf numFmtId="182" fontId="22" fillId="11" borderId="3" xfId="1" applyNumberFormat="1" applyFont="1" applyFill="1" applyBorder="1"/>
    <xf numFmtId="0" fontId="22" fillId="11" borderId="11" xfId="1" applyFont="1" applyFill="1" applyBorder="1"/>
    <xf numFmtId="0" fontId="22" fillId="11" borderId="0" xfId="1" applyFont="1" applyFill="1"/>
    <xf numFmtId="0" fontId="22" fillId="11" borderId="4" xfId="1" applyFont="1" applyFill="1" applyBorder="1"/>
    <xf numFmtId="0" fontId="22" fillId="11" borderId="5" xfId="1" applyFont="1" applyFill="1" applyBorder="1"/>
    <xf numFmtId="182" fontId="22" fillId="11" borderId="6" xfId="1" applyNumberFormat="1" applyFont="1" applyFill="1" applyBorder="1"/>
    <xf numFmtId="177" fontId="22" fillId="11" borderId="3" xfId="1" applyNumberFormat="1" applyFont="1" applyFill="1" applyBorder="1"/>
    <xf numFmtId="177" fontId="22" fillId="11" borderId="15" xfId="1" applyNumberFormat="1" applyFont="1" applyFill="1" applyBorder="1"/>
    <xf numFmtId="177" fontId="31" fillId="3" borderId="8" xfId="0" applyNumberFormat="1" applyFont="1" applyFill="1" applyBorder="1" applyAlignment="1">
      <alignment horizontal="center"/>
    </xf>
    <xf numFmtId="164" fontId="4" fillId="0" borderId="0" xfId="1" applyNumberFormat="1" applyFont="1"/>
    <xf numFmtId="0" fontId="16" fillId="8" borderId="0" xfId="3" applyFont="1" applyFill="1" applyAlignment="1">
      <alignment horizontal="left"/>
    </xf>
    <xf numFmtId="0" fontId="17" fillId="8" borderId="0" xfId="1" applyFont="1" applyFill="1" applyAlignment="1">
      <alignment horizontal="centerContinuous"/>
    </xf>
    <xf numFmtId="0" fontId="18" fillId="8" borderId="0" xfId="1" applyFont="1" applyFill="1" applyAlignment="1">
      <alignment horizontal="centerContinuous"/>
    </xf>
    <xf numFmtId="0" fontId="19" fillId="8" borderId="0" xfId="1" applyFont="1" applyFill="1"/>
    <xf numFmtId="0" fontId="19" fillId="8" borderId="0" xfId="1" applyFont="1" applyFill="1" applyAlignment="1">
      <alignment horizontal="centerContinuous"/>
    </xf>
    <xf numFmtId="14" fontId="16" fillId="8" borderId="5" xfId="1" applyNumberFormat="1" applyFont="1" applyFill="1" applyBorder="1" applyAlignment="1">
      <alignment horizontal="center"/>
    </xf>
    <xf numFmtId="185" fontId="22" fillId="8" borderId="5" xfId="0" applyNumberFormat="1" applyFont="1" applyFill="1" applyBorder="1" applyAlignment="1">
      <alignment horizontal="center"/>
    </xf>
    <xf numFmtId="0" fontId="21" fillId="10" borderId="13" xfId="1" applyFont="1" applyFill="1" applyBorder="1"/>
    <xf numFmtId="44" fontId="21" fillId="10" borderId="14" xfId="1" applyNumberFormat="1" applyFont="1" applyFill="1" applyBorder="1"/>
    <xf numFmtId="166" fontId="21" fillId="10" borderId="14" xfId="1" applyNumberFormat="1" applyFont="1" applyFill="1" applyBorder="1"/>
    <xf numFmtId="175" fontId="21" fillId="10" borderId="14" xfId="1" applyNumberFormat="1" applyFont="1" applyFill="1" applyBorder="1"/>
    <xf numFmtId="171" fontId="21" fillId="10" borderId="14" xfId="1" applyNumberFormat="1" applyFont="1" applyFill="1" applyBorder="1"/>
    <xf numFmtId="171" fontId="21" fillId="10" borderId="15" xfId="1" applyNumberFormat="1" applyFont="1" applyFill="1" applyBorder="1"/>
    <xf numFmtId="44" fontId="22" fillId="11" borderId="14" xfId="1" applyNumberFormat="1" applyFont="1" applyFill="1" applyBorder="1"/>
    <xf numFmtId="176" fontId="22" fillId="11" borderId="14" xfId="1" applyNumberFormat="1" applyFont="1" applyFill="1" applyBorder="1"/>
    <xf numFmtId="164" fontId="22" fillId="11" borderId="14" xfId="1" applyNumberFormat="1" applyFont="1" applyFill="1" applyBorder="1"/>
    <xf numFmtId="2" fontId="22" fillId="11" borderId="14" xfId="1" applyNumberFormat="1" applyFont="1" applyFill="1" applyBorder="1" applyAlignment="1">
      <alignment horizontal="center"/>
    </xf>
    <xf numFmtId="171" fontId="22" fillId="11" borderId="14" xfId="1" applyNumberFormat="1" applyFont="1" applyFill="1" applyBorder="1" applyAlignment="1">
      <alignment horizontal="center"/>
    </xf>
    <xf numFmtId="169" fontId="21" fillId="10" borderId="14" xfId="1" applyNumberFormat="1" applyFont="1" applyFill="1" applyBorder="1"/>
    <xf numFmtId="169" fontId="21" fillId="10" borderId="15" xfId="1" applyNumberFormat="1" applyFont="1" applyFill="1" applyBorder="1"/>
    <xf numFmtId="173" fontId="22" fillId="11" borderId="14" xfId="1" applyNumberFormat="1" applyFont="1" applyFill="1" applyBorder="1"/>
    <xf numFmtId="169" fontId="22" fillId="11" borderId="14" xfId="1" applyNumberFormat="1" applyFont="1" applyFill="1" applyBorder="1"/>
    <xf numFmtId="169" fontId="22" fillId="11" borderId="0" xfId="1" applyNumberFormat="1" applyFont="1" applyFill="1"/>
    <xf numFmtId="169" fontId="22" fillId="11" borderId="16" xfId="1" applyNumberFormat="1" applyFont="1" applyFill="1" applyBorder="1"/>
    <xf numFmtId="0" fontId="46" fillId="9" borderId="0" xfId="0" applyFont="1" applyFill="1" applyAlignment="1">
      <alignment horizontal="center"/>
    </xf>
    <xf numFmtId="0" fontId="37" fillId="11" borderId="0" xfId="1" applyFont="1" applyFill="1"/>
    <xf numFmtId="0" fontId="51" fillId="11" borderId="0" xfId="1" applyFont="1" applyFill="1"/>
    <xf numFmtId="0" fontId="22" fillId="11" borderId="0" xfId="1" applyFont="1" applyFill="1" applyAlignment="1">
      <alignment horizontal="center" wrapText="1"/>
    </xf>
    <xf numFmtId="164" fontId="37" fillId="5" borderId="0" xfId="1" applyNumberFormat="1" applyFont="1" applyFill="1"/>
    <xf numFmtId="168" fontId="20" fillId="5" borderId="0" xfId="1" applyNumberFormat="1" applyFont="1" applyFill="1"/>
    <xf numFmtId="10" fontId="37" fillId="5" borderId="0" xfId="1" applyNumberFormat="1" applyFont="1" applyFill="1"/>
    <xf numFmtId="10" fontId="21" fillId="5" borderId="0" xfId="1" applyNumberFormat="1" applyFont="1" applyFill="1"/>
    <xf numFmtId="164" fontId="21" fillId="5" borderId="0" xfId="1" applyNumberFormat="1" applyFont="1" applyFill="1"/>
    <xf numFmtId="0" fontId="45" fillId="8" borderId="0" xfId="1" applyFont="1" applyFill="1" applyAlignment="1">
      <alignment horizontal="center"/>
    </xf>
    <xf numFmtId="14" fontId="22" fillId="8" borderId="0" xfId="1" applyNumberFormat="1" applyFont="1" applyFill="1" applyAlignment="1">
      <alignment horizontal="center"/>
    </xf>
    <xf numFmtId="0" fontId="51" fillId="11" borderId="2" xfId="1" applyFont="1" applyFill="1" applyBorder="1" applyAlignment="1">
      <alignment horizontal="centerContinuous"/>
    </xf>
    <xf numFmtId="0" fontId="37" fillId="11" borderId="2" xfId="1" applyFont="1" applyFill="1" applyBorder="1"/>
    <xf numFmtId="0" fontId="22" fillId="11" borderId="2" xfId="1" applyFont="1" applyFill="1" applyBorder="1" applyAlignment="1">
      <alignment horizontal="centerContinuous"/>
    </xf>
    <xf numFmtId="0" fontId="37" fillId="11" borderId="1" xfId="1" applyFont="1" applyFill="1" applyBorder="1"/>
    <xf numFmtId="0" fontId="37" fillId="11" borderId="11" xfId="1" applyFont="1" applyFill="1" applyBorder="1"/>
    <xf numFmtId="164" fontId="37" fillId="5" borderId="11" xfId="1" applyNumberFormat="1" applyFont="1" applyFill="1" applyBorder="1"/>
    <xf numFmtId="168" fontId="20" fillId="5" borderId="11" xfId="1" applyNumberFormat="1" applyFont="1" applyFill="1" applyBorder="1"/>
    <xf numFmtId="168" fontId="5" fillId="5" borderId="11" xfId="1" applyNumberFormat="1" applyFont="1" applyFill="1" applyBorder="1"/>
    <xf numFmtId="168" fontId="26" fillId="5" borderId="11" xfId="1" applyNumberFormat="1" applyFont="1" applyFill="1" applyBorder="1"/>
    <xf numFmtId="168" fontId="37" fillId="5" borderId="0" xfId="1" applyNumberFormat="1" applyFont="1" applyFill="1"/>
    <xf numFmtId="0" fontId="37" fillId="11" borderId="2" xfId="1" applyFont="1" applyFill="1" applyBorder="1" applyAlignment="1">
      <alignment horizontal="centerContinuous"/>
    </xf>
    <xf numFmtId="164" fontId="37" fillId="5" borderId="2" xfId="1" applyNumberFormat="1" applyFont="1" applyFill="1" applyBorder="1"/>
    <xf numFmtId="164" fontId="20" fillId="5" borderId="2" xfId="1" applyNumberFormat="1" applyFont="1" applyFill="1" applyBorder="1"/>
    <xf numFmtId="164" fontId="21" fillId="5" borderId="2" xfId="1" applyNumberFormat="1" applyFont="1" applyFill="1" applyBorder="1"/>
    <xf numFmtId="0" fontId="51" fillId="11" borderId="12" xfId="1" applyFont="1" applyFill="1" applyBorder="1"/>
    <xf numFmtId="0" fontId="37" fillId="0" borderId="12" xfId="1" applyFont="1" applyBorder="1"/>
    <xf numFmtId="0" fontId="37" fillId="0" borderId="11" xfId="1" applyFont="1" applyBorder="1"/>
    <xf numFmtId="0" fontId="21" fillId="0" borderId="11" xfId="1" applyFont="1" applyBorder="1" applyAlignment="1">
      <alignment horizontal="centerContinuous"/>
    </xf>
    <xf numFmtId="0" fontId="37" fillId="0" borderId="5" xfId="1" applyFont="1" applyBorder="1"/>
    <xf numFmtId="169" fontId="15" fillId="5" borderId="11" xfId="1" applyNumberFormat="1" applyFont="1" applyFill="1" applyBorder="1" applyAlignment="1">
      <alignment horizontal="center"/>
    </xf>
    <xf numFmtId="169" fontId="21" fillId="5" borderId="11" xfId="1" applyNumberFormat="1" applyFont="1" applyFill="1" applyBorder="1" applyAlignment="1">
      <alignment horizontal="center"/>
    </xf>
    <xf numFmtId="164" fontId="51" fillId="11" borderId="5" xfId="1" applyNumberFormat="1" applyFont="1" applyFill="1" applyBorder="1"/>
    <xf numFmtId="0" fontId="22" fillId="11" borderId="5" xfId="1" applyFont="1" applyFill="1" applyBorder="1" applyAlignment="1">
      <alignment horizontal="centerContinuous"/>
    </xf>
    <xf numFmtId="0" fontId="37" fillId="0" borderId="14" xfId="1" applyFont="1" applyBorder="1"/>
    <xf numFmtId="10" fontId="37" fillId="0" borderId="14" xfId="1" applyNumberFormat="1" applyFont="1" applyBorder="1"/>
    <xf numFmtId="10" fontId="20" fillId="5" borderId="11" xfId="1" applyNumberFormat="1" applyFont="1" applyFill="1" applyBorder="1"/>
    <xf numFmtId="10" fontId="37" fillId="5" borderId="11" xfId="1" applyNumberFormat="1" applyFont="1" applyFill="1" applyBorder="1"/>
    <xf numFmtId="10" fontId="15" fillId="5" borderId="11" xfId="1" applyNumberFormat="1" applyFont="1" applyFill="1" applyBorder="1"/>
    <xf numFmtId="10" fontId="21" fillId="5" borderId="11" xfId="1" applyNumberFormat="1" applyFont="1" applyFill="1" applyBorder="1"/>
    <xf numFmtId="0" fontId="51" fillId="11" borderId="5" xfId="1" applyFont="1" applyFill="1" applyBorder="1" applyAlignment="1">
      <alignment horizontal="centerContinuous"/>
    </xf>
    <xf numFmtId="0" fontId="51" fillId="11" borderId="5" xfId="1" applyFont="1" applyFill="1" applyBorder="1"/>
    <xf numFmtId="166" fontId="38" fillId="0" borderId="0" xfId="1" applyNumberFormat="1" applyFont="1"/>
    <xf numFmtId="166" fontId="21" fillId="0" borderId="0" xfId="1" applyNumberFormat="1" applyFont="1" applyAlignment="1">
      <alignment horizontal="centerContinuous"/>
    </xf>
    <xf numFmtId="0" fontId="3" fillId="0" borderId="0" xfId="0" applyFont="1" applyAlignment="1">
      <alignment horizontal="left" indent="1"/>
    </xf>
    <xf numFmtId="43" fontId="37" fillId="0" borderId="0" xfId="9" applyFont="1"/>
    <xf numFmtId="0" fontId="53" fillId="0" borderId="0" xfId="0" applyFont="1"/>
    <xf numFmtId="3" fontId="0" fillId="0" borderId="0" xfId="0" applyNumberFormat="1"/>
    <xf numFmtId="6" fontId="0" fillId="0" borderId="0" xfId="0" applyNumberFormat="1"/>
    <xf numFmtId="9" fontId="37" fillId="0" borderId="0" xfId="8" applyFont="1" applyAlignment="1">
      <alignment horizontal="right"/>
    </xf>
    <xf numFmtId="9" fontId="37" fillId="0" borderId="0" xfId="8" applyFont="1"/>
    <xf numFmtId="8" fontId="37" fillId="0" borderId="21" xfId="1" applyNumberFormat="1" applyFont="1" applyBorder="1"/>
    <xf numFmtId="182" fontId="22" fillId="11" borderId="12" xfId="1" applyNumberFormat="1" applyFont="1" applyFill="1" applyBorder="1"/>
    <xf numFmtId="177" fontId="22" fillId="11" borderId="12" xfId="1" applyNumberFormat="1" applyFont="1" applyFill="1" applyBorder="1"/>
    <xf numFmtId="0" fontId="2" fillId="0" borderId="0" xfId="0" applyFont="1"/>
    <xf numFmtId="0" fontId="55" fillId="0" borderId="0" xfId="10" applyFont="1" applyFill="1" applyBorder="1"/>
    <xf numFmtId="9" fontId="0" fillId="0" borderId="0" xfId="0" applyNumberFormat="1"/>
    <xf numFmtId="0" fontId="2" fillId="0" borderId="0" xfId="0" quotePrefix="1" applyFont="1"/>
    <xf numFmtId="171" fontId="31" fillId="0" borderId="0" xfId="1" applyNumberFormat="1" applyFont="1" applyAlignment="1">
      <alignment horizontal="center"/>
    </xf>
    <xf numFmtId="166" fontId="31" fillId="0" borderId="0" xfId="0" applyNumberFormat="1" applyFont="1"/>
    <xf numFmtId="0" fontId="2" fillId="0" borderId="0" xfId="4" applyFont="1"/>
    <xf numFmtId="166" fontId="2" fillId="0" borderId="0" xfId="0" applyNumberFormat="1" applyFont="1"/>
    <xf numFmtId="0" fontId="2" fillId="0" borderId="0" xfId="0" applyFont="1" applyAlignment="1">
      <alignment horizontal="left" indent="1"/>
    </xf>
    <xf numFmtId="164" fontId="2" fillId="0" borderId="0" xfId="0" applyNumberFormat="1" applyFont="1"/>
    <xf numFmtId="0" fontId="2" fillId="5" borderId="5" xfId="4" applyFont="1" applyFill="1" applyBorder="1" applyAlignment="1">
      <alignment horizontal="centerContinuous"/>
    </xf>
    <xf numFmtId="0" fontId="2" fillId="5" borderId="5" xfId="0" applyFont="1" applyFill="1" applyBorder="1"/>
    <xf numFmtId="43" fontId="2" fillId="0" borderId="0" xfId="0" applyNumberFormat="1" applyFont="1"/>
    <xf numFmtId="44" fontId="2" fillId="0" borderId="0" xfId="0" applyNumberFormat="1" applyFont="1"/>
    <xf numFmtId="166" fontId="21" fillId="5" borderId="2" xfId="1" applyNumberFormat="1" applyFont="1" applyFill="1" applyBorder="1"/>
    <xf numFmtId="10" fontId="15" fillId="5" borderId="0" xfId="1" applyNumberFormat="1" applyFont="1" applyFill="1"/>
    <xf numFmtId="44" fontId="0" fillId="0" borderId="0" xfId="0" applyNumberFormat="1"/>
    <xf numFmtId="0" fontId="1" fillId="0" borderId="0" xfId="0" applyFont="1" applyAlignment="1">
      <alignment horizontal="left" indent="1"/>
    </xf>
    <xf numFmtId="0" fontId="21" fillId="10" borderId="14" xfId="1" applyFont="1" applyFill="1" applyBorder="1" applyAlignment="1">
      <alignment horizontal="right"/>
    </xf>
    <xf numFmtId="0" fontId="21" fillId="10" borderId="1" xfId="1" applyFont="1" applyFill="1" applyBorder="1"/>
    <xf numFmtId="0" fontId="15" fillId="10" borderId="2" xfId="1" applyFont="1" applyFill="1" applyBorder="1"/>
    <xf numFmtId="44" fontId="21" fillId="10" borderId="3" xfId="1" applyNumberFormat="1" applyFont="1" applyFill="1" applyBorder="1"/>
    <xf numFmtId="0" fontId="21" fillId="10" borderId="4" xfId="1" applyFont="1" applyFill="1" applyBorder="1"/>
    <xf numFmtId="0" fontId="15" fillId="10" borderId="5" xfId="1" applyFont="1" applyFill="1" applyBorder="1"/>
    <xf numFmtId="165" fontId="21" fillId="10" borderId="6" xfId="1" applyNumberFormat="1" applyFont="1" applyFill="1" applyBorder="1"/>
    <xf numFmtId="0" fontId="22" fillId="11" borderId="0" xfId="1" applyFont="1" applyFill="1" applyAlignment="1">
      <alignment horizontal="center" vertical="center" wrapText="1"/>
    </xf>
    <xf numFmtId="0" fontId="52" fillId="11" borderId="0" xfId="0" applyFont="1" applyFill="1" applyAlignment="1">
      <alignment horizontal="center" vertical="center"/>
    </xf>
    <xf numFmtId="0" fontId="22" fillId="8" borderId="0" xfId="1" applyFont="1" applyFill="1" applyAlignment="1">
      <alignment wrapText="1"/>
    </xf>
    <xf numFmtId="0" fontId="22" fillId="11" borderId="11" xfId="1" applyFont="1" applyFill="1" applyBorder="1" applyAlignment="1">
      <alignment horizontal="center" vertical="center" wrapText="1"/>
    </xf>
    <xf numFmtId="0" fontId="52" fillId="11" borderId="11" xfId="0" applyFont="1" applyFill="1" applyBorder="1" applyAlignment="1">
      <alignment horizontal="center" vertical="center"/>
    </xf>
    <xf numFmtId="0" fontId="22" fillId="11" borderId="12" xfId="1" applyFont="1" applyFill="1" applyBorder="1" applyAlignment="1">
      <alignment horizontal="center" vertical="center" wrapText="1"/>
    </xf>
    <xf numFmtId="0" fontId="52" fillId="11" borderId="12" xfId="0" applyFont="1" applyFill="1" applyBorder="1" applyAlignment="1">
      <alignment horizontal="center" vertical="center"/>
    </xf>
  </cellXfs>
  <cellStyles count="11">
    <cellStyle name="Comma" xfId="9" builtinId="3"/>
    <cellStyle name="Currency" xfId="7" builtinId="4"/>
    <cellStyle name="Hyperlink" xfId="10" builtinId="8"/>
    <cellStyle name="Normal" xfId="0" builtinId="0"/>
    <cellStyle name="Normal 2" xfId="1" xr:uid="{00000000-0005-0000-0000-000001000000}"/>
    <cellStyle name="Normal 3 2" xfId="3" xr:uid="{00000000-0005-0000-0000-000002000000}"/>
    <cellStyle name="Normal 3 4" xfId="6" xr:uid="{00000000-0005-0000-0000-000003000000}"/>
    <cellStyle name="Normal 5 2" xfId="4" xr:uid="{00000000-0005-0000-0000-000004000000}"/>
    <cellStyle name="Note" xfId="2" builtinId="10"/>
    <cellStyle name="Percent" xfId="8" builtinId="5"/>
    <cellStyle name="TextNormal" xfId="5" xr:uid="{00000000-0005-0000-0000-000006000000}"/>
  </cellStyles>
  <dxfs count="1">
    <dxf>
      <font>
        <color rgb="FF9C0006"/>
      </font>
    </dxf>
  </dxfs>
  <tableStyles count="0" defaultTableStyle="TableStyleMedium9" defaultPivotStyle="PivotStyleLight16"/>
  <colors>
    <mruColors>
      <color rgb="FF0000FF"/>
      <color rgb="FFB2B2B2"/>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1.xml"/><Relationship Id="rId10" Type="http://schemas.openxmlformats.org/officeDocument/2006/relationships/externalLink" Target="externalLinks/externalLink2.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Steel Dynamics</a:t>
            </a:r>
            <a:r>
              <a:rPr lang="en-US" b="1" baseline="0">
                <a:solidFill>
                  <a:schemeClr val="tx1"/>
                </a:solidFill>
              </a:rPr>
              <a:t> Inc. - Range of Implied Share Prices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1"/>
          <c:spPr>
            <a:noFill/>
            <a:ln>
              <a:noFill/>
            </a:ln>
            <a:effectLst/>
          </c:spPr>
          <c:invertIfNegative val="0"/>
          <c:cat>
            <c:strRef>
              <c:f>Val_Graph!$B$39:$B$55</c:f>
              <c:strCache>
                <c:ptCount val="16"/>
                <c:pt idx="0">
                  <c:v>$900 - $1300 Steel Price per Ton, 15-20% Gross Margin:</c:v>
                </c:pt>
                <c:pt idx="2">
                  <c:v>LTM TEV / EBITDA:</c:v>
                </c:pt>
                <c:pt idx="3">
                  <c:v>LTM TEV / Revenue:</c:v>
                </c:pt>
                <c:pt idx="5">
                  <c:v>CY 23 P / E:</c:v>
                </c:pt>
                <c:pt idx="6">
                  <c:v>CY 22 P / E:</c:v>
                </c:pt>
                <c:pt idx="7">
                  <c:v>LTM P / E:</c:v>
                </c:pt>
                <c:pt idx="8">
                  <c:v>CY 23 TEV / EBITDA:</c:v>
                </c:pt>
                <c:pt idx="9">
                  <c:v>CY 22 TEV / EBITDA:</c:v>
                </c:pt>
                <c:pt idx="10">
                  <c:v>LTM TEV / EBITDA:</c:v>
                </c:pt>
                <c:pt idx="11">
                  <c:v>CY 23 TEV / Revenue:</c:v>
                </c:pt>
                <c:pt idx="12">
                  <c:v>CY 22 TEV / Revenue:</c:v>
                </c:pt>
                <c:pt idx="13">
                  <c:v>LTM TEV / Revenue:</c:v>
                </c:pt>
                <c:pt idx="15">
                  <c:v>Current Share Price:</c:v>
                </c:pt>
              </c:strCache>
            </c:strRef>
          </c:cat>
          <c:val>
            <c:numRef>
              <c:f>Val_Graph!$K$39:$K$53</c:f>
              <c:numCache>
                <c:formatCode>General</c:formatCode>
                <c:ptCount val="15"/>
                <c:pt idx="0" formatCode="_(&quot;$&quot;* #,##0.00_);_(&quot;$&quot;* \(#,##0.00\);_(&quot;$&quot;* &quot;-&quot;??_);_(@_)">
                  <c:v>75.255063981467146</c:v>
                </c:pt>
                <c:pt idx="2" formatCode="_(&quot;$&quot;* #,##0.00_);_(&quot;$&quot;* \(#,##0.00\);_(&quot;$&quot;* &quot;-&quot;??_);_(@_)">
                  <c:v>311.45640555160219</c:v>
                </c:pt>
                <c:pt idx="3" formatCode="_(&quot;$&quot;* #,##0.00_);_(&quot;$&quot;* \(#,##0.00\);_(&quot;$&quot;* &quot;-&quot;??_);_(@_)">
                  <c:v>26.50636065162648</c:v>
                </c:pt>
                <c:pt idx="5" formatCode="_(&quot;$&quot;* #,##0.00_);_(&quot;$&quot;* \(#,##0.00\);_(&quot;$&quot;* &quot;-&quot;??_);_(@_)">
                  <c:v>65.744843484491994</c:v>
                </c:pt>
                <c:pt idx="6" formatCode="_(&quot;$&quot;* #,##0.00_);_(&quot;$&quot;* \(#,##0.00\);_(&quot;$&quot;* &quot;-&quot;??_);_(@_)">
                  <c:v>27.254910793935128</c:v>
                </c:pt>
                <c:pt idx="7" formatCode="_(&quot;$&quot;* #,##0.00_);_(&quot;$&quot;* \(#,##0.00\);_(&quot;$&quot;* &quot;-&quot;??_);_(@_)">
                  <c:v>34.152873617845728</c:v>
                </c:pt>
                <c:pt idx="8" formatCode="_(&quot;$&quot;* #,##0.00_);_(&quot;$&quot;* \(#,##0.00\);_(&quot;$&quot;* &quot;-&quot;??_);_(@_)">
                  <c:v>48.556591622192016</c:v>
                </c:pt>
                <c:pt idx="9" formatCode="_(&quot;$&quot;* #,##0.00_);_(&quot;$&quot;* \(#,##0.00\);_(&quot;$&quot;* &quot;-&quot;??_);_(@_)">
                  <c:v>19.454473907901132</c:v>
                </c:pt>
                <c:pt idx="10" formatCode="_(&quot;$&quot;* #,##0.00_);_(&quot;$&quot;* \(#,##0.00\);_(&quot;$&quot;* &quot;-&quot;??_);_(@_)">
                  <c:v>61.486883882791865</c:v>
                </c:pt>
                <c:pt idx="11" formatCode="_(&quot;$&quot;* #,##0.00_);_(&quot;$&quot;* \(#,##0.00\);_(&quot;$&quot;* &quot;-&quot;??_);_(@_)">
                  <c:v>31.076358413143343</c:v>
                </c:pt>
                <c:pt idx="12" formatCode="_(&quot;$&quot;* #,##0.00_);_(&quot;$&quot;* \(#,##0.00\);_(&quot;$&quot;* &quot;-&quot;??_);_(@_)">
                  <c:v>32.49296812139233</c:v>
                </c:pt>
                <c:pt idx="13" formatCode="_(&quot;$&quot;* #,##0.00_);_(&quot;$&quot;* \(#,##0.00\);_(&quot;$&quot;* &quot;-&quot;??_);_(@_)">
                  <c:v>30.29517189598517</c:v>
                </c:pt>
              </c:numCache>
            </c:numRef>
          </c:val>
          <c:extLst>
            <c:ext xmlns:c16="http://schemas.microsoft.com/office/drawing/2014/chart" uri="{C3380CC4-5D6E-409C-BE32-E72D297353CC}">
              <c16:uniqueId val="{00000000-E65E-5546-9750-A0818BC09987}"/>
            </c:ext>
          </c:extLst>
        </c:ser>
        <c:ser>
          <c:idx val="1"/>
          <c:order val="2"/>
          <c:spPr>
            <a:noFill/>
            <a:ln>
              <a:noFill/>
            </a:ln>
            <a:effectLst/>
          </c:spPr>
          <c:invertIfNegative val="0"/>
          <c:cat>
            <c:strRef>
              <c:f>Val_Graph!$B$39:$B$55</c:f>
              <c:strCache>
                <c:ptCount val="16"/>
                <c:pt idx="0">
                  <c:v>$900 - $1300 Steel Price per Ton, 15-20% Gross Margin:</c:v>
                </c:pt>
                <c:pt idx="2">
                  <c:v>LTM TEV / EBITDA:</c:v>
                </c:pt>
                <c:pt idx="3">
                  <c:v>LTM TEV / Revenue:</c:v>
                </c:pt>
                <c:pt idx="5">
                  <c:v>CY 23 P / E:</c:v>
                </c:pt>
                <c:pt idx="6">
                  <c:v>CY 22 P / E:</c:v>
                </c:pt>
                <c:pt idx="7">
                  <c:v>LTM P / E:</c:v>
                </c:pt>
                <c:pt idx="8">
                  <c:v>CY 23 TEV / EBITDA:</c:v>
                </c:pt>
                <c:pt idx="9">
                  <c:v>CY 22 TEV / EBITDA:</c:v>
                </c:pt>
                <c:pt idx="10">
                  <c:v>LTM TEV / EBITDA:</c:v>
                </c:pt>
                <c:pt idx="11">
                  <c:v>CY 23 TEV / Revenue:</c:v>
                </c:pt>
                <c:pt idx="12">
                  <c:v>CY 22 TEV / Revenue:</c:v>
                </c:pt>
                <c:pt idx="13">
                  <c:v>LTM TEV / Revenue:</c:v>
                </c:pt>
                <c:pt idx="15">
                  <c:v>Current Share Price:</c:v>
                </c:pt>
              </c:strCache>
            </c:strRef>
          </c:cat>
          <c:val>
            <c:numRef>
              <c:f>Val_Graph!$L$39:$L$53</c:f>
              <c:numCache>
                <c:formatCode>General</c:formatCode>
                <c:ptCount val="15"/>
                <c:pt idx="0" formatCode="_(&quot;$&quot;* #,##0.00_);_(&quot;$&quot;* \(#,##0.00\);_(&quot;$&quot;* &quot;-&quot;??_);_(@_)">
                  <c:v>14.0176250409299</c:v>
                </c:pt>
                <c:pt idx="2" formatCode="_(&quot;$&quot;* #,##0.00_);_(&quot;$&quot;* \(#,##0.00\);_(&quot;$&quot;* &quot;-&quot;??_);_(@_)">
                  <c:v>136.89844124234679</c:v>
                </c:pt>
                <c:pt idx="3" formatCode="_(&quot;$&quot;* #,##0.00_);_(&quot;$&quot;* \(#,##0.00\);_(&quot;$&quot;* &quot;-&quot;??_);_(@_)">
                  <c:v>34.247383706096407</c:v>
                </c:pt>
                <c:pt idx="5" formatCode="_(&quot;$&quot;* #,##0.00_);_(&quot;$&quot;* \(#,##0.00\);_(&quot;$&quot;* &quot;-&quot;??_);_(@_)">
                  <c:v>6.7810721164689198</c:v>
                </c:pt>
                <c:pt idx="6" formatCode="_(&quot;$&quot;* #,##0.00_);_(&quot;$&quot;* \(#,##0.00\);_(&quot;$&quot;* &quot;-&quot;??_);_(@_)">
                  <c:v>17.604614440480344</c:v>
                </c:pt>
                <c:pt idx="7" formatCode="_(&quot;$&quot;* #,##0.00_);_(&quot;$&quot;* \(#,##0.00\);_(&quot;$&quot;* &quot;-&quot;??_);_(@_)">
                  <c:v>22.212551212363365</c:v>
                </c:pt>
                <c:pt idx="8" formatCode="_(&quot;$&quot;* #,##0.00_);_(&quot;$&quot;* \(#,##0.00\);_(&quot;$&quot;* &quot;-&quot;??_);_(@_)">
                  <c:v>14.347544078460693</c:v>
                </c:pt>
                <c:pt idx="9" formatCode="_(&quot;$&quot;* #,##0.00_);_(&quot;$&quot;* \(#,##0.00\);_(&quot;$&quot;* &quot;-&quot;??_);_(@_)">
                  <c:v>24.100856298096858</c:v>
                </c:pt>
                <c:pt idx="10" formatCode="_(&quot;$&quot;* #,##0.00_);_(&quot;$&quot;* \(#,##0.00\);_(&quot;$&quot;* &quot;-&quot;??_);_(@_)">
                  <c:v>80.412505669242364</c:v>
                </c:pt>
                <c:pt idx="11" formatCode="_(&quot;$&quot;* #,##0.00_);_(&quot;$&quot;* \(#,##0.00\);_(&quot;$&quot;* &quot;-&quot;??_);_(@_)">
                  <c:v>16.752632833691099</c:v>
                </c:pt>
                <c:pt idx="12" formatCode="_(&quot;$&quot;* #,##0.00_);_(&quot;$&quot;* \(#,##0.00\);_(&quot;$&quot;* &quot;-&quot;??_);_(@_)">
                  <c:v>10.613471531691019</c:v>
                </c:pt>
                <c:pt idx="13" formatCode="_(&quot;$&quot;* #,##0.00_);_(&quot;$&quot;* \(#,##0.00\);_(&quot;$&quot;* &quot;-&quot;??_);_(@_)">
                  <c:v>9.3591666386810388</c:v>
                </c:pt>
              </c:numCache>
            </c:numRef>
          </c:val>
          <c:extLst>
            <c:ext xmlns:c16="http://schemas.microsoft.com/office/drawing/2014/chart" uri="{C3380CC4-5D6E-409C-BE32-E72D297353CC}">
              <c16:uniqueId val="{00000001-E65E-5546-9750-A0818BC09987}"/>
            </c:ext>
          </c:extLst>
        </c:ser>
        <c:ser>
          <c:idx val="2"/>
          <c:order val="3"/>
          <c:tx>
            <c:v>25th to Median</c:v>
          </c:tx>
          <c:spPr>
            <a:solidFill>
              <a:schemeClr val="accent2"/>
            </a:solidFill>
            <a:ln>
              <a:solidFill>
                <a:schemeClr val="tx1"/>
              </a:solidFill>
            </a:ln>
            <a:effectLst/>
          </c:spPr>
          <c:invertIfNegative val="0"/>
          <c:cat>
            <c:strRef>
              <c:f>Val_Graph!$B$39:$B$55</c:f>
              <c:strCache>
                <c:ptCount val="16"/>
                <c:pt idx="0">
                  <c:v>$900 - $1300 Steel Price per Ton, 15-20% Gross Margin:</c:v>
                </c:pt>
                <c:pt idx="2">
                  <c:v>LTM TEV / EBITDA:</c:v>
                </c:pt>
                <c:pt idx="3">
                  <c:v>LTM TEV / Revenue:</c:v>
                </c:pt>
                <c:pt idx="5">
                  <c:v>CY 23 P / E:</c:v>
                </c:pt>
                <c:pt idx="6">
                  <c:v>CY 22 P / E:</c:v>
                </c:pt>
                <c:pt idx="7">
                  <c:v>LTM P / E:</c:v>
                </c:pt>
                <c:pt idx="8">
                  <c:v>CY 23 TEV / EBITDA:</c:v>
                </c:pt>
                <c:pt idx="9">
                  <c:v>CY 22 TEV / EBITDA:</c:v>
                </c:pt>
                <c:pt idx="10">
                  <c:v>LTM TEV / EBITDA:</c:v>
                </c:pt>
                <c:pt idx="11">
                  <c:v>CY 23 TEV / Revenue:</c:v>
                </c:pt>
                <c:pt idx="12">
                  <c:v>CY 22 TEV / Revenue:</c:v>
                </c:pt>
                <c:pt idx="13">
                  <c:v>LTM TEV / Revenue:</c:v>
                </c:pt>
                <c:pt idx="15">
                  <c:v>Current Share Price:</c:v>
                </c:pt>
              </c:strCache>
            </c:strRef>
          </c:cat>
          <c:val>
            <c:numRef>
              <c:f>Val_Graph!$M$39:$M$53</c:f>
              <c:numCache>
                <c:formatCode>General</c:formatCode>
                <c:ptCount val="15"/>
                <c:pt idx="0" formatCode="_(&quot;$&quot;* #,##0.00_);_(&quot;$&quot;* \(#,##0.00\);_(&quot;$&quot;* &quot;-&quot;??_);_(@_)">
                  <c:v>19.457626363112951</c:v>
                </c:pt>
                <c:pt idx="2" formatCode="_(&quot;$&quot;* #,##0.00_);_(&quot;$&quot;* \(#,##0.00\);_(&quot;$&quot;* &quot;-&quot;??_);_(@_)">
                  <c:v>106.9041037371656</c:v>
                </c:pt>
                <c:pt idx="3" formatCode="_(&quot;$&quot;* #,##0.00_);_(&quot;$&quot;* \(#,##0.00\);_(&quot;$&quot;* &quot;-&quot;??_);_(@_)">
                  <c:v>20.828064065677289</c:v>
                </c:pt>
                <c:pt idx="5" formatCode="_(&quot;$&quot;* #,##0.00_);_(&quot;$&quot;* \(#,##0.00\);_(&quot;$&quot;* &quot;-&quot;??_);_(@_)">
                  <c:v>14.543931957181385</c:v>
                </c:pt>
                <c:pt idx="6" formatCode="_(&quot;$&quot;* #,##0.00_);_(&quot;$&quot;* \(#,##0.00\);_(&quot;$&quot;* &quot;-&quot;??_);_(@_)">
                  <c:v>8.1151793122222529</c:v>
                </c:pt>
                <c:pt idx="7" formatCode="_(&quot;$&quot;* #,##0.00_);_(&quot;$&quot;* \(#,##0.00\);_(&quot;$&quot;* &quot;-&quot;??_);_(@_)">
                  <c:v>35.513589185954203</c:v>
                </c:pt>
                <c:pt idx="8" formatCode="_(&quot;$&quot;* #,##0.00_);_(&quot;$&quot;* \(#,##0.00\);_(&quot;$&quot;* &quot;-&quot;??_);_(@_)">
                  <c:v>9.8691492100135108</c:v>
                </c:pt>
                <c:pt idx="9" formatCode="_(&quot;$&quot;* #,##0.00_);_(&quot;$&quot;* \(#,##0.00\);_(&quot;$&quot;* &quot;-&quot;??_);_(@_)">
                  <c:v>10.400836651647239</c:v>
                </c:pt>
                <c:pt idx="10" formatCode="_(&quot;$&quot;* #,##0.00_);_(&quot;$&quot;* \(#,##0.00\);_(&quot;$&quot;* &quot;-&quot;??_);_(@_)">
                  <c:v>50.908092336575152</c:v>
                </c:pt>
                <c:pt idx="11" formatCode="_(&quot;$&quot;* #,##0.00_);_(&quot;$&quot;* \(#,##0.00\);_(&quot;$&quot;* &quot;-&quot;??_);_(@_)">
                  <c:v>23.634759984901457</c:v>
                </c:pt>
                <c:pt idx="12" formatCode="_(&quot;$&quot;* #,##0.00_);_(&quot;$&quot;* \(#,##0.00\);_(&quot;$&quot;* &quot;-&quot;??_);_(@_)">
                  <c:v>29.792844146197375</c:v>
                </c:pt>
                <c:pt idx="13" formatCode="_(&quot;$&quot;* #,##0.00_);_(&quot;$&quot;* \(#,##0.00\);_(&quot;$&quot;* &quot;-&quot;??_);_(@_)">
                  <c:v>34.103687841175429</c:v>
                </c:pt>
              </c:numCache>
            </c:numRef>
          </c:val>
          <c:extLst>
            <c:ext xmlns:c16="http://schemas.microsoft.com/office/drawing/2014/chart" uri="{C3380CC4-5D6E-409C-BE32-E72D297353CC}">
              <c16:uniqueId val="{00000002-E65E-5546-9750-A0818BC09987}"/>
            </c:ext>
          </c:extLst>
        </c:ser>
        <c:ser>
          <c:idx val="3"/>
          <c:order val="4"/>
          <c:tx>
            <c:v>Median to 75th</c:v>
          </c:tx>
          <c:spPr>
            <a:solidFill>
              <a:schemeClr val="accent2">
                <a:lumMod val="60000"/>
                <a:lumOff val="40000"/>
              </a:schemeClr>
            </a:solidFill>
            <a:ln>
              <a:solidFill>
                <a:schemeClr val="tx1"/>
              </a:solidFill>
            </a:ln>
            <a:effectLst/>
          </c:spPr>
          <c:invertIfNegative val="0"/>
          <c:cat>
            <c:strRef>
              <c:f>Val_Graph!$B$39:$B$55</c:f>
              <c:strCache>
                <c:ptCount val="16"/>
                <c:pt idx="0">
                  <c:v>$900 - $1300 Steel Price per Ton, 15-20% Gross Margin:</c:v>
                </c:pt>
                <c:pt idx="2">
                  <c:v>LTM TEV / EBITDA:</c:v>
                </c:pt>
                <c:pt idx="3">
                  <c:v>LTM TEV / Revenue:</c:v>
                </c:pt>
                <c:pt idx="5">
                  <c:v>CY 23 P / E:</c:v>
                </c:pt>
                <c:pt idx="6">
                  <c:v>CY 22 P / E:</c:v>
                </c:pt>
                <c:pt idx="7">
                  <c:v>LTM P / E:</c:v>
                </c:pt>
                <c:pt idx="8">
                  <c:v>CY 23 TEV / EBITDA:</c:v>
                </c:pt>
                <c:pt idx="9">
                  <c:v>CY 22 TEV / EBITDA:</c:v>
                </c:pt>
                <c:pt idx="10">
                  <c:v>LTM TEV / EBITDA:</c:v>
                </c:pt>
                <c:pt idx="11">
                  <c:v>CY 23 TEV / Revenue:</c:v>
                </c:pt>
                <c:pt idx="12">
                  <c:v>CY 22 TEV / Revenue:</c:v>
                </c:pt>
                <c:pt idx="13">
                  <c:v>LTM TEV / Revenue:</c:v>
                </c:pt>
                <c:pt idx="15">
                  <c:v>Current Share Price:</c:v>
                </c:pt>
              </c:strCache>
            </c:strRef>
          </c:cat>
          <c:val>
            <c:numRef>
              <c:f>Val_Graph!$N$39:$N$53</c:f>
              <c:numCache>
                <c:formatCode>General</c:formatCode>
                <c:ptCount val="15"/>
                <c:pt idx="0" formatCode="_(&quot;$&quot;* #,##0.00_);_(&quot;$&quot;* \(#,##0.00\);_(&quot;$&quot;* &quot;-&quot;??_);_(@_)">
                  <c:v>24.791584437271283</c:v>
                </c:pt>
                <c:pt idx="2" formatCode="_(&quot;$&quot;* #,##0.00_);_(&quot;$&quot;* \(#,##0.00\);_(&quot;$&quot;* &quot;-&quot;??_);_(@_)">
                  <c:v>180.62746941166745</c:v>
                </c:pt>
                <c:pt idx="3" formatCode="_(&quot;$&quot;* #,##0.00_);_(&quot;$&quot;* \(#,##0.00\);_(&quot;$&quot;* &quot;-&quot;??_);_(@_)">
                  <c:v>56.567905907543476</c:v>
                </c:pt>
                <c:pt idx="5" formatCode="_(&quot;$&quot;* #,##0.00_);_(&quot;$&quot;* \(#,##0.00\);_(&quot;$&quot;* &quot;-&quot;??_);_(@_)">
                  <c:v>3.7305033988569107</c:v>
                </c:pt>
                <c:pt idx="6" formatCode="_(&quot;$&quot;* #,##0.00_);_(&quot;$&quot;* \(#,##0.00\);_(&quot;$&quot;* &quot;-&quot;??_);_(@_)">
                  <c:v>12.360227929158199</c:v>
                </c:pt>
                <c:pt idx="7" formatCode="_(&quot;$&quot;* #,##0.00_);_(&quot;$&quot;* \(#,##0.00\);_(&quot;$&quot;* &quot;-&quot;??_);_(@_)">
                  <c:v>14.900872215146507</c:v>
                </c:pt>
                <c:pt idx="8" formatCode="_(&quot;$&quot;* #,##0.00_);_(&quot;$&quot;* \(#,##0.00\);_(&quot;$&quot;* &quot;-&quot;??_);_(@_)">
                  <c:v>9.8174242308168402</c:v>
                </c:pt>
                <c:pt idx="9" formatCode="_(&quot;$&quot;* #,##0.00_);_(&quot;$&quot;* \(#,##0.00\);_(&quot;$&quot;* &quot;-&quot;??_);_(@_)">
                  <c:v>7.5612095581184633</c:v>
                </c:pt>
                <c:pt idx="10" formatCode="_(&quot;$&quot;* #,##0.00_);_(&quot;$&quot;* \(#,##0.00\);_(&quot;$&quot;* &quot;-&quot;??_);_(@_)">
                  <c:v>71.744166473891681</c:v>
                </c:pt>
                <c:pt idx="11" formatCode="_(&quot;$&quot;* #,##0.00_);_(&quot;$&quot;* \(#,##0.00\);_(&quot;$&quot;* &quot;-&quot;??_);_(@_)">
                  <c:v>22.394912061454235</c:v>
                </c:pt>
                <c:pt idx="12" formatCode="_(&quot;$&quot;* #,##0.00_);_(&quot;$&quot;* \(#,##0.00\);_(&quot;$&quot;* &quot;-&quot;??_);_(@_)">
                  <c:v>17.588484314156005</c:v>
                </c:pt>
                <c:pt idx="13" formatCode="_(&quot;$&quot;* #,##0.00_);_(&quot;$&quot;* \(#,##0.00\);_(&quot;$&quot;* &quot;-&quot;??_);_(@_)">
                  <c:v>15.297743189143105</c:v>
                </c:pt>
              </c:numCache>
            </c:numRef>
          </c:val>
          <c:extLst>
            <c:ext xmlns:c16="http://schemas.microsoft.com/office/drawing/2014/chart" uri="{C3380CC4-5D6E-409C-BE32-E72D297353CC}">
              <c16:uniqueId val="{00000003-E65E-5546-9750-A0818BC09987}"/>
            </c:ext>
          </c:extLst>
        </c:ser>
        <c:dLbls>
          <c:showLegendKey val="0"/>
          <c:showVal val="0"/>
          <c:showCatName val="0"/>
          <c:showSerName val="0"/>
          <c:showPercent val="0"/>
          <c:showBubbleSize val="0"/>
        </c:dLbls>
        <c:gapWidth val="150"/>
        <c:overlap val="100"/>
        <c:axId val="322353568"/>
        <c:axId val="321946880"/>
      </c:barChart>
      <c:scatterChart>
        <c:scatterStyle val="smoothMarker"/>
        <c:varyColors val="0"/>
        <c:ser>
          <c:idx val="4"/>
          <c:order val="0"/>
          <c:tx>
            <c:strRef>
              <c:f>Val_Graph!$B$54</c:f>
              <c:strCache>
                <c:ptCount val="1"/>
                <c:pt idx="0">
                  <c:v>Current Share Price:</c:v>
                </c:pt>
              </c:strCache>
            </c:strRef>
          </c:tx>
          <c:spPr>
            <a:ln w="28575" cap="rnd">
              <a:solidFill>
                <a:srgbClr val="002060"/>
              </a:solidFill>
              <a:round/>
            </a:ln>
            <a:effectLst/>
          </c:spPr>
          <c:marker>
            <c:symbol val="circle"/>
            <c:size val="5"/>
            <c:spPr>
              <a:solidFill>
                <a:schemeClr val="accent2">
                  <a:shade val="53000"/>
                </a:schemeClr>
              </a:solidFill>
              <a:ln w="9525">
                <a:solidFill>
                  <a:schemeClr val="accent2">
                    <a:shade val="53000"/>
                  </a:schemeClr>
                </a:solidFill>
              </a:ln>
              <a:effectLst/>
            </c:spPr>
          </c:marker>
          <c:dPt>
            <c:idx val="1"/>
            <c:marker>
              <c:symbol val="circle"/>
              <c:size val="5"/>
              <c:spPr>
                <a:noFill/>
                <a:ln w="9525">
                  <a:noFill/>
                </a:ln>
                <a:effectLst/>
              </c:spPr>
            </c:marker>
            <c:bubble3D val="0"/>
            <c:spPr>
              <a:ln w="34925" cap="rnd">
                <a:solidFill>
                  <a:srgbClr val="002060"/>
                </a:solidFill>
                <a:round/>
              </a:ln>
              <a:effectLst/>
            </c:spPr>
            <c:extLst>
              <c:ext xmlns:c16="http://schemas.microsoft.com/office/drawing/2014/chart" uri="{C3380CC4-5D6E-409C-BE32-E72D297353CC}">
                <c16:uniqueId val="{00000001-7BC2-EE45-955D-DB192A40FD14}"/>
              </c:ext>
            </c:extLst>
          </c:dPt>
          <c:xVal>
            <c:numRef>
              <c:f>Val_Graph!$F$54:$I$54</c:f>
              <c:numCache>
                <c:formatCode>_("$"* #,##0.00_);_("$"* \(#,##0.00\);_("$"* "-"??_);_(@_)</c:formatCode>
                <c:ptCount val="4"/>
                <c:pt idx="0">
                  <c:v>70.95</c:v>
                </c:pt>
                <c:pt idx="1">
                  <c:v>70.95</c:v>
                </c:pt>
                <c:pt idx="2">
                  <c:v>70.95</c:v>
                </c:pt>
                <c:pt idx="3">
                  <c:v>70.95</c:v>
                </c:pt>
              </c:numCache>
            </c:numRef>
          </c:xVal>
          <c:yVal>
            <c:numRef>
              <c:f>Val_Graph!$J$54:$O$54</c:f>
              <c:numCache>
                <c:formatCode>_("$"* #,##0.00_);_("$"* \(#,##0.00\);_("$"* "-"??_);_(@_)</c:formatCode>
                <c:ptCount val="6"/>
                <c:pt idx="0">
                  <c:v>1000</c:v>
                </c:pt>
                <c:pt idx="1">
                  <c:v>0</c:v>
                </c:pt>
                <c:pt idx="2">
                  <c:v>0</c:v>
                </c:pt>
                <c:pt idx="3">
                  <c:v>0</c:v>
                </c:pt>
                <c:pt idx="4">
                  <c:v>0</c:v>
                </c:pt>
                <c:pt idx="5">
                  <c:v>0</c:v>
                </c:pt>
              </c:numCache>
            </c:numRef>
          </c:yVal>
          <c:smooth val="1"/>
          <c:extLst>
            <c:ext xmlns:c16="http://schemas.microsoft.com/office/drawing/2014/chart" uri="{C3380CC4-5D6E-409C-BE32-E72D297353CC}">
              <c16:uniqueId val="{00000000-7BC2-EE45-955D-DB192A40FD14}"/>
            </c:ext>
          </c:extLst>
        </c:ser>
        <c:dLbls>
          <c:showLegendKey val="0"/>
          <c:showVal val="0"/>
          <c:showCatName val="0"/>
          <c:showSerName val="0"/>
          <c:showPercent val="0"/>
          <c:showBubbleSize val="0"/>
        </c:dLbls>
        <c:axId val="518334991"/>
        <c:axId val="518919551"/>
      </c:scatterChart>
      <c:catAx>
        <c:axId val="322353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46880"/>
        <c:crosses val="autoZero"/>
        <c:auto val="1"/>
        <c:lblAlgn val="ctr"/>
        <c:lblOffset val="100"/>
        <c:noMultiLvlLbl val="0"/>
      </c:catAx>
      <c:valAx>
        <c:axId val="321946880"/>
        <c:scaling>
          <c:orientation val="minMax"/>
          <c:max val="300"/>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353568"/>
        <c:crosses val="autoZero"/>
        <c:crossBetween val="between"/>
      </c:valAx>
      <c:valAx>
        <c:axId val="518919551"/>
        <c:scaling>
          <c:orientation val="minMax"/>
          <c:max val="1000"/>
          <c:min val="0"/>
        </c:scaling>
        <c:delete val="1"/>
        <c:axPos val="r"/>
        <c:numFmt formatCode="_(&quot;$&quot;* #,##0.00_);_(&quot;$&quot;* \(#,##0.00\);_(&quot;$&quot;* &quot;-&quot;??_);_(@_)" sourceLinked="1"/>
        <c:majorTickMark val="out"/>
        <c:minorTickMark val="none"/>
        <c:tickLblPos val="nextTo"/>
        <c:crossAx val="518334991"/>
        <c:crosses val="max"/>
        <c:crossBetween val="midCat"/>
      </c:valAx>
      <c:valAx>
        <c:axId val="518334991"/>
        <c:scaling>
          <c:orientation val="minMax"/>
        </c:scaling>
        <c:delete val="1"/>
        <c:axPos val="b"/>
        <c:numFmt formatCode="_(&quot;$&quot;* #,##0.00_);_(&quot;$&quot;* \(#,##0.00\);_(&quot;$&quot;* &quot;-&quot;??_);_(@_)" sourceLinked="1"/>
        <c:majorTickMark val="out"/>
        <c:minorTickMark val="none"/>
        <c:tickLblPos val="nextTo"/>
        <c:crossAx val="518919551"/>
        <c:crosses val="autoZero"/>
        <c:crossBetween val="midCat"/>
      </c:valAx>
      <c:spPr>
        <a:noFill/>
        <a:ln>
          <a:noFill/>
        </a:ln>
        <a:effectLst/>
      </c:spPr>
    </c:plotArea>
    <c:legend>
      <c:legendPos val="r"/>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437931</xdr:colOff>
      <xdr:row>0</xdr:row>
      <xdr:rowOff>72989</xdr:rowOff>
    </xdr:from>
    <xdr:to>
      <xdr:col>8</xdr:col>
      <xdr:colOff>452529</xdr:colOff>
      <xdr:row>3</xdr:row>
      <xdr:rowOff>129181</xdr:rowOff>
    </xdr:to>
    <xdr:pic>
      <xdr:nvPicPr>
        <xdr:cNvPr id="3" name="Picture 2">
          <a:extLst>
            <a:ext uri="{FF2B5EF4-FFF2-40B4-BE49-F238E27FC236}">
              <a16:creationId xmlns:a16="http://schemas.microsoft.com/office/drawing/2014/main" id="{3D832682-141A-CC67-AB26-03F2C8653B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15747" y="72989"/>
          <a:ext cx="1678736" cy="9612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63500</xdr:colOff>
      <xdr:row>0</xdr:row>
      <xdr:rowOff>0</xdr:rowOff>
    </xdr:from>
    <xdr:to>
      <xdr:col>19</xdr:col>
      <xdr:colOff>800100</xdr:colOff>
      <xdr:row>37</xdr:row>
      <xdr:rowOff>63500</xdr:rowOff>
    </xdr:to>
    <xdr:graphicFrame macro="">
      <xdr:nvGraphicFramePr>
        <xdr:cNvPr id="4" name="Chart 3">
          <a:extLst>
            <a:ext uri="{FF2B5EF4-FFF2-40B4-BE49-F238E27FC236}">
              <a16:creationId xmlns:a16="http://schemas.microsoft.com/office/drawing/2014/main" id="{229FFAF2-35C0-6B49-C985-8F32A0F2A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1041400</xdr:colOff>
      <xdr:row>3</xdr:row>
      <xdr:rowOff>76200</xdr:rowOff>
    </xdr:from>
    <xdr:to>
      <xdr:col>3</xdr:col>
      <xdr:colOff>190500</xdr:colOff>
      <xdr:row>4</xdr:row>
      <xdr:rowOff>177800</xdr:rowOff>
    </xdr:to>
    <xdr:sp macro="" textlink="">
      <xdr:nvSpPr>
        <xdr:cNvPr id="2" name="TextBox 1">
          <a:extLst>
            <a:ext uri="{FF2B5EF4-FFF2-40B4-BE49-F238E27FC236}">
              <a16:creationId xmlns:a16="http://schemas.microsoft.com/office/drawing/2014/main" id="{D2A434FD-191E-D691-6D7A-D8C62D4D4F03}"/>
            </a:ext>
          </a:extLst>
        </xdr:cNvPr>
        <xdr:cNvSpPr txBox="1"/>
      </xdr:nvSpPr>
      <xdr:spPr>
        <a:xfrm>
          <a:off x="1282700" y="647700"/>
          <a:ext cx="18669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C00000"/>
              </a:solidFill>
            </a:rPr>
            <a:t>Comparable Companies:</a:t>
          </a:r>
        </a:p>
      </xdr:txBody>
    </xdr:sp>
    <xdr:clientData/>
  </xdr:twoCellAnchor>
  <xdr:twoCellAnchor>
    <xdr:from>
      <xdr:col>1</xdr:col>
      <xdr:colOff>1003300</xdr:colOff>
      <xdr:row>24</xdr:row>
      <xdr:rowOff>177800</xdr:rowOff>
    </xdr:from>
    <xdr:to>
      <xdr:col>3</xdr:col>
      <xdr:colOff>152400</xdr:colOff>
      <xdr:row>26</xdr:row>
      <xdr:rowOff>88900</xdr:rowOff>
    </xdr:to>
    <xdr:sp macro="" textlink="">
      <xdr:nvSpPr>
        <xdr:cNvPr id="3" name="TextBox 2">
          <a:extLst>
            <a:ext uri="{FF2B5EF4-FFF2-40B4-BE49-F238E27FC236}">
              <a16:creationId xmlns:a16="http://schemas.microsoft.com/office/drawing/2014/main" id="{54B468DF-5FE0-674F-B042-907812FA7318}"/>
            </a:ext>
          </a:extLst>
        </xdr:cNvPr>
        <xdr:cNvSpPr txBox="1"/>
      </xdr:nvSpPr>
      <xdr:spPr>
        <a:xfrm>
          <a:off x="1244600" y="4737100"/>
          <a:ext cx="18669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C00000"/>
              </a:solidFill>
            </a:rPr>
            <a:t>Precedent Transactions:</a:t>
          </a:r>
        </a:p>
        <a:p>
          <a:r>
            <a:rPr lang="en-US" sz="1100" b="1">
              <a:solidFill>
                <a:srgbClr val="C00000"/>
              </a:solidFill>
            </a:rPr>
            <a:t>:</a:t>
          </a:r>
        </a:p>
      </xdr:txBody>
    </xdr:sp>
    <xdr:clientData/>
  </xdr:twoCellAnchor>
  <xdr:twoCellAnchor>
    <xdr:from>
      <xdr:col>1</xdr:col>
      <xdr:colOff>609600</xdr:colOff>
      <xdr:row>31</xdr:row>
      <xdr:rowOff>50800</xdr:rowOff>
    </xdr:from>
    <xdr:to>
      <xdr:col>2</xdr:col>
      <xdr:colOff>762000</xdr:colOff>
      <xdr:row>32</xdr:row>
      <xdr:rowOff>127000</xdr:rowOff>
    </xdr:to>
    <xdr:sp macro="" textlink="">
      <xdr:nvSpPr>
        <xdr:cNvPr id="5" name="TextBox 4">
          <a:extLst>
            <a:ext uri="{FF2B5EF4-FFF2-40B4-BE49-F238E27FC236}">
              <a16:creationId xmlns:a16="http://schemas.microsoft.com/office/drawing/2014/main" id="{EB889EC1-D9ED-7C4C-93AC-2185C2F0EFBB}"/>
            </a:ext>
          </a:extLst>
        </xdr:cNvPr>
        <xdr:cNvSpPr txBox="1"/>
      </xdr:nvSpPr>
      <xdr:spPr>
        <a:xfrm>
          <a:off x="850900" y="5943600"/>
          <a:ext cx="20447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C00000"/>
              </a:solidFill>
            </a:rPr>
            <a:t>Discounted Cash Flow Analysis:</a:t>
          </a:r>
        </a:p>
        <a:p>
          <a:endParaRPr lang="en-US" sz="1100" b="1">
            <a:solidFill>
              <a:srgbClr val="C0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bama365-my.sharepoint.com/Users/juanpadilla/Downloads/07-STLD-Valuation-DCF-Complete%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bama365-my.sharepoint.com/Users/juanpadilla/Downloads/0001558370-22-002377%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LD_DCF"/>
      <sheetName val="WACC"/>
      <sheetName val="Public_Comps"/>
      <sheetName val="ValGraph"/>
    </sheetNames>
    <sheetDataSet>
      <sheetData sheetId="0" refreshError="1">
        <row r="8">
          <cell r="G8" t="str">
            <v>Steel Dynamics Inc.</v>
          </cell>
        </row>
        <row r="9">
          <cell r="G9" t="str">
            <v>STLD</v>
          </cell>
        </row>
        <row r="10">
          <cell r="G10">
            <v>44408</v>
          </cell>
        </row>
        <row r="11">
          <cell r="G11">
            <v>64.45</v>
          </cell>
        </row>
        <row r="12">
          <cell r="G12">
            <v>211.24600000000001</v>
          </cell>
        </row>
        <row r="14">
          <cell r="G14">
            <v>0.214</v>
          </cell>
        </row>
        <row r="15">
          <cell r="G15">
            <v>7.8547623757655116E-2</v>
          </cell>
        </row>
        <row r="17">
          <cell r="G17">
            <v>1000</v>
          </cell>
        </row>
        <row r="18">
          <cell r="G18">
            <v>44196</v>
          </cell>
        </row>
        <row r="30">
          <cell r="G30">
            <v>800</v>
          </cell>
        </row>
        <row r="31">
          <cell r="G31">
            <v>0.9</v>
          </cell>
        </row>
        <row r="32">
          <cell r="G32">
            <v>0.83</v>
          </cell>
        </row>
      </sheetData>
      <sheetData sheetId="1" refreshError="1">
        <row r="6">
          <cell r="F6">
            <v>1.2E-2</v>
          </cell>
        </row>
        <row r="7">
          <cell r="F7">
            <v>5.5E-2</v>
          </cell>
        </row>
        <row r="8">
          <cell r="F8">
            <v>2.2232775337521837E-2</v>
          </cell>
        </row>
        <row r="9">
          <cell r="F9">
            <v>0</v>
          </cell>
        </row>
      </sheetData>
      <sheetData sheetId="2" refreshError="1">
        <row r="3">
          <cell r="B3" t="str">
            <v>($ USD in Millions Except Per Share Amounts in USD as Stated)</v>
          </cell>
        </row>
        <row r="7">
          <cell r="B7" t="str">
            <v>Company Name</v>
          </cell>
          <cell r="C7" t="str">
            <v>Ticker</v>
          </cell>
          <cell r="D7" t="str">
            <v>Price</v>
          </cell>
          <cell r="E7" t="str">
            <v>Shares</v>
          </cell>
          <cell r="F7" t="str">
            <v xml:space="preserve">Value </v>
          </cell>
          <cell r="G7" t="str">
            <v>Beta</v>
          </cell>
          <cell r="H7" t="str">
            <v>Tax Rate</v>
          </cell>
          <cell r="I7" t="str">
            <v>Cash</v>
          </cell>
          <cell r="J7" t="str">
            <v>Debt</v>
          </cell>
          <cell r="K7" t="str">
            <v>Preferred</v>
          </cell>
          <cell r="L7" t="str">
            <v>NCI</v>
          </cell>
          <cell r="M7" t="str">
            <v>Value</v>
          </cell>
          <cell r="N7" t="str">
            <v>LTM</v>
          </cell>
          <cell r="O7" t="str">
            <v>CY21</v>
          </cell>
          <cell r="P7" t="str">
            <v>CY22</v>
          </cell>
          <cell r="Q7" t="str">
            <v>LTM</v>
          </cell>
          <cell r="R7" t="str">
            <v>CY21</v>
          </cell>
          <cell r="S7" t="str">
            <v>CY22</v>
          </cell>
          <cell r="T7" t="str">
            <v>LTM</v>
          </cell>
          <cell r="U7" t="str">
            <v>CY21</v>
          </cell>
          <cell r="V7" t="str">
            <v>CY22</v>
          </cell>
          <cell r="W7" t="str">
            <v>Growth</v>
          </cell>
          <cell r="X7" t="str">
            <v>Growth</v>
          </cell>
          <cell r="Y7" t="str">
            <v>LTM</v>
          </cell>
          <cell r="Z7" t="str">
            <v>CY21</v>
          </cell>
          <cell r="AA7" t="str">
            <v>CY22</v>
          </cell>
        </row>
        <row r="8">
          <cell r="B8" t="str">
            <v>Nucor Corporation</v>
          </cell>
          <cell r="C8" t="str">
            <v>NUE</v>
          </cell>
          <cell r="D8">
            <v>104.02</v>
          </cell>
          <cell r="E8">
            <v>297.529</v>
          </cell>
          <cell r="F8">
            <v>30948.96658</v>
          </cell>
          <cell r="G8">
            <v>1.4</v>
          </cell>
          <cell r="H8">
            <v>0.23</v>
          </cell>
          <cell r="I8">
            <v>-3121.1</v>
          </cell>
          <cell r="J8">
            <v>5938.21</v>
          </cell>
          <cell r="K8">
            <v>0</v>
          </cell>
          <cell r="L8">
            <v>455.67</v>
          </cell>
          <cell r="M8">
            <v>34221.746579999999</v>
          </cell>
          <cell r="N8">
            <v>25994.3</v>
          </cell>
          <cell r="O8">
            <v>33807.31</v>
          </cell>
          <cell r="P8">
            <v>29536.28</v>
          </cell>
          <cell r="Q8">
            <v>5135</v>
          </cell>
          <cell r="R8">
            <v>8897.85</v>
          </cell>
          <cell r="S8">
            <v>5163.13</v>
          </cell>
          <cell r="T8">
            <v>3041.6</v>
          </cell>
          <cell r="U8">
            <v>5626.91</v>
          </cell>
          <cell r="V8">
            <v>2636.55</v>
          </cell>
          <cell r="W8">
            <v>-0.12633451167809562</v>
          </cell>
          <cell r="X8">
            <v>-0.41973285681372463</v>
          </cell>
          <cell r="Y8">
            <v>0.19754330757127525</v>
          </cell>
          <cell r="Z8">
            <v>0.26319307865665742</v>
          </cell>
          <cell r="AA8">
            <v>0.17480637372072586</v>
          </cell>
        </row>
        <row r="9">
          <cell r="B9" t="str">
            <v>Cleveland-Cliffs Inc.</v>
          </cell>
          <cell r="C9" t="str">
            <v>CLF</v>
          </cell>
          <cell r="D9">
            <v>25</v>
          </cell>
          <cell r="E9">
            <v>505</v>
          </cell>
          <cell r="F9">
            <v>12625</v>
          </cell>
          <cell r="G9">
            <v>2.2999999999999998</v>
          </cell>
          <cell r="H9">
            <v>0.25</v>
          </cell>
          <cell r="I9">
            <v>-73</v>
          </cell>
          <cell r="J9">
            <v>6601</v>
          </cell>
          <cell r="K9">
            <v>738</v>
          </cell>
          <cell r="L9">
            <v>3302</v>
          </cell>
          <cell r="M9">
            <v>23193</v>
          </cell>
          <cell r="N9">
            <v>12996</v>
          </cell>
          <cell r="O9">
            <v>20259.400000000001</v>
          </cell>
          <cell r="P9">
            <v>17872.3</v>
          </cell>
          <cell r="Q9">
            <v>2422</v>
          </cell>
          <cell r="R9">
            <v>5360.79</v>
          </cell>
          <cell r="S9">
            <v>3523.71</v>
          </cell>
          <cell r="T9">
            <v>875</v>
          </cell>
          <cell r="U9">
            <v>3002.43</v>
          </cell>
          <cell r="V9">
            <v>1881.72</v>
          </cell>
          <cell r="W9">
            <v>-0.11782678657808232</v>
          </cell>
          <cell r="X9">
            <v>-0.34268829780685306</v>
          </cell>
          <cell r="Y9">
            <v>0.18636503539550631</v>
          </cell>
          <cell r="Z9">
            <v>0.26460754020355981</v>
          </cell>
          <cell r="AA9">
            <v>0.19716041024378508</v>
          </cell>
        </row>
        <row r="10">
          <cell r="B10" t="str">
            <v>United States Steel Corp.</v>
          </cell>
          <cell r="C10" t="str">
            <v>X</v>
          </cell>
          <cell r="D10">
            <v>26.48</v>
          </cell>
          <cell r="E10">
            <v>274.36200000000002</v>
          </cell>
          <cell r="F10">
            <v>7265.1057600000004</v>
          </cell>
          <cell r="G10">
            <v>2.27</v>
          </cell>
          <cell r="H10">
            <v>0.25</v>
          </cell>
          <cell r="I10">
            <v>-1498</v>
          </cell>
          <cell r="J10">
            <v>6314</v>
          </cell>
          <cell r="K10">
            <v>0</v>
          </cell>
          <cell r="L10">
            <v>248</v>
          </cell>
          <cell r="M10">
            <v>12329.10576</v>
          </cell>
          <cell r="N10">
            <v>13591</v>
          </cell>
          <cell r="O10">
            <v>19074.53</v>
          </cell>
          <cell r="P10">
            <v>15981.43</v>
          </cell>
          <cell r="Q10">
            <v>1894</v>
          </cell>
          <cell r="R10">
            <v>4895</v>
          </cell>
          <cell r="S10">
            <v>2899.97</v>
          </cell>
          <cell r="T10">
            <v>918</v>
          </cell>
          <cell r="U10">
            <v>3443.26</v>
          </cell>
          <cell r="V10">
            <v>1393.51</v>
          </cell>
          <cell r="W10">
            <v>-0.16215864820784565</v>
          </cell>
          <cell r="X10">
            <v>-0.40756486210418796</v>
          </cell>
          <cell r="Y10">
            <v>0.13935692737841218</v>
          </cell>
          <cell r="Z10">
            <v>0.25662493387779411</v>
          </cell>
          <cell r="AA10">
            <v>0.18145873053913197</v>
          </cell>
        </row>
        <row r="11">
          <cell r="B11" t="str">
            <v>Commercial Metals Company</v>
          </cell>
          <cell r="C11" t="str">
            <v>CMC</v>
          </cell>
          <cell r="D11">
            <v>32.799999999999997</v>
          </cell>
          <cell r="E11">
            <v>122.19365500000001</v>
          </cell>
          <cell r="F11">
            <v>4007.9518840000001</v>
          </cell>
          <cell r="G11">
            <v>1.28</v>
          </cell>
          <cell r="H11">
            <v>0.25</v>
          </cell>
          <cell r="I11">
            <v>-443.12</v>
          </cell>
          <cell r="J11">
            <v>1122.8679999999999</v>
          </cell>
          <cell r="K11">
            <v>0</v>
          </cell>
          <cell r="L11">
            <v>0.23100000000000001</v>
          </cell>
          <cell r="M11">
            <v>4687.9308839999994</v>
          </cell>
          <cell r="N11">
            <v>6108.2</v>
          </cell>
          <cell r="O11">
            <v>6678.9166666666661</v>
          </cell>
          <cell r="P11">
            <v>6719.4666666666653</v>
          </cell>
          <cell r="Q11">
            <v>655.6</v>
          </cell>
          <cell r="R11">
            <v>775.77</v>
          </cell>
          <cell r="S11">
            <v>717.22333333333336</v>
          </cell>
          <cell r="T11">
            <v>328.2</v>
          </cell>
          <cell r="U11">
            <v>397.94333333333327</v>
          </cell>
          <cell r="V11">
            <v>374.29333333333329</v>
          </cell>
          <cell r="W11">
            <v>6.0713439055732898E-3</v>
          </cell>
          <cell r="X11">
            <v>-7.5469103815134164E-2</v>
          </cell>
          <cell r="Y11">
            <v>0.10733112864673718</v>
          </cell>
          <cell r="Z11">
            <v>0.11615207057032703</v>
          </cell>
          <cell r="AA11">
            <v>0.10673813397888723</v>
          </cell>
        </row>
        <row r="12">
          <cell r="B12" t="str">
            <v>Allegheny Technologies Incorporated</v>
          </cell>
          <cell r="C12" t="str">
            <v>ATI</v>
          </cell>
          <cell r="D12">
            <v>20.53</v>
          </cell>
          <cell r="E12">
            <v>127.1</v>
          </cell>
          <cell r="F12">
            <v>2609.3629999999998</v>
          </cell>
          <cell r="G12">
            <v>1.9</v>
          </cell>
          <cell r="H12">
            <v>0.25</v>
          </cell>
          <cell r="I12">
            <v>-472.5</v>
          </cell>
          <cell r="J12">
            <v>1847.7</v>
          </cell>
          <cell r="K12">
            <v>0</v>
          </cell>
          <cell r="L12">
            <v>1079.5999999999999</v>
          </cell>
          <cell r="M12">
            <v>5064.1630000000005</v>
          </cell>
          <cell r="N12">
            <v>2565</v>
          </cell>
          <cell r="O12">
            <v>2668</v>
          </cell>
          <cell r="P12">
            <v>2951.52</v>
          </cell>
          <cell r="Q12">
            <v>97.7</v>
          </cell>
          <cell r="R12">
            <v>255.6</v>
          </cell>
          <cell r="S12">
            <v>372.7</v>
          </cell>
          <cell r="T12">
            <v>-1228.2</v>
          </cell>
          <cell r="U12">
            <v>-34.26</v>
          </cell>
          <cell r="V12">
            <v>95.86</v>
          </cell>
          <cell r="W12">
            <v>0.10626686656671658</v>
          </cell>
          <cell r="X12">
            <v>0.4581377151799686</v>
          </cell>
          <cell r="Y12">
            <v>3.8089668615984409E-2</v>
          </cell>
          <cell r="Z12">
            <v>9.5802098950524731E-2</v>
          </cell>
          <cell r="AA12">
            <v>0.12627391987857103</v>
          </cell>
        </row>
        <row r="13">
          <cell r="B13" t="str">
            <v>Schnitzer Steel Industries, Inc.</v>
          </cell>
          <cell r="C13" t="str">
            <v>SCHN</v>
          </cell>
          <cell r="D13">
            <v>52.42</v>
          </cell>
          <cell r="E13">
            <v>27.672000000000001</v>
          </cell>
          <cell r="F13">
            <v>1450.5662400000001</v>
          </cell>
          <cell r="G13">
            <v>1.4</v>
          </cell>
          <cell r="H13">
            <v>0.23</v>
          </cell>
          <cell r="I13">
            <v>-29.27</v>
          </cell>
          <cell r="J13">
            <v>153.773</v>
          </cell>
          <cell r="K13">
            <v>0</v>
          </cell>
          <cell r="L13">
            <v>4.5519999999999996</v>
          </cell>
          <cell r="M13">
            <v>1579.6212399999999</v>
          </cell>
          <cell r="N13">
            <v>2377.5</v>
          </cell>
          <cell r="O13">
            <v>2871.84</v>
          </cell>
          <cell r="P13">
            <v>3274.67</v>
          </cell>
          <cell r="Q13">
            <v>230.3</v>
          </cell>
          <cell r="R13">
            <v>290.62</v>
          </cell>
          <cell r="S13">
            <v>322.12</v>
          </cell>
          <cell r="T13">
            <v>126.3</v>
          </cell>
          <cell r="U13">
            <v>179.52333333333334</v>
          </cell>
          <cell r="V13">
            <v>203.72666666666666</v>
          </cell>
          <cell r="W13">
            <v>0.14026895648782656</v>
          </cell>
          <cell r="X13">
            <v>0.10838896153052091</v>
          </cell>
          <cell r="Y13">
            <v>9.6866456361724501E-2</v>
          </cell>
          <cell r="Z13">
            <v>0.1011964454844281</v>
          </cell>
          <cell r="AA13">
            <v>9.8367163714206313E-2</v>
          </cell>
        </row>
        <row r="15">
          <cell r="B15" t="str">
            <v>Maximum</v>
          </cell>
          <cell r="D15">
            <v>104.02</v>
          </cell>
          <cell r="F15">
            <v>30948.96658</v>
          </cell>
          <cell r="M15">
            <v>34221.746579999999</v>
          </cell>
          <cell r="N15">
            <v>25994.3</v>
          </cell>
          <cell r="O15">
            <v>33807.31</v>
          </cell>
          <cell r="P15">
            <v>29536.28</v>
          </cell>
          <cell r="Q15">
            <v>5135</v>
          </cell>
          <cell r="R15">
            <v>8897.85</v>
          </cell>
          <cell r="S15">
            <v>5163.13</v>
          </cell>
          <cell r="T15">
            <v>3041.6</v>
          </cell>
          <cell r="U15">
            <v>5626.91</v>
          </cell>
          <cell r="V15">
            <v>2636.55</v>
          </cell>
          <cell r="W15">
            <v>0.14026895648782656</v>
          </cell>
          <cell r="X15">
            <v>0.4581377151799686</v>
          </cell>
          <cell r="Y15">
            <v>0.19754330757127525</v>
          </cell>
          <cell r="Z15">
            <v>0.26460754020355981</v>
          </cell>
          <cell r="AA15">
            <v>0.19716041024378508</v>
          </cell>
        </row>
        <row r="16">
          <cell r="B16" t="str">
            <v>75th Percentile</v>
          </cell>
          <cell r="D16">
            <v>47.515000000000001</v>
          </cell>
          <cell r="F16">
            <v>11285.02644</v>
          </cell>
          <cell r="M16">
            <v>20477.026440000001</v>
          </cell>
          <cell r="N16">
            <v>13442.25</v>
          </cell>
          <cell r="O16">
            <v>19963.182500000003</v>
          </cell>
          <cell r="P16">
            <v>17399.5825</v>
          </cell>
          <cell r="Q16">
            <v>2290</v>
          </cell>
          <cell r="R16">
            <v>5244.3424999999997</v>
          </cell>
          <cell r="S16">
            <v>3367.7750000000001</v>
          </cell>
          <cell r="T16">
            <v>907.25</v>
          </cell>
          <cell r="U16">
            <v>3333.0525000000002</v>
          </cell>
          <cell r="V16">
            <v>1759.6675</v>
          </cell>
          <cell r="W16">
            <v>8.1217985901430756E-2</v>
          </cell>
          <cell r="X16">
            <v>6.2424445194107142E-2</v>
          </cell>
          <cell r="Y16">
            <v>0.17461300839123278</v>
          </cell>
          <cell r="Z16">
            <v>0.26155104246194161</v>
          </cell>
          <cell r="AA16">
            <v>0.17979564133453044</v>
          </cell>
        </row>
        <row r="17">
          <cell r="B17" t="str">
            <v>Median</v>
          </cell>
          <cell r="D17">
            <v>29.64</v>
          </cell>
          <cell r="F17">
            <v>5636.5288220000002</v>
          </cell>
          <cell r="M17">
            <v>8696.6343799999995</v>
          </cell>
          <cell r="N17">
            <v>9552.1</v>
          </cell>
          <cell r="O17">
            <v>12876.723333333332</v>
          </cell>
          <cell r="P17">
            <v>11350.448333333334</v>
          </cell>
          <cell r="Q17">
            <v>1274.8000000000002</v>
          </cell>
          <cell r="R17">
            <v>2835.3849999999998</v>
          </cell>
          <cell r="S17">
            <v>1808.5966666666666</v>
          </cell>
          <cell r="T17">
            <v>601.59999999999991</v>
          </cell>
          <cell r="U17">
            <v>1700.1866666666665</v>
          </cell>
          <cell r="V17">
            <v>883.90166666666664</v>
          </cell>
          <cell r="W17">
            <v>-5.5877721336254516E-2</v>
          </cell>
          <cell r="X17">
            <v>-0.20907870081099361</v>
          </cell>
          <cell r="Y17">
            <v>0.12334402801257469</v>
          </cell>
          <cell r="Z17">
            <v>0.18638850222406056</v>
          </cell>
          <cell r="AA17">
            <v>0.15054014679964844</v>
          </cell>
        </row>
        <row r="18">
          <cell r="B18" t="str">
            <v>25th Percentile</v>
          </cell>
          <cell r="D18">
            <v>25.37</v>
          </cell>
          <cell r="F18">
            <v>2959.010221</v>
          </cell>
          <cell r="M18">
            <v>4781.9889129999992</v>
          </cell>
          <cell r="N18">
            <v>3450.8</v>
          </cell>
          <cell r="O18">
            <v>3823.6091666666666</v>
          </cell>
          <cell r="P18">
            <v>4135.8691666666664</v>
          </cell>
          <cell r="Q18">
            <v>336.625</v>
          </cell>
          <cell r="R18">
            <v>411.90750000000003</v>
          </cell>
          <cell r="S18">
            <v>458.83083333333332</v>
          </cell>
          <cell r="T18">
            <v>176.77499999999998</v>
          </cell>
          <cell r="U18">
            <v>234.12833333333333</v>
          </cell>
          <cell r="V18">
            <v>246.36833333333331</v>
          </cell>
          <cell r="W18">
            <v>-0.12420758040309229</v>
          </cell>
          <cell r="X18">
            <v>-0.39134572102985421</v>
          </cell>
          <cell r="Y18">
            <v>9.9482624432977673E-2</v>
          </cell>
          <cell r="Z18">
            <v>0.10493535175590284</v>
          </cell>
          <cell r="AA18">
            <v>0.11162208045380818</v>
          </cell>
        </row>
        <row r="19">
          <cell r="B19" t="str">
            <v>Minimum</v>
          </cell>
          <cell r="D19">
            <v>20.53</v>
          </cell>
          <cell r="F19">
            <v>1450.5662400000001</v>
          </cell>
          <cell r="M19">
            <v>1579.6212399999999</v>
          </cell>
          <cell r="N19">
            <v>2377.5</v>
          </cell>
          <cell r="O19">
            <v>2668</v>
          </cell>
          <cell r="P19">
            <v>2951.52</v>
          </cell>
          <cell r="Q19">
            <v>97.7</v>
          </cell>
          <cell r="R19">
            <v>255.6</v>
          </cell>
          <cell r="S19">
            <v>322.12</v>
          </cell>
          <cell r="T19">
            <v>-1228.2</v>
          </cell>
          <cell r="U19">
            <v>-34.26</v>
          </cell>
          <cell r="V19">
            <v>95.86</v>
          </cell>
          <cell r="W19">
            <v>-0.16215864820784565</v>
          </cell>
          <cell r="X19">
            <v>-0.41973285681372463</v>
          </cell>
          <cell r="Y19">
            <v>3.8089668615984409E-2</v>
          </cell>
          <cell r="Z19">
            <v>9.5802098950524731E-2</v>
          </cell>
          <cell r="AA19">
            <v>9.8367163714206313E-2</v>
          </cell>
        </row>
        <row r="21">
          <cell r="B21" t="str">
            <v>Steel Dynamics Inc.</v>
          </cell>
          <cell r="C21" t="str">
            <v>STLD</v>
          </cell>
          <cell r="D21">
            <v>64.45</v>
          </cell>
          <cell r="E21">
            <v>211.24600000000001</v>
          </cell>
          <cell r="F21">
            <v>13614.804700000001</v>
          </cell>
          <cell r="G21">
            <v>1.45</v>
          </cell>
          <cell r="H21">
            <v>0.214</v>
          </cell>
          <cell r="I21">
            <v>-1138.8329999999999</v>
          </cell>
          <cell r="J21">
            <v>3412.6120000000001</v>
          </cell>
          <cell r="K21">
            <v>0</v>
          </cell>
          <cell r="L21">
            <v>10.238</v>
          </cell>
          <cell r="M21">
            <v>15898.821699999999</v>
          </cell>
          <cell r="N21">
            <v>12941.982</v>
          </cell>
          <cell r="O21">
            <v>14775.627947446475</v>
          </cell>
          <cell r="P21">
            <v>10964.68279275613</v>
          </cell>
          <cell r="Q21">
            <v>2324.7239999999997</v>
          </cell>
          <cell r="R21">
            <v>2009.4112845448144</v>
          </cell>
          <cell r="S21">
            <v>1428.8700484604142</v>
          </cell>
          <cell r="T21">
            <v>1420.7839999999999</v>
          </cell>
          <cell r="U21">
            <v>1240.4071911233307</v>
          </cell>
          <cell r="V21">
            <v>731.07008486303698</v>
          </cell>
          <cell r="W21">
            <v>-0.25792102834783093</v>
          </cell>
          <cell r="X21">
            <v>-0.28891110573010859</v>
          </cell>
          <cell r="Y21">
            <v>0.17962658269807513</v>
          </cell>
          <cell r="Z21">
            <v>0.13599498388101203</v>
          </cell>
          <cell r="AA21">
            <v>0.13031567583554757</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and Entity Information"/>
      <sheetName val="CONSOLIDATED BALANCE SHEETS"/>
      <sheetName val="CONSOLIDATED BALANCE SHEETS (Pa"/>
      <sheetName val="CONSOLIDATED STATEMENTS OF INCO"/>
      <sheetName val="CONSOLIDATED STATEMENTS OF COMP"/>
      <sheetName val="CONSOLIDATED STATEMENTS OF CO_2"/>
      <sheetName val="CONSOLIDATED STATEMENTS OF EQUI"/>
      <sheetName val="CONSOLIDATED STATEMENTS OF CASH"/>
      <sheetName val="Description of the Business and"/>
      <sheetName val="Acquisitions and Investments"/>
      <sheetName val="Long-Term Debt"/>
      <sheetName val="Income Taxes"/>
      <sheetName val="Shareholders' Equity"/>
      <sheetName val="Equity-Based Incentive Plans"/>
      <sheetName val="Derivative Financial Instrument"/>
      <sheetName val="Fair Value Measurements"/>
      <sheetName val="Commitments and Contingencies"/>
      <sheetName val="Transactions with Affiliated Co"/>
      <sheetName val="Retirement Plans"/>
      <sheetName val="Leases"/>
      <sheetName val="Segment Information"/>
      <sheetName val="Description of the Business a_2"/>
      <sheetName val="Description of the Business a_3"/>
      <sheetName val="Long-Term Debt (Tables)"/>
      <sheetName val="Income Taxes (Tables)"/>
      <sheetName val="Equity-Based Incentive Plans (T"/>
      <sheetName val="Derivative Financial Instrume_2"/>
      <sheetName val="Fair Value Measurements (Tables"/>
      <sheetName val="Commitments and Contingencies ("/>
      <sheetName val="Transactions with Affiliated _2"/>
      <sheetName val="Leases (Tables)"/>
      <sheetName val="Segment Information (Tables)"/>
      <sheetName val="Description of the Business a_4"/>
      <sheetName val="Description of the Business a_5"/>
      <sheetName val="Description of the Business a_6"/>
      <sheetName val="Description of the Business a_7"/>
      <sheetName val="Description of the Business a_8"/>
      <sheetName val="Description of the Business a_9"/>
      <sheetName val="Description of the Business _10"/>
      <sheetName val="Description of the Business _11"/>
      <sheetName val="Acquisitions and Investments (N"/>
      <sheetName val="Long-Term Debt - By Issue (Deta"/>
      <sheetName val="Long-Term Debt - Senior Secured"/>
      <sheetName val="Long-Term Debt - Senior Unsecur"/>
      <sheetName val="Long-Term Debt - Other Secured "/>
      <sheetName val="Long-Term Debt - Outstanding De"/>
      <sheetName val="Long-Term Debt - Financing Acti"/>
      <sheetName val="Income Taxes (Narrative) (Detai"/>
      <sheetName val="Income Taxes (Schedule of Compo"/>
      <sheetName val="Income Taxes (Schedule of Effec"/>
      <sheetName val="Income Taxes (Schedule of Defer"/>
      <sheetName val="Income Taxes (Schedule of Unrec"/>
      <sheetName val="Shareholders' Equity (Details)"/>
      <sheetName val="Equity-Based Incentive Plans (2"/>
      <sheetName val="Equity-Based Incentive Plans (R"/>
      <sheetName val="Equity-Based Incentive Plans (L"/>
      <sheetName val="Equity-Based Incentive Plans _2"/>
      <sheetName val="Derivative Financial Instrume_3"/>
      <sheetName val="Derivative Financial Instrume_4"/>
      <sheetName val="Derivative Financial Instrume_5"/>
      <sheetName val="Derivative Financial Instrume_6"/>
      <sheetName val="Fair Value Measurements (Detail"/>
      <sheetName val="Commitments and Contingencies_2"/>
      <sheetName val="Commitments and Contingencies_3"/>
      <sheetName val="Transactions with Affiliated _3"/>
      <sheetName val="Retirement Plans (Details)"/>
      <sheetName val="Leases (Narrative) (Details)"/>
      <sheetName val="Leases (Schedule of Operating l"/>
      <sheetName val="Leases (Future operating lease "/>
      <sheetName val="Segment Information - Results ("/>
      <sheetName val="Segment Information - Results 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2">
          <cell r="B12">
            <v>-944516</v>
          </cell>
        </row>
        <row r="13">
          <cell r="B13">
            <v>-1685834</v>
          </cell>
        </row>
        <row r="14">
          <cell r="B14">
            <v>-2491</v>
          </cell>
        </row>
        <row r="15">
          <cell r="B15">
            <v>557735</v>
          </cell>
        </row>
        <row r="16">
          <cell r="B16">
            <v>-105921</v>
          </cell>
        </row>
        <row r="17">
          <cell r="B17">
            <v>414214</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https://www.bing.com/financeapi/forcetrigger?t=a23p6h&amp;q=XNAS%3aSTLD&amp;form=skydnc</v>
    <v>Learn more on Bing</v>
  </rv>
  <rv s="1">
    <v>0</v>
    <v>STEEL DYNAMICS, INC. (XNAS:STLD)</v>
    <v>2</v>
    <v>3</v>
    <v>Finance</v>
    <v>4</v>
    <v>en-US</v>
    <v>a23p6h</v>
    <v>268435456</v>
    <v>1</v>
    <v>Powered by Refinitiv</v>
    <v>113.12</v>
    <v>50.54</v>
    <v>1.4717</v>
    <v>-0.71</v>
    <v>-7.2150000000000001E-3</v>
    <v>-0.04</v>
    <v>-4.0939999999999998E-4</v>
    <v>USD</v>
    <v>Steel Dynamics, Inc. is a diversified domestic steel producer and metals recycler. Its segments include Steel Operations, Metals Recycling Operations, and Steel Fabrication Operations. The Steel Operations segment includes the Company’s electric arc furnace (EAF) steel mills, including Butler Flat Roll Division, Columbus Flat Roll Division, Southwest-Sinton Flat Roll Division, Structural and Rail Division, Engineered Bar Products Division, Roanoke Bar Division, and Steel of West Virginia; and steel coating and processing operations at The Techs, Heartland Flat Roll Division, United Steel Supply, and Vulcan Threaded Products, Inc (Vulcan). The Metals Recycling Operations segment includes its OmniSource ferrous and nonferrous processing, transportation, marketing, brokerage and scrap management services. The Steel Fabrication Operations segment includes the Company’s New Millennium Building Systems’ joist and deck plants located throughout the United States, and in Northern Mexico.</v>
    <v>10640</v>
    <v>Nasdaq Stock Market</v>
    <v>XNAS</v>
    <v>XNAS</v>
    <v>7575 W JEFFERSON BLVD, FORT WAYNE, IN, 46804 US</v>
    <v>98.33</v>
    <v>Metals &amp; Mining</v>
    <v>Stock</v>
    <v>44925.977074721872</v>
    <v>0</v>
    <v>96.71</v>
    <v>17153330000</v>
    <v>STEEL DYNAMICS, INC.</v>
    <v>STEEL DYNAMICS, INC.</v>
    <v>98.1</v>
    <v>4.3399000000000001</v>
    <v>98.41</v>
    <v>97.7</v>
    <v>97.66</v>
    <v>175571400</v>
    <v>STLD</v>
    <v>STEEL DYNAMICS, INC. (XNAS:STLD)</v>
    <v>1390361</v>
    <v>3410442</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javascript:void(0);" TargetMode="External"/><Relationship Id="rId18" Type="http://schemas.openxmlformats.org/officeDocument/2006/relationships/hyperlink" Target="javascript:click();" TargetMode="External"/><Relationship Id="rId26" Type="http://schemas.openxmlformats.org/officeDocument/2006/relationships/hyperlink" Target="javascript:click();" TargetMode="External"/><Relationship Id="rId39" Type="http://schemas.openxmlformats.org/officeDocument/2006/relationships/hyperlink" Target="javascript:void(0);" TargetMode="External"/><Relationship Id="rId21" Type="http://schemas.openxmlformats.org/officeDocument/2006/relationships/hyperlink" Target="javascript:click();" TargetMode="External"/><Relationship Id="rId34" Type="http://schemas.openxmlformats.org/officeDocument/2006/relationships/hyperlink" Target="javascript:void(0);" TargetMode="External"/><Relationship Id="rId42" Type="http://schemas.openxmlformats.org/officeDocument/2006/relationships/hyperlink" Target="javascript:void(0);" TargetMode="External"/><Relationship Id="rId47" Type="http://schemas.openxmlformats.org/officeDocument/2006/relationships/hyperlink" Target="javascript:click();" TargetMode="External"/><Relationship Id="rId50" Type="http://schemas.openxmlformats.org/officeDocument/2006/relationships/hyperlink" Target="javascript:click();" TargetMode="External"/><Relationship Id="rId7" Type="http://schemas.openxmlformats.org/officeDocument/2006/relationships/hyperlink" Target="javascript:void(0);" TargetMode="External"/><Relationship Id="rId2" Type="http://schemas.openxmlformats.org/officeDocument/2006/relationships/hyperlink" Target="javascript:click();" TargetMode="External"/><Relationship Id="rId16" Type="http://schemas.openxmlformats.org/officeDocument/2006/relationships/hyperlink" Target="javascript:void(0);" TargetMode="External"/><Relationship Id="rId29" Type="http://schemas.openxmlformats.org/officeDocument/2006/relationships/hyperlink" Target="javascript:click();" TargetMode="External"/><Relationship Id="rId11" Type="http://schemas.openxmlformats.org/officeDocument/2006/relationships/hyperlink" Target="javascript:click();" TargetMode="External"/><Relationship Id="rId24" Type="http://schemas.openxmlformats.org/officeDocument/2006/relationships/hyperlink" Target="javascript:click();" TargetMode="External"/><Relationship Id="rId32" Type="http://schemas.openxmlformats.org/officeDocument/2006/relationships/hyperlink" Target="javascript:click();" TargetMode="External"/><Relationship Id="rId37" Type="http://schemas.openxmlformats.org/officeDocument/2006/relationships/hyperlink" Target="javascript:void(0);" TargetMode="External"/><Relationship Id="rId40" Type="http://schemas.openxmlformats.org/officeDocument/2006/relationships/hyperlink" Target="javascript:click();" TargetMode="External"/><Relationship Id="rId45" Type="http://schemas.openxmlformats.org/officeDocument/2006/relationships/hyperlink" Target="javascript:void(0);" TargetMode="External"/><Relationship Id="rId5" Type="http://schemas.openxmlformats.org/officeDocument/2006/relationships/hyperlink" Target="javascript:click();" TargetMode="External"/><Relationship Id="rId15" Type="http://schemas.openxmlformats.org/officeDocument/2006/relationships/hyperlink" Target="javascript:click();" TargetMode="External"/><Relationship Id="rId23" Type="http://schemas.openxmlformats.org/officeDocument/2006/relationships/hyperlink" Target="javascript:click();" TargetMode="External"/><Relationship Id="rId28" Type="http://schemas.openxmlformats.org/officeDocument/2006/relationships/hyperlink" Target="javascript:void(0);" TargetMode="External"/><Relationship Id="rId36" Type="http://schemas.openxmlformats.org/officeDocument/2006/relationships/hyperlink" Target="javascript:click();" TargetMode="External"/><Relationship Id="rId49" Type="http://schemas.openxmlformats.org/officeDocument/2006/relationships/hyperlink" Target="javascript:click();" TargetMode="External"/><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31" Type="http://schemas.openxmlformats.org/officeDocument/2006/relationships/hyperlink" Target="javascript:void(0);" TargetMode="External"/><Relationship Id="rId44" Type="http://schemas.openxmlformats.org/officeDocument/2006/relationships/hyperlink" Target="javascript:click();" TargetMode="External"/><Relationship Id="rId4" Type="http://schemas.openxmlformats.org/officeDocument/2006/relationships/hyperlink" Target="javascript:void(0);" TargetMode="External"/><Relationship Id="rId9" Type="http://schemas.openxmlformats.org/officeDocument/2006/relationships/hyperlink" Target="javascript:click();" TargetMode="External"/><Relationship Id="rId14" Type="http://schemas.openxmlformats.org/officeDocument/2006/relationships/hyperlink" Target="javascript:click();" TargetMode="External"/><Relationship Id="rId22" Type="http://schemas.openxmlformats.org/officeDocument/2006/relationships/hyperlink" Target="javascript:void(0);" TargetMode="External"/><Relationship Id="rId27" Type="http://schemas.openxmlformats.org/officeDocument/2006/relationships/hyperlink" Target="javascript:click();" TargetMode="External"/><Relationship Id="rId30" Type="http://schemas.openxmlformats.org/officeDocument/2006/relationships/hyperlink" Target="javascript:click();" TargetMode="External"/><Relationship Id="rId35" Type="http://schemas.openxmlformats.org/officeDocument/2006/relationships/hyperlink" Target="javascript:click();" TargetMode="External"/><Relationship Id="rId43" Type="http://schemas.openxmlformats.org/officeDocument/2006/relationships/hyperlink" Target="javascript:click();" TargetMode="External"/><Relationship Id="rId48" Type="http://schemas.openxmlformats.org/officeDocument/2006/relationships/hyperlink" Target="javascript:void(0);" TargetMode="External"/><Relationship Id="rId8" Type="http://schemas.openxmlformats.org/officeDocument/2006/relationships/hyperlink" Target="javascript:click();" TargetMode="External"/><Relationship Id="rId51" Type="http://schemas.openxmlformats.org/officeDocument/2006/relationships/printerSettings" Target="../printerSettings/printerSettings3.bin"/><Relationship Id="rId3" Type="http://schemas.openxmlformats.org/officeDocument/2006/relationships/hyperlink" Target="javascript:click();" TargetMode="External"/><Relationship Id="rId12" Type="http://schemas.openxmlformats.org/officeDocument/2006/relationships/hyperlink" Target="javascript:click();" TargetMode="External"/><Relationship Id="rId17" Type="http://schemas.openxmlformats.org/officeDocument/2006/relationships/hyperlink" Target="javascript:click();" TargetMode="External"/><Relationship Id="rId25" Type="http://schemas.openxmlformats.org/officeDocument/2006/relationships/hyperlink" Target="javascript:void(0);" TargetMode="External"/><Relationship Id="rId33" Type="http://schemas.openxmlformats.org/officeDocument/2006/relationships/hyperlink" Target="javascript:click();" TargetMode="External"/><Relationship Id="rId38" Type="http://schemas.openxmlformats.org/officeDocument/2006/relationships/hyperlink" Target="javascript:click();" TargetMode="External"/><Relationship Id="rId46" Type="http://schemas.openxmlformats.org/officeDocument/2006/relationships/hyperlink" Target="javascript:click();" TargetMode="External"/><Relationship Id="rId20" Type="http://schemas.openxmlformats.org/officeDocument/2006/relationships/hyperlink" Target="javascript:click();" TargetMode="External"/><Relationship Id="rId41" Type="http://schemas.openxmlformats.org/officeDocument/2006/relationships/hyperlink" Target="javascript:click();" TargetMode="External"/><Relationship Id="rId1" Type="http://schemas.openxmlformats.org/officeDocument/2006/relationships/hyperlink" Target="javascript:void(0);" TargetMode="External"/><Relationship Id="rId6" Type="http://schemas.openxmlformats.org/officeDocument/2006/relationships/hyperlink" Target="javascript:clic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2:AF196"/>
  <sheetViews>
    <sheetView showGridLines="0" zoomScale="87" zoomScaleNormal="100" zoomScaleSheetLayoutView="55" workbookViewId="0">
      <selection activeCell="K93" sqref="K93"/>
    </sheetView>
  </sheetViews>
  <sheetFormatPr baseColWidth="10" defaultColWidth="9.1640625" defaultRowHeight="16" x14ac:dyDescent="0.2"/>
  <cols>
    <col min="1" max="2" width="2.6640625" style="101" customWidth="1"/>
    <col min="3" max="5" width="15.6640625" style="101" customWidth="1"/>
    <col min="6" max="6" width="12.83203125" style="101" customWidth="1"/>
    <col min="7" max="7" width="11.1640625" style="101" bestFit="1" customWidth="1"/>
    <col min="8" max="8" width="10.6640625" style="101" customWidth="1"/>
    <col min="9" max="9" width="10.5" style="101" bestFit="1" customWidth="1"/>
    <col min="10" max="19" width="12.83203125" style="101" customWidth="1"/>
    <col min="20" max="20" width="2.6640625" style="101" customWidth="1"/>
    <col min="21" max="21" width="2.6640625" style="102" customWidth="1"/>
    <col min="22" max="31" width="12.33203125" style="101" customWidth="1"/>
    <col min="32" max="16384" width="9.1640625" style="101"/>
  </cols>
  <sheetData>
    <row r="2" spans="2:32" ht="39" x14ac:dyDescent="0.45">
      <c r="B2" s="321" t="s">
        <v>233</v>
      </c>
    </row>
    <row r="3" spans="2:32" x14ac:dyDescent="0.2">
      <c r="B3" s="103" t="s">
        <v>101</v>
      </c>
    </row>
    <row r="5" spans="2:32" x14ac:dyDescent="0.2">
      <c r="B5" s="205"/>
      <c r="C5" s="205"/>
      <c r="D5" s="205"/>
      <c r="E5" s="205"/>
      <c r="F5" s="205"/>
      <c r="G5" s="205"/>
      <c r="H5" s="205"/>
      <c r="I5" s="205"/>
      <c r="J5" s="205"/>
      <c r="K5" s="205"/>
      <c r="L5" s="205"/>
      <c r="M5" s="205"/>
      <c r="N5" s="205"/>
      <c r="O5" s="205"/>
      <c r="P5" s="205"/>
      <c r="Q5" s="205"/>
      <c r="R5" s="205"/>
      <c r="S5" s="205"/>
    </row>
    <row r="6" spans="2:32" x14ac:dyDescent="0.2">
      <c r="B6" s="356" t="s">
        <v>232</v>
      </c>
      <c r="C6" s="356"/>
      <c r="D6" s="356"/>
      <c r="E6" s="205"/>
      <c r="F6" s="284" t="s">
        <v>176</v>
      </c>
      <c r="G6" s="205"/>
      <c r="H6" s="285"/>
      <c r="I6" s="285"/>
      <c r="J6" s="285"/>
      <c r="K6" s="285"/>
      <c r="L6" s="285"/>
      <c r="M6" s="285"/>
      <c r="N6" s="285"/>
      <c r="O6" s="285"/>
      <c r="P6" s="285"/>
      <c r="Q6" s="285"/>
      <c r="R6" s="285"/>
      <c r="S6" s="285"/>
      <c r="AF6" s="103"/>
    </row>
    <row r="7" spans="2:32" x14ac:dyDescent="0.2">
      <c r="AF7" s="103"/>
    </row>
    <row r="8" spans="2:32" x14ac:dyDescent="0.2">
      <c r="C8" s="103" t="s">
        <v>3</v>
      </c>
      <c r="D8" s="103"/>
      <c r="F8" s="105" t="s">
        <v>46</v>
      </c>
      <c r="G8" s="217" t="s">
        <v>244</v>
      </c>
      <c r="H8" s="217"/>
      <c r="I8" s="217"/>
      <c r="J8" s="162" t="s">
        <v>207</v>
      </c>
      <c r="K8" s="163"/>
      <c r="L8" s="163"/>
      <c r="M8" s="163"/>
      <c r="O8" s="162" t="s">
        <v>208</v>
      </c>
      <c r="P8" s="163"/>
      <c r="Q8" s="163"/>
      <c r="R8" s="163"/>
      <c r="AF8" s="103"/>
    </row>
    <row r="9" spans="2:32" x14ac:dyDescent="0.2">
      <c r="C9" s="103" t="s">
        <v>87</v>
      </c>
      <c r="F9" s="105" t="s">
        <v>46</v>
      </c>
      <c r="G9" s="217" t="s">
        <v>59</v>
      </c>
      <c r="AF9" s="103"/>
    </row>
    <row r="10" spans="2:32" x14ac:dyDescent="0.2">
      <c r="C10" s="103" t="s">
        <v>4</v>
      </c>
      <c r="E10" s="200" t="e" vm="1">
        <v>#VALUE!</v>
      </c>
      <c r="F10" s="105" t="s">
        <v>135</v>
      </c>
      <c r="G10" s="201">
        <v>70.95</v>
      </c>
      <c r="H10" s="200"/>
      <c r="J10" s="6" t="s">
        <v>215</v>
      </c>
      <c r="M10" s="112">
        <f>Public_Comps!S35</f>
        <v>5.9374410997723395</v>
      </c>
      <c r="O10" s="6" t="s">
        <v>211</v>
      </c>
      <c r="R10" s="203">
        <v>1.4999999999999999E-2</v>
      </c>
      <c r="AF10" s="103"/>
    </row>
    <row r="11" spans="2:32" x14ac:dyDescent="0.2">
      <c r="C11" s="101" t="s">
        <v>6</v>
      </c>
      <c r="F11" s="105" t="s">
        <v>136</v>
      </c>
      <c r="G11" s="202">
        <v>187.74</v>
      </c>
      <c r="J11" s="6" t="s">
        <v>216</v>
      </c>
      <c r="M11" s="112">
        <f>Public_Comps!S39</f>
        <v>5.8092936440334926</v>
      </c>
      <c r="R11" s="97"/>
      <c r="AF11" s="103"/>
    </row>
    <row r="12" spans="2:32" ht="14.5" customHeight="1" x14ac:dyDescent="0.2">
      <c r="C12" s="6" t="s">
        <v>239</v>
      </c>
      <c r="F12" s="105" t="s">
        <v>25</v>
      </c>
      <c r="G12" s="219">
        <v>44834</v>
      </c>
      <c r="M12" s="118"/>
      <c r="R12" s="97"/>
      <c r="AF12" s="103"/>
    </row>
    <row r="13" spans="2:32" x14ac:dyDescent="0.2">
      <c r="C13" s="101" t="s">
        <v>1</v>
      </c>
      <c r="F13" s="105" t="s">
        <v>75</v>
      </c>
      <c r="G13" s="203">
        <v>0.23899999999999999</v>
      </c>
      <c r="J13" s="6" t="s">
        <v>212</v>
      </c>
      <c r="L13" s="114"/>
      <c r="M13" s="221">
        <f>R15</f>
        <v>8.1279200088390553</v>
      </c>
      <c r="O13" s="6" t="s">
        <v>212</v>
      </c>
      <c r="Q13" s="114"/>
      <c r="R13" s="203">
        <v>0.01</v>
      </c>
      <c r="AF13" s="103"/>
    </row>
    <row r="14" spans="2:32" x14ac:dyDescent="0.2">
      <c r="C14" s="101" t="s">
        <v>2</v>
      </c>
      <c r="F14" s="105" t="s">
        <v>75</v>
      </c>
      <c r="G14" s="104">
        <f>WACC!L41</f>
        <v>9.16459598062664E-2</v>
      </c>
      <c r="J14" s="6" t="s">
        <v>213</v>
      </c>
      <c r="M14" s="119">
        <f>M13*S111</f>
        <v>24070.888569321025</v>
      </c>
      <c r="O14" s="6" t="s">
        <v>213</v>
      </c>
      <c r="R14" s="126">
        <f>S108*(1+R13)/(Discount_Rate-R13)</f>
        <v>24070.888569321021</v>
      </c>
      <c r="AF14" s="103"/>
    </row>
    <row r="15" spans="2:32" x14ac:dyDescent="0.2">
      <c r="J15" s="6" t="s">
        <v>214</v>
      </c>
      <c r="L15" s="114"/>
      <c r="M15" s="115"/>
      <c r="O15" s="6" t="s">
        <v>214</v>
      </c>
      <c r="R15" s="38">
        <f>R14/S111</f>
        <v>8.1279200088390553</v>
      </c>
      <c r="AF15" s="103"/>
    </row>
    <row r="16" spans="2:32" x14ac:dyDescent="0.2">
      <c r="C16" s="101" t="s">
        <v>76</v>
      </c>
      <c r="F16" s="105" t="s">
        <v>102</v>
      </c>
      <c r="G16" s="218">
        <v>1000</v>
      </c>
      <c r="AF16" s="103"/>
    </row>
    <row r="17" spans="3:32" x14ac:dyDescent="0.2">
      <c r="C17" s="103" t="s">
        <v>103</v>
      </c>
      <c r="F17" s="105" t="s">
        <v>25</v>
      </c>
      <c r="G17" s="219">
        <v>44561</v>
      </c>
      <c r="J17" s="56" t="s">
        <v>209</v>
      </c>
      <c r="K17" s="164"/>
      <c r="M17" s="117">
        <f>M14/(1+Discount_Rate)^10</f>
        <v>10015.531578435404</v>
      </c>
      <c r="O17" s="56" t="s">
        <v>209</v>
      </c>
      <c r="P17" s="164"/>
      <c r="R17" s="117">
        <f>R14/(1+Discount_Rate)^10</f>
        <v>10015.531578435402</v>
      </c>
      <c r="AF17" s="103"/>
    </row>
    <row r="18" spans="3:32" x14ac:dyDescent="0.2">
      <c r="J18" s="56" t="s">
        <v>210</v>
      </c>
      <c r="K18" s="164"/>
      <c r="M18" s="117">
        <f>NPV(Discount_Rate,J108:S108)</f>
        <v>12594.949832040245</v>
      </c>
      <c r="O18" s="56" t="s">
        <v>210</v>
      </c>
      <c r="P18" s="164"/>
      <c r="R18" s="326">
        <f>NPV(Discount_Rate,J108:S108)</f>
        <v>12594.949832040245</v>
      </c>
      <c r="AF18" s="103"/>
    </row>
    <row r="19" spans="3:32" x14ac:dyDescent="0.2">
      <c r="C19" s="162" t="s">
        <v>195</v>
      </c>
      <c r="D19" s="162"/>
      <c r="E19" s="162"/>
      <c r="F19" s="162" t="s">
        <v>179</v>
      </c>
      <c r="G19" s="166">
        <f>Share_Price*Diluted_Shares</f>
        <v>13320.153000000002</v>
      </c>
      <c r="J19" s="167" t="s">
        <v>5</v>
      </c>
      <c r="K19" s="167"/>
      <c r="L19" s="167"/>
      <c r="M19" s="168">
        <f>SUM(M17:M18)</f>
        <v>22610.481410475652</v>
      </c>
      <c r="O19" s="167" t="s">
        <v>5</v>
      </c>
      <c r="P19" s="167"/>
      <c r="Q19" s="167"/>
      <c r="R19" s="168">
        <f>SUM(R17:R18)</f>
        <v>22610.481410475648</v>
      </c>
      <c r="AF19" s="103"/>
    </row>
    <row r="20" spans="3:32" x14ac:dyDescent="0.2">
      <c r="C20" s="56" t="s">
        <v>197</v>
      </c>
      <c r="F20" s="105" t="s">
        <v>179</v>
      </c>
      <c r="G20" s="204">
        <v>-1007.85</v>
      </c>
      <c r="J20" s="116"/>
      <c r="M20" s="117"/>
      <c r="O20" s="116"/>
      <c r="R20" s="117"/>
      <c r="AF20" s="103"/>
    </row>
    <row r="21" spans="3:32" x14ac:dyDescent="0.2">
      <c r="C21" s="56" t="s">
        <v>196</v>
      </c>
      <c r="F21" s="105" t="s">
        <v>179</v>
      </c>
      <c r="G21" s="204">
        <v>-20.332999999999998</v>
      </c>
      <c r="J21" s="142" t="s">
        <v>217</v>
      </c>
      <c r="M21" s="169">
        <f>M17/M19</f>
        <v>0.44295967859380087</v>
      </c>
      <c r="O21" s="142" t="s">
        <v>217</v>
      </c>
      <c r="R21" s="169">
        <f>R17/R19</f>
        <v>0.44295967859380087</v>
      </c>
      <c r="AF21" s="103"/>
    </row>
    <row r="22" spans="3:32" x14ac:dyDescent="0.2">
      <c r="C22" s="56" t="s">
        <v>198</v>
      </c>
      <c r="F22" s="105" t="s">
        <v>179</v>
      </c>
      <c r="G22" s="204">
        <f>3165.269+94.814</f>
        <v>3260.0829999999996</v>
      </c>
      <c r="J22" s="116"/>
      <c r="M22" s="117"/>
      <c r="O22" s="116"/>
      <c r="R22" s="117"/>
      <c r="AF22" s="103"/>
    </row>
    <row r="23" spans="3:32" x14ac:dyDescent="0.2">
      <c r="C23" s="56" t="s">
        <v>199</v>
      </c>
      <c r="F23" s="105" t="s">
        <v>179</v>
      </c>
      <c r="G23" s="154">
        <v>0</v>
      </c>
      <c r="J23" s="56" t="s">
        <v>218</v>
      </c>
      <c r="M23" s="117">
        <f>-G20</f>
        <v>1007.85</v>
      </c>
      <c r="O23" s="56" t="s">
        <v>218</v>
      </c>
      <c r="R23" s="117">
        <f>M23</f>
        <v>1007.85</v>
      </c>
      <c r="AF23" s="103"/>
    </row>
    <row r="24" spans="3:32" x14ac:dyDescent="0.2">
      <c r="C24" s="56" t="s">
        <v>203</v>
      </c>
      <c r="F24" s="105" t="s">
        <v>179</v>
      </c>
      <c r="G24" s="154">
        <v>0</v>
      </c>
      <c r="J24" s="56" t="s">
        <v>219</v>
      </c>
      <c r="M24" s="117">
        <f t="shared" ref="M24:M29" si="0">-G21</f>
        <v>20.332999999999998</v>
      </c>
      <c r="O24" s="56" t="s">
        <v>219</v>
      </c>
      <c r="R24" s="117">
        <f t="shared" ref="R24:R29" si="1">M24</f>
        <v>20.332999999999998</v>
      </c>
      <c r="AF24" s="103"/>
    </row>
    <row r="25" spans="3:32" x14ac:dyDescent="0.2">
      <c r="C25" s="56" t="s">
        <v>200</v>
      </c>
      <c r="F25" s="105" t="s">
        <v>179</v>
      </c>
      <c r="G25" s="204">
        <f>168.313-202.761</f>
        <v>-34.448000000000008</v>
      </c>
      <c r="J25" s="56" t="s">
        <v>220</v>
      </c>
      <c r="M25" s="117">
        <f t="shared" si="0"/>
        <v>-3260.0829999999996</v>
      </c>
      <c r="O25" s="56" t="s">
        <v>220</v>
      </c>
      <c r="R25" s="117">
        <f t="shared" si="1"/>
        <v>-3260.0829999999996</v>
      </c>
      <c r="AF25" s="103"/>
    </row>
    <row r="26" spans="3:32" x14ac:dyDescent="0.2">
      <c r="C26" s="56" t="s">
        <v>201</v>
      </c>
      <c r="F26" s="165" t="s">
        <v>179</v>
      </c>
      <c r="G26" s="155">
        <v>0</v>
      </c>
      <c r="J26" s="56" t="s">
        <v>221</v>
      </c>
      <c r="M26" s="117">
        <f t="shared" si="0"/>
        <v>0</v>
      </c>
      <c r="O26" s="56" t="s">
        <v>221</v>
      </c>
      <c r="R26" s="117">
        <f t="shared" si="1"/>
        <v>0</v>
      </c>
      <c r="AF26" s="103"/>
    </row>
    <row r="27" spans="3:32" x14ac:dyDescent="0.2">
      <c r="C27" s="162" t="s">
        <v>202</v>
      </c>
      <c r="D27" s="162"/>
      <c r="E27" s="162"/>
      <c r="F27" s="162" t="s">
        <v>179</v>
      </c>
      <c r="G27" s="166">
        <f>SUM(G19:G26)</f>
        <v>15517.605</v>
      </c>
      <c r="J27" s="56" t="s">
        <v>222</v>
      </c>
      <c r="M27" s="117">
        <f t="shared" si="0"/>
        <v>0</v>
      </c>
      <c r="O27" s="56" t="s">
        <v>222</v>
      </c>
      <c r="R27" s="117">
        <f t="shared" si="1"/>
        <v>0</v>
      </c>
      <c r="AF27" s="103"/>
    </row>
    <row r="28" spans="3:32" x14ac:dyDescent="0.2">
      <c r="J28" s="56" t="s">
        <v>223</v>
      </c>
      <c r="M28" s="117">
        <f t="shared" si="0"/>
        <v>34.448000000000008</v>
      </c>
      <c r="O28" s="56" t="s">
        <v>223</v>
      </c>
      <c r="R28" s="117">
        <f t="shared" si="1"/>
        <v>34.448000000000008</v>
      </c>
      <c r="AF28" s="103"/>
    </row>
    <row r="29" spans="3:32" x14ac:dyDescent="0.2">
      <c r="J29" s="56" t="s">
        <v>224</v>
      </c>
      <c r="M29" s="117">
        <f t="shared" si="0"/>
        <v>0</v>
      </c>
      <c r="O29" s="56" t="s">
        <v>224</v>
      </c>
      <c r="R29" s="117">
        <f t="shared" si="1"/>
        <v>0</v>
      </c>
      <c r="AF29" s="103"/>
    </row>
    <row r="30" spans="3:32" x14ac:dyDescent="0.2">
      <c r="J30" s="167" t="s">
        <v>225</v>
      </c>
      <c r="K30" s="167"/>
      <c r="L30" s="167"/>
      <c r="M30" s="168">
        <f>SUM(M23:M29)+M19</f>
        <v>20413.02941047565</v>
      </c>
      <c r="O30" s="167" t="s">
        <v>225</v>
      </c>
      <c r="P30" s="167"/>
      <c r="Q30" s="167"/>
      <c r="R30" s="168">
        <f>SUM(R23:R29)+R19</f>
        <v>20413.029410475647</v>
      </c>
      <c r="AF30" s="103"/>
    </row>
    <row r="31" spans="3:32" x14ac:dyDescent="0.2">
      <c r="C31" s="6" t="s">
        <v>181</v>
      </c>
      <c r="F31" s="105" t="s">
        <v>178</v>
      </c>
      <c r="G31" s="220">
        <v>1100</v>
      </c>
      <c r="J31" s="116"/>
      <c r="M31" s="117"/>
      <c r="O31" s="116"/>
      <c r="R31" s="117"/>
    </row>
    <row r="32" spans="3:32" x14ac:dyDescent="0.2">
      <c r="C32" s="6" t="s">
        <v>180</v>
      </c>
      <c r="F32" s="60" t="s">
        <v>75</v>
      </c>
      <c r="G32" s="203">
        <v>0.91</v>
      </c>
      <c r="J32" s="170" t="s">
        <v>6</v>
      </c>
      <c r="M32" s="136">
        <f>Diluted_Shares</f>
        <v>187.74</v>
      </c>
      <c r="O32" s="170" t="s">
        <v>6</v>
      </c>
      <c r="R32" s="136">
        <f>Diluted_Shares</f>
        <v>187.74</v>
      </c>
    </row>
    <row r="33" spans="2:19" x14ac:dyDescent="0.2">
      <c r="C33" s="6" t="s">
        <v>263</v>
      </c>
      <c r="F33" s="60" t="s">
        <v>75</v>
      </c>
      <c r="G33" s="203">
        <v>0.83</v>
      </c>
      <c r="J33" s="116"/>
      <c r="M33" s="117"/>
      <c r="O33" s="116"/>
      <c r="R33" s="117"/>
    </row>
    <row r="34" spans="2:19" x14ac:dyDescent="0.2">
      <c r="J34" s="173" t="s">
        <v>7</v>
      </c>
      <c r="K34" s="167"/>
      <c r="L34" s="167"/>
      <c r="M34" s="171">
        <f>M30/M32</f>
        <v>108.73031538551001</v>
      </c>
      <c r="O34" s="173" t="s">
        <v>7</v>
      </c>
      <c r="P34" s="167"/>
      <c r="Q34" s="167"/>
      <c r="R34" s="171">
        <f>R30/R32</f>
        <v>108.73031538551</v>
      </c>
    </row>
    <row r="35" spans="2:19" x14ac:dyDescent="0.2">
      <c r="J35" s="172" t="s">
        <v>8</v>
      </c>
      <c r="K35" s="162"/>
      <c r="L35" s="162"/>
      <c r="M35" s="174">
        <f>M34/Share_Price-1</f>
        <v>0.53249211255123341</v>
      </c>
      <c r="O35" s="172" t="s">
        <v>8</v>
      </c>
      <c r="P35" s="162"/>
      <c r="Q35" s="162"/>
      <c r="R35" s="174">
        <f>R34/Share_Price-1</f>
        <v>0.53249211255123319</v>
      </c>
    </row>
    <row r="36" spans="2:19" x14ac:dyDescent="0.2">
      <c r="J36" s="116"/>
      <c r="M36" s="117"/>
      <c r="O36" s="116"/>
      <c r="R36" s="117"/>
    </row>
    <row r="37" spans="2:19" x14ac:dyDescent="0.2">
      <c r="B37" s="207"/>
      <c r="C37" s="207"/>
      <c r="D37" s="207"/>
      <c r="E37" s="207"/>
      <c r="F37" s="207"/>
      <c r="G37" s="208" t="s">
        <v>138</v>
      </c>
      <c r="H37" s="209"/>
      <c r="I37" s="209"/>
      <c r="J37" s="210" t="s">
        <v>137</v>
      </c>
      <c r="K37" s="209"/>
      <c r="L37" s="209"/>
      <c r="M37" s="209"/>
      <c r="N37" s="209"/>
      <c r="O37" s="209"/>
      <c r="P37" s="209"/>
      <c r="Q37" s="209"/>
      <c r="R37" s="209"/>
      <c r="S37" s="209"/>
    </row>
    <row r="38" spans="2:19" x14ac:dyDescent="0.2">
      <c r="B38" s="205" t="s">
        <v>152</v>
      </c>
      <c r="C38" s="207"/>
      <c r="D38" s="207"/>
      <c r="E38" s="207"/>
      <c r="F38" s="275" t="s">
        <v>176</v>
      </c>
      <c r="G38" s="212">
        <f>EOMONTH(H38,-12)</f>
        <v>43830</v>
      </c>
      <c r="H38" s="212">
        <f>EOMONTH(I38,-12)</f>
        <v>44196</v>
      </c>
      <c r="I38" s="212">
        <v>44561</v>
      </c>
      <c r="J38" s="213">
        <f>EOMONTH(I38,12)</f>
        <v>44926</v>
      </c>
      <c r="K38" s="212">
        <f>EOMONTH(J38,12)</f>
        <v>45291</v>
      </c>
      <c r="L38" s="212">
        <f t="shared" ref="L38:S38" si="2">EOMONTH(K38,12)</f>
        <v>45657</v>
      </c>
      <c r="M38" s="212">
        <f t="shared" si="2"/>
        <v>46022</v>
      </c>
      <c r="N38" s="212">
        <f t="shared" si="2"/>
        <v>46387</v>
      </c>
      <c r="O38" s="212">
        <f t="shared" si="2"/>
        <v>46752</v>
      </c>
      <c r="P38" s="212">
        <f t="shared" si="2"/>
        <v>47118</v>
      </c>
      <c r="Q38" s="212">
        <f t="shared" si="2"/>
        <v>47483</v>
      </c>
      <c r="R38" s="212">
        <f t="shared" si="2"/>
        <v>47848</v>
      </c>
      <c r="S38" s="212">
        <f t="shared" si="2"/>
        <v>48213</v>
      </c>
    </row>
    <row r="39" spans="2:19" x14ac:dyDescent="0.2">
      <c r="J39" s="116"/>
      <c r="M39" s="117"/>
      <c r="O39" s="116"/>
      <c r="R39" s="117"/>
    </row>
    <row r="40" spans="2:19" x14ac:dyDescent="0.2">
      <c r="C40" s="6" t="s">
        <v>153</v>
      </c>
      <c r="G40" s="15"/>
      <c r="H40" s="15"/>
      <c r="I40" s="15"/>
      <c r="J40" s="116"/>
      <c r="M40" s="117"/>
      <c r="O40" s="116"/>
      <c r="R40" s="117"/>
    </row>
    <row r="41" spans="2:19" x14ac:dyDescent="0.2">
      <c r="C41" s="56" t="s">
        <v>154</v>
      </c>
      <c r="F41" s="105" t="s">
        <v>179</v>
      </c>
      <c r="G41" s="184">
        <v>8234.1790000000001</v>
      </c>
      <c r="H41" s="184">
        <v>7455.6369999999997</v>
      </c>
      <c r="I41" s="184">
        <v>14023.133</v>
      </c>
      <c r="J41" s="122">
        <f>J47*J50/Units</f>
        <v>17070.672230769233</v>
      </c>
      <c r="K41" s="122">
        <f>K47*K50/Units</f>
        <v>14907.018000000002</v>
      </c>
      <c r="L41" s="122">
        <f t="shared" ref="L41:S41" si="3">L47*L50/Units</f>
        <v>14354.484558704455</v>
      </c>
      <c r="M41" s="122">
        <f>M47*M50/Units</f>
        <v>19727.748157894737</v>
      </c>
      <c r="N41" s="122">
        <f t="shared" si="3"/>
        <v>14735.573078947369</v>
      </c>
      <c r="O41" s="122">
        <f t="shared" si="3"/>
        <v>14950.419289473684</v>
      </c>
      <c r="P41" s="122">
        <f t="shared" si="3"/>
        <v>15165.2655</v>
      </c>
      <c r="Q41" s="122">
        <f t="shared" si="3"/>
        <v>15326.400157894735</v>
      </c>
      <c r="R41" s="122">
        <f t="shared" si="3"/>
        <v>15487.534815789473</v>
      </c>
      <c r="S41" s="122">
        <f t="shared" si="3"/>
        <v>15594.957921052634</v>
      </c>
    </row>
    <row r="42" spans="2:19" x14ac:dyDescent="0.2">
      <c r="C42" s="56" t="s">
        <v>155</v>
      </c>
      <c r="F42" s="130" t="s">
        <v>179</v>
      </c>
      <c r="G42" s="122">
        <f>+G43-G41</f>
        <v>2230.8119999999999</v>
      </c>
      <c r="H42" s="122">
        <f>+H43-H41</f>
        <v>2145.8450000000003</v>
      </c>
      <c r="I42" s="122">
        <f>+I43-I41</f>
        <v>4385.7169999999987</v>
      </c>
      <c r="J42" s="122">
        <f>J41*J55</f>
        <v>4958.9440111256536</v>
      </c>
      <c r="K42" s="122">
        <f t="shared" ref="K42:S42" si="4">K41*K55</f>
        <v>4330.4133917818908</v>
      </c>
      <c r="L42" s="122">
        <f t="shared" si="4"/>
        <v>4169.9052194838787</v>
      </c>
      <c r="M42" s="122">
        <f>M41*M55</f>
        <v>5730.811139602024</v>
      </c>
      <c r="N42" s="122">
        <f t="shared" si="4"/>
        <v>4280.6095086659443</v>
      </c>
      <c r="O42" s="122">
        <f t="shared" si="4"/>
        <v>4343.0212470321785</v>
      </c>
      <c r="P42" s="122">
        <f t="shared" si="4"/>
        <v>4405.4329853984127</v>
      </c>
      <c r="Q42" s="122">
        <f t="shared" si="4"/>
        <v>4452.2417891730884</v>
      </c>
      <c r="R42" s="122">
        <f t="shared" si="4"/>
        <v>4499.0505929477649</v>
      </c>
      <c r="S42" s="122">
        <f t="shared" si="4"/>
        <v>4530.2564621308829</v>
      </c>
    </row>
    <row r="43" spans="2:19" x14ac:dyDescent="0.2">
      <c r="C43" s="123" t="s">
        <v>156</v>
      </c>
      <c r="D43" s="124"/>
      <c r="E43" s="124"/>
      <c r="F43" s="105" t="s">
        <v>179</v>
      </c>
      <c r="G43" s="185">
        <v>10464.991</v>
      </c>
      <c r="H43" s="185">
        <v>9601.482</v>
      </c>
      <c r="I43" s="185">
        <v>18408.849999999999</v>
      </c>
      <c r="J43" s="135">
        <f>SUM(J41:J42)</f>
        <v>22029.616241894888</v>
      </c>
      <c r="K43" s="135">
        <f t="shared" ref="K43:S43" si="5">SUM(K41:K42)</f>
        <v>19237.431391781894</v>
      </c>
      <c r="L43" s="135">
        <f>SUM(L41:L42)</f>
        <v>18524.389778188335</v>
      </c>
      <c r="M43" s="135">
        <f>SUM(M41:M42)</f>
        <v>25458.559297496762</v>
      </c>
      <c r="N43" s="135">
        <f t="shared" si="5"/>
        <v>19016.182587613315</v>
      </c>
      <c r="O43" s="135">
        <f t="shared" si="5"/>
        <v>19293.440536505863</v>
      </c>
      <c r="P43" s="135">
        <f t="shared" si="5"/>
        <v>19570.69848539841</v>
      </c>
      <c r="Q43" s="135">
        <f t="shared" si="5"/>
        <v>19778.641947067823</v>
      </c>
      <c r="R43" s="135">
        <f t="shared" si="5"/>
        <v>19986.585408737239</v>
      </c>
      <c r="S43" s="135">
        <f t="shared" si="5"/>
        <v>20125.214383183516</v>
      </c>
    </row>
    <row r="44" spans="2:19" x14ac:dyDescent="0.2">
      <c r="C44" s="6" t="s">
        <v>157</v>
      </c>
      <c r="F44" s="60" t="s">
        <v>75</v>
      </c>
      <c r="H44" s="125">
        <f>H43/G43-1</f>
        <v>-8.2514070007322471E-2</v>
      </c>
      <c r="I44" s="125">
        <f>I43/H43-1</f>
        <v>0.9172925596277739</v>
      </c>
      <c r="J44" s="125">
        <f>J43/I43-1</f>
        <v>0.19668617224296403</v>
      </c>
      <c r="K44" s="125">
        <f t="shared" ref="K44:S44" si="6">K43/J43-1</f>
        <v>-0.12674686746485164</v>
      </c>
      <c r="L44" s="125">
        <f t="shared" si="6"/>
        <v>-3.7065323278978157E-2</v>
      </c>
      <c r="M44" s="125">
        <f t="shared" si="6"/>
        <v>0.37432647457424539</v>
      </c>
      <c r="N44" s="125">
        <f t="shared" si="6"/>
        <v>-0.25305346758238989</v>
      </c>
      <c r="O44" s="125">
        <f t="shared" si="6"/>
        <v>1.4580105529337306E-2</v>
      </c>
      <c r="P44" s="125">
        <f t="shared" si="6"/>
        <v>1.4370580942675071E-2</v>
      </c>
      <c r="Q44" s="125">
        <f t="shared" si="6"/>
        <v>1.0625244767045849E-2</v>
      </c>
      <c r="R44" s="125">
        <f t="shared" si="6"/>
        <v>1.051353587500703E-2</v>
      </c>
      <c r="S44" s="125">
        <f t="shared" si="6"/>
        <v>6.9361009702875176E-3</v>
      </c>
    </row>
    <row r="45" spans="2:19" x14ac:dyDescent="0.2">
      <c r="J45" s="116"/>
      <c r="M45" s="117"/>
      <c r="O45" s="116"/>
      <c r="R45" s="117"/>
    </row>
    <row r="46" spans="2:19" x14ac:dyDescent="0.2">
      <c r="C46" s="29" t="s">
        <v>139</v>
      </c>
      <c r="I46" s="127"/>
      <c r="J46" s="116"/>
      <c r="M46" s="117"/>
      <c r="O46" s="116"/>
      <c r="R46" s="117"/>
    </row>
    <row r="47" spans="2:19" x14ac:dyDescent="0.2">
      <c r="C47" s="56" t="s">
        <v>158</v>
      </c>
      <c r="F47" s="105" t="s">
        <v>177</v>
      </c>
      <c r="G47" s="186">
        <v>9841.2690000000002</v>
      </c>
      <c r="H47" s="186">
        <v>9716.9369999999999</v>
      </c>
      <c r="I47" s="186">
        <v>10111.115</v>
      </c>
      <c r="J47" s="122">
        <f>J52*J53</f>
        <v>12193.337307692309</v>
      </c>
      <c r="K47" s="122">
        <f>K52*K53</f>
        <v>12422.515000000001</v>
      </c>
      <c r="L47" s="122">
        <f t="shared" ref="L47:S47" si="7">L52*L53</f>
        <v>13049.531417004049</v>
      </c>
      <c r="M47" s="122">
        <f t="shared" si="7"/>
        <v>13151.832105263158</v>
      </c>
      <c r="N47" s="122">
        <f t="shared" si="7"/>
        <v>13395.975526315789</v>
      </c>
      <c r="O47" s="122">
        <f t="shared" si="7"/>
        <v>13591.290263157895</v>
      </c>
      <c r="P47" s="122">
        <f t="shared" si="7"/>
        <v>13786.605</v>
      </c>
      <c r="Q47" s="122">
        <f t="shared" si="7"/>
        <v>13933.091052631578</v>
      </c>
      <c r="R47" s="122">
        <f t="shared" si="7"/>
        <v>14079.577105263157</v>
      </c>
      <c r="S47" s="122">
        <f t="shared" si="7"/>
        <v>14177.234473684211</v>
      </c>
    </row>
    <row r="48" spans="2:19" x14ac:dyDescent="0.2">
      <c r="C48" s="121" t="s">
        <v>157</v>
      </c>
      <c r="F48" s="60" t="s">
        <v>75</v>
      </c>
      <c r="H48" s="125">
        <f t="shared" ref="H48:M48" si="8">H47/G47-1</f>
        <v>-1.2633736563851694E-2</v>
      </c>
      <c r="I48" s="125">
        <f t="shared" si="8"/>
        <v>4.0566075503010834E-2</v>
      </c>
      <c r="J48" s="125">
        <f t="shared" si="8"/>
        <v>0.20593399518176869</v>
      </c>
      <c r="K48" s="125">
        <f t="shared" si="8"/>
        <v>1.8795321291006362E-2</v>
      </c>
      <c r="L48" s="125">
        <f t="shared" si="8"/>
        <v>5.0474192786569283E-2</v>
      </c>
      <c r="M48" s="125">
        <f t="shared" si="8"/>
        <v>7.8394146877800441E-3</v>
      </c>
      <c r="N48" s="125">
        <f t="shared" ref="N48:S48" si="9">N47/M47-1</f>
        <v>1.8563453296740917E-2</v>
      </c>
      <c r="O48" s="125">
        <f t="shared" si="9"/>
        <v>1.4580105529337306E-2</v>
      </c>
      <c r="P48" s="125">
        <f t="shared" si="9"/>
        <v>1.4370580942675293E-2</v>
      </c>
      <c r="Q48" s="125">
        <f t="shared" si="9"/>
        <v>1.0625244767045849E-2</v>
      </c>
      <c r="R48" s="125">
        <f t="shared" si="9"/>
        <v>1.0513535875006808E-2</v>
      </c>
      <c r="S48" s="125">
        <f t="shared" si="9"/>
        <v>6.9361009702875176E-3</v>
      </c>
    </row>
    <row r="49" spans="3:19" x14ac:dyDescent="0.2">
      <c r="F49" s="129"/>
      <c r="J49" s="116"/>
      <c r="M49" s="117"/>
      <c r="O49" s="116"/>
      <c r="R49" s="117"/>
    </row>
    <row r="50" spans="3:19" x14ac:dyDescent="0.2">
      <c r="C50" s="6" t="s">
        <v>159</v>
      </c>
      <c r="F50" s="105" t="s">
        <v>178</v>
      </c>
      <c r="G50" s="126">
        <f>G41/G47*Units</f>
        <v>836.69890539522896</v>
      </c>
      <c r="H50" s="126">
        <f>H41/H47*Units</f>
        <v>767.28263237684882</v>
      </c>
      <c r="I50" s="126">
        <f>I41/I47*Units</f>
        <v>1386.9027303121366</v>
      </c>
      <c r="J50" s="189">
        <v>1400</v>
      </c>
      <c r="K50" s="189">
        <v>1200</v>
      </c>
      <c r="L50" s="189">
        <v>1100</v>
      </c>
      <c r="M50" s="189">
        <v>1500</v>
      </c>
      <c r="N50" s="126">
        <f>LT_Average_Steel_Price</f>
        <v>1100</v>
      </c>
      <c r="O50" s="126">
        <f>LT_Average_Steel_Price</f>
        <v>1100</v>
      </c>
      <c r="P50" s="126">
        <f t="shared" ref="P50:S50" si="10">LT_Average_Steel_Price</f>
        <v>1100</v>
      </c>
      <c r="Q50" s="126">
        <f t="shared" si="10"/>
        <v>1100</v>
      </c>
      <c r="R50" s="126">
        <f t="shared" si="10"/>
        <v>1100</v>
      </c>
      <c r="S50" s="126">
        <f t="shared" si="10"/>
        <v>1100</v>
      </c>
    </row>
    <row r="51" spans="3:19" x14ac:dyDescent="0.2">
      <c r="F51" s="129"/>
      <c r="J51" s="116"/>
      <c r="M51" s="117"/>
      <c r="O51" s="116"/>
      <c r="R51" s="117"/>
    </row>
    <row r="52" spans="3:19" x14ac:dyDescent="0.2">
      <c r="C52" s="6" t="s">
        <v>160</v>
      </c>
      <c r="F52" s="60" t="s">
        <v>75</v>
      </c>
      <c r="G52" s="187">
        <v>0.88</v>
      </c>
      <c r="H52" s="187">
        <v>0.86</v>
      </c>
      <c r="I52" s="187">
        <v>0.91</v>
      </c>
      <c r="J52" s="214">
        <v>0.93</v>
      </c>
      <c r="K52" s="214">
        <v>0.91</v>
      </c>
      <c r="L52" s="214">
        <v>0.92</v>
      </c>
      <c r="M52" s="214">
        <v>0.91</v>
      </c>
      <c r="N52" s="134">
        <f t="shared" ref="N52:S52" si="11">LT_Utilization_Rate</f>
        <v>0.91</v>
      </c>
      <c r="O52" s="134">
        <f t="shared" si="11"/>
        <v>0.91</v>
      </c>
      <c r="P52" s="134">
        <f t="shared" si="11"/>
        <v>0.91</v>
      </c>
      <c r="Q52" s="134">
        <f t="shared" si="11"/>
        <v>0.91</v>
      </c>
      <c r="R52" s="134">
        <f t="shared" si="11"/>
        <v>0.91</v>
      </c>
      <c r="S52" s="134">
        <f t="shared" si="11"/>
        <v>0.91</v>
      </c>
    </row>
    <row r="53" spans="3:19" x14ac:dyDescent="0.2">
      <c r="C53" s="6" t="s">
        <v>161</v>
      </c>
      <c r="F53" s="105" t="s">
        <v>177</v>
      </c>
      <c r="G53" s="122">
        <f>G47/G52</f>
        <v>11183.260227272727</v>
      </c>
      <c r="H53" s="122">
        <f>H47/H52</f>
        <v>11298.763953488373</v>
      </c>
      <c r="I53" s="122">
        <f>I47/I52</f>
        <v>11111.115384615385</v>
      </c>
      <c r="J53" s="131">
        <f>I53+J63</f>
        <v>13111.115384615385</v>
      </c>
      <c r="K53" s="131">
        <f>J53+K63</f>
        <v>13651.115384615385</v>
      </c>
      <c r="L53" s="131">
        <f>K53+L63</f>
        <v>14184.273279352226</v>
      </c>
      <c r="M53" s="131">
        <f>L53+M63</f>
        <v>14452.562753036436</v>
      </c>
      <c r="N53" s="131">
        <f>M53+N63</f>
        <v>14720.852226720646</v>
      </c>
      <c r="O53" s="131">
        <f t="shared" ref="O53:S53" si="12">N53+O63</f>
        <v>14935.483805668015</v>
      </c>
      <c r="P53" s="131">
        <f t="shared" si="12"/>
        <v>15150.115384615383</v>
      </c>
      <c r="Q53" s="131">
        <f t="shared" si="12"/>
        <v>15311.08906882591</v>
      </c>
      <c r="R53" s="131">
        <f t="shared" si="12"/>
        <v>15472.062753036436</v>
      </c>
      <c r="S53" s="131">
        <f t="shared" si="12"/>
        <v>15579.378542510121</v>
      </c>
    </row>
    <row r="54" spans="3:19" x14ac:dyDescent="0.2">
      <c r="J54" s="116"/>
      <c r="M54" s="117"/>
      <c r="O54" s="116"/>
      <c r="R54" s="117"/>
    </row>
    <row r="55" spans="3:19" x14ac:dyDescent="0.2">
      <c r="C55" s="6" t="s">
        <v>162</v>
      </c>
      <c r="F55" s="60" t="s">
        <v>75</v>
      </c>
      <c r="G55" s="134">
        <f>G42/G41</f>
        <v>0.27092099892411858</v>
      </c>
      <c r="H55" s="134">
        <f>H42/H41</f>
        <v>0.28781511224325973</v>
      </c>
      <c r="I55" s="134">
        <f>I42/I41</f>
        <v>0.31274872740635057</v>
      </c>
      <c r="J55" s="132">
        <f t="shared" ref="J55:P55" si="13">AVERAGE($G$55:$I$55)</f>
        <v>0.29049494619124294</v>
      </c>
      <c r="K55" s="132">
        <f t="shared" si="13"/>
        <v>0.29049494619124294</v>
      </c>
      <c r="L55" s="132">
        <f t="shared" si="13"/>
        <v>0.29049494619124294</v>
      </c>
      <c r="M55" s="132">
        <f t="shared" si="13"/>
        <v>0.29049494619124294</v>
      </c>
      <c r="N55" s="132">
        <f t="shared" si="13"/>
        <v>0.29049494619124294</v>
      </c>
      <c r="O55" s="132">
        <f t="shared" si="13"/>
        <v>0.29049494619124294</v>
      </c>
      <c r="P55" s="132">
        <f t="shared" si="13"/>
        <v>0.29049494619124294</v>
      </c>
      <c r="Q55" s="132">
        <f t="shared" ref="Q55:S55" si="14">AVERAGE($G$55:$I$55)</f>
        <v>0.29049494619124294</v>
      </c>
      <c r="R55" s="132">
        <f t="shared" si="14"/>
        <v>0.29049494619124294</v>
      </c>
      <c r="S55" s="132">
        <f t="shared" si="14"/>
        <v>0.29049494619124294</v>
      </c>
    </row>
    <row r="56" spans="3:19" x14ac:dyDescent="0.2">
      <c r="J56" s="116"/>
      <c r="M56" s="117"/>
      <c r="O56" s="116"/>
      <c r="R56" s="117"/>
    </row>
    <row r="57" spans="3:19" x14ac:dyDescent="0.2">
      <c r="C57" s="29" t="s">
        <v>163</v>
      </c>
      <c r="J57" s="116"/>
      <c r="M57" s="117"/>
      <c r="O57" s="116"/>
      <c r="R57" s="117"/>
    </row>
    <row r="58" spans="3:19" x14ac:dyDescent="0.2">
      <c r="C58" s="56" t="s">
        <v>164</v>
      </c>
      <c r="F58" s="105" t="s">
        <v>179</v>
      </c>
      <c r="G58" s="186">
        <v>246.845</v>
      </c>
      <c r="H58" s="186">
        <v>270.35500000000002</v>
      </c>
      <c r="I58" s="186">
        <f>-I105-I61</f>
        <v>175.23900000000003</v>
      </c>
      <c r="J58" s="122">
        <f>J59*I53</f>
        <v>212.54379389415737</v>
      </c>
      <c r="K58" s="122">
        <f>K59*J53</f>
        <v>2.0181967283281614</v>
      </c>
      <c r="L58" s="122">
        <f t="shared" ref="L58:S58" si="15">L59*K53</f>
        <v>1.9425456574884064</v>
      </c>
      <c r="M58" s="122">
        <f t="shared" si="15"/>
        <v>271.33002872055056</v>
      </c>
      <c r="N58" s="122">
        <f t="shared" si="15"/>
        <v>276.4621203805529</v>
      </c>
      <c r="O58" s="122">
        <f t="shared" si="15"/>
        <v>281.59421204055525</v>
      </c>
      <c r="P58" s="122">
        <f t="shared" si="15"/>
        <v>285.6998853685572</v>
      </c>
      <c r="Q58" s="122">
        <f t="shared" si="15"/>
        <v>289.8055586965591</v>
      </c>
      <c r="R58" s="122">
        <f t="shared" si="15"/>
        <v>382.77722672064777</v>
      </c>
      <c r="S58" s="122">
        <f t="shared" si="15"/>
        <v>386.80156882591092</v>
      </c>
    </row>
    <row r="59" spans="3:19" x14ac:dyDescent="0.2">
      <c r="C59" s="56" t="s">
        <v>165</v>
      </c>
      <c r="F59" s="105" t="s">
        <v>185</v>
      </c>
      <c r="G59" s="127">
        <f>G58/(9349/0.89)</f>
        <v>2.3498989196705528E-2</v>
      </c>
      <c r="H59" s="137">
        <f>H58/G53</f>
        <v>2.4174971743989523E-2</v>
      </c>
      <c r="I59" s="137">
        <f>I58/H53</f>
        <v>9.7128413388804132E-3</v>
      </c>
      <c r="J59" s="138">
        <f t="shared" ref="J59:Q59" si="16">AVERAGE($G$59:$I$59)</f>
        <v>1.9128934093191819E-2</v>
      </c>
      <c r="K59" s="138">
        <f t="shared" si="16"/>
        <v>1.9128934093191819E-2</v>
      </c>
      <c r="L59" s="138">
        <f t="shared" si="16"/>
        <v>1.9128934093191819E-2</v>
      </c>
      <c r="M59" s="138">
        <f t="shared" si="16"/>
        <v>1.9128934093191819E-2</v>
      </c>
      <c r="N59" s="138">
        <f t="shared" si="16"/>
        <v>1.9128934093191819E-2</v>
      </c>
      <c r="O59" s="138">
        <f t="shared" si="16"/>
        <v>1.9128934093191819E-2</v>
      </c>
      <c r="P59" s="138">
        <f t="shared" si="16"/>
        <v>1.9128934093191819E-2</v>
      </c>
      <c r="Q59" s="138">
        <f t="shared" si="16"/>
        <v>1.9128934093191819E-2</v>
      </c>
      <c r="R59" s="138">
        <v>2.5000000000000001E-2</v>
      </c>
      <c r="S59" s="138">
        <f>R59</f>
        <v>2.5000000000000001E-2</v>
      </c>
    </row>
    <row r="60" spans="3:19" x14ac:dyDescent="0.2">
      <c r="J60" s="116"/>
      <c r="M60" s="117"/>
      <c r="O60" s="116"/>
      <c r="R60" s="117"/>
    </row>
    <row r="61" spans="3:19" x14ac:dyDescent="0.2">
      <c r="C61" s="6" t="s">
        <v>166</v>
      </c>
      <c r="F61" s="105" t="s">
        <v>179</v>
      </c>
      <c r="G61" s="186">
        <v>205.1</v>
      </c>
      <c r="H61" s="186">
        <v>927.7</v>
      </c>
      <c r="I61" s="186">
        <v>831</v>
      </c>
      <c r="J61" s="215">
        <v>500</v>
      </c>
      <c r="K61" s="215">
        <v>500</v>
      </c>
      <c r="L61" s="215">
        <v>250</v>
      </c>
      <c r="M61" s="215">
        <v>250</v>
      </c>
      <c r="N61" s="215">
        <v>200</v>
      </c>
      <c r="O61" s="215">
        <v>200</v>
      </c>
      <c r="P61" s="215">
        <v>150</v>
      </c>
      <c r="Q61" s="215">
        <v>150</v>
      </c>
      <c r="R61" s="215">
        <v>100</v>
      </c>
      <c r="S61" s="215">
        <v>100</v>
      </c>
    </row>
    <row r="62" spans="3:19" x14ac:dyDescent="0.2">
      <c r="J62" s="116"/>
      <c r="M62" s="117"/>
      <c r="O62" s="116"/>
      <c r="R62" s="117"/>
    </row>
    <row r="63" spans="3:19" x14ac:dyDescent="0.2">
      <c r="C63" s="6" t="s">
        <v>167</v>
      </c>
      <c r="F63" s="105" t="s">
        <v>177</v>
      </c>
      <c r="I63" s="14"/>
      <c r="J63" s="215">
        <v>2000</v>
      </c>
      <c r="K63" s="215">
        <v>540</v>
      </c>
      <c r="L63" s="117">
        <f>L64*K61</f>
        <v>533.15789473684208</v>
      </c>
      <c r="M63" s="117">
        <f>L61*M64</f>
        <v>268.28947368421052</v>
      </c>
      <c r="N63" s="117">
        <f>M61*N64</f>
        <v>268.28947368421052</v>
      </c>
      <c r="O63" s="117">
        <f t="shared" ref="O63:S63" si="17">N61*O64</f>
        <v>214.63157894736841</v>
      </c>
      <c r="P63" s="117">
        <f t="shared" si="17"/>
        <v>214.63157894736841</v>
      </c>
      <c r="Q63" s="117">
        <f t="shared" si="17"/>
        <v>160.9736842105263</v>
      </c>
      <c r="R63" s="117">
        <f t="shared" si="17"/>
        <v>160.9736842105263</v>
      </c>
      <c r="S63" s="117">
        <f t="shared" si="17"/>
        <v>107.31578947368421</v>
      </c>
    </row>
    <row r="64" spans="3:19" x14ac:dyDescent="0.2">
      <c r="C64" s="56" t="s">
        <v>168</v>
      </c>
      <c r="F64" s="105" t="s">
        <v>182</v>
      </c>
      <c r="J64" s="188">
        <f>J63/1900</f>
        <v>1.0526315789473684</v>
      </c>
      <c r="K64" s="140">
        <f>K63/J61</f>
        <v>1.08</v>
      </c>
      <c r="L64" s="140">
        <f>AVERAGE(J64:K64)</f>
        <v>1.0663157894736841</v>
      </c>
      <c r="M64" s="139">
        <f>AVERAGE($K$64:$L$64)</f>
        <v>1.0731578947368421</v>
      </c>
      <c r="N64" s="139">
        <f t="shared" ref="N64:S64" si="18">AVERAGE($K$64:$L$64)</f>
        <v>1.0731578947368421</v>
      </c>
      <c r="O64" s="139">
        <f t="shared" si="18"/>
        <v>1.0731578947368421</v>
      </c>
      <c r="P64" s="139">
        <f t="shared" si="18"/>
        <v>1.0731578947368421</v>
      </c>
      <c r="Q64" s="139">
        <f t="shared" si="18"/>
        <v>1.0731578947368421</v>
      </c>
      <c r="R64" s="139">
        <f t="shared" si="18"/>
        <v>1.0731578947368421</v>
      </c>
      <c r="S64" s="139">
        <f t="shared" si="18"/>
        <v>1.0731578947368421</v>
      </c>
    </row>
    <row r="65" spans="2:27" x14ac:dyDescent="0.2">
      <c r="J65" s="116"/>
      <c r="M65" s="117"/>
      <c r="O65" s="116"/>
      <c r="R65" s="117"/>
    </row>
    <row r="66" spans="2:27" x14ac:dyDescent="0.2">
      <c r="C66" s="29" t="s">
        <v>169</v>
      </c>
      <c r="J66" s="116"/>
      <c r="M66" s="117"/>
      <c r="O66" s="116"/>
      <c r="R66" s="117"/>
      <c r="Y66" s="322"/>
      <c r="Z66" s="322"/>
      <c r="AA66" s="322"/>
    </row>
    <row r="67" spans="2:27" x14ac:dyDescent="0.2">
      <c r="C67" s="6" t="s">
        <v>170</v>
      </c>
      <c r="F67" s="105" t="s">
        <v>179</v>
      </c>
      <c r="G67" s="190">
        <v>8934.0069999999996</v>
      </c>
      <c r="H67" s="190">
        <v>8166.7539999999999</v>
      </c>
      <c r="I67" s="190">
        <v>13046.425999999999</v>
      </c>
      <c r="J67" s="141">
        <f>J68*J79</f>
        <v>18725.173805610655</v>
      </c>
      <c r="K67" s="141">
        <f t="shared" ref="K67:S67" si="19">K68*K79</f>
        <v>16255.6295260557</v>
      </c>
      <c r="L67" s="141">
        <f t="shared" si="19"/>
        <v>15560.487413678202</v>
      </c>
      <c r="M67" s="141">
        <f t="shared" si="19"/>
        <v>21257.897013409794</v>
      </c>
      <c r="N67" s="141">
        <f t="shared" si="19"/>
        <v>15783.43154771905</v>
      </c>
      <c r="O67" s="141">
        <f t="shared" si="19"/>
        <v>16013.555645299866</v>
      </c>
      <c r="P67" s="141">
        <f t="shared" si="19"/>
        <v>16243.67974288068</v>
      </c>
      <c r="Q67" s="141">
        <f t="shared" si="19"/>
        <v>16416.272816066292</v>
      </c>
      <c r="R67" s="141">
        <f t="shared" si="19"/>
        <v>16588.865889251909</v>
      </c>
      <c r="S67" s="141">
        <f t="shared" si="19"/>
        <v>16703.927938042318</v>
      </c>
      <c r="Y67" s="323"/>
      <c r="Z67" s="322"/>
      <c r="AA67" s="322"/>
    </row>
    <row r="68" spans="2:27" x14ac:dyDescent="0.2">
      <c r="C68" s="56" t="s">
        <v>171</v>
      </c>
      <c r="F68" s="60" t="s">
        <v>75</v>
      </c>
      <c r="G68" s="134">
        <f>G67/G79</f>
        <v>0.85370422201031992</v>
      </c>
      <c r="H68" s="134">
        <f>H67/H79</f>
        <v>0.85057223457795372</v>
      </c>
      <c r="I68" s="134">
        <f>I67/I79</f>
        <v>0.70870402007729982</v>
      </c>
      <c r="J68" s="214">
        <v>0.85</v>
      </c>
      <c r="K68" s="214">
        <v>0.84499999999999997</v>
      </c>
      <c r="L68" s="214">
        <v>0.84</v>
      </c>
      <c r="M68" s="214">
        <v>0.83499999999999996</v>
      </c>
      <c r="N68" s="134">
        <f t="shared" ref="N68:S68" si="20">LT_COGS_Pct_Sales</f>
        <v>0.83</v>
      </c>
      <c r="O68" s="134">
        <f t="shared" si="20"/>
        <v>0.83</v>
      </c>
      <c r="P68" s="134">
        <f t="shared" si="20"/>
        <v>0.83</v>
      </c>
      <c r="Q68" s="134">
        <f t="shared" si="20"/>
        <v>0.83</v>
      </c>
      <c r="R68" s="134">
        <f t="shared" si="20"/>
        <v>0.83</v>
      </c>
      <c r="S68" s="134">
        <f t="shared" si="20"/>
        <v>0.83</v>
      </c>
      <c r="Y68" s="324"/>
      <c r="Z68" s="324"/>
      <c r="AA68" s="324"/>
    </row>
    <row r="69" spans="2:27" x14ac:dyDescent="0.2">
      <c r="G69" s="120"/>
      <c r="H69" s="120"/>
      <c r="I69" s="120"/>
      <c r="J69" s="116"/>
      <c r="M69" s="117"/>
      <c r="O69" s="116"/>
      <c r="R69" s="117"/>
    </row>
    <row r="70" spans="2:27" x14ac:dyDescent="0.2">
      <c r="C70" s="6" t="s">
        <v>172</v>
      </c>
      <c r="F70" s="105" t="s">
        <v>179</v>
      </c>
      <c r="G70" s="190">
        <v>544.10400000000004</v>
      </c>
      <c r="H70" s="190">
        <v>568.17700000000002</v>
      </c>
      <c r="I70" s="190">
        <v>1061.319</v>
      </c>
      <c r="J70" s="141">
        <f>J71*J73/(Units*Units)</f>
        <v>664.43381102928413</v>
      </c>
      <c r="K70" s="141">
        <f t="shared" ref="K70:S70" si="21">K71*K73/(Units*Units)</f>
        <v>714.8594480470374</v>
      </c>
      <c r="L70" s="141">
        <f t="shared" si="21"/>
        <v>766.73960784873861</v>
      </c>
      <c r="M70" s="141">
        <f t="shared" si="21"/>
        <v>805.65597770946147</v>
      </c>
      <c r="N70" s="141">
        <f t="shared" si="21"/>
        <v>845.47875709233267</v>
      </c>
      <c r="O70" s="141">
        <f t="shared" si="21"/>
        <v>883.035512669833</v>
      </c>
      <c r="P70" s="141">
        <f t="shared" si="21"/>
        <v>895.72524597991162</v>
      </c>
      <c r="Q70" s="141">
        <f t="shared" si="21"/>
        <v>905.24254596247067</v>
      </c>
      <c r="R70" s="141">
        <f t="shared" si="21"/>
        <v>914.7598459450295</v>
      </c>
      <c r="S70" s="141">
        <f t="shared" si="21"/>
        <v>921.10471260006898</v>
      </c>
    </row>
    <row r="71" spans="2:27" x14ac:dyDescent="0.2">
      <c r="C71" s="56" t="s">
        <v>173</v>
      </c>
      <c r="F71" s="105" t="s">
        <v>186</v>
      </c>
      <c r="G71" s="143">
        <f>G70*Units*Units/G73</f>
        <v>64890.161001788911</v>
      </c>
      <c r="H71" s="143">
        <f>H70*Units*Units/H73</f>
        <v>59031.376623376622</v>
      </c>
      <c r="I71" s="143">
        <f>I70*Units*Units/I73</f>
        <v>99748.026315789481</v>
      </c>
      <c r="J71" s="216">
        <v>60000</v>
      </c>
      <c r="K71" s="216">
        <v>62000</v>
      </c>
      <c r="L71" s="216">
        <v>64000</v>
      </c>
      <c r="M71" s="216">
        <v>66000</v>
      </c>
      <c r="N71" s="216">
        <v>68000</v>
      </c>
      <c r="O71" s="216">
        <v>70000</v>
      </c>
      <c r="P71" s="216">
        <f>O71</f>
        <v>70000</v>
      </c>
      <c r="Q71" s="216">
        <f t="shared" ref="Q71:S71" si="22">P71</f>
        <v>70000</v>
      </c>
      <c r="R71" s="216">
        <f t="shared" si="22"/>
        <v>70000</v>
      </c>
      <c r="S71" s="216">
        <f t="shared" si="22"/>
        <v>70000</v>
      </c>
      <c r="Y71" s="322"/>
      <c r="Z71" s="322"/>
      <c r="AA71" s="322"/>
    </row>
    <row r="72" spans="2:27" x14ac:dyDescent="0.2">
      <c r="J72" s="116"/>
      <c r="M72" s="117"/>
      <c r="O72" s="116"/>
      <c r="R72" s="117"/>
      <c r="Y72" s="325"/>
      <c r="Z72" s="325"/>
      <c r="AA72" s="325"/>
    </row>
    <row r="73" spans="2:27" x14ac:dyDescent="0.2">
      <c r="C73" s="6" t="s">
        <v>174</v>
      </c>
      <c r="F73" s="105" t="s">
        <v>187</v>
      </c>
      <c r="G73" s="191">
        <v>8385</v>
      </c>
      <c r="H73" s="191">
        <v>9625</v>
      </c>
      <c r="I73" s="191">
        <v>10640</v>
      </c>
      <c r="J73" s="143">
        <f>J53*Units/J74</f>
        <v>11073.896850488069</v>
      </c>
      <c r="K73" s="143">
        <f t="shared" ref="K73:S73" si="23">K53*Units/K74</f>
        <v>11529.99109753286</v>
      </c>
      <c r="L73" s="143">
        <f t="shared" si="23"/>
        <v>11980.306372636542</v>
      </c>
      <c r="M73" s="143">
        <f t="shared" si="23"/>
        <v>12206.908753173659</v>
      </c>
      <c r="N73" s="143">
        <f t="shared" si="23"/>
        <v>12433.511133710776</v>
      </c>
      <c r="O73" s="143">
        <f t="shared" si="23"/>
        <v>12614.793038140471</v>
      </c>
      <c r="P73" s="143">
        <f t="shared" si="23"/>
        <v>12796.074942570165</v>
      </c>
      <c r="Q73" s="143">
        <f t="shared" si="23"/>
        <v>12932.036370892438</v>
      </c>
      <c r="R73" s="143">
        <f t="shared" si="23"/>
        <v>13067.997799214707</v>
      </c>
      <c r="S73" s="143">
        <f t="shared" si="23"/>
        <v>13158.638751429557</v>
      </c>
    </row>
    <row r="74" spans="2:27" x14ac:dyDescent="0.2">
      <c r="C74" s="56" t="s">
        <v>175</v>
      </c>
      <c r="F74" s="105" t="s">
        <v>188</v>
      </c>
      <c r="G74" s="144">
        <f>G53*Units/G73</f>
        <v>1333.72214994308</v>
      </c>
      <c r="H74" s="144">
        <f>H53*Units/H73</f>
        <v>1173.8975536091816</v>
      </c>
      <c r="I74" s="144">
        <f>I53*Units/I73</f>
        <v>1044.2777617119723</v>
      </c>
      <c r="J74" s="145">
        <f>AVERAGE($G$74:$I$74)</f>
        <v>1183.9658217547446</v>
      </c>
      <c r="K74" s="145">
        <f>AVERAGE($G$74:$I$74)</f>
        <v>1183.9658217547446</v>
      </c>
      <c r="L74" s="145">
        <f t="shared" ref="L74:S74" si="24">AVERAGE($G$74:$I$74)</f>
        <v>1183.9658217547446</v>
      </c>
      <c r="M74" s="145">
        <f t="shared" si="24"/>
        <v>1183.9658217547446</v>
      </c>
      <c r="N74" s="145">
        <f t="shared" si="24"/>
        <v>1183.9658217547446</v>
      </c>
      <c r="O74" s="145">
        <f t="shared" si="24"/>
        <v>1183.9658217547446</v>
      </c>
      <c r="P74" s="145">
        <f t="shared" si="24"/>
        <v>1183.9658217547446</v>
      </c>
      <c r="Q74" s="145">
        <f t="shared" si="24"/>
        <v>1183.9658217547446</v>
      </c>
      <c r="R74" s="145">
        <f t="shared" si="24"/>
        <v>1183.9658217547446</v>
      </c>
      <c r="S74" s="145">
        <f t="shared" si="24"/>
        <v>1183.9658217547446</v>
      </c>
    </row>
    <row r="75" spans="2:27" x14ac:dyDescent="0.2">
      <c r="J75" s="116"/>
      <c r="M75" s="117"/>
      <c r="O75" s="116"/>
      <c r="R75" s="117"/>
    </row>
    <row r="76" spans="2:27" x14ac:dyDescent="0.2">
      <c r="B76" s="207"/>
      <c r="C76" s="207"/>
      <c r="D76" s="207"/>
      <c r="E76" s="207"/>
      <c r="F76" s="207"/>
      <c r="G76" s="208" t="s">
        <v>138</v>
      </c>
      <c r="H76" s="209"/>
      <c r="I76" s="209"/>
      <c r="J76" s="210" t="s">
        <v>137</v>
      </c>
      <c r="K76" s="209"/>
      <c r="L76" s="209"/>
      <c r="M76" s="209"/>
      <c r="N76" s="209"/>
      <c r="O76" s="209"/>
      <c r="P76" s="209"/>
      <c r="Q76" s="209"/>
      <c r="R76" s="209"/>
      <c r="S76" s="209"/>
    </row>
    <row r="77" spans="2:27" x14ac:dyDescent="0.2">
      <c r="B77" s="205" t="s">
        <v>235</v>
      </c>
      <c r="C77" s="207"/>
      <c r="D77" s="207"/>
      <c r="E77" s="207"/>
      <c r="F77" s="207"/>
      <c r="G77" s="212">
        <f t="shared" ref="G77" si="25">EOMONTH(H77,-12)</f>
        <v>119.20048713237678</v>
      </c>
      <c r="H77" s="212">
        <f>EOMONTH(I77,-12)</f>
        <v>114.29616992407971</v>
      </c>
      <c r="I77" s="212">
        <v>44561</v>
      </c>
      <c r="J77" s="213">
        <f>EOMONTH(I77,12)</f>
        <v>105.50492350990211</v>
      </c>
      <c r="K77" s="212">
        <f t="shared" ref="K77:S77" si="26">EOMONTH(J77,12)</f>
        <v>101.55012548136584</v>
      </c>
      <c r="L77" s="212">
        <f t="shared" si="26"/>
        <v>97.851263835577157</v>
      </c>
      <c r="M77" s="212">
        <f t="shared" si="26"/>
        <v>94.384325951242886</v>
      </c>
      <c r="N77" s="212">
        <f t="shared" si="26"/>
        <v>91.128210392089784</v>
      </c>
      <c r="O77" s="212">
        <f t="shared" si="26"/>
        <v>88.064298772589083</v>
      </c>
      <c r="P77" s="212">
        <f t="shared" si="26"/>
        <v>47118</v>
      </c>
      <c r="Q77" s="212">
        <f t="shared" si="26"/>
        <v>47483</v>
      </c>
      <c r="R77" s="212">
        <f t="shared" si="26"/>
        <v>47848</v>
      </c>
      <c r="S77" s="212">
        <f t="shared" si="26"/>
        <v>48213</v>
      </c>
    </row>
    <row r="79" spans="2:27" x14ac:dyDescent="0.2">
      <c r="C79" s="6" t="s">
        <v>139</v>
      </c>
      <c r="F79" s="105" t="s">
        <v>179</v>
      </c>
      <c r="G79" s="149">
        <f>G43</f>
        <v>10464.991</v>
      </c>
      <c r="H79" s="149">
        <f>H43</f>
        <v>9601.482</v>
      </c>
      <c r="I79" s="149">
        <f>I43</f>
        <v>18408.849999999999</v>
      </c>
      <c r="J79" s="149">
        <f>J43</f>
        <v>22029.616241894888</v>
      </c>
      <c r="K79" s="149">
        <f t="shared" ref="K79:S79" si="27">K43</f>
        <v>19237.431391781894</v>
      </c>
      <c r="L79" s="149">
        <f t="shared" si="27"/>
        <v>18524.389778188335</v>
      </c>
      <c r="M79" s="149">
        <f>M43</f>
        <v>25458.559297496762</v>
      </c>
      <c r="N79" s="149">
        <f>N43</f>
        <v>19016.182587613315</v>
      </c>
      <c r="O79" s="149">
        <f t="shared" si="27"/>
        <v>19293.440536505863</v>
      </c>
      <c r="P79" s="149">
        <f t="shared" si="27"/>
        <v>19570.69848539841</v>
      </c>
      <c r="Q79" s="149">
        <f t="shared" si="27"/>
        <v>19778.641947067823</v>
      </c>
      <c r="R79" s="149">
        <f t="shared" si="27"/>
        <v>19986.585408737239</v>
      </c>
      <c r="S79" s="149">
        <f t="shared" si="27"/>
        <v>20125.214383183516</v>
      </c>
    </row>
    <row r="80" spans="2:27" x14ac:dyDescent="0.2">
      <c r="G80" s="146"/>
      <c r="H80" s="146"/>
      <c r="I80" s="146"/>
    </row>
    <row r="81" spans="3:21" x14ac:dyDescent="0.2">
      <c r="C81" s="6" t="s">
        <v>142</v>
      </c>
      <c r="F81" s="105" t="s">
        <v>179</v>
      </c>
      <c r="G81" s="141">
        <f>-G67</f>
        <v>-8934.0069999999996</v>
      </c>
      <c r="H81" s="141">
        <f>-H67</f>
        <v>-8166.7539999999999</v>
      </c>
      <c r="I81" s="141">
        <f>-I67</f>
        <v>-13046.425999999999</v>
      </c>
      <c r="J81" s="141">
        <f t="shared" ref="J81:S81" si="28">-J67</f>
        <v>-18725.173805610655</v>
      </c>
      <c r="K81" s="141">
        <f t="shared" si="28"/>
        <v>-16255.6295260557</v>
      </c>
      <c r="L81" s="141">
        <f t="shared" si="28"/>
        <v>-15560.487413678202</v>
      </c>
      <c r="M81" s="141">
        <f t="shared" si="28"/>
        <v>-21257.897013409794</v>
      </c>
      <c r="N81" s="141">
        <f t="shared" si="28"/>
        <v>-15783.43154771905</v>
      </c>
      <c r="O81" s="141">
        <f t="shared" si="28"/>
        <v>-16013.555645299866</v>
      </c>
      <c r="P81" s="141">
        <f t="shared" si="28"/>
        <v>-16243.67974288068</v>
      </c>
      <c r="Q81" s="141">
        <f t="shared" si="28"/>
        <v>-16416.272816066292</v>
      </c>
      <c r="R81" s="141">
        <f t="shared" si="28"/>
        <v>-16588.865889251909</v>
      </c>
      <c r="S81" s="141">
        <f t="shared" si="28"/>
        <v>-16703.927938042318</v>
      </c>
    </row>
    <row r="82" spans="3:21" x14ac:dyDescent="0.2">
      <c r="C82" s="6" t="s">
        <v>140</v>
      </c>
      <c r="F82" s="105" t="s">
        <v>179</v>
      </c>
      <c r="G82" s="141">
        <f>-G70</f>
        <v>119.20048713237678</v>
      </c>
      <c r="H82" s="141">
        <f>-H70</f>
        <v>114.29616992407971</v>
      </c>
      <c r="I82" s="141">
        <f t="shared" ref="I82:S82" si="29">-I70</f>
        <v>109.74310160569375</v>
      </c>
      <c r="J82" s="141">
        <f t="shared" si="29"/>
        <v>-664.43381102928413</v>
      </c>
      <c r="K82" s="141">
        <f t="shared" si="29"/>
        <v>-714.8594480470374</v>
      </c>
      <c r="L82" s="141">
        <f t="shared" si="29"/>
        <v>-766.73960784873861</v>
      </c>
      <c r="M82" s="141">
        <f t="shared" si="29"/>
        <v>-805.65597770946147</v>
      </c>
      <c r="N82" s="141">
        <f t="shared" si="29"/>
        <v>-845.47875709233267</v>
      </c>
      <c r="O82" s="141">
        <f t="shared" si="29"/>
        <v>-883.035512669833</v>
      </c>
      <c r="P82" s="141">
        <f t="shared" si="29"/>
        <v>-895.72524597991162</v>
      </c>
      <c r="Q82" s="141">
        <f t="shared" si="29"/>
        <v>-905.24254596247067</v>
      </c>
      <c r="R82" s="141">
        <f t="shared" si="29"/>
        <v>-914.7598459450295</v>
      </c>
      <c r="S82" s="141">
        <f t="shared" si="29"/>
        <v>-921.10471260006898</v>
      </c>
    </row>
    <row r="83" spans="3:21" x14ac:dyDescent="0.2">
      <c r="G83" s="120"/>
      <c r="H83" s="120"/>
      <c r="I83" s="120"/>
    </row>
    <row r="84" spans="3:21" x14ac:dyDescent="0.2">
      <c r="C84" s="29" t="s">
        <v>141</v>
      </c>
      <c r="F84" s="105" t="s">
        <v>179</v>
      </c>
      <c r="G84" s="148">
        <f>+G79+SUM(G81:G82)</f>
        <v>1650.1844871323774</v>
      </c>
      <c r="H84" s="148">
        <f>+H79+SUM(H81:H82)</f>
        <v>1549.0241699240796</v>
      </c>
      <c r="I84" s="148">
        <f>+I79+SUM(I81:I82)</f>
        <v>5472.1671016056935</v>
      </c>
      <c r="J84" s="148">
        <f t="shared" ref="J84:S84" si="30">+J79+SUM(J81:J82)</f>
        <v>2640.0086252549481</v>
      </c>
      <c r="K84" s="148">
        <f t="shared" si="30"/>
        <v>2266.9424176791581</v>
      </c>
      <c r="L84" s="148">
        <f t="shared" si="30"/>
        <v>2197.1627566613952</v>
      </c>
      <c r="M84" s="148">
        <f t="shared" si="30"/>
        <v>3395.0063063775051</v>
      </c>
      <c r="N84" s="148">
        <f t="shared" si="30"/>
        <v>2387.2722828019323</v>
      </c>
      <c r="O84" s="148">
        <f t="shared" si="30"/>
        <v>2396.8493785361643</v>
      </c>
      <c r="P84" s="148">
        <f t="shared" si="30"/>
        <v>2431.293496537819</v>
      </c>
      <c r="Q84" s="148">
        <f t="shared" si="30"/>
        <v>2457.1265850390591</v>
      </c>
      <c r="R84" s="148">
        <f t="shared" si="30"/>
        <v>2482.9596735402993</v>
      </c>
      <c r="S84" s="148">
        <f t="shared" si="30"/>
        <v>2500.1817325411284</v>
      </c>
    </row>
    <row r="85" spans="3:21" x14ac:dyDescent="0.2">
      <c r="C85" s="142" t="s">
        <v>189</v>
      </c>
      <c r="F85" s="60" t="s">
        <v>75</v>
      </c>
      <c r="G85" s="134">
        <f>G84/G79</f>
        <v>0.15768618311591262</v>
      </c>
      <c r="H85" s="134">
        <f>H84/H79</f>
        <v>0.16133177877374344</v>
      </c>
      <c r="I85" s="134">
        <f>I84/I79</f>
        <v>0.29725741160396735</v>
      </c>
      <c r="J85" s="134">
        <f>J84/J79</f>
        <v>0.11983906556821013</v>
      </c>
      <c r="K85" s="134">
        <f t="shared" ref="K85" si="31">K84/K79</f>
        <v>0.11784018206544877</v>
      </c>
      <c r="L85" s="134">
        <f t="shared" ref="L85" si="32">L84/L79</f>
        <v>0.11860918405250029</v>
      </c>
      <c r="M85" s="134">
        <f t="shared" ref="M85" si="33">M84/M79</f>
        <v>0.13335421956541438</v>
      </c>
      <c r="N85" s="134">
        <f t="shared" ref="N85" si="34">N84/N79</f>
        <v>0.12553898616628473</v>
      </c>
      <c r="O85" s="134">
        <f t="shared" ref="O85" si="35">O84/O79</f>
        <v>0.12423130928882245</v>
      </c>
      <c r="P85" s="134">
        <f t="shared" ref="P85" si="36">P84/P79</f>
        <v>0.12423130928882245</v>
      </c>
      <c r="Q85" s="134">
        <f t="shared" ref="Q85" si="37">Q84/Q79</f>
        <v>0.12423130928882239</v>
      </c>
      <c r="R85" s="134">
        <f t="shared" ref="R85" si="38">R84/R79</f>
        <v>0.12423130928882233</v>
      </c>
      <c r="S85" s="134">
        <f t="shared" ref="S85" si="39">S84/S79</f>
        <v>0.12423130928882239</v>
      </c>
    </row>
    <row r="86" spans="3:21" x14ac:dyDescent="0.2">
      <c r="C86" s="142" t="s">
        <v>190</v>
      </c>
      <c r="F86" s="60" t="s">
        <v>75</v>
      </c>
      <c r="H86" s="147">
        <f>H84/G84-1</f>
        <v>-6.130242890847315E-2</v>
      </c>
      <c r="I86" s="147">
        <f>I84/H84-1</f>
        <v>2.5326544335805257</v>
      </c>
      <c r="J86" s="147">
        <f>J84/I84-1</f>
        <v>-0.51755701603478221</v>
      </c>
      <c r="K86" s="147">
        <f t="shared" ref="K86:S86" si="40">K84/J84-1</f>
        <v>-0.14131249572707838</v>
      </c>
      <c r="L86" s="147">
        <f t="shared" si="40"/>
        <v>-3.0781399859817205E-2</v>
      </c>
      <c r="M86" s="147">
        <f t="shared" si="40"/>
        <v>0.54517743216084824</v>
      </c>
      <c r="N86" s="147">
        <f t="shared" si="40"/>
        <v>-0.29682832155055161</v>
      </c>
      <c r="O86" s="147">
        <f t="shared" si="40"/>
        <v>4.0117316333063702E-3</v>
      </c>
      <c r="P86" s="147">
        <f t="shared" si="40"/>
        <v>1.4370580942675293E-2</v>
      </c>
      <c r="Q86" s="147">
        <f t="shared" si="40"/>
        <v>1.0625244767045405E-2</v>
      </c>
      <c r="R86" s="147">
        <f t="shared" si="40"/>
        <v>1.0513535875006363E-2</v>
      </c>
      <c r="S86" s="147">
        <f t="shared" si="40"/>
        <v>6.9361009702881837E-3</v>
      </c>
    </row>
    <row r="88" spans="3:21" x14ac:dyDescent="0.2">
      <c r="C88" s="6" t="s">
        <v>143</v>
      </c>
      <c r="F88" s="105" t="s">
        <v>179</v>
      </c>
      <c r="G88" s="141">
        <f t="shared" ref="G88:S88" si="41">-G84*Tax_Rate</f>
        <v>-394.39409242463819</v>
      </c>
      <c r="H88" s="141">
        <f t="shared" si="41"/>
        <v>-370.21677661185504</v>
      </c>
      <c r="I88" s="141">
        <f t="shared" si="41"/>
        <v>-1307.8479372837608</v>
      </c>
      <c r="J88" s="141">
        <f t="shared" si="41"/>
        <v>-630.96206143593258</v>
      </c>
      <c r="K88" s="141">
        <f t="shared" si="41"/>
        <v>-541.79923782531876</v>
      </c>
      <c r="L88" s="141">
        <f t="shared" si="41"/>
        <v>-525.12189884207339</v>
      </c>
      <c r="M88" s="141">
        <f t="shared" si="41"/>
        <v>-811.40650722422367</v>
      </c>
      <c r="N88" s="141">
        <f t="shared" si="41"/>
        <v>-570.55807558966183</v>
      </c>
      <c r="O88" s="141">
        <f t="shared" si="41"/>
        <v>-572.84700147014325</v>
      </c>
      <c r="P88" s="141">
        <f t="shared" si="41"/>
        <v>-581.07914567253874</v>
      </c>
      <c r="Q88" s="141">
        <f t="shared" si="41"/>
        <v>-587.25325382433516</v>
      </c>
      <c r="R88" s="141">
        <f t="shared" si="41"/>
        <v>-593.42736197613146</v>
      </c>
      <c r="S88" s="141">
        <f t="shared" si="41"/>
        <v>-597.54343407732972</v>
      </c>
    </row>
    <row r="90" spans="3:21" x14ac:dyDescent="0.2">
      <c r="C90" s="29" t="s">
        <v>144</v>
      </c>
      <c r="D90" s="29"/>
      <c r="E90" s="29"/>
      <c r="F90" s="105" t="s">
        <v>179</v>
      </c>
      <c r="G90" s="150">
        <f>G84+G88</f>
        <v>1255.7903947077393</v>
      </c>
      <c r="H90" s="150">
        <f t="shared" ref="H90:S90" si="42">H84+H88</f>
        <v>1178.8073933122246</v>
      </c>
      <c r="I90" s="150">
        <f t="shared" si="42"/>
        <v>4164.3191643219325</v>
      </c>
      <c r="J90" s="150">
        <f t="shared" si="42"/>
        <v>2009.0465638190155</v>
      </c>
      <c r="K90" s="150">
        <f t="shared" si="42"/>
        <v>1725.1431798538392</v>
      </c>
      <c r="L90" s="150">
        <f t="shared" si="42"/>
        <v>1672.0408578193219</v>
      </c>
      <c r="M90" s="150">
        <f t="shared" si="42"/>
        <v>2583.5997991532813</v>
      </c>
      <c r="N90" s="150">
        <f t="shared" si="42"/>
        <v>1816.7142072122706</v>
      </c>
      <c r="O90" s="150">
        <f t="shared" si="42"/>
        <v>1824.0023770660209</v>
      </c>
      <c r="P90" s="150">
        <f t="shared" si="42"/>
        <v>1850.2143508652803</v>
      </c>
      <c r="Q90" s="150">
        <f t="shared" si="42"/>
        <v>1869.873331214724</v>
      </c>
      <c r="R90" s="150">
        <f t="shared" si="42"/>
        <v>1889.5323115641677</v>
      </c>
      <c r="S90" s="150">
        <f t="shared" si="42"/>
        <v>1902.6382984637987</v>
      </c>
    </row>
    <row r="92" spans="3:21" s="29" customFormat="1" x14ac:dyDescent="0.2">
      <c r="C92" s="29" t="s">
        <v>145</v>
      </c>
      <c r="U92" s="151"/>
    </row>
    <row r="93" spans="3:21" x14ac:dyDescent="0.2">
      <c r="C93" s="6" t="s">
        <v>147</v>
      </c>
      <c r="F93" s="105" t="s">
        <v>179</v>
      </c>
      <c r="G93" s="190">
        <v>321.08199999999999</v>
      </c>
      <c r="H93" s="190">
        <v>325.78899999999999</v>
      </c>
      <c r="I93" s="190">
        <v>347.65300000000002</v>
      </c>
      <c r="J93" s="141">
        <f>J94*J53</f>
        <v>388.23649212739758</v>
      </c>
      <c r="K93" s="141">
        <f>K94*K53</f>
        <v>404.22656616753574</v>
      </c>
      <c r="L93" s="141">
        <f>L94*L53</f>
        <v>420.01403693036218</v>
      </c>
      <c r="M93" s="141">
        <f t="shared" ref="M93:S93" si="43">M94*M53</f>
        <v>427.95842313110336</v>
      </c>
      <c r="N93" s="141">
        <f t="shared" si="43"/>
        <v>435.90280933184448</v>
      </c>
      <c r="O93" s="141">
        <f t="shared" si="43"/>
        <v>442.25831829243742</v>
      </c>
      <c r="P93" s="141">
        <f t="shared" si="43"/>
        <v>448.61382725303037</v>
      </c>
      <c r="Q93" s="141">
        <f t="shared" si="43"/>
        <v>453.38045897347507</v>
      </c>
      <c r="R93" s="141">
        <f t="shared" si="43"/>
        <v>458.14709069391978</v>
      </c>
      <c r="S93" s="141">
        <f t="shared" si="43"/>
        <v>461.32484517421625</v>
      </c>
    </row>
    <row r="94" spans="3:21" ht="15" customHeight="1" x14ac:dyDescent="0.2">
      <c r="C94" s="56" t="s">
        <v>191</v>
      </c>
      <c r="F94" s="105" t="s">
        <v>185</v>
      </c>
      <c r="G94" s="152">
        <f>G93/G53</f>
        <v>2.8710947744645533E-2</v>
      </c>
      <c r="H94" s="152">
        <f>H93/H53</f>
        <v>2.8834038956926444E-2</v>
      </c>
      <c r="I94" s="152">
        <f>I93/I53</f>
        <v>3.1288757965862321E-2</v>
      </c>
      <c r="J94" s="153">
        <f t="shared" ref="J94:O94" si="44">AVERAGE($G$94:$I$94)</f>
        <v>2.9611248222478098E-2</v>
      </c>
      <c r="K94" s="153">
        <f t="shared" si="44"/>
        <v>2.9611248222478098E-2</v>
      </c>
      <c r="L94" s="153">
        <f t="shared" si="44"/>
        <v>2.9611248222478098E-2</v>
      </c>
      <c r="M94" s="153">
        <f t="shared" si="44"/>
        <v>2.9611248222478098E-2</v>
      </c>
      <c r="N94" s="153">
        <f t="shared" si="44"/>
        <v>2.9611248222478098E-2</v>
      </c>
      <c r="O94" s="153">
        <f t="shared" si="44"/>
        <v>2.9611248222478098E-2</v>
      </c>
      <c r="P94" s="153">
        <f t="shared" ref="P94:S94" si="45">AVERAGE($G$94:$I$94)</f>
        <v>2.9611248222478098E-2</v>
      </c>
      <c r="Q94" s="153">
        <f t="shared" si="45"/>
        <v>2.9611248222478098E-2</v>
      </c>
      <c r="R94" s="153">
        <f t="shared" si="45"/>
        <v>2.9611248222478098E-2</v>
      </c>
      <c r="S94" s="153">
        <f t="shared" si="45"/>
        <v>2.9611248222478098E-2</v>
      </c>
    </row>
    <row r="95" spans="3:21" ht="15" customHeight="1" x14ac:dyDescent="0.2">
      <c r="C95" s="142" t="s">
        <v>192</v>
      </c>
      <c r="E95" s="128"/>
      <c r="F95" s="105" t="s">
        <v>75</v>
      </c>
      <c r="G95" s="147">
        <f>G93/G79</f>
        <v>3.068153618096757E-2</v>
      </c>
      <c r="H95" s="147">
        <f>H93/H79</f>
        <v>3.3931116050626348E-2</v>
      </c>
      <c r="I95" s="147">
        <f>I93/I79</f>
        <v>1.8885101459352432E-2</v>
      </c>
      <c r="J95" s="147">
        <f>J93/J79</f>
        <v>1.7623388799168808E-2</v>
      </c>
      <c r="K95" s="147">
        <f t="shared" ref="K95:S95" si="46">K93/K79</f>
        <v>2.1012502029778189E-2</v>
      </c>
      <c r="L95" s="147">
        <f t="shared" si="46"/>
        <v>2.2673569383910852E-2</v>
      </c>
      <c r="M95" s="147">
        <f t="shared" si="46"/>
        <v>1.6810001623822554E-2</v>
      </c>
      <c r="N95" s="147">
        <f t="shared" si="46"/>
        <v>2.2922729487030752E-2</v>
      </c>
      <c r="O95" s="147">
        <f t="shared" si="46"/>
        <v>2.2922729487030755E-2</v>
      </c>
      <c r="P95" s="147">
        <f t="shared" si="46"/>
        <v>2.2922729487030759E-2</v>
      </c>
      <c r="Q95" s="147">
        <f t="shared" si="46"/>
        <v>2.2922729487030759E-2</v>
      </c>
      <c r="R95" s="147">
        <f t="shared" si="46"/>
        <v>2.2922729487030755E-2</v>
      </c>
      <c r="S95" s="147">
        <f t="shared" si="46"/>
        <v>2.2922729487030755E-2</v>
      </c>
    </row>
    <row r="96" spans="3:21" ht="15" customHeight="1" x14ac:dyDescent="0.2">
      <c r="G96" s="120"/>
      <c r="H96" s="120"/>
      <c r="I96" s="120"/>
    </row>
    <row r="97" spans="3:23" x14ac:dyDescent="0.2">
      <c r="C97" s="6" t="s">
        <v>146</v>
      </c>
      <c r="F97" s="105" t="s">
        <v>179</v>
      </c>
      <c r="G97" s="190">
        <v>51.720999999999997</v>
      </c>
      <c r="H97" s="190">
        <v>47.808</v>
      </c>
      <c r="I97" s="190">
        <v>327.00700000000001</v>
      </c>
      <c r="J97" s="141">
        <f>-J98*J88</f>
        <v>189.28861843077976</v>
      </c>
      <c r="K97" s="141">
        <f t="shared" ref="K97:S97" si="47">-K98*K88</f>
        <v>135.44980945632969</v>
      </c>
      <c r="L97" s="141">
        <f t="shared" si="47"/>
        <v>105.02437976841469</v>
      </c>
      <c r="M97" s="141">
        <f t="shared" si="47"/>
        <v>121.71097608363354</v>
      </c>
      <c r="N97" s="141">
        <f t="shared" si="47"/>
        <v>57.055807558966187</v>
      </c>
      <c r="O97" s="141">
        <f t="shared" si="47"/>
        <v>57.284700147014327</v>
      </c>
      <c r="P97" s="141">
        <f t="shared" si="47"/>
        <v>58.107914567253879</v>
      </c>
      <c r="Q97" s="141">
        <f t="shared" si="47"/>
        <v>58.725325382433518</v>
      </c>
      <c r="R97" s="141">
        <f t="shared" si="47"/>
        <v>59.342736197613149</v>
      </c>
      <c r="S97" s="141">
        <f t="shared" si="47"/>
        <v>59.754343407732975</v>
      </c>
    </row>
    <row r="98" spans="3:23" x14ac:dyDescent="0.2">
      <c r="C98" s="56" t="s">
        <v>193</v>
      </c>
      <c r="D98" s="6"/>
      <c r="E98" s="6"/>
      <c r="F98" s="60" t="s">
        <v>75</v>
      </c>
      <c r="G98" s="134">
        <f>G97/197.437</f>
        <v>0.26196204358858771</v>
      </c>
      <c r="H98" s="134">
        <f>H97/134.65</f>
        <v>0.35505384329743778</v>
      </c>
      <c r="I98" s="134">
        <f>I97/962.256</f>
        <v>0.33983368251276169</v>
      </c>
      <c r="J98" s="133">
        <v>0.3</v>
      </c>
      <c r="K98" s="133">
        <v>0.25</v>
      </c>
      <c r="L98" s="133">
        <v>0.2</v>
      </c>
      <c r="M98" s="133">
        <v>0.15</v>
      </c>
      <c r="N98" s="133">
        <v>0.1</v>
      </c>
      <c r="O98" s="133">
        <f>N98</f>
        <v>0.1</v>
      </c>
      <c r="P98" s="133">
        <f t="shared" ref="P98:S98" si="48">O98</f>
        <v>0.1</v>
      </c>
      <c r="Q98" s="133">
        <f t="shared" si="48"/>
        <v>0.1</v>
      </c>
      <c r="R98" s="133">
        <f t="shared" si="48"/>
        <v>0.1</v>
      </c>
      <c r="S98" s="133">
        <f t="shared" si="48"/>
        <v>0.1</v>
      </c>
    </row>
    <row r="99" spans="3:23" x14ac:dyDescent="0.2">
      <c r="G99" s="120"/>
      <c r="H99" s="120"/>
      <c r="I99" s="120"/>
    </row>
    <row r="100" spans="3:23" x14ac:dyDescent="0.2">
      <c r="G100" s="120"/>
      <c r="H100" s="120"/>
      <c r="I100" s="120"/>
    </row>
    <row r="101" spans="3:23" x14ac:dyDescent="0.2">
      <c r="C101" s="6" t="s">
        <v>148</v>
      </c>
      <c r="F101" s="105" t="s">
        <v>179</v>
      </c>
      <c r="G101" s="190">
        <v>296.54300000000001</v>
      </c>
      <c r="H101" s="190">
        <v>-63.374000000000002</v>
      </c>
      <c r="I101" s="190">
        <f>SUM('[2]CONSOLIDATED STATEMENTS OF CASH'!$B$12:$B$17)/Units</f>
        <v>-1766.8130000000001</v>
      </c>
      <c r="J101" s="141">
        <f>J102*(J79-I79)</f>
        <v>232.88617025445404</v>
      </c>
      <c r="K101" s="141">
        <f>K102*(K79-J79)</f>
        <v>-179.59216169807598</v>
      </c>
      <c r="L101" s="141">
        <f t="shared" ref="L101:S101" si="49">L102*(L79-K79)</f>
        <v>-45.862538349052834</v>
      </c>
      <c r="M101" s="141">
        <f t="shared" si="49"/>
        <v>446.00288319131641</v>
      </c>
      <c r="N101" s="141">
        <f>N102*(N79-M79)</f>
        <v>-414.37097538670673</v>
      </c>
      <c r="O101" s="141">
        <f>O102*(O79-N79)</f>
        <v>17.833115306664695</v>
      </c>
      <c r="P101" s="141">
        <f t="shared" si="49"/>
        <v>17.833115306664695</v>
      </c>
      <c r="Q101" s="141">
        <f t="shared" si="49"/>
        <v>13.374836479998637</v>
      </c>
      <c r="R101" s="141">
        <f t="shared" si="49"/>
        <v>13.374836479998871</v>
      </c>
      <c r="S101" s="141">
        <f t="shared" si="49"/>
        <v>8.9165576533325801</v>
      </c>
    </row>
    <row r="102" spans="3:23" x14ac:dyDescent="0.2">
      <c r="C102" s="142" t="s">
        <v>194</v>
      </c>
      <c r="F102" s="105" t="s">
        <v>75</v>
      </c>
      <c r="G102" s="147">
        <f>G101/(G79-9538.797)</f>
        <v>0.3201737432978406</v>
      </c>
      <c r="H102" s="147">
        <f>H101/(H79-G79)</f>
        <v>7.3391244329821692E-2</v>
      </c>
      <c r="I102" s="147">
        <f>I101/(I79-H79)</f>
        <v>-0.20060624240976424</v>
      </c>
      <c r="J102" s="132">
        <f t="shared" ref="J102:O102" si="50">AVERAGE($G$102:$I$102)</f>
        <v>6.4319581739299345E-2</v>
      </c>
      <c r="K102" s="132">
        <f t="shared" si="50"/>
        <v>6.4319581739299345E-2</v>
      </c>
      <c r="L102" s="132">
        <f t="shared" si="50"/>
        <v>6.4319581739299345E-2</v>
      </c>
      <c r="M102" s="132">
        <f t="shared" si="50"/>
        <v>6.4319581739299345E-2</v>
      </c>
      <c r="N102" s="132">
        <f t="shared" si="50"/>
        <v>6.4319581739299345E-2</v>
      </c>
      <c r="O102" s="132">
        <f t="shared" si="50"/>
        <v>6.4319581739299345E-2</v>
      </c>
      <c r="P102" s="132">
        <f t="shared" ref="P102:S102" si="51">AVERAGE($G$102:$I$102)</f>
        <v>6.4319581739299345E-2</v>
      </c>
      <c r="Q102" s="132">
        <f t="shared" si="51"/>
        <v>6.4319581739299345E-2</v>
      </c>
      <c r="R102" s="132">
        <f t="shared" si="51"/>
        <v>6.4319581739299345E-2</v>
      </c>
      <c r="S102" s="132">
        <f t="shared" si="51"/>
        <v>6.4319581739299345E-2</v>
      </c>
    </row>
    <row r="103" spans="3:23" x14ac:dyDescent="0.2">
      <c r="C103" s="142" t="s">
        <v>183</v>
      </c>
      <c r="F103" s="105" t="s">
        <v>75</v>
      </c>
      <c r="G103" s="147">
        <f>G101/G79</f>
        <v>2.8336670332540181E-2</v>
      </c>
      <c r="H103" s="147">
        <f>H101/H79</f>
        <v>-6.6004393905024251E-3</v>
      </c>
      <c r="I103" s="147">
        <f>I101/I79</f>
        <v>-9.597628314642144E-2</v>
      </c>
      <c r="J103" s="147">
        <f>J101/J79</f>
        <v>1.0571503729218945E-2</v>
      </c>
      <c r="K103" s="147">
        <f t="shared" ref="K103" si="52">K101/K79</f>
        <v>-9.3355582686988348E-3</v>
      </c>
      <c r="L103" s="147">
        <f t="shared" ref="L103:S103" si="53">L101/L79</f>
        <v>-2.4757921258520472E-3</v>
      </c>
      <c r="M103" s="147">
        <f t="shared" si="53"/>
        <v>1.751877936137455E-2</v>
      </c>
      <c r="N103" s="147">
        <f t="shared" si="53"/>
        <v>-2.1790439457423913E-2</v>
      </c>
      <c r="O103" s="147">
        <f t="shared" si="53"/>
        <v>9.243097555836125E-4</v>
      </c>
      <c r="P103" s="147">
        <f t="shared" si="53"/>
        <v>9.1121506572542027E-4</v>
      </c>
      <c r="Q103" s="147">
        <f t="shared" si="53"/>
        <v>6.762262300815578E-4</v>
      </c>
      <c r="R103" s="147">
        <f t="shared" si="53"/>
        <v>6.6919066996566569E-4</v>
      </c>
      <c r="S103" s="147">
        <f t="shared" si="53"/>
        <v>4.4305404571407653E-4</v>
      </c>
    </row>
    <row r="104" spans="3:23" x14ac:dyDescent="0.2">
      <c r="G104" s="120"/>
      <c r="H104" s="120"/>
      <c r="I104" s="120"/>
    </row>
    <row r="105" spans="3:23" x14ac:dyDescent="0.2">
      <c r="C105" s="6" t="s">
        <v>149</v>
      </c>
      <c r="F105" s="105" t="s">
        <v>179</v>
      </c>
      <c r="G105" s="141">
        <f>-G58-G61</f>
        <v>-451.94499999999999</v>
      </c>
      <c r="H105" s="141">
        <f>-H58-H61</f>
        <v>-1198.0550000000001</v>
      </c>
      <c r="I105" s="190">
        <v>-1006.239</v>
      </c>
      <c r="J105" s="141">
        <f t="shared" ref="J105:S105" si="54">-J58-J61</f>
        <v>-712.54379389415737</v>
      </c>
      <c r="K105" s="141">
        <f t="shared" si="54"/>
        <v>-502.01819672832818</v>
      </c>
      <c r="L105" s="141">
        <f t="shared" si="54"/>
        <v>-251.94254565748841</v>
      </c>
      <c r="M105" s="141">
        <f t="shared" si="54"/>
        <v>-521.33002872055056</v>
      </c>
      <c r="N105" s="141">
        <f t="shared" si="54"/>
        <v>-476.4621203805529</v>
      </c>
      <c r="O105" s="141">
        <f t="shared" si="54"/>
        <v>-481.59421204055525</v>
      </c>
      <c r="P105" s="141">
        <f t="shared" si="54"/>
        <v>-435.6998853685572</v>
      </c>
      <c r="Q105" s="141">
        <f t="shared" si="54"/>
        <v>-439.8055586965591</v>
      </c>
      <c r="R105" s="141">
        <f t="shared" si="54"/>
        <v>-482.77722672064777</v>
      </c>
      <c r="S105" s="141">
        <f t="shared" si="54"/>
        <v>-486.80156882591092</v>
      </c>
    </row>
    <row r="106" spans="3:23" x14ac:dyDescent="0.2">
      <c r="C106" s="142" t="s">
        <v>184</v>
      </c>
      <c r="F106" s="105" t="s">
        <v>75</v>
      </c>
      <c r="G106" s="147">
        <f>-G105/G79</f>
        <v>-1.139040512623248E-2</v>
      </c>
      <c r="H106" s="147">
        <f>-H105/H79</f>
        <v>0.1247781332090192</v>
      </c>
      <c r="I106" s="147">
        <f>-I105/I79</f>
        <v>5.4660611608003763E-2</v>
      </c>
      <c r="J106" s="147">
        <f t="shared" ref="J106:S106" si="55">-J105/J79</f>
        <v>3.2344811914565952E-2</v>
      </c>
      <c r="K106" s="147">
        <f t="shared" si="55"/>
        <v>2.6095905763322803E-2</v>
      </c>
      <c r="L106" s="147">
        <f t="shared" si="55"/>
        <v>1.3600585426794454E-2</v>
      </c>
      <c r="M106" s="147">
        <f t="shared" si="55"/>
        <v>2.0477593512992342E-2</v>
      </c>
      <c r="N106" s="147">
        <f t="shared" si="55"/>
        <v>2.5055613458976191E-2</v>
      </c>
      <c r="O106" s="147">
        <f t="shared" si="55"/>
        <v>2.4961551628353288E-2</v>
      </c>
      <c r="P106" s="147">
        <f t="shared" si="55"/>
        <v>2.2262868425142336E-2</v>
      </c>
      <c r="Q106" s="147">
        <f t="shared" si="55"/>
        <v>2.2236388113682403E-2</v>
      </c>
      <c r="R106" s="147">
        <f t="shared" si="55"/>
        <v>2.4155062850785867E-2</v>
      </c>
      <c r="S106" s="147">
        <f t="shared" si="55"/>
        <v>2.4188640158421308E-2</v>
      </c>
    </row>
    <row r="107" spans="3:23" x14ac:dyDescent="0.2">
      <c r="C107" s="142"/>
      <c r="G107" s="134"/>
      <c r="H107" s="134"/>
      <c r="I107" s="134"/>
    </row>
    <row r="108" spans="3:23" x14ac:dyDescent="0.2">
      <c r="C108" s="29" t="s">
        <v>150</v>
      </c>
      <c r="F108" s="105" t="s">
        <v>179</v>
      </c>
      <c r="G108" s="150">
        <f t="shared" ref="G108:L108" si="56">G90+G93+G97+G101+G105</f>
        <v>1473.1913947077394</v>
      </c>
      <c r="H108" s="150">
        <f t="shared" si="56"/>
        <v>290.97539331222447</v>
      </c>
      <c r="I108" s="150">
        <f t="shared" si="56"/>
        <v>2065.9271643219322</v>
      </c>
      <c r="J108" s="150">
        <f t="shared" si="56"/>
        <v>2106.91405073749</v>
      </c>
      <c r="K108" s="150">
        <f t="shared" si="56"/>
        <v>1583.2091970513004</v>
      </c>
      <c r="L108" s="150">
        <f t="shared" si="56"/>
        <v>1899.2741905115574</v>
      </c>
      <c r="M108" s="150">
        <f t="shared" ref="M108:Q108" si="57">M90+M93+M97+M101+M105</f>
        <v>3057.9420528387836</v>
      </c>
      <c r="N108" s="150">
        <f>N90+N93+N97+N101+N105</f>
        <v>1418.8397283358213</v>
      </c>
      <c r="O108" s="150">
        <f>O90+O93+O97+O101+O105</f>
        <v>1859.7842987715821</v>
      </c>
      <c r="P108" s="150">
        <f t="shared" si="57"/>
        <v>1939.0693226236717</v>
      </c>
      <c r="Q108" s="150">
        <f t="shared" si="57"/>
        <v>1955.548393354072</v>
      </c>
      <c r="R108" s="150">
        <f>R90+R93+R97+R101+R105</f>
        <v>1937.6197482150519</v>
      </c>
      <c r="S108" s="150">
        <f>S90+S93+S97+S101+S105</f>
        <v>1945.8324758731699</v>
      </c>
      <c r="U108" s="317"/>
    </row>
    <row r="109" spans="3:23" x14ac:dyDescent="0.2">
      <c r="C109" s="142" t="s">
        <v>190</v>
      </c>
      <c r="F109" s="105" t="s">
        <v>75</v>
      </c>
      <c r="H109" s="147">
        <f>H108/G108-1</f>
        <v>-0.80248636099999082</v>
      </c>
      <c r="I109" s="147">
        <f>I108/H108-1</f>
        <v>6.1000064328640207</v>
      </c>
      <c r="J109" s="147">
        <f>J108/I108-1</f>
        <v>1.9839463425135095E-2</v>
      </c>
      <c r="K109" s="147">
        <f t="shared" ref="K109:S109" si="58">K108/J108-1</f>
        <v>-0.24856488735403115</v>
      </c>
      <c r="L109" s="147">
        <f t="shared" si="58"/>
        <v>0.19963564767620268</v>
      </c>
      <c r="M109" s="147">
        <f t="shared" si="58"/>
        <v>0.61005823599126896</v>
      </c>
      <c r="N109" s="147">
        <f>N108/M108-1</f>
        <v>-0.53601484141314326</v>
      </c>
      <c r="O109" s="147">
        <f>O108/N108-1</f>
        <v>0.31077828004784691</v>
      </c>
      <c r="P109" s="147">
        <f t="shared" si="58"/>
        <v>4.2631300793569693E-2</v>
      </c>
      <c r="Q109" s="147">
        <f t="shared" si="58"/>
        <v>8.4984433192429876E-3</v>
      </c>
      <c r="R109" s="147">
        <f>R108/Q108-1</f>
        <v>-9.1680907513976839E-3</v>
      </c>
      <c r="S109" s="147">
        <f t="shared" si="58"/>
        <v>4.2385652116125883E-3</v>
      </c>
      <c r="W109" s="125"/>
    </row>
    <row r="110" spans="3:23" x14ac:dyDescent="0.2">
      <c r="H110" s="147"/>
      <c r="I110" s="147"/>
      <c r="J110" s="147"/>
      <c r="K110" s="147"/>
      <c r="L110" s="147"/>
      <c r="M110" s="147"/>
      <c r="N110" s="147"/>
      <c r="O110" s="147"/>
      <c r="P110" s="147"/>
      <c r="Q110" s="147"/>
      <c r="R110" s="147"/>
      <c r="S110" s="147"/>
    </row>
    <row r="111" spans="3:23" x14ac:dyDescent="0.2">
      <c r="C111" s="29" t="s">
        <v>151</v>
      </c>
      <c r="F111" s="105" t="s">
        <v>179</v>
      </c>
      <c r="G111" s="150">
        <f>G84+G93</f>
        <v>1971.2664871323773</v>
      </c>
      <c r="H111" s="150">
        <f t="shared" ref="H111:I111" si="59">H84+H93</f>
        <v>1874.8131699240796</v>
      </c>
      <c r="I111" s="150">
        <f t="shared" si="59"/>
        <v>5819.8201016056937</v>
      </c>
      <c r="J111" s="150">
        <f>J84+J93</f>
        <v>3028.2451173823456</v>
      </c>
      <c r="K111" s="150">
        <f t="shared" ref="K111:S111" si="60">K84+K93</f>
        <v>2671.1689838466937</v>
      </c>
      <c r="L111" s="150">
        <f t="shared" si="60"/>
        <v>2617.1767935917574</v>
      </c>
      <c r="M111" s="150">
        <f t="shared" si="60"/>
        <v>3822.9647295086083</v>
      </c>
      <c r="N111" s="150">
        <f t="shared" si="60"/>
        <v>2823.1750921337766</v>
      </c>
      <c r="O111" s="150">
        <f t="shared" si="60"/>
        <v>2839.1076968286015</v>
      </c>
      <c r="P111" s="150">
        <f t="shared" si="60"/>
        <v>2879.9073237908492</v>
      </c>
      <c r="Q111" s="150">
        <f t="shared" si="60"/>
        <v>2910.5070440125342</v>
      </c>
      <c r="R111" s="150">
        <f t="shared" si="60"/>
        <v>2941.1067642342191</v>
      </c>
      <c r="S111" s="150">
        <f t="shared" si="60"/>
        <v>2961.5065777153445</v>
      </c>
    </row>
    <row r="112" spans="3:23" x14ac:dyDescent="0.2">
      <c r="C112" s="142" t="s">
        <v>190</v>
      </c>
      <c r="F112" s="105" t="s">
        <v>75</v>
      </c>
      <c r="H112" s="147">
        <f>H111/G111-1</f>
        <v>-4.8929618515764162E-2</v>
      </c>
      <c r="I112" s="147">
        <f>I111/H111-1</f>
        <v>2.1042133664131275</v>
      </c>
      <c r="J112" s="147">
        <f t="shared" ref="J112:S112" si="61">J111/I111-1</f>
        <v>-0.47966688582919426</v>
      </c>
      <c r="K112" s="147">
        <f t="shared" si="61"/>
        <v>-0.11791520160835367</v>
      </c>
      <c r="L112" s="147">
        <f t="shared" si="61"/>
        <v>-2.0212944437975389E-2</v>
      </c>
      <c r="M112" s="147">
        <f t="shared" si="61"/>
        <v>0.46072085724940792</v>
      </c>
      <c r="N112" s="147">
        <f t="shared" si="61"/>
        <v>-0.26152206680267787</v>
      </c>
      <c r="O112" s="147">
        <f t="shared" si="61"/>
        <v>5.6435056894692526E-3</v>
      </c>
      <c r="P112" s="147">
        <f t="shared" si="61"/>
        <v>1.4370580942675293E-2</v>
      </c>
      <c r="Q112" s="147">
        <f t="shared" si="61"/>
        <v>1.0625244767045627E-2</v>
      </c>
      <c r="R112" s="147">
        <f t="shared" si="61"/>
        <v>1.0513535875006585E-2</v>
      </c>
      <c r="S112" s="147">
        <f t="shared" si="61"/>
        <v>6.9361009702879617E-3</v>
      </c>
    </row>
    <row r="114" spans="2:19" x14ac:dyDescent="0.2">
      <c r="C114" s="206" t="s">
        <v>226</v>
      </c>
      <c r="D114" s="211"/>
      <c r="E114" s="211"/>
      <c r="F114" s="211"/>
      <c r="G114" s="211"/>
      <c r="H114" s="211"/>
      <c r="I114" s="211"/>
      <c r="J114" s="211"/>
      <c r="K114" s="211"/>
      <c r="L114" s="211"/>
      <c r="M114" s="211"/>
      <c r="N114" s="211"/>
      <c r="O114" s="211"/>
      <c r="P114" s="211"/>
      <c r="Q114" s="211"/>
      <c r="R114" s="211"/>
      <c r="S114" s="211"/>
    </row>
    <row r="115" spans="2:19" x14ac:dyDescent="0.2">
      <c r="C115" s="304"/>
      <c r="D115" s="304"/>
      <c r="E115" s="304"/>
      <c r="F115" s="304"/>
      <c r="G115" s="304"/>
      <c r="H115" s="304"/>
      <c r="I115" s="304"/>
      <c r="J115" s="304"/>
      <c r="K115" s="304"/>
      <c r="L115" s="304"/>
      <c r="M115" s="304"/>
      <c r="N115" s="304"/>
      <c r="O115" s="304"/>
    </row>
    <row r="116" spans="2:19" x14ac:dyDescent="0.2">
      <c r="B116" s="301"/>
      <c r="C116" s="277"/>
      <c r="D116" s="307"/>
      <c r="E116" s="308" t="s">
        <v>2</v>
      </c>
      <c r="F116" s="308"/>
      <c r="G116" s="308"/>
      <c r="H116" s="308"/>
      <c r="I116" s="308"/>
      <c r="J116" s="308"/>
      <c r="K116" s="308"/>
      <c r="L116" s="308"/>
      <c r="M116" s="308"/>
      <c r="N116" s="308"/>
      <c r="O116" s="308"/>
      <c r="P116" s="303"/>
      <c r="Q116" s="318"/>
    </row>
    <row r="117" spans="2:19" x14ac:dyDescent="0.2">
      <c r="B117" s="301"/>
      <c r="C117" s="278"/>
      <c r="D117" s="291">
        <f>$R$34</f>
        <v>108.73031538551</v>
      </c>
      <c r="E117" s="280">
        <v>7.1999999999999995E-2</v>
      </c>
      <c r="F117" s="281">
        <f t="shared" ref="F117:O117" si="62">E117+0.3%</f>
        <v>7.4999999999999997E-2</v>
      </c>
      <c r="G117" s="281">
        <f t="shared" si="62"/>
        <v>7.8E-2</v>
      </c>
      <c r="H117" s="281">
        <f t="shared" si="62"/>
        <v>8.1000000000000003E-2</v>
      </c>
      <c r="I117" s="281">
        <f t="shared" si="62"/>
        <v>8.4000000000000005E-2</v>
      </c>
      <c r="J117" s="281">
        <f t="shared" si="62"/>
        <v>8.7000000000000008E-2</v>
      </c>
      <c r="K117" s="282">
        <f t="shared" si="62"/>
        <v>9.0000000000000011E-2</v>
      </c>
      <c r="L117" s="281">
        <f t="shared" si="62"/>
        <v>9.3000000000000013E-2</v>
      </c>
      <c r="M117" s="281">
        <f t="shared" si="62"/>
        <v>9.6000000000000016E-2</v>
      </c>
      <c r="N117" s="281">
        <f t="shared" si="62"/>
        <v>9.9000000000000019E-2</v>
      </c>
      <c r="O117" s="281">
        <f t="shared" si="62"/>
        <v>0.10200000000000002</v>
      </c>
      <c r="P117" s="302"/>
    </row>
    <row r="118" spans="2:19" x14ac:dyDescent="0.2">
      <c r="B118" s="301"/>
      <c r="C118" s="354" t="s">
        <v>227</v>
      </c>
      <c r="D118" s="305">
        <v>10.6</v>
      </c>
      <c r="E118" s="175">
        <f t="dataTable" ref="E118:O128" dt2D="1" dtr="1" r1="G14" r2="M13" ca="1"/>
        <v>145.76843738518841</v>
      </c>
      <c r="F118" s="176">
        <v>138.67279522339444</v>
      </c>
      <c r="G118" s="176">
        <v>132.20017820072798</v>
      </c>
      <c r="H118" s="176">
        <v>126.27167242232544</v>
      </c>
      <c r="I118" s="176">
        <v>120.82115945210077</v>
      </c>
      <c r="J118" s="176">
        <v>115.79282372744436</v>
      </c>
      <c r="K118" s="182">
        <v>111.13922080450482</v>
      </c>
      <c r="L118" s="176">
        <v>106.81976453720181</v>
      </c>
      <c r="M118" s="176">
        <v>102.79953089222847</v>
      </c>
      <c r="N118" s="176">
        <v>99.048303688219562</v>
      </c>
      <c r="O118" s="176">
        <v>95.539807037288568</v>
      </c>
    </row>
    <row r="119" spans="2:19" x14ac:dyDescent="0.2">
      <c r="B119" s="301"/>
      <c r="C119" s="355"/>
      <c r="D119" s="305">
        <f>D118-0.29</f>
        <v>10.31</v>
      </c>
      <c r="E119" s="177">
        <v>145.76843738518841</v>
      </c>
      <c r="F119" s="127">
        <v>138.67279522339444</v>
      </c>
      <c r="G119" s="127">
        <v>132.20017820072798</v>
      </c>
      <c r="H119" s="127">
        <v>126.27167242232544</v>
      </c>
      <c r="I119" s="127">
        <v>120.82115945210077</v>
      </c>
      <c r="J119" s="127">
        <v>115.79282372744436</v>
      </c>
      <c r="K119" s="180">
        <v>111.13922080450482</v>
      </c>
      <c r="L119" s="127">
        <v>106.81976453720181</v>
      </c>
      <c r="M119" s="127">
        <v>102.79953089222847</v>
      </c>
      <c r="N119" s="127">
        <v>99.048303688219562</v>
      </c>
      <c r="O119" s="127">
        <v>95.539807037288568</v>
      </c>
    </row>
    <row r="120" spans="2:19" x14ac:dyDescent="0.2">
      <c r="B120" s="301"/>
      <c r="C120" s="355"/>
      <c r="D120" s="305">
        <f t="shared" ref="D120:D128" si="63">D119-0.29</f>
        <v>10.020000000000001</v>
      </c>
      <c r="E120" s="177">
        <v>145.76843738518841</v>
      </c>
      <c r="F120" s="127">
        <v>138.67279522339444</v>
      </c>
      <c r="G120" s="127">
        <v>132.20017820072798</v>
      </c>
      <c r="H120" s="127">
        <v>126.27167242232544</v>
      </c>
      <c r="I120" s="127">
        <v>120.82115945210077</v>
      </c>
      <c r="J120" s="127">
        <v>115.79282372744436</v>
      </c>
      <c r="K120" s="180">
        <v>111.13922080450482</v>
      </c>
      <c r="L120" s="127">
        <v>106.81976453720181</v>
      </c>
      <c r="M120" s="127">
        <v>102.79953089222847</v>
      </c>
      <c r="N120" s="127">
        <v>99.048303688219562</v>
      </c>
      <c r="O120" s="127">
        <v>95.539807037288568</v>
      </c>
    </row>
    <row r="121" spans="2:19" x14ac:dyDescent="0.2">
      <c r="B121" s="301"/>
      <c r="C121" s="355"/>
      <c r="D121" s="305">
        <f t="shared" si="63"/>
        <v>9.7300000000000022</v>
      </c>
      <c r="E121" s="177">
        <v>145.76843738518841</v>
      </c>
      <c r="F121" s="127">
        <v>138.67279522339444</v>
      </c>
      <c r="G121" s="127">
        <v>132.20017820072798</v>
      </c>
      <c r="H121" s="127">
        <v>126.27167242232544</v>
      </c>
      <c r="I121" s="127">
        <v>120.82115945210077</v>
      </c>
      <c r="J121" s="127">
        <v>115.79282372744436</v>
      </c>
      <c r="K121" s="180">
        <v>111.13922080450482</v>
      </c>
      <c r="L121" s="127">
        <v>106.81976453720181</v>
      </c>
      <c r="M121" s="127">
        <v>102.79953089222847</v>
      </c>
      <c r="N121" s="127">
        <v>99.048303688219562</v>
      </c>
      <c r="O121" s="127">
        <v>95.539807037288568</v>
      </c>
    </row>
    <row r="122" spans="2:19" x14ac:dyDescent="0.2">
      <c r="B122" s="301"/>
      <c r="C122" s="355"/>
      <c r="D122" s="306">
        <f t="shared" si="63"/>
        <v>9.4400000000000031</v>
      </c>
      <c r="E122" s="179">
        <v>145.76843738518841</v>
      </c>
      <c r="F122" s="180">
        <v>138.67279522339444</v>
      </c>
      <c r="G122" s="180">
        <v>132.20017820072798</v>
      </c>
      <c r="H122" s="180">
        <v>126.27167242232544</v>
      </c>
      <c r="I122" s="180">
        <v>120.82115945210077</v>
      </c>
      <c r="J122" s="180">
        <v>115.79282372744436</v>
      </c>
      <c r="K122" s="180">
        <v>111.13922080450482</v>
      </c>
      <c r="L122" s="180">
        <v>106.81976453720181</v>
      </c>
      <c r="M122" s="180">
        <v>102.79953089222847</v>
      </c>
      <c r="N122" s="180">
        <v>99.048303688219562</v>
      </c>
      <c r="O122" s="180">
        <v>95.539807037288568</v>
      </c>
    </row>
    <row r="123" spans="2:19" x14ac:dyDescent="0.2">
      <c r="B123" s="301"/>
      <c r="C123" s="355"/>
      <c r="D123" s="305">
        <f t="shared" si="63"/>
        <v>9.1500000000000039</v>
      </c>
      <c r="E123" s="177">
        <v>145.76843738518841</v>
      </c>
      <c r="F123" s="127">
        <v>138.67279522339444</v>
      </c>
      <c r="G123" s="127">
        <v>132.20017820072798</v>
      </c>
      <c r="H123" s="127">
        <v>126.27167242232544</v>
      </c>
      <c r="I123" s="127">
        <v>120.82115945210077</v>
      </c>
      <c r="J123" s="127">
        <v>115.79282372744436</v>
      </c>
      <c r="K123" s="180">
        <v>111.13922080450482</v>
      </c>
      <c r="L123" s="127">
        <v>106.81976453720181</v>
      </c>
      <c r="M123" s="127">
        <v>102.79953089222847</v>
      </c>
      <c r="N123" s="127">
        <v>99.048303688219562</v>
      </c>
      <c r="O123" s="127">
        <v>95.539807037288568</v>
      </c>
    </row>
    <row r="124" spans="2:19" x14ac:dyDescent="0.2">
      <c r="B124" s="301"/>
      <c r="C124" s="355"/>
      <c r="D124" s="305">
        <f t="shared" si="63"/>
        <v>8.8600000000000048</v>
      </c>
      <c r="E124" s="181">
        <v>145.76843738518841</v>
      </c>
      <c r="F124" s="24">
        <v>138.67279522339444</v>
      </c>
      <c r="G124" s="24">
        <v>132.20017820072798</v>
      </c>
      <c r="H124" s="24">
        <v>126.27167242232544</v>
      </c>
      <c r="I124" s="24">
        <v>120.82115945210077</v>
      </c>
      <c r="J124" s="24">
        <v>115.79282372744436</v>
      </c>
      <c r="K124" s="180">
        <v>111.13922080450482</v>
      </c>
      <c r="L124" s="24">
        <v>106.81976453720181</v>
      </c>
      <c r="M124" s="24">
        <v>102.79953089222847</v>
      </c>
      <c r="N124" s="24">
        <v>99.048303688219562</v>
      </c>
      <c r="O124" s="24">
        <v>95.539807037288568</v>
      </c>
    </row>
    <row r="125" spans="2:19" x14ac:dyDescent="0.2">
      <c r="B125" s="301"/>
      <c r="C125" s="355"/>
      <c r="D125" s="305">
        <f t="shared" si="63"/>
        <v>8.5700000000000056</v>
      </c>
      <c r="E125" s="177">
        <v>145.76843738518841</v>
      </c>
      <c r="F125" s="127">
        <v>138.67279522339444</v>
      </c>
      <c r="G125" s="127">
        <v>132.20017820072798</v>
      </c>
      <c r="H125" s="127">
        <v>126.27167242232544</v>
      </c>
      <c r="I125" s="127">
        <v>120.82115945210077</v>
      </c>
      <c r="J125" s="127">
        <v>115.79282372744436</v>
      </c>
      <c r="K125" s="180">
        <v>111.13922080450482</v>
      </c>
      <c r="L125" s="127">
        <v>106.81976453720181</v>
      </c>
      <c r="M125" s="127">
        <v>102.79953089222847</v>
      </c>
      <c r="N125" s="127">
        <v>99.048303688219562</v>
      </c>
      <c r="O125" s="127">
        <v>95.539807037288568</v>
      </c>
    </row>
    <row r="126" spans="2:19" x14ac:dyDescent="0.2">
      <c r="B126" s="301"/>
      <c r="C126" s="355"/>
      <c r="D126" s="305">
        <f t="shared" si="63"/>
        <v>8.2800000000000065</v>
      </c>
      <c r="E126" s="177">
        <v>145.76843738518841</v>
      </c>
      <c r="F126" s="127">
        <v>138.67279522339444</v>
      </c>
      <c r="G126" s="127">
        <v>132.20017820072798</v>
      </c>
      <c r="H126" s="127">
        <v>126.27167242232544</v>
      </c>
      <c r="I126" s="127">
        <v>120.82115945210077</v>
      </c>
      <c r="J126" s="127">
        <v>115.79282372744436</v>
      </c>
      <c r="K126" s="180">
        <v>111.13922080450482</v>
      </c>
      <c r="L126" s="127">
        <v>106.81976453720181</v>
      </c>
      <c r="M126" s="127">
        <v>102.79953089222847</v>
      </c>
      <c r="N126" s="127">
        <v>99.048303688219562</v>
      </c>
      <c r="O126" s="127">
        <v>95.539807037288568</v>
      </c>
    </row>
    <row r="127" spans="2:19" x14ac:dyDescent="0.2">
      <c r="B127" s="301"/>
      <c r="C127" s="355"/>
      <c r="D127" s="305">
        <f t="shared" si="63"/>
        <v>7.9900000000000064</v>
      </c>
      <c r="E127" s="177">
        <v>145.76843738518841</v>
      </c>
      <c r="F127" s="127">
        <v>138.67279522339444</v>
      </c>
      <c r="G127" s="127">
        <v>132.20017820072798</v>
      </c>
      <c r="H127" s="127">
        <v>126.27167242232544</v>
      </c>
      <c r="I127" s="127">
        <v>120.82115945210077</v>
      </c>
      <c r="J127" s="127">
        <v>115.79282372744436</v>
      </c>
      <c r="K127" s="180">
        <v>111.13922080450482</v>
      </c>
      <c r="L127" s="127">
        <v>106.81976453720181</v>
      </c>
      <c r="M127" s="127">
        <v>102.79953089222847</v>
      </c>
      <c r="N127" s="127">
        <v>99.048303688219562</v>
      </c>
      <c r="O127" s="127">
        <v>95.539807037288568</v>
      </c>
    </row>
    <row r="128" spans="2:19" x14ac:dyDescent="0.2">
      <c r="B128" s="301"/>
      <c r="C128" s="355"/>
      <c r="D128" s="305">
        <f t="shared" si="63"/>
        <v>7.7000000000000064</v>
      </c>
      <c r="E128" s="177">
        <v>145.76843738518841</v>
      </c>
      <c r="F128" s="127">
        <v>138.67279522339444</v>
      </c>
      <c r="G128" s="127">
        <v>132.20017820072798</v>
      </c>
      <c r="H128" s="127">
        <v>126.27167242232544</v>
      </c>
      <c r="I128" s="127">
        <v>120.82115945210077</v>
      </c>
      <c r="J128" s="127">
        <v>115.79282372744436</v>
      </c>
      <c r="K128" s="180">
        <v>111.13922080450482</v>
      </c>
      <c r="L128" s="127">
        <v>106.81976453720181</v>
      </c>
      <c r="M128" s="127">
        <v>102.79953089222847</v>
      </c>
      <c r="N128" s="127">
        <v>99.048303688219562</v>
      </c>
      <c r="O128" s="127">
        <v>95.539807037288568</v>
      </c>
    </row>
    <row r="129" spans="3:16" x14ac:dyDescent="0.2">
      <c r="C129" s="124"/>
      <c r="D129" s="40"/>
    </row>
    <row r="130" spans="3:16" x14ac:dyDescent="0.2">
      <c r="C130" s="304"/>
      <c r="D130" s="45"/>
      <c r="E130" s="304"/>
      <c r="F130" s="304"/>
      <c r="G130" s="304"/>
      <c r="H130" s="304"/>
      <c r="I130" s="304"/>
      <c r="J130" s="304"/>
      <c r="K130" s="304"/>
      <c r="L130" s="304"/>
      <c r="M130" s="304"/>
      <c r="N130" s="304"/>
      <c r="O130" s="304"/>
    </row>
    <row r="131" spans="3:16" x14ac:dyDescent="0.2">
      <c r="C131" s="289"/>
      <c r="D131" s="316"/>
      <c r="E131" s="308" t="s">
        <v>2</v>
      </c>
      <c r="F131" s="315"/>
      <c r="G131" s="315"/>
      <c r="H131" s="315"/>
      <c r="I131" s="315"/>
      <c r="J131" s="315"/>
      <c r="K131" s="315"/>
      <c r="L131" s="315"/>
      <c r="M131" s="315"/>
      <c r="N131" s="315"/>
      <c r="O131" s="315"/>
      <c r="P131" s="302"/>
    </row>
    <row r="132" spans="3:16" x14ac:dyDescent="0.2">
      <c r="C132" s="290"/>
      <c r="D132" s="291">
        <f>R34</f>
        <v>108.73031538551</v>
      </c>
      <c r="E132" s="295">
        <f>E117</f>
        <v>7.1999999999999995E-2</v>
      </c>
      <c r="F132" s="295">
        <f>F117</f>
        <v>7.4999999999999997E-2</v>
      </c>
      <c r="G132" s="295">
        <f t="shared" ref="G132:O132" si="64">G117</f>
        <v>7.8E-2</v>
      </c>
      <c r="H132" s="295">
        <f t="shared" si="64"/>
        <v>8.1000000000000003E-2</v>
      </c>
      <c r="I132" s="295">
        <f t="shared" si="64"/>
        <v>8.4000000000000005E-2</v>
      </c>
      <c r="J132" s="295">
        <f t="shared" si="64"/>
        <v>8.7000000000000008E-2</v>
      </c>
      <c r="K132" s="295">
        <f t="shared" si="64"/>
        <v>9.0000000000000011E-2</v>
      </c>
      <c r="L132" s="295">
        <f t="shared" si="64"/>
        <v>9.3000000000000013E-2</v>
      </c>
      <c r="M132" s="295">
        <f t="shared" si="64"/>
        <v>9.6000000000000016E-2</v>
      </c>
      <c r="N132" s="295">
        <f t="shared" si="64"/>
        <v>9.9000000000000019E-2</v>
      </c>
      <c r="O132" s="295">
        <f t="shared" si="64"/>
        <v>0.10200000000000002</v>
      </c>
    </row>
    <row r="133" spans="3:16" x14ac:dyDescent="0.2">
      <c r="C133" s="357" t="s">
        <v>228</v>
      </c>
      <c r="D133" s="292">
        <v>0.02</v>
      </c>
      <c r="E133" s="175">
        <f t="dataTable" ref="E133:O143" dt2D="1" dtr="1" r1="G14" r2="R13" ca="1"/>
        <v>162.9633721537289</v>
      </c>
      <c r="F133" s="176">
        <v>153.79434869593797</v>
      </c>
      <c r="G133" s="176">
        <v>145.56745311754344</v>
      </c>
      <c r="H133" s="176">
        <v>138.14381776211769</v>
      </c>
      <c r="I133" s="176">
        <v>131.41060936224372</v>
      </c>
      <c r="J133" s="176">
        <v>125.27520053761943</v>
      </c>
      <c r="K133" s="182">
        <v>119.66084004784469</v>
      </c>
      <c r="L133" s="176">
        <v>114.50339065139229</v>
      </c>
      <c r="M133" s="176">
        <v>109.74883957440842</v>
      </c>
      <c r="N133" s="176">
        <v>105.35137621214</v>
      </c>
      <c r="O133" s="176">
        <v>101.2718917961727</v>
      </c>
    </row>
    <row r="134" spans="3:16" x14ac:dyDescent="0.2">
      <c r="C134" s="358"/>
      <c r="D134" s="293">
        <f>D133-0.2%</f>
        <v>1.8000000000000002E-2</v>
      </c>
      <c r="E134" s="177">
        <v>159.01490565132329</v>
      </c>
      <c r="F134" s="127">
        <v>150.34557334255084</v>
      </c>
      <c r="G134" s="127">
        <v>142.53753746973192</v>
      </c>
      <c r="H134" s="127">
        <v>135.46787389187878</v>
      </c>
      <c r="I134" s="127">
        <v>129.03600544299954</v>
      </c>
      <c r="J134" s="127">
        <v>123.15884397418904</v>
      </c>
      <c r="K134" s="180">
        <v>117.76714688265804</v>
      </c>
      <c r="L134" s="127">
        <v>112.80274807145148</v>
      </c>
      <c r="M134" s="127">
        <v>108.21642791628668</v>
      </c>
      <c r="N134" s="127">
        <v>103.96625657108095</v>
      </c>
      <c r="O134" s="127">
        <v>100.01629227755998</v>
      </c>
    </row>
    <row r="135" spans="3:16" x14ac:dyDescent="0.2">
      <c r="C135" s="358"/>
      <c r="D135" s="293">
        <f t="shared" ref="D135:D143" si="65">D134-0.2%</f>
        <v>1.6E-2</v>
      </c>
      <c r="E135" s="177">
        <v>155.34847247051812</v>
      </c>
      <c r="F135" s="127">
        <v>147.13061326735945</v>
      </c>
      <c r="G135" s="127">
        <v>139.7031002508115</v>
      </c>
      <c r="H135" s="127">
        <v>132.95660349057769</v>
      </c>
      <c r="I135" s="127">
        <v>126.80108410724031</v>
      </c>
      <c r="J135" s="127">
        <v>121.16171876644488</v>
      </c>
      <c r="K135" s="180">
        <v>115.97581551018419</v>
      </c>
      <c r="L135" s="127">
        <v>111.19045056059846</v>
      </c>
      <c r="M135" s="127">
        <v>106.76063684107105</v>
      </c>
      <c r="N135" s="127">
        <v>102.64788968380786</v>
      </c>
      <c r="O135" s="127">
        <v>98.819092736557153</v>
      </c>
    </row>
    <row r="136" spans="3:16" x14ac:dyDescent="0.2">
      <c r="C136" s="358"/>
      <c r="D136" s="293">
        <f t="shared" si="65"/>
        <v>1.4E-2</v>
      </c>
      <c r="E136" s="177">
        <v>151.93489675045808</v>
      </c>
      <c r="F136" s="127">
        <v>144.12647024627898</v>
      </c>
      <c r="G136" s="127">
        <v>137.04581535807355</v>
      </c>
      <c r="H136" s="127">
        <v>130.59525968039904</v>
      </c>
      <c r="I136" s="127">
        <v>124.69387256209592</v>
      </c>
      <c r="J136" s="127">
        <v>119.27402507693327</v>
      </c>
      <c r="K136" s="180">
        <v>114.27876473626161</v>
      </c>
      <c r="L136" s="127">
        <v>109.65978836675067</v>
      </c>
      <c r="M136" s="127">
        <v>105.37585996464641</v>
      </c>
      <c r="N136" s="127">
        <v>101.39156359123</v>
      </c>
      <c r="O136" s="127">
        <v>97.676311356509018</v>
      </c>
    </row>
    <row r="137" spans="3:16" x14ac:dyDescent="0.2">
      <c r="C137" s="358"/>
      <c r="D137" s="293">
        <f t="shared" si="65"/>
        <v>1.2E-2</v>
      </c>
      <c r="E137" s="177">
        <v>148.74889274506873</v>
      </c>
      <c r="F137" s="127">
        <v>141.31306646463219</v>
      </c>
      <c r="G137" s="127">
        <v>134.54957803459251</v>
      </c>
      <c r="H137" s="127">
        <v>128.37080536646263</v>
      </c>
      <c r="I137" s="127">
        <v>122.70372832501508</v>
      </c>
      <c r="J137" s="127">
        <v>117.48700838419563</v>
      </c>
      <c r="K137" s="180">
        <v>112.66874220715556</v>
      </c>
      <c r="L137" s="127">
        <v>108.2047144293892</v>
      </c>
      <c r="M137" s="127">
        <v>104.05702484424198</v>
      </c>
      <c r="N137" s="127">
        <v>100.1929996178511</v>
      </c>
      <c r="O137" s="127">
        <v>96.584320260018558</v>
      </c>
    </row>
    <row r="138" spans="3:16" x14ac:dyDescent="0.2">
      <c r="C138" s="358"/>
      <c r="D138" s="294">
        <f t="shared" si="65"/>
        <v>0.01</v>
      </c>
      <c r="E138" s="179">
        <v>145.76843738518841</v>
      </c>
      <c r="F138" s="180">
        <v>138.67279522339444</v>
      </c>
      <c r="G138" s="180">
        <v>132.20017820072798</v>
      </c>
      <c r="H138" s="180">
        <v>126.27167242232544</v>
      </c>
      <c r="I138" s="180">
        <v>120.82115945210077</v>
      </c>
      <c r="J138" s="180">
        <v>115.79282372744436</v>
      </c>
      <c r="K138" s="180">
        <v>111.13922080450482</v>
      </c>
      <c r="L138" s="180">
        <v>106.81976453720181</v>
      </c>
      <c r="M138" s="180">
        <v>102.79953089222847</v>
      </c>
      <c r="N138" s="180">
        <v>99.048303688219562</v>
      </c>
      <c r="O138" s="180">
        <v>95.539807037288568</v>
      </c>
    </row>
    <row r="139" spans="3:16" x14ac:dyDescent="0.2">
      <c r="C139" s="358"/>
      <c r="D139" s="293">
        <f t="shared" si="65"/>
        <v>8.0000000000000002E-3</v>
      </c>
      <c r="E139" s="177">
        <v>142.97426048530056</v>
      </c>
      <c r="F139" s="127">
        <v>136.19015211596192</v>
      </c>
      <c r="G139" s="127">
        <v>129.98502978594141</v>
      </c>
      <c r="H139" s="127">
        <v>124.28756046142864</v>
      </c>
      <c r="I139" s="127">
        <v>119.03767315144511</v>
      </c>
      <c r="J139" s="127">
        <v>114.18442057230071</v>
      </c>
      <c r="K139" s="180">
        <v>109.68431020198337</v>
      </c>
      <c r="L139" s="127">
        <v>105.4999887575879</v>
      </c>
      <c r="M139" s="127">
        <v>101.59919575621558</v>
      </c>
      <c r="N139" s="127">
        <v>97.95392406318723</v>
      </c>
      <c r="O139" s="127">
        <v>94.539741185738563</v>
      </c>
    </row>
    <row r="140" spans="3:16" x14ac:dyDescent="0.2">
      <c r="C140" s="358"/>
      <c r="D140" s="293">
        <f t="shared" si="65"/>
        <v>6.0000000000000001E-3</v>
      </c>
      <c r="E140" s="177">
        <v>140.34942763995139</v>
      </c>
      <c r="F140" s="127">
        <v>133.8514303480907</v>
      </c>
      <c r="G140" s="127">
        <v>127.89294517197631</v>
      </c>
      <c r="H140" s="127">
        <v>122.40926780511305</v>
      </c>
      <c r="I140" s="127">
        <v>117.34564768672053</v>
      </c>
      <c r="J140" s="127">
        <v>112.65544473346051</v>
      </c>
      <c r="K140" s="180">
        <v>108.29868105672487</v>
      </c>
      <c r="L140" s="127">
        <v>104.24089232416316</v>
      </c>
      <c r="M140" s="127">
        <v>100.45220884846994</v>
      </c>
      <c r="N140" s="127">
        <v>96.906614529554119</v>
      </c>
      <c r="O140" s="127">
        <v>93.581344744669821</v>
      </c>
    </row>
    <row r="141" spans="3:16" x14ac:dyDescent="0.2">
      <c r="C141" s="358"/>
      <c r="D141" s="293">
        <f t="shared" si="65"/>
        <v>4.0000000000000001E-3</v>
      </c>
      <c r="E141" s="177">
        <v>137.87899672668161</v>
      </c>
      <c r="F141" s="127">
        <v>131.6444675530573</v>
      </c>
      <c r="G141" s="127">
        <v>125.91394621282015</v>
      </c>
      <c r="H141" s="127">
        <v>120.62854879328134</v>
      </c>
      <c r="I141" s="127">
        <v>115.73822349523215</v>
      </c>
      <c r="J141" s="127">
        <v>111.20015447721498</v>
      </c>
      <c r="K141" s="180">
        <v>106.97749977868769</v>
      </c>
      <c r="L141" s="127">
        <v>103.03838449448781</v>
      </c>
      <c r="M141" s="127">
        <v>99.355090936713211</v>
      </c>
      <c r="N141" s="127">
        <v>95.903402239442414</v>
      </c>
      <c r="O141" s="127">
        <v>92.662066525685503</v>
      </c>
    </row>
    <row r="142" spans="3:16" x14ac:dyDescent="0.2">
      <c r="C142" s="358"/>
      <c r="D142" s="293">
        <f t="shared" si="65"/>
        <v>2E-3</v>
      </c>
      <c r="E142" s="177">
        <v>135.54973329417004</v>
      </c>
      <c r="F142" s="127">
        <v>129.55843422624491</v>
      </c>
      <c r="G142" s="127">
        <v>124.03910509361958</v>
      </c>
      <c r="H142" s="127">
        <v>118.93799276939049</v>
      </c>
      <c r="I142" s="127">
        <v>114.20921023991394</v>
      </c>
      <c r="J142" s="127">
        <v>109.8133484683222</v>
      </c>
      <c r="K142" s="180">
        <v>105.71637219510673</v>
      </c>
      <c r="L142" s="127">
        <v>101.8887341518312</v>
      </c>
      <c r="M142" s="127">
        <v>98.304658893541884</v>
      </c>
      <c r="N142" s="127">
        <v>94.94155952830441</v>
      </c>
      <c r="O142" s="127">
        <v>91.779559435460556</v>
      </c>
    </row>
    <row r="143" spans="3:16" x14ac:dyDescent="0.2">
      <c r="C143" s="358"/>
      <c r="D143" s="293">
        <f t="shared" si="65"/>
        <v>0</v>
      </c>
      <c r="E143" s="177">
        <v>133.34987338568695</v>
      </c>
      <c r="F143" s="127">
        <v>127.58365601019584</v>
      </c>
      <c r="G143" s="127">
        <v>122.26040967283957</v>
      </c>
      <c r="H143" s="127">
        <v>117.33092099359301</v>
      </c>
      <c r="I143" s="127">
        <v>112.75300713961092</v>
      </c>
      <c r="J143" s="127">
        <v>108.49030365524057</v>
      </c>
      <c r="K143" s="180">
        <v>104.51129472635158</v>
      </c>
      <c r="L143" s="127">
        <v>100.78853113574043</v>
      </c>
      <c r="M143" s="127">
        <v>97.297994852169367</v>
      </c>
      <c r="N143" s="127">
        <v>94.018579148929518</v>
      </c>
      <c r="O143" s="127">
        <v>90.931660466420908</v>
      </c>
    </row>
    <row r="144" spans="3:16" x14ac:dyDescent="0.2">
      <c r="C144" s="124"/>
      <c r="D144" s="124"/>
    </row>
    <row r="145" spans="2:16" x14ac:dyDescent="0.2">
      <c r="B145" s="301"/>
      <c r="C145" s="287"/>
      <c r="D145" s="288" t="s">
        <v>181</v>
      </c>
      <c r="E145" s="286"/>
      <c r="F145" s="286"/>
      <c r="G145" s="286"/>
      <c r="H145" s="286"/>
      <c r="I145" s="286"/>
      <c r="J145" s="286"/>
      <c r="K145" s="296"/>
      <c r="L145" s="296"/>
      <c r="M145" s="296"/>
      <c r="N145" s="296"/>
      <c r="O145" s="296"/>
      <c r="P145" s="302"/>
    </row>
    <row r="146" spans="2:16" x14ac:dyDescent="0.2">
      <c r="B146" s="301"/>
      <c r="C146" s="300"/>
      <c r="D146" s="297">
        <f>$R$34</f>
        <v>108.73031538551</v>
      </c>
      <c r="E146" s="298">
        <v>900</v>
      </c>
      <c r="F146" s="297">
        <f>E146+40</f>
        <v>940</v>
      </c>
      <c r="G146" s="297">
        <f t="shared" ref="G146:O146" si="66">F146+40</f>
        <v>980</v>
      </c>
      <c r="H146" s="297">
        <f t="shared" si="66"/>
        <v>1020</v>
      </c>
      <c r="I146" s="297">
        <f t="shared" si="66"/>
        <v>1060</v>
      </c>
      <c r="J146" s="299">
        <f t="shared" si="66"/>
        <v>1100</v>
      </c>
      <c r="K146" s="297">
        <f t="shared" si="66"/>
        <v>1140</v>
      </c>
      <c r="L146" s="297">
        <f t="shared" si="66"/>
        <v>1180</v>
      </c>
      <c r="M146" s="297">
        <f t="shared" si="66"/>
        <v>1220</v>
      </c>
      <c r="N146" s="297">
        <f t="shared" si="66"/>
        <v>1260</v>
      </c>
      <c r="O146" s="297">
        <f t="shared" si="66"/>
        <v>1300</v>
      </c>
      <c r="P146" s="302"/>
    </row>
    <row r="147" spans="2:16" x14ac:dyDescent="0.2">
      <c r="B147" s="301"/>
      <c r="C147" s="359" t="s">
        <v>229</v>
      </c>
      <c r="D147" s="280">
        <v>0.95</v>
      </c>
      <c r="E147" s="175">
        <f t="dataTable" ref="E147:O157" dt2D="1" dtr="1" r1="G31" r2="G32"/>
        <v>90.937719927507871</v>
      </c>
      <c r="F147" s="176">
        <v>95.568669430275534</v>
      </c>
      <c r="G147" s="176">
        <v>100.19961893304321</v>
      </c>
      <c r="H147" s="176">
        <v>104.8305684358109</v>
      </c>
      <c r="I147" s="176">
        <v>109.4615179385785</v>
      </c>
      <c r="J147" s="182">
        <v>114.0924674413462</v>
      </c>
      <c r="K147" s="176">
        <v>118.72341694411391</v>
      </c>
      <c r="L147" s="176">
        <v>123.3543664468815</v>
      </c>
      <c r="M147" s="176">
        <v>127.98531594964926</v>
      </c>
      <c r="N147" s="176">
        <v>132.61626545241691</v>
      </c>
      <c r="O147" s="176">
        <v>137.2472149551846</v>
      </c>
    </row>
    <row r="148" spans="2:16" x14ac:dyDescent="0.2">
      <c r="B148" s="301"/>
      <c r="C148" s="360"/>
      <c r="D148" s="281">
        <f>D147-1%</f>
        <v>0.94</v>
      </c>
      <c r="E148" s="177">
        <v>89.840916097905009</v>
      </c>
      <c r="F148" s="127">
        <v>94.423118763801455</v>
      </c>
      <c r="G148" s="127">
        <v>99.005321429697872</v>
      </c>
      <c r="H148" s="127">
        <v>103.58752409559428</v>
      </c>
      <c r="I148" s="127">
        <v>108.16972676149072</v>
      </c>
      <c r="J148" s="180">
        <v>112.75192942738718</v>
      </c>
      <c r="K148" s="127">
        <v>117.33413209328357</v>
      </c>
      <c r="L148" s="127">
        <v>121.91633475918005</v>
      </c>
      <c r="M148" s="127">
        <v>126.49853742507645</v>
      </c>
      <c r="N148" s="127">
        <v>131.08074009097285</v>
      </c>
      <c r="O148" s="127">
        <v>135.66294275686934</v>
      </c>
    </row>
    <row r="149" spans="2:16" x14ac:dyDescent="0.2">
      <c r="B149" s="301"/>
      <c r="C149" s="360"/>
      <c r="D149" s="281">
        <f t="shared" ref="D149:D157" si="67">D148-1%</f>
        <v>0.92999999999999994</v>
      </c>
      <c r="E149" s="177">
        <v>88.744112268302146</v>
      </c>
      <c r="F149" s="127">
        <v>93.277568097327347</v>
      </c>
      <c r="G149" s="127">
        <v>97.811023926352547</v>
      </c>
      <c r="H149" s="127">
        <v>102.34447975537766</v>
      </c>
      <c r="I149" s="127">
        <v>106.87793558440288</v>
      </c>
      <c r="J149" s="180">
        <v>111.41139141342806</v>
      </c>
      <c r="K149" s="127">
        <v>115.94484724245324</v>
      </c>
      <c r="L149" s="127">
        <v>120.47830307147854</v>
      </c>
      <c r="M149" s="127">
        <v>125.01175890050369</v>
      </c>
      <c r="N149" s="127">
        <v>129.54521472952888</v>
      </c>
      <c r="O149" s="127">
        <v>134.07867055855405</v>
      </c>
    </row>
    <row r="150" spans="2:16" x14ac:dyDescent="0.2">
      <c r="B150" s="301"/>
      <c r="C150" s="360"/>
      <c r="D150" s="281">
        <f t="shared" si="67"/>
        <v>0.91999999999999993</v>
      </c>
      <c r="E150" s="177">
        <v>87.647308438699284</v>
      </c>
      <c r="F150" s="127">
        <v>92.132017430853253</v>
      </c>
      <c r="G150" s="127">
        <v>96.616726423007165</v>
      </c>
      <c r="H150" s="127">
        <v>101.10143541516115</v>
      </c>
      <c r="I150" s="127">
        <v>105.58614440731506</v>
      </c>
      <c r="J150" s="180">
        <v>110.07085339946902</v>
      </c>
      <c r="K150" s="127">
        <v>114.55556239162297</v>
      </c>
      <c r="L150" s="127">
        <v>119.04027138377695</v>
      </c>
      <c r="M150" s="127">
        <v>123.52498037593095</v>
      </c>
      <c r="N150" s="127">
        <v>128.00968936808482</v>
      </c>
      <c r="O150" s="127">
        <v>132.49439836023882</v>
      </c>
    </row>
    <row r="151" spans="2:16" x14ac:dyDescent="0.2">
      <c r="B151" s="301"/>
      <c r="C151" s="360"/>
      <c r="D151" s="282">
        <f t="shared" si="67"/>
        <v>0.90999999999999992</v>
      </c>
      <c r="E151" s="179">
        <v>86.55050460909645</v>
      </c>
      <c r="F151" s="180">
        <v>90.986466764379145</v>
      </c>
      <c r="G151" s="180">
        <v>95.42242891966184</v>
      </c>
      <c r="H151" s="180">
        <v>99.858391074944549</v>
      </c>
      <c r="I151" s="180">
        <v>104.29435323022733</v>
      </c>
      <c r="J151" s="180">
        <v>108.73031538550997</v>
      </c>
      <c r="K151" s="180">
        <v>113.16627754079265</v>
      </c>
      <c r="L151" s="180">
        <v>117.60223969607542</v>
      </c>
      <c r="M151" s="180">
        <v>122.0382018513581</v>
      </c>
      <c r="N151" s="180">
        <v>126.47416400664078</v>
      </c>
      <c r="O151" s="180">
        <v>130.91012616192353</v>
      </c>
    </row>
    <row r="152" spans="2:16" x14ac:dyDescent="0.2">
      <c r="B152" s="301"/>
      <c r="C152" s="360"/>
      <c r="D152" s="344">
        <f t="shared" si="67"/>
        <v>0.89999999999999991</v>
      </c>
      <c r="E152" s="181">
        <v>85.453700779493559</v>
      </c>
      <c r="F152" s="24">
        <v>89.840916097905009</v>
      </c>
      <c r="G152" s="24">
        <v>94.228131416316501</v>
      </c>
      <c r="H152" s="24">
        <v>98.615346734727964</v>
      </c>
      <c r="I152" s="24">
        <v>103.00256205313947</v>
      </c>
      <c r="J152" s="180">
        <v>107.38977737155095</v>
      </c>
      <c r="K152" s="24">
        <v>111.7769926899624</v>
      </c>
      <c r="L152" s="24">
        <v>116.16420800837388</v>
      </c>
      <c r="M152" s="24">
        <v>120.55142332678533</v>
      </c>
      <c r="N152" s="24">
        <v>124.93863864519679</v>
      </c>
      <c r="O152" s="24">
        <v>129.32585396360824</v>
      </c>
    </row>
    <row r="153" spans="2:16" x14ac:dyDescent="0.2">
      <c r="B153" s="301"/>
      <c r="C153" s="360"/>
      <c r="D153" s="281">
        <f t="shared" si="67"/>
        <v>0.8899999999999999</v>
      </c>
      <c r="E153" s="177">
        <v>84.356896949890711</v>
      </c>
      <c r="F153" s="127">
        <v>88.695365431430915</v>
      </c>
      <c r="G153" s="127">
        <v>93.033833912971147</v>
      </c>
      <c r="H153" s="127">
        <v>97.372302394511422</v>
      </c>
      <c r="I153" s="127">
        <v>101.71077087605167</v>
      </c>
      <c r="J153" s="180">
        <v>106.0492393575918</v>
      </c>
      <c r="K153" s="127">
        <v>110.38770783913206</v>
      </c>
      <c r="L153" s="127">
        <v>114.72617632067231</v>
      </c>
      <c r="M153" s="127">
        <v>119.06464480221256</v>
      </c>
      <c r="N153" s="127">
        <v>123.40311328375273</v>
      </c>
      <c r="O153" s="127">
        <v>127.74158176529308</v>
      </c>
    </row>
    <row r="154" spans="2:16" x14ac:dyDescent="0.2">
      <c r="B154" s="301"/>
      <c r="C154" s="360"/>
      <c r="D154" s="281">
        <f t="shared" si="67"/>
        <v>0.87999999999999989</v>
      </c>
      <c r="E154" s="177">
        <v>83.26009312028782</v>
      </c>
      <c r="F154" s="127">
        <v>87.549814764956793</v>
      </c>
      <c r="G154" s="127">
        <v>91.839536409625794</v>
      </c>
      <c r="H154" s="127">
        <v>96.129258054294837</v>
      </c>
      <c r="I154" s="127">
        <v>100.41897969896375</v>
      </c>
      <c r="J154" s="180">
        <v>104.70870134363277</v>
      </c>
      <c r="K154" s="127">
        <v>108.99842298830175</v>
      </c>
      <c r="L154" s="127">
        <v>113.28814463297078</v>
      </c>
      <c r="M154" s="127">
        <v>117.57786627763979</v>
      </c>
      <c r="N154" s="127">
        <v>121.86758792230873</v>
      </c>
      <c r="O154" s="127">
        <v>126.1573095669778</v>
      </c>
    </row>
    <row r="155" spans="2:16" x14ac:dyDescent="0.2">
      <c r="B155" s="301"/>
      <c r="C155" s="360"/>
      <c r="D155" s="281">
        <f t="shared" si="67"/>
        <v>0.86999999999999988</v>
      </c>
      <c r="E155" s="177">
        <v>82.163289290684929</v>
      </c>
      <c r="F155" s="127">
        <v>86.404264098482727</v>
      </c>
      <c r="G155" s="127">
        <v>90.64523890628044</v>
      </c>
      <c r="H155" s="127">
        <v>94.886213714078224</v>
      </c>
      <c r="I155" s="127">
        <v>99.127188521875993</v>
      </c>
      <c r="J155" s="180">
        <v>103.36816332967372</v>
      </c>
      <c r="K155" s="127">
        <v>107.60913813747149</v>
      </c>
      <c r="L155" s="127">
        <v>111.85011294526925</v>
      </c>
      <c r="M155" s="127">
        <v>116.09108775306694</v>
      </c>
      <c r="N155" s="127">
        <v>120.33206256086478</v>
      </c>
      <c r="O155" s="127">
        <v>124.57303736866253</v>
      </c>
    </row>
    <row r="156" spans="2:16" x14ac:dyDescent="0.2">
      <c r="B156" s="301"/>
      <c r="C156" s="360"/>
      <c r="D156" s="281">
        <f t="shared" si="67"/>
        <v>0.85999999999999988</v>
      </c>
      <c r="E156" s="177">
        <v>81.066485461082067</v>
      </c>
      <c r="F156" s="127">
        <v>85.258713432008605</v>
      </c>
      <c r="G156" s="127">
        <v>89.450941402935086</v>
      </c>
      <c r="H156" s="127">
        <v>93.64316937386161</v>
      </c>
      <c r="I156" s="127">
        <v>97.835397344788149</v>
      </c>
      <c r="J156" s="180">
        <v>102.02762531571472</v>
      </c>
      <c r="K156" s="127">
        <v>106.21985328664114</v>
      </c>
      <c r="L156" s="127">
        <v>110.41208125756766</v>
      </c>
      <c r="M156" s="127">
        <v>114.6043092284942</v>
      </c>
      <c r="N156" s="127">
        <v>118.79653719942073</v>
      </c>
      <c r="O156" s="127">
        <v>122.98876517034724</v>
      </c>
    </row>
    <row r="157" spans="2:16" x14ac:dyDescent="0.2">
      <c r="B157" s="301"/>
      <c r="C157" s="360"/>
      <c r="D157" s="281">
        <f t="shared" si="67"/>
        <v>0.84999999999999987</v>
      </c>
      <c r="E157" s="177">
        <v>79.969681631479219</v>
      </c>
      <c r="F157" s="127">
        <v>84.113162765534483</v>
      </c>
      <c r="G157" s="127">
        <v>88.256643899589776</v>
      </c>
      <c r="H157" s="127">
        <v>92.400125033645054</v>
      </c>
      <c r="I157" s="127">
        <v>96.543606167700332</v>
      </c>
      <c r="J157" s="180">
        <v>100.68708730175558</v>
      </c>
      <c r="K157" s="127">
        <v>104.8305684358109</v>
      </c>
      <c r="L157" s="127">
        <v>108.97404956986612</v>
      </c>
      <c r="M157" s="127">
        <v>113.11753070392146</v>
      </c>
      <c r="N157" s="127">
        <v>117.26101183797677</v>
      </c>
      <c r="O157" s="127">
        <v>121.40449297203197</v>
      </c>
    </row>
    <row r="158" spans="2:16" x14ac:dyDescent="0.2">
      <c r="C158" s="309"/>
      <c r="D158" s="310"/>
      <c r="E158" s="304"/>
      <c r="F158" s="304"/>
      <c r="G158" s="304"/>
      <c r="H158" s="304"/>
      <c r="I158" s="304"/>
      <c r="J158" s="304"/>
      <c r="K158" s="304"/>
      <c r="L158" s="304"/>
      <c r="M158" s="304"/>
      <c r="N158" s="304"/>
      <c r="O158" s="304"/>
    </row>
    <row r="159" spans="2:16" x14ac:dyDescent="0.2">
      <c r="B159" s="301"/>
      <c r="C159" s="277"/>
      <c r="D159" s="308" t="s">
        <v>181</v>
      </c>
      <c r="E159" s="315"/>
      <c r="F159" s="315"/>
      <c r="G159" s="315"/>
      <c r="H159" s="315"/>
      <c r="I159" s="315"/>
      <c r="J159" s="315"/>
      <c r="K159" s="315"/>
      <c r="L159" s="315"/>
      <c r="M159" s="315"/>
      <c r="N159" s="315"/>
      <c r="O159" s="315"/>
      <c r="P159" s="302"/>
    </row>
    <row r="160" spans="2:16" x14ac:dyDescent="0.2">
      <c r="B160" s="301"/>
      <c r="C160" s="277"/>
      <c r="D160" s="291">
        <f>$R$34</f>
        <v>108.73031538551</v>
      </c>
      <c r="E160" s="279">
        <f>E146</f>
        <v>900</v>
      </c>
      <c r="F160" s="279">
        <f t="shared" ref="F160:O160" si="68">F146</f>
        <v>940</v>
      </c>
      <c r="G160" s="279">
        <f t="shared" si="68"/>
        <v>980</v>
      </c>
      <c r="H160" s="279">
        <f t="shared" si="68"/>
        <v>1020</v>
      </c>
      <c r="I160" s="279">
        <f t="shared" si="68"/>
        <v>1060</v>
      </c>
      <c r="J160" s="283">
        <f t="shared" si="68"/>
        <v>1100</v>
      </c>
      <c r="K160" s="279">
        <f t="shared" si="68"/>
        <v>1140</v>
      </c>
      <c r="L160" s="279">
        <f t="shared" si="68"/>
        <v>1180</v>
      </c>
      <c r="M160" s="279">
        <f t="shared" si="68"/>
        <v>1220</v>
      </c>
      <c r="N160" s="279">
        <f t="shared" si="68"/>
        <v>1260</v>
      </c>
      <c r="O160" s="279">
        <f t="shared" si="68"/>
        <v>1300</v>
      </c>
      <c r="P160" s="302"/>
    </row>
    <row r="161" spans="2:15" x14ac:dyDescent="0.2">
      <c r="B161" s="301"/>
      <c r="C161" s="354" t="s">
        <v>230</v>
      </c>
      <c r="D161" s="311">
        <v>0.85</v>
      </c>
      <c r="E161" s="175">
        <f t="dataTable" ref="E161:O172" dt2D="1" dtr="1" r1="G31" r2="G33" ca="1"/>
        <v>75.255063981467146</v>
      </c>
      <c r="F161" s="176">
        <v>79.189006553299677</v>
      </c>
      <c r="G161" s="176">
        <v>83.122949125132223</v>
      </c>
      <c r="H161" s="176">
        <v>87.05689169696474</v>
      </c>
      <c r="I161" s="176">
        <v>90.990834268797258</v>
      </c>
      <c r="J161" s="182">
        <v>94.924776840629718</v>
      </c>
      <c r="K161" s="176">
        <v>98.858719412462207</v>
      </c>
      <c r="L161" s="176">
        <v>102.79266198429472</v>
      </c>
      <c r="M161" s="176">
        <v>106.72660455612726</v>
      </c>
      <c r="N161" s="176">
        <v>110.66054712795979</v>
      </c>
      <c r="O161" s="176">
        <v>114.5944896997924</v>
      </c>
    </row>
    <row r="162" spans="2:15" x14ac:dyDescent="0.2">
      <c r="B162" s="301"/>
      <c r="C162" s="355"/>
      <c r="D162" s="312">
        <f>D161-0.5%</f>
        <v>0.84499999999999997</v>
      </c>
      <c r="E162" s="177">
        <v>78.078924138374461</v>
      </c>
      <c r="F162" s="127">
        <v>82.138371606069569</v>
      </c>
      <c r="G162" s="127">
        <v>86.197819073764606</v>
      </c>
      <c r="H162" s="127">
        <v>90.257266541459671</v>
      </c>
      <c r="I162" s="127">
        <v>94.316714009154765</v>
      </c>
      <c r="J162" s="180">
        <v>98.376161476849745</v>
      </c>
      <c r="K162" s="127">
        <v>102.43560894454484</v>
      </c>
      <c r="L162" s="127">
        <v>106.49505641223993</v>
      </c>
      <c r="M162" s="127">
        <v>110.554503879935</v>
      </c>
      <c r="N162" s="127">
        <v>114.61395134763009</v>
      </c>
      <c r="O162" s="127">
        <v>118.67339881532519</v>
      </c>
    </row>
    <row r="163" spans="2:15" x14ac:dyDescent="0.2">
      <c r="B163" s="301"/>
      <c r="C163" s="355"/>
      <c r="D163" s="312">
        <f t="shared" ref="D163:D172" si="69">D162-0.5%</f>
        <v>0.84</v>
      </c>
      <c r="E163" s="177">
        <v>80.902784295281791</v>
      </c>
      <c r="F163" s="127">
        <v>85.087736658839418</v>
      </c>
      <c r="G163" s="127">
        <v>89.272689022397046</v>
      </c>
      <c r="H163" s="127">
        <v>93.457641385954659</v>
      </c>
      <c r="I163" s="127">
        <v>97.642593749512272</v>
      </c>
      <c r="J163" s="180">
        <v>101.82754611306983</v>
      </c>
      <c r="K163" s="127">
        <v>106.0124984766275</v>
      </c>
      <c r="L163" s="127">
        <v>110.19745084018511</v>
      </c>
      <c r="M163" s="127">
        <v>114.38240320374265</v>
      </c>
      <c r="N163" s="127">
        <v>118.56735556730032</v>
      </c>
      <c r="O163" s="127">
        <v>122.75230793085798</v>
      </c>
    </row>
    <row r="164" spans="2:15" x14ac:dyDescent="0.2">
      <c r="B164" s="301"/>
      <c r="C164" s="355"/>
      <c r="D164" s="313">
        <f t="shared" si="69"/>
        <v>0.83499999999999996</v>
      </c>
      <c r="E164" s="181">
        <v>83.726644452189106</v>
      </c>
      <c r="F164" s="24">
        <v>88.037101711609267</v>
      </c>
      <c r="G164" s="24">
        <v>92.347558971029471</v>
      </c>
      <c r="H164" s="24">
        <v>96.65801623044959</v>
      </c>
      <c r="I164" s="24">
        <v>100.96847348986978</v>
      </c>
      <c r="J164" s="180">
        <v>105.27893074928991</v>
      </c>
      <c r="K164" s="24">
        <v>109.5893880087101</v>
      </c>
      <c r="L164" s="24">
        <v>113.89984526813025</v>
      </c>
      <c r="M164" s="24">
        <v>118.21030252755044</v>
      </c>
      <c r="N164" s="24">
        <v>122.52075978697054</v>
      </c>
      <c r="O164" s="24">
        <v>126.83121704639078</v>
      </c>
    </row>
    <row r="165" spans="2:15" x14ac:dyDescent="0.2">
      <c r="B165" s="301"/>
      <c r="C165" s="355"/>
      <c r="D165" s="314">
        <f t="shared" si="69"/>
        <v>0.83</v>
      </c>
      <c r="E165" s="179">
        <v>86.55050460909645</v>
      </c>
      <c r="F165" s="180">
        <v>90.986466764379145</v>
      </c>
      <c r="G165" s="180">
        <v>95.42242891966184</v>
      </c>
      <c r="H165" s="180">
        <v>99.858391074944549</v>
      </c>
      <c r="I165" s="180">
        <v>104.29435323022733</v>
      </c>
      <c r="J165" s="180">
        <v>108.73031538551</v>
      </c>
      <c r="K165" s="180">
        <v>113.16627754079268</v>
      </c>
      <c r="L165" s="180">
        <v>117.60223969607542</v>
      </c>
      <c r="M165" s="180">
        <v>122.0382018513581</v>
      </c>
      <c r="N165" s="180">
        <v>126.47416400664086</v>
      </c>
      <c r="O165" s="180">
        <v>130.91012616192353</v>
      </c>
    </row>
    <row r="166" spans="2:15" x14ac:dyDescent="0.2">
      <c r="B166" s="301"/>
      <c r="C166" s="355"/>
      <c r="D166" s="313">
        <f t="shared" si="69"/>
        <v>0.82499999999999996</v>
      </c>
      <c r="E166" s="181">
        <v>89.374364766003751</v>
      </c>
      <c r="F166" s="24">
        <v>93.935831817149051</v>
      </c>
      <c r="G166" s="24">
        <v>98.497298868294294</v>
      </c>
      <c r="H166" s="24">
        <v>103.05876591943957</v>
      </c>
      <c r="I166" s="24">
        <v>107.62023297058481</v>
      </c>
      <c r="J166" s="180">
        <v>112.18170002173005</v>
      </c>
      <c r="K166" s="24">
        <v>116.74316707287528</v>
      </c>
      <c r="L166" s="24">
        <v>121.30463412402051</v>
      </c>
      <c r="M166" s="24">
        <v>125.86610117516585</v>
      </c>
      <c r="N166" s="24">
        <v>130.42756822631108</v>
      </c>
      <c r="O166" s="24">
        <v>134.98903527745642</v>
      </c>
    </row>
    <row r="167" spans="2:15" x14ac:dyDescent="0.2">
      <c r="B167" s="301"/>
      <c r="C167" s="355"/>
      <c r="D167" s="312">
        <f t="shared" si="69"/>
        <v>0.82</v>
      </c>
      <c r="E167" s="177">
        <v>92.198224922911066</v>
      </c>
      <c r="F167" s="127">
        <v>96.885196869918886</v>
      </c>
      <c r="G167" s="127">
        <v>101.57216881692671</v>
      </c>
      <c r="H167" s="127">
        <v>106.25914076393452</v>
      </c>
      <c r="I167" s="127">
        <v>110.94611271094234</v>
      </c>
      <c r="J167" s="180">
        <v>115.63308465795012</v>
      </c>
      <c r="K167" s="127">
        <v>120.32005660495794</v>
      </c>
      <c r="L167" s="127">
        <v>125.00702855196572</v>
      </c>
      <c r="M167" s="127">
        <v>129.69400049897351</v>
      </c>
      <c r="N167" s="127">
        <v>134.38097244598134</v>
      </c>
      <c r="O167" s="127">
        <v>139.0679443929892</v>
      </c>
    </row>
    <row r="168" spans="2:15" x14ac:dyDescent="0.2">
      <c r="B168" s="301"/>
      <c r="C168" s="355"/>
      <c r="D168" s="312">
        <f t="shared" si="69"/>
        <v>0.81499999999999995</v>
      </c>
      <c r="E168" s="177">
        <v>95.022085079818382</v>
      </c>
      <c r="F168" s="127">
        <v>99.834561922688749</v>
      </c>
      <c r="G168" s="127">
        <v>104.64703876555916</v>
      </c>
      <c r="H168" s="127">
        <v>109.45951560842954</v>
      </c>
      <c r="I168" s="127">
        <v>114.27199245129985</v>
      </c>
      <c r="J168" s="180">
        <v>119.08446929417019</v>
      </c>
      <c r="K168" s="127">
        <v>123.89694613704056</v>
      </c>
      <c r="L168" s="127">
        <v>128.7094229799109</v>
      </c>
      <c r="M168" s="127">
        <v>133.52189982278128</v>
      </c>
      <c r="N168" s="127">
        <v>138.33437666565163</v>
      </c>
      <c r="O168" s="127">
        <v>143.14685350852199</v>
      </c>
    </row>
    <row r="169" spans="2:15" x14ac:dyDescent="0.2">
      <c r="B169" s="301"/>
      <c r="C169" s="355"/>
      <c r="D169" s="312">
        <f t="shared" si="69"/>
        <v>0.80999999999999994</v>
      </c>
      <c r="E169" s="177">
        <v>97.845945236725726</v>
      </c>
      <c r="F169" s="127">
        <v>102.78392697545864</v>
      </c>
      <c r="G169" s="127">
        <v>107.72190871419153</v>
      </c>
      <c r="H169" s="127">
        <v>112.65989045292447</v>
      </c>
      <c r="I169" s="127">
        <v>117.59787219165739</v>
      </c>
      <c r="J169" s="180">
        <v>122.53585393039027</v>
      </c>
      <c r="K169" s="127">
        <v>127.47383566912309</v>
      </c>
      <c r="L169" s="127">
        <v>132.41181740785603</v>
      </c>
      <c r="M169" s="127">
        <v>137.34979914658894</v>
      </c>
      <c r="N169" s="127">
        <v>142.28778088532187</v>
      </c>
      <c r="O169" s="127">
        <v>147.22576262405479</v>
      </c>
    </row>
    <row r="170" spans="2:15" x14ac:dyDescent="0.2">
      <c r="B170" s="301"/>
      <c r="C170" s="355"/>
      <c r="D170" s="312">
        <f t="shared" si="69"/>
        <v>0.80499999999999994</v>
      </c>
      <c r="E170" s="177">
        <v>100.66980539363307</v>
      </c>
      <c r="F170" s="127">
        <v>105.73329202822849</v>
      </c>
      <c r="G170" s="127">
        <v>110.796778662824</v>
      </c>
      <c r="H170" s="127">
        <v>115.86026529741943</v>
      </c>
      <c r="I170" s="127">
        <v>120.92375193201489</v>
      </c>
      <c r="J170" s="180">
        <v>125.98723856661039</v>
      </c>
      <c r="K170" s="127">
        <v>131.05072520120575</v>
      </c>
      <c r="L170" s="127">
        <v>136.1142118358012</v>
      </c>
      <c r="M170" s="127">
        <v>141.17769847039671</v>
      </c>
      <c r="N170" s="127">
        <v>146.24118510499207</v>
      </c>
      <c r="O170" s="127">
        <v>151.30467173958758</v>
      </c>
    </row>
    <row r="171" spans="2:15" x14ac:dyDescent="0.2">
      <c r="B171" s="301"/>
      <c r="C171" s="355"/>
      <c r="D171" s="312">
        <f t="shared" si="69"/>
        <v>0.79999999999999993</v>
      </c>
      <c r="E171" s="177">
        <v>103.49366555054036</v>
      </c>
      <c r="F171" s="127">
        <v>108.68265708099841</v>
      </c>
      <c r="G171" s="127">
        <v>113.87164861145638</v>
      </c>
      <c r="H171" s="127">
        <v>119.06064014191438</v>
      </c>
      <c r="I171" s="127">
        <v>124.2496316723724</v>
      </c>
      <c r="J171" s="180">
        <v>129.43862320283034</v>
      </c>
      <c r="K171" s="127">
        <v>134.62761473328837</v>
      </c>
      <c r="L171" s="127">
        <v>139.81660626374634</v>
      </c>
      <c r="M171" s="127">
        <v>145.00559779420433</v>
      </c>
      <c r="N171" s="127">
        <v>150.19458932466236</v>
      </c>
      <c r="O171" s="127">
        <v>155.38358085512047</v>
      </c>
    </row>
    <row r="172" spans="2:15" x14ac:dyDescent="0.2">
      <c r="B172" s="301"/>
      <c r="C172" s="276"/>
      <c r="D172" s="312">
        <f t="shared" si="69"/>
        <v>0.79499999999999993</v>
      </c>
      <c r="E172" s="178">
        <v>106.3175257074477</v>
      </c>
      <c r="F172" s="126">
        <v>111.63202213376825</v>
      </c>
      <c r="G172" s="126">
        <v>116.94651856008883</v>
      </c>
      <c r="H172" s="126">
        <v>122.26101498640936</v>
      </c>
      <c r="I172" s="126">
        <v>127.57551141272991</v>
      </c>
      <c r="J172" s="183">
        <v>132.89000783905041</v>
      </c>
      <c r="K172" s="126">
        <v>138.20450426537104</v>
      </c>
      <c r="L172" s="126">
        <v>143.51900069169153</v>
      </c>
      <c r="M172" s="126">
        <v>148.83349711801202</v>
      </c>
      <c r="N172" s="126">
        <v>154.14799354433262</v>
      </c>
      <c r="O172" s="126">
        <v>159.46248997065322</v>
      </c>
    </row>
    <row r="173" spans="2:15" x14ac:dyDescent="0.2">
      <c r="C173" s="124"/>
      <c r="D173" s="124"/>
    </row>
    <row r="195" spans="8:9" x14ac:dyDescent="0.2">
      <c r="H195" s="6"/>
    </row>
    <row r="196" spans="8:9" x14ac:dyDescent="0.2">
      <c r="H196" s="320"/>
      <c r="I196" s="320"/>
    </row>
  </sheetData>
  <mergeCells count="5">
    <mergeCell ref="C161:C171"/>
    <mergeCell ref="B6:D6"/>
    <mergeCell ref="C118:C128"/>
    <mergeCell ref="C133:C143"/>
    <mergeCell ref="C147:C157"/>
  </mergeCells>
  <conditionalFormatting sqref="M35">
    <cfRule type="cellIs" dxfId="0" priority="1" operator="lessThan">
      <formula>0</formula>
    </cfRule>
  </conditionalFormatting>
  <dataValidations count="1">
    <dataValidation type="whole" showInputMessage="1" showErrorMessage="1" sqref="G6" xr:uid="{00000000-0002-0000-0000-000000000000}">
      <formula1>0</formula1>
      <formula2>1</formula2>
    </dataValidation>
  </dataValidations>
  <pageMargins left="0.75" right="0.75" top="1" bottom="1" header="0.5" footer="0.5"/>
  <pageSetup scale="38" orientation="portrait"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1:AD59"/>
  <sheetViews>
    <sheetView showGridLines="0" zoomScaleNormal="100" workbookViewId="0">
      <selection activeCell="D16" sqref="D16"/>
    </sheetView>
  </sheetViews>
  <sheetFormatPr baseColWidth="10" defaultColWidth="9.1640625" defaultRowHeight="16" outlineLevelRow="1" outlineLevelCol="1" x14ac:dyDescent="0.2"/>
  <cols>
    <col min="1" max="1" width="2.5" style="70" customWidth="1"/>
    <col min="2" max="2" width="32.5" style="70" customWidth="1"/>
    <col min="3" max="3" width="6.33203125" style="70" customWidth="1" outlineLevel="1"/>
    <col min="4" max="12" width="12.33203125" style="70" customWidth="1"/>
    <col min="13" max="13" width="2.5" style="70" customWidth="1"/>
    <col min="14" max="14" width="2.5" style="71" customWidth="1"/>
    <col min="15" max="23" width="12.33203125" style="70" customWidth="1"/>
    <col min="24" max="16384" width="9.1640625" style="70"/>
  </cols>
  <sheetData>
    <row r="1" spans="2:30" ht="15.75" customHeight="1" x14ac:dyDescent="0.2"/>
    <row r="2" spans="2:30" ht="15.75" customHeight="1" x14ac:dyDescent="0.25">
      <c r="B2" s="3" t="s">
        <v>236</v>
      </c>
      <c r="C2" s="69"/>
    </row>
    <row r="3" spans="2:30" ht="15.75" customHeight="1" x14ac:dyDescent="0.2">
      <c r="B3" s="6" t="str">
        <f>Public_Comps!$B$3</f>
        <v>($ USD in Millions Except Per Share Amounts in USD as Stated)</v>
      </c>
    </row>
    <row r="4" spans="2:30" ht="15.75" customHeight="1" x14ac:dyDescent="0.2">
      <c r="O4" s="72"/>
    </row>
    <row r="5" spans="2:30" ht="15.75" customHeight="1" x14ac:dyDescent="0.2">
      <c r="B5" s="222" t="s">
        <v>85</v>
      </c>
      <c r="C5" s="222"/>
      <c r="D5" s="223"/>
      <c r="E5" s="223"/>
      <c r="F5" s="223"/>
      <c r="G5" s="73"/>
      <c r="H5" s="73"/>
      <c r="X5" s="6"/>
    </row>
    <row r="6" spans="2:30" ht="15.75" customHeight="1" x14ac:dyDescent="0.2">
      <c r="B6" s="6" t="s">
        <v>39</v>
      </c>
      <c r="C6" s="6"/>
      <c r="F6" s="249">
        <v>2.6700000000000002E-2</v>
      </c>
      <c r="G6" s="74"/>
      <c r="H6" s="74"/>
      <c r="N6" s="100"/>
      <c r="O6" s="100"/>
      <c r="P6" s="100"/>
      <c r="Q6" s="100"/>
      <c r="R6" s="100"/>
      <c r="S6" s="100"/>
      <c r="T6" s="100"/>
      <c r="U6" s="100"/>
      <c r="V6" s="100"/>
      <c r="W6" s="100"/>
      <c r="X6" s="6"/>
      <c r="Y6" s="100"/>
    </row>
    <row r="7" spans="2:30" ht="15.75" customHeight="1" x14ac:dyDescent="0.2">
      <c r="B7" s="6" t="s">
        <v>40</v>
      </c>
      <c r="C7" s="6"/>
      <c r="F7" s="249">
        <v>5.6000000000000001E-2</v>
      </c>
      <c r="G7" s="74"/>
      <c r="H7" s="74"/>
      <c r="N7" s="97"/>
      <c r="O7" s="100"/>
      <c r="P7" s="100"/>
      <c r="Q7" s="100"/>
      <c r="R7" s="100"/>
      <c r="S7" s="100"/>
      <c r="T7" s="100"/>
      <c r="U7" s="100"/>
      <c r="V7" s="100"/>
      <c r="W7" s="100"/>
      <c r="X7" s="6"/>
      <c r="Y7" s="100"/>
      <c r="Z7" s="98"/>
      <c r="AA7" s="98"/>
      <c r="AB7" s="98"/>
      <c r="AC7" s="98"/>
      <c r="AD7" s="98"/>
    </row>
    <row r="8" spans="2:30" ht="15.75" customHeight="1" x14ac:dyDescent="0.2">
      <c r="B8" s="6" t="s">
        <v>41</v>
      </c>
      <c r="C8" s="6"/>
      <c r="F8" s="156">
        <f>YIELD("7/31/2022","12/31/2027",3.2%,3165.269/3060.608*100,100,2)</f>
        <v>2.5203732911264518E-2</v>
      </c>
      <c r="G8" s="74"/>
      <c r="H8" s="74"/>
      <c r="I8" s="75"/>
      <c r="J8" s="75"/>
      <c r="N8" s="97"/>
      <c r="O8" s="6"/>
      <c r="P8" s="6"/>
      <c r="Q8" s="6"/>
      <c r="R8" s="6"/>
      <c r="S8" s="6"/>
      <c r="T8" s="6"/>
      <c r="U8" s="6"/>
      <c r="V8" s="6"/>
      <c r="W8" s="6"/>
      <c r="X8" s="6"/>
      <c r="Y8" s="100"/>
      <c r="Z8" s="98"/>
      <c r="AA8" s="98"/>
      <c r="AB8" s="98"/>
      <c r="AC8" s="98"/>
      <c r="AD8" s="98"/>
    </row>
    <row r="9" spans="2:30" ht="15.75" customHeight="1" x14ac:dyDescent="0.2">
      <c r="B9" s="6" t="s">
        <v>42</v>
      </c>
      <c r="C9" s="6"/>
      <c r="F9" s="249">
        <v>0</v>
      </c>
      <c r="G9" s="74"/>
      <c r="H9" s="74"/>
      <c r="I9" s="75"/>
      <c r="J9" s="75"/>
      <c r="N9" s="97"/>
      <c r="O9" s="6"/>
      <c r="P9" s="6"/>
      <c r="Q9" s="6"/>
      <c r="R9" s="6"/>
      <c r="S9" s="6"/>
      <c r="T9" s="6"/>
      <c r="U9" s="6"/>
      <c r="V9" s="6"/>
      <c r="W9" s="6"/>
      <c r="X9" s="6"/>
      <c r="Y9" s="100"/>
      <c r="Z9" s="98"/>
      <c r="AA9" s="98"/>
      <c r="AB9" s="98"/>
      <c r="AC9" s="98"/>
      <c r="AD9" s="98"/>
    </row>
    <row r="10" spans="2:30" ht="15.75" customHeight="1" x14ac:dyDescent="0.2">
      <c r="N10" s="97"/>
      <c r="O10" s="6"/>
      <c r="P10" s="6"/>
      <c r="Q10" s="6"/>
      <c r="R10" s="6"/>
      <c r="S10" s="6"/>
      <c r="T10" s="6"/>
      <c r="U10" s="6"/>
      <c r="V10" s="6"/>
      <c r="W10" s="6"/>
      <c r="X10" s="6"/>
      <c r="Y10" s="100"/>
      <c r="Z10" s="98"/>
      <c r="AA10" s="98"/>
      <c r="AB10" s="98"/>
      <c r="AC10" s="98"/>
      <c r="AD10" s="98"/>
    </row>
    <row r="11" spans="2:30" ht="15.75" hidden="1" customHeight="1" outlineLevel="1" x14ac:dyDescent="0.2">
      <c r="B11" s="110"/>
      <c r="C11" s="77"/>
      <c r="D11" s="109"/>
      <c r="E11" s="109"/>
      <c r="F11" s="77"/>
      <c r="G11" s="109"/>
      <c r="H11" s="77"/>
      <c r="I11" s="110"/>
      <c r="J11" s="76"/>
      <c r="K11" s="109"/>
      <c r="N11" s="97"/>
      <c r="O11" s="6"/>
      <c r="P11" s="6"/>
      <c r="Q11" s="6"/>
      <c r="R11" s="6"/>
      <c r="S11" s="6"/>
      <c r="T11" s="6"/>
      <c r="U11" s="6"/>
      <c r="V11" s="6"/>
      <c r="W11" s="6"/>
      <c r="X11" s="6"/>
      <c r="Y11" s="100"/>
      <c r="Z11" s="98"/>
      <c r="AA11" s="98"/>
      <c r="AB11" s="98"/>
      <c r="AC11" s="98"/>
      <c r="AD11" s="98"/>
    </row>
    <row r="12" spans="2:30" ht="15.75" customHeight="1" outlineLevel="1" x14ac:dyDescent="0.2">
      <c r="B12" s="110" t="str">
        <f>Public_Comps!$B$7</f>
        <v>Company Name</v>
      </c>
      <c r="C12" s="77"/>
      <c r="D12" s="109" t="str">
        <f>Public_Comps!$G$7</f>
        <v>Beta</v>
      </c>
      <c r="E12" s="109" t="str">
        <f>Public_Comps!$J$7</f>
        <v>Debt</v>
      </c>
      <c r="F12" s="77"/>
      <c r="G12" s="109" t="str">
        <f>Public_Comps!$K$7</f>
        <v>Preferred</v>
      </c>
      <c r="H12" s="77"/>
      <c r="I12" s="110" t="str">
        <f>Public_Comps!$F$7</f>
        <v xml:space="preserve">Value </v>
      </c>
      <c r="J12" s="76"/>
      <c r="K12" s="109" t="str">
        <f>Public_Comps!$H$7</f>
        <v>Tax Rate</v>
      </c>
      <c r="N12" s="97"/>
      <c r="O12" s="6"/>
      <c r="P12" s="6"/>
      <c r="Q12" s="6"/>
      <c r="R12" s="6"/>
      <c r="S12" s="6"/>
      <c r="T12" s="6"/>
      <c r="U12" s="6"/>
      <c r="V12" s="6"/>
      <c r="W12" s="6"/>
      <c r="X12" s="6"/>
      <c r="Y12" s="100"/>
      <c r="Z12" s="98"/>
      <c r="AA12" s="98"/>
      <c r="AB12" s="98"/>
      <c r="AC12" s="98"/>
      <c r="AD12" s="98"/>
    </row>
    <row r="13" spans="2:30" ht="15.75" customHeight="1" x14ac:dyDescent="0.2">
      <c r="B13" s="224" t="s">
        <v>86</v>
      </c>
      <c r="C13" s="224"/>
      <c r="D13" s="224"/>
      <c r="E13" s="224"/>
      <c r="F13" s="224"/>
      <c r="G13" s="224"/>
      <c r="H13" s="224"/>
      <c r="I13" s="224"/>
      <c r="J13" s="224"/>
      <c r="K13" s="224"/>
      <c r="L13" s="224"/>
      <c r="N13" s="97"/>
      <c r="O13" s="6"/>
      <c r="P13" s="6"/>
      <c r="Q13" s="6"/>
      <c r="R13" s="6"/>
      <c r="S13" s="6"/>
      <c r="T13" s="6"/>
      <c r="U13" s="6"/>
      <c r="V13" s="6"/>
      <c r="W13" s="6"/>
      <c r="X13" s="6"/>
      <c r="Y13" s="100"/>
      <c r="Z13" s="98"/>
      <c r="AA13" s="98"/>
      <c r="AB13" s="98"/>
      <c r="AC13" s="98"/>
      <c r="AD13" s="98"/>
    </row>
    <row r="14" spans="2:30" ht="15.75" customHeight="1" x14ac:dyDescent="0.2">
      <c r="B14" s="224"/>
      <c r="C14" s="224"/>
      <c r="D14" s="225" t="s">
        <v>43</v>
      </c>
      <c r="E14" s="225"/>
      <c r="F14" s="225"/>
      <c r="G14" s="225" t="s">
        <v>44</v>
      </c>
      <c r="H14" s="225"/>
      <c r="I14" s="225" t="s">
        <v>11</v>
      </c>
      <c r="J14" s="225"/>
      <c r="K14" s="225"/>
      <c r="L14" s="225" t="s">
        <v>45</v>
      </c>
      <c r="N14" s="97"/>
      <c r="O14" s="6"/>
      <c r="P14" s="6"/>
      <c r="Q14" s="6"/>
      <c r="R14" s="6"/>
      <c r="S14" s="6"/>
      <c r="T14" s="6"/>
      <c r="U14" s="6"/>
      <c r="V14" s="6"/>
      <c r="W14" s="6"/>
      <c r="X14" s="6"/>
      <c r="Y14" s="100"/>
      <c r="Z14" s="98"/>
      <c r="AA14" s="98"/>
      <c r="AB14" s="98"/>
      <c r="AC14" s="98"/>
      <c r="AD14" s="98"/>
    </row>
    <row r="15" spans="2:30" ht="15.75" customHeight="1" x14ac:dyDescent="0.2">
      <c r="B15" s="226" t="s">
        <v>46</v>
      </c>
      <c r="C15" s="226" t="s">
        <v>14</v>
      </c>
      <c r="D15" s="227" t="s">
        <v>47</v>
      </c>
      <c r="E15" s="227" t="s">
        <v>48</v>
      </c>
      <c r="F15" s="227" t="s">
        <v>49</v>
      </c>
      <c r="G15" s="227" t="s">
        <v>50</v>
      </c>
      <c r="H15" s="227" t="s">
        <v>51</v>
      </c>
      <c r="I15" s="227" t="s">
        <v>16</v>
      </c>
      <c r="J15" s="227" t="s">
        <v>52</v>
      </c>
      <c r="K15" s="227" t="s">
        <v>53</v>
      </c>
      <c r="L15" s="227" t="s">
        <v>47</v>
      </c>
      <c r="N15" s="97"/>
      <c r="O15" s="6"/>
      <c r="P15" s="6"/>
      <c r="Q15" s="6"/>
      <c r="R15" s="6"/>
      <c r="S15" s="6"/>
      <c r="T15" s="6"/>
      <c r="U15" s="6"/>
      <c r="V15" s="6"/>
      <c r="W15" s="6"/>
      <c r="X15" s="6"/>
      <c r="Y15" s="100"/>
      <c r="Z15" s="98"/>
      <c r="AA15" s="98"/>
      <c r="AB15" s="98"/>
      <c r="AC15" s="98"/>
      <c r="AD15" s="98"/>
    </row>
    <row r="16" spans="2:30" ht="15.75" customHeight="1" x14ac:dyDescent="0.2">
      <c r="B16" s="6" t="str">
        <f>INDEX(Pub_Comps_Data,MATCH($C16,Ticker_Range,0),MATCH(WACC!B$12,Pub_Comps_Info_Range,0))</f>
        <v>Nucor Corporation</v>
      </c>
      <c r="C16" s="6" t="s">
        <v>30</v>
      </c>
      <c r="D16" s="161">
        <f>INDEX(Pub_Comps_Data,MATCH($C16,Ticker_Range,0),MATCH(WACC!D$12,Pub_Comps_Info_Range,0))</f>
        <v>1.5181</v>
      </c>
      <c r="E16" s="158">
        <f>INDEX(Pub_Comps_Data,MATCH($C16,Ticker_Range,0),MATCH(WACC!E$12,Pub_Comps_Info_Range,0))</f>
        <v>4961.41</v>
      </c>
      <c r="F16" s="159">
        <f>E16/(E16+G16+I16)</f>
        <v>0.12273516569860746</v>
      </c>
      <c r="G16" s="158">
        <f>INDEX(Pub_Comps_Data,MATCH($C16,Ticker_Range,0),MATCH(WACC!G$12,Pub_Comps_Info_Range,0))</f>
        <v>0</v>
      </c>
      <c r="H16" s="159">
        <f>G16/(E16+G16+I16)</f>
        <v>0</v>
      </c>
      <c r="I16" s="158">
        <f>INDEX(Pub_Comps_Data,MATCH($C16,Ticker_Range,0),MATCH(WACC!I$12,Pub_Comps_Info_Range,0))</f>
        <v>35462.29393</v>
      </c>
      <c r="J16" s="159">
        <f>I16/(I16+G16+E16)</f>
        <v>0.87726483430139246</v>
      </c>
      <c r="K16" s="157">
        <f>INDEX(Pub_Comps_Data,MATCH($C16,Ticker_Range,0),MATCH(WACC!K$12,Pub_Comps_Info_Range,0))</f>
        <v>0.23200000000000001</v>
      </c>
      <c r="L16" s="113">
        <f>D16/(1+E16/I16*(1-K16)+G16/I16)</f>
        <v>1.3708089237656291</v>
      </c>
      <c r="N16" s="97"/>
      <c r="O16" s="6"/>
      <c r="P16" s="6"/>
      <c r="Q16" s="6"/>
      <c r="R16" s="6"/>
      <c r="S16" s="6"/>
      <c r="T16" s="6"/>
      <c r="U16" s="6"/>
      <c r="V16" s="6"/>
      <c r="W16" s="6"/>
      <c r="X16" s="6"/>
      <c r="Y16" s="100"/>
      <c r="Z16" s="98"/>
      <c r="AA16" s="98"/>
      <c r="AB16" s="98"/>
      <c r="AC16" s="98"/>
      <c r="AD16" s="98"/>
    </row>
    <row r="17" spans="2:30" ht="15.75" customHeight="1" x14ac:dyDescent="0.2">
      <c r="B17" s="6" t="str">
        <f>INDEX(Pub_Comps_Data,MATCH($C17,Ticker_Range,0),MATCH(WACC!B$12,Pub_Comps_Info_Range,0))</f>
        <v>Cleveland-Cliffs, Inc.</v>
      </c>
      <c r="C17" s="6" t="s">
        <v>105</v>
      </c>
      <c r="D17" s="161">
        <f>INDEX(Pub_Comps_Data,MATCH($C17,Ticker_Range,0),MATCH(WACC!D$12,Pub_Comps_Info_Range,0))</f>
        <v>2.0779000000000001</v>
      </c>
      <c r="E17" s="160">
        <f>INDEX(Pub_Comps_Data,MATCH($C17,Ticker_Range,0),MATCH(WACC!E$12,Pub_Comps_Info_Range,0))</f>
        <v>4668</v>
      </c>
      <c r="F17" s="159">
        <f t="shared" ref="F17:F21" si="0">E17/(E17+G17+I17)</f>
        <v>0.35231012952001139</v>
      </c>
      <c r="G17" s="160">
        <f>INDEX(Pub_Comps_Data,MATCH($C17,Ticker_Range,0),MATCH(WACC!G$12,Pub_Comps_Info_Range,0))</f>
        <v>0</v>
      </c>
      <c r="H17" s="159">
        <f t="shared" ref="H17:H21" si="1">G17/(E17+G17+I17)</f>
        <v>0</v>
      </c>
      <c r="I17" s="160">
        <f>INDEX(Pub_Comps_Data,MATCH($C17,Ticker_Range,0),MATCH(WACC!I$12,Pub_Comps_Info_Range,0))</f>
        <v>8581.69</v>
      </c>
      <c r="J17" s="159">
        <f t="shared" ref="J17:J21" si="2">I17/(I17+G17+E17)</f>
        <v>0.64768987047998861</v>
      </c>
      <c r="K17" s="157">
        <f>INDEX(Pub_Comps_Data,MATCH($C17,Ticker_Range,0),MATCH(WACC!K$12,Pub_Comps_Info_Range,0))</f>
        <v>0.22</v>
      </c>
      <c r="L17" s="113">
        <f t="shared" ref="L17:L21" si="3">D17/(1+E17/I17*(1-K17)+G17/I17)</f>
        <v>1.458912505716808</v>
      </c>
      <c r="N17" s="97"/>
      <c r="O17" s="6"/>
      <c r="P17" s="6"/>
      <c r="Q17" s="6"/>
      <c r="R17" s="6"/>
      <c r="S17" s="6"/>
      <c r="T17" s="6"/>
      <c r="U17" s="6"/>
      <c r="V17" s="6"/>
      <c r="W17" s="6"/>
      <c r="X17" s="6"/>
      <c r="Y17" s="100"/>
      <c r="Z17" s="98"/>
      <c r="AA17" s="98"/>
      <c r="AB17" s="98"/>
      <c r="AC17" s="98"/>
      <c r="AD17" s="98"/>
    </row>
    <row r="18" spans="2:30" ht="15.75" customHeight="1" x14ac:dyDescent="0.2">
      <c r="B18" s="6" t="str">
        <f>INDEX(Pub_Comps_Data,MATCH($C18,Ticker_Range,0),MATCH(WACC!B$12,Pub_Comps_Info_Range,0))</f>
        <v>United States Steel Corporation</v>
      </c>
      <c r="C18" s="6" t="s">
        <v>28</v>
      </c>
      <c r="D18" s="161">
        <f>INDEX(Pub_Comps_Data,MATCH($C18,Ticker_Range,0),MATCH(WACC!D$12,Pub_Comps_Info_Range,0))</f>
        <v>2.1274999999999999</v>
      </c>
      <c r="E18" s="160">
        <f>INDEX(Pub_Comps_Data,MATCH($C18,Ticker_Range,0),MATCH(WACC!E$12,Pub_Comps_Info_Range,0))</f>
        <v>3869</v>
      </c>
      <c r="F18" s="159">
        <f t="shared" si="0"/>
        <v>0.34971689021219887</v>
      </c>
      <c r="G18" s="160">
        <f>INDEX(Pub_Comps_Data,MATCH($C18,Ticker_Range,0),MATCH(WACC!G$12,Pub_Comps_Info_Range,0))</f>
        <v>0</v>
      </c>
      <c r="H18" s="159">
        <f t="shared" si="1"/>
        <v>0</v>
      </c>
      <c r="I18" s="160">
        <f>INDEX(Pub_Comps_Data,MATCH($C18,Ticker_Range,0),MATCH(WACC!I$12,Pub_Comps_Info_Range,0))</f>
        <v>7194.2345999999998</v>
      </c>
      <c r="J18" s="159">
        <f t="shared" si="2"/>
        <v>0.65028310978780113</v>
      </c>
      <c r="K18" s="157">
        <f>INDEX(Pub_Comps_Data,MATCH($C18,Ticker_Range,0),MATCH(WACC!K$12,Pub_Comps_Info_Range,0))</f>
        <v>0.21</v>
      </c>
      <c r="L18" s="113">
        <f t="shared" si="3"/>
        <v>1.4931338852691733</v>
      </c>
      <c r="N18" s="97"/>
      <c r="O18" s="6"/>
      <c r="P18" s="6"/>
      <c r="Q18" s="6"/>
      <c r="R18" s="6"/>
      <c r="S18" s="6"/>
      <c r="T18" s="6"/>
      <c r="U18" s="6"/>
      <c r="V18" s="6"/>
      <c r="W18" s="6"/>
      <c r="X18" s="6"/>
      <c r="Y18" s="100"/>
      <c r="Z18" s="98"/>
      <c r="AA18" s="98"/>
      <c r="AB18" s="98"/>
      <c r="AC18" s="98"/>
      <c r="AD18" s="98"/>
    </row>
    <row r="19" spans="2:30" ht="15.75" customHeight="1" x14ac:dyDescent="0.2">
      <c r="B19" s="6" t="str">
        <f>INDEX(Pub_Comps_Data,MATCH($C19,Ticker_Range,0),MATCH(WACC!B$12,Pub_Comps_Info_Range,0))</f>
        <v>Commercial Metals Company</v>
      </c>
      <c r="C19" s="6" t="s">
        <v>31</v>
      </c>
      <c r="D19" s="161">
        <f>INDEX(Pub_Comps_Data,MATCH($C19,Ticker_Range,0),MATCH(WACC!D$12,Pub_Comps_Info_Range,0))</f>
        <v>1.2723</v>
      </c>
      <c r="E19" s="160">
        <f>INDEX(Pub_Comps_Data,MATCH($C19,Ticker_Range,0),MATCH(WACC!E$12,Pub_Comps_Info_Range,0))</f>
        <v>1115.4780000000001</v>
      </c>
      <c r="F19" s="159">
        <f t="shared" si="0"/>
        <v>0.15717560693726307</v>
      </c>
      <c r="G19" s="160">
        <f>INDEX(Pub_Comps_Data,MATCH($C19,Ticker_Range,0),MATCH(WACC!G$12,Pub_Comps_Info_Range,0))</f>
        <v>0</v>
      </c>
      <c r="H19" s="159">
        <f t="shared" si="1"/>
        <v>0</v>
      </c>
      <c r="I19" s="160">
        <f>INDEX(Pub_Comps_Data,MATCH($C19,Ticker_Range,0),MATCH(WACC!I$12,Pub_Comps_Info_Range,0))</f>
        <v>5981.5392900000006</v>
      </c>
      <c r="J19" s="159">
        <f t="shared" si="2"/>
        <v>0.84282439306273693</v>
      </c>
      <c r="K19" s="157">
        <f>INDEX(Pub_Comps_Data,MATCH($C19,Ticker_Range,0),MATCH(WACC!K$12,Pub_Comps_Info_Range,0))</f>
        <v>0.22900000000000001</v>
      </c>
      <c r="L19" s="113">
        <f t="shared" si="3"/>
        <v>1.1123629945910736</v>
      </c>
      <c r="N19" s="97"/>
      <c r="O19" s="6"/>
      <c r="P19" s="6"/>
      <c r="Q19" s="6"/>
      <c r="R19" s="6"/>
      <c r="S19" s="6"/>
      <c r="T19" s="6"/>
      <c r="U19" s="6"/>
      <c r="V19" s="6"/>
      <c r="W19" s="6"/>
      <c r="X19" s="6"/>
      <c r="Y19" s="100"/>
      <c r="Z19" s="98"/>
      <c r="AA19" s="98"/>
      <c r="AB19" s="98"/>
      <c r="AC19" s="98"/>
      <c r="AD19" s="98"/>
    </row>
    <row r="20" spans="2:30" ht="15.75" customHeight="1" x14ac:dyDescent="0.2">
      <c r="B20" s="6" t="str">
        <f>INDEX(Pub_Comps_Data,MATCH($C20,Ticker_Range,0),MATCH(WACC!B$12,Pub_Comps_Info_Range,0))</f>
        <v xml:space="preserve">ATI Inc. </v>
      </c>
      <c r="C20" s="6" t="s">
        <v>133</v>
      </c>
      <c r="D20" s="161">
        <f>INDEX(Pub_Comps_Data,MATCH($C20,Ticker_Range,0),MATCH(WACC!D$12,Pub_Comps_Info_Range,0))</f>
        <v>1.1890000000000001</v>
      </c>
      <c r="E20" s="160">
        <f>INDEX(Pub_Comps_Data,MATCH($C20,Ticker_Range,0),MATCH(WACC!E$12,Pub_Comps_Info_Range,0))</f>
        <v>1703.3</v>
      </c>
      <c r="F20" s="159">
        <f t="shared" si="0"/>
        <v>0.30637570118539137</v>
      </c>
      <c r="G20" s="160">
        <f>INDEX(Pub_Comps_Data,MATCH($C20,Ticker_Range,0),MATCH(WACC!G$12,Pub_Comps_Info_Range,0))</f>
        <v>0</v>
      </c>
      <c r="H20" s="159">
        <f t="shared" si="1"/>
        <v>0</v>
      </c>
      <c r="I20" s="160">
        <f>INDEX(Pub_Comps_Data,MATCH($C20,Ticker_Range,0),MATCH(WACC!I$12,Pub_Comps_Info_Range,0))</f>
        <v>3856.2139999999999</v>
      </c>
      <c r="J20" s="159">
        <f t="shared" si="2"/>
        <v>0.69362429881460863</v>
      </c>
      <c r="K20" s="157">
        <f>INDEX(Pub_Comps_Data,MATCH($C20,Ticker_Range,0),MATCH(WACC!K$12,Pub_Comps_Info_Range,0))</f>
        <v>0.15</v>
      </c>
      <c r="L20" s="113">
        <f t="shared" si="3"/>
        <v>0.86444608248952348</v>
      </c>
      <c r="N20" s="97"/>
      <c r="O20" s="6"/>
      <c r="P20" s="6"/>
      <c r="Q20" s="6"/>
      <c r="R20" s="6"/>
      <c r="S20" s="6"/>
      <c r="T20" s="6"/>
      <c r="U20" s="6"/>
      <c r="V20" s="6"/>
      <c r="W20" s="6"/>
      <c r="X20" s="6"/>
      <c r="Y20" s="100"/>
      <c r="Z20" s="98"/>
      <c r="AA20" s="98"/>
      <c r="AB20" s="98"/>
      <c r="AC20" s="98"/>
      <c r="AD20" s="98"/>
    </row>
    <row r="21" spans="2:30" ht="15.75" customHeight="1" x14ac:dyDescent="0.2">
      <c r="B21" s="6" t="str">
        <f>INDEX(Pub_Comps_Data,MATCH($C21,Ticker_Range,0),MATCH(WACC!B$12,Pub_Comps_Info_Range,0))</f>
        <v>Schnitzer Steel Industries, Inc.</v>
      </c>
      <c r="C21" s="6" t="s">
        <v>134</v>
      </c>
      <c r="D21" s="161">
        <f>INDEX(Pub_Comps_Data,MATCH($C21,Ticker_Range,0),MATCH(WACC!D$12,Pub_Comps_Info_Range,0))</f>
        <v>1.5001</v>
      </c>
      <c r="E21" s="160">
        <f>INDEX(Pub_Comps_Data,MATCH($C21,Ticker_Range,0),MATCH(WACC!E$12,Pub_Comps_Info_Range,0))</f>
        <v>316.108</v>
      </c>
      <c r="F21" s="159">
        <f t="shared" si="0"/>
        <v>0.25618804910160181</v>
      </c>
      <c r="G21" s="160">
        <f>INDEX(Pub_Comps_Data,MATCH($C21,Ticker_Range,0),MATCH(WACC!G$12,Pub_Comps_Info_Range,0))</f>
        <v>0</v>
      </c>
      <c r="H21" s="159">
        <f t="shared" si="1"/>
        <v>0</v>
      </c>
      <c r="I21" s="160">
        <f>INDEX(Pub_Comps_Data,MATCH($C21,Ticker_Range,0),MATCH(WACC!I$12,Pub_Comps_Info_Range,0))</f>
        <v>917.78250000000003</v>
      </c>
      <c r="J21" s="159">
        <f t="shared" si="2"/>
        <v>0.74381195089839824</v>
      </c>
      <c r="K21" s="157">
        <f>INDEX(Pub_Comps_Data,MATCH($C21,Ticker_Range,0),MATCH(WACC!K$12,Pub_Comps_Info_Range,0))</f>
        <v>0.21199999999999999</v>
      </c>
      <c r="L21" s="113">
        <f t="shared" si="3"/>
        <v>1.1798734359776708</v>
      </c>
      <c r="N21" s="97"/>
      <c r="O21" s="6"/>
      <c r="P21" s="6"/>
      <c r="Q21" s="6"/>
      <c r="R21" s="6"/>
      <c r="S21" s="6"/>
      <c r="T21" s="6"/>
      <c r="U21" s="6"/>
      <c r="V21" s="6"/>
      <c r="W21" s="6"/>
      <c r="X21" s="6"/>
      <c r="Y21" s="100"/>
      <c r="Z21" s="98"/>
      <c r="AA21" s="98"/>
      <c r="AB21" s="98"/>
      <c r="AC21" s="98"/>
      <c r="AD21" s="98"/>
    </row>
    <row r="22" spans="2:30" ht="15.75" customHeight="1" x14ac:dyDescent="0.2">
      <c r="N22" s="97"/>
      <c r="O22" s="100"/>
      <c r="P22" s="6"/>
      <c r="Q22" s="6"/>
      <c r="R22" s="6"/>
      <c r="S22" s="6"/>
      <c r="T22" s="6"/>
      <c r="U22" s="6"/>
      <c r="V22" s="6"/>
      <c r="W22" s="6"/>
      <c r="X22" s="6"/>
      <c r="Y22" s="100"/>
      <c r="Z22" s="98"/>
      <c r="AA22" s="98"/>
      <c r="AB22" s="98"/>
      <c r="AC22" s="98"/>
      <c r="AD22" s="98"/>
    </row>
    <row r="23" spans="2:30" ht="15.75" customHeight="1" x14ac:dyDescent="0.2">
      <c r="B23" s="228" t="s">
        <v>54</v>
      </c>
      <c r="C23" s="229"/>
      <c r="D23" s="230">
        <f>MEDIAN(D16:D21)</f>
        <v>1.5091000000000001</v>
      </c>
      <c r="E23" s="230">
        <f>MEDIAN(E16:E21)</f>
        <v>2786.1499999999996</v>
      </c>
      <c r="F23" s="231">
        <f t="shared" ref="F23:K23" si="4">MEDIAN(F16:F21)</f>
        <v>0.28128187514349656</v>
      </c>
      <c r="G23" s="230">
        <f t="shared" si="4"/>
        <v>0</v>
      </c>
      <c r="H23" s="231">
        <f t="shared" si="4"/>
        <v>0</v>
      </c>
      <c r="I23" s="232">
        <f t="shared" si="4"/>
        <v>6587.8869450000002</v>
      </c>
      <c r="J23" s="231">
        <f>MEDIAN(J16:J21)</f>
        <v>0.71871812485650344</v>
      </c>
      <c r="K23" s="232">
        <f t="shared" si="4"/>
        <v>0.216</v>
      </c>
      <c r="L23" s="232">
        <f>MEDIAN(L16:L21)</f>
        <v>1.2753411798716501</v>
      </c>
      <c r="N23" s="97"/>
      <c r="O23" s="6"/>
      <c r="P23" s="6"/>
      <c r="Q23" s="6"/>
      <c r="R23" s="6"/>
      <c r="S23" s="6"/>
      <c r="T23" s="6"/>
      <c r="U23" s="6"/>
      <c r="V23" s="6"/>
      <c r="W23" s="6"/>
      <c r="X23" s="6"/>
      <c r="Y23" s="100"/>
      <c r="Z23" s="98"/>
      <c r="AA23" s="98"/>
      <c r="AB23" s="98"/>
      <c r="AC23" s="98"/>
      <c r="AD23" s="98"/>
    </row>
    <row r="24" spans="2:30" ht="15.75" customHeight="1" x14ac:dyDescent="0.2">
      <c r="N24" s="97"/>
      <c r="O24" s="6"/>
      <c r="P24" s="6"/>
      <c r="Q24" s="6"/>
      <c r="R24" s="6"/>
      <c r="S24" s="6"/>
      <c r="T24" s="6"/>
      <c r="U24" s="6"/>
      <c r="V24" s="6"/>
      <c r="W24" s="6"/>
      <c r="X24" s="6"/>
      <c r="Y24" s="100"/>
      <c r="Z24" s="98"/>
      <c r="AA24" s="98"/>
      <c r="AB24" s="98"/>
      <c r="AC24" s="98"/>
      <c r="AD24" s="98"/>
    </row>
    <row r="25" spans="2:30" ht="15.75" customHeight="1" x14ac:dyDescent="0.2">
      <c r="B25" s="233" t="str">
        <f>Company_Name</f>
        <v xml:space="preserve">STEEL DYNAMICS, INC. </v>
      </c>
      <c r="C25" s="234" t="str">
        <f>Ticker</f>
        <v>STLD</v>
      </c>
      <c r="D25" s="235">
        <f>Public_Comps!G21</f>
        <v>1.4499</v>
      </c>
      <c r="E25" s="236"/>
      <c r="F25" s="236"/>
      <c r="G25" s="236"/>
      <c r="H25" s="236"/>
      <c r="I25" s="236"/>
      <c r="J25" s="236"/>
      <c r="K25" s="237"/>
      <c r="L25" s="238"/>
      <c r="N25" s="97"/>
      <c r="O25" s="100"/>
      <c r="P25" s="6"/>
      <c r="Q25" s="6"/>
      <c r="R25" s="6"/>
      <c r="S25" s="6"/>
      <c r="T25" s="6"/>
      <c r="U25" s="6"/>
      <c r="V25" s="6"/>
      <c r="W25" s="6"/>
      <c r="X25" s="6"/>
      <c r="Y25" s="100"/>
      <c r="Z25" s="98"/>
      <c r="AA25" s="98"/>
      <c r="AB25" s="98"/>
      <c r="AC25" s="98"/>
      <c r="AD25" s="98"/>
    </row>
    <row r="26" spans="2:30" ht="15.75" customHeight="1" x14ac:dyDescent="0.2">
      <c r="N26" s="97"/>
      <c r="O26" s="6"/>
      <c r="P26" s="6"/>
      <c r="Q26" s="6"/>
      <c r="R26" s="6"/>
      <c r="S26" s="6"/>
      <c r="T26" s="6"/>
      <c r="U26" s="6"/>
      <c r="V26" s="6"/>
      <c r="W26" s="6"/>
      <c r="X26" s="6"/>
      <c r="Y26" s="100"/>
      <c r="Z26" s="98"/>
      <c r="AA26" s="98"/>
      <c r="AB26" s="98"/>
      <c r="AC26" s="98"/>
      <c r="AD26" s="98"/>
    </row>
    <row r="27" spans="2:30" ht="15.75" customHeight="1" x14ac:dyDescent="0.2">
      <c r="B27" s="224" t="str">
        <f>TEXT(Company_Name,"")&amp; " - Levered Beta &amp; WACC Calculation:"</f>
        <v>STEEL DYNAMICS, INC.  - Levered Beta &amp; WACC Calculation:</v>
      </c>
      <c r="C27" s="224"/>
      <c r="D27" s="224"/>
      <c r="E27" s="224"/>
      <c r="F27" s="224"/>
      <c r="G27" s="224"/>
      <c r="H27" s="224"/>
      <c r="I27" s="224"/>
      <c r="J27" s="224"/>
      <c r="K27" s="224"/>
      <c r="L27" s="224"/>
      <c r="N27" s="97"/>
      <c r="O27" s="6"/>
      <c r="P27" s="6"/>
      <c r="Q27" s="6"/>
      <c r="R27" s="6"/>
      <c r="S27" s="6"/>
      <c r="T27" s="6"/>
      <c r="U27" s="6"/>
      <c r="V27" s="6"/>
      <c r="W27" s="6"/>
      <c r="X27" s="6"/>
      <c r="Y27" s="100"/>
      <c r="Z27" s="98"/>
      <c r="AA27" s="98"/>
      <c r="AB27" s="98"/>
      <c r="AC27" s="98"/>
      <c r="AD27" s="98"/>
    </row>
    <row r="28" spans="2:30" ht="15.75" customHeight="1" x14ac:dyDescent="0.2">
      <c r="B28" s="224"/>
      <c r="C28" s="224"/>
      <c r="D28" s="225" t="s">
        <v>45</v>
      </c>
      <c r="E28" s="225"/>
      <c r="F28" s="225"/>
      <c r="G28" s="225" t="s">
        <v>44</v>
      </c>
      <c r="H28" s="225"/>
      <c r="I28" s="225" t="s">
        <v>11</v>
      </c>
      <c r="J28" s="225"/>
      <c r="K28" s="225"/>
      <c r="L28" s="225" t="s">
        <v>43</v>
      </c>
      <c r="N28" s="100"/>
      <c r="O28" s="100"/>
      <c r="P28" s="100"/>
      <c r="Q28" s="100"/>
      <c r="R28" s="100"/>
      <c r="S28" s="100"/>
      <c r="T28" s="100"/>
      <c r="U28" s="100"/>
      <c r="V28" s="100"/>
      <c r="W28" s="100"/>
      <c r="X28" s="6"/>
      <c r="Y28" s="100"/>
      <c r="Z28" s="98"/>
      <c r="AA28" s="98"/>
      <c r="AB28" s="98"/>
      <c r="AC28" s="98"/>
      <c r="AD28" s="98"/>
    </row>
    <row r="29" spans="2:30" ht="15.75" customHeight="1" x14ac:dyDescent="0.2">
      <c r="B29" s="226"/>
      <c r="C29" s="226" t="s">
        <v>14</v>
      </c>
      <c r="D29" s="227" t="s">
        <v>47</v>
      </c>
      <c r="E29" s="227" t="s">
        <v>48</v>
      </c>
      <c r="F29" s="227" t="s">
        <v>49</v>
      </c>
      <c r="G29" s="227" t="s">
        <v>50</v>
      </c>
      <c r="H29" s="227" t="s">
        <v>51</v>
      </c>
      <c r="I29" s="227" t="s">
        <v>16</v>
      </c>
      <c r="J29" s="227" t="s">
        <v>52</v>
      </c>
      <c r="K29" s="227" t="s">
        <v>53</v>
      </c>
      <c r="L29" s="227" t="s">
        <v>47</v>
      </c>
      <c r="AB29" s="98"/>
      <c r="AC29" s="98"/>
      <c r="AD29" s="98"/>
    </row>
    <row r="30" spans="2:30" ht="15.75" customHeight="1" x14ac:dyDescent="0.2">
      <c r="B30" s="18" t="s">
        <v>205</v>
      </c>
      <c r="C30" s="18" t="str">
        <f>Ticker</f>
        <v>STLD</v>
      </c>
      <c r="D30" s="161">
        <f>L23</f>
        <v>1.2753411798716501</v>
      </c>
      <c r="E30" s="158">
        <f>INDEX(Pub_Comps_Data,MATCH($C30,Ticker_Range,0),MATCH(WACC!E$12,Pub_Comps_Info_Range,0))</f>
        <v>3260.0829999999996</v>
      </c>
      <c r="F30" s="159">
        <f t="shared" ref="F30" si="5">E30/(E30+G30+I30)</f>
        <v>0.19662464394354817</v>
      </c>
      <c r="G30" s="158">
        <f>INDEX(Pub_Comps_Data,MATCH($C30,Ticker_Range,0),MATCH(WACC!G$12,Pub_Comps_Info_Range,0))</f>
        <v>0</v>
      </c>
      <c r="H30" s="159">
        <f t="shared" ref="H30" si="6">G30/(E30+G30+I30)</f>
        <v>0</v>
      </c>
      <c r="I30" s="158">
        <f>INDEX(Pub_Comps_Data,MATCH($C30,Ticker_Range,0),MATCH(WACC!I$12,Pub_Comps_Info_Range,0))</f>
        <v>13320.153000000002</v>
      </c>
      <c r="J30" s="159">
        <f t="shared" ref="J30" si="7">I30/(I30+G30+E30)</f>
        <v>0.80337535605645183</v>
      </c>
      <c r="K30" s="157">
        <f>INDEX(Pub_Comps_Data,MATCH($C30,Ticker_Range,0),MATCH(WACC!K$12,Pub_Comps_Info_Range,0))</f>
        <v>0.23899999999999999</v>
      </c>
      <c r="L30" s="113">
        <f>D30*(1+E30/I30*(1-K30)+G30/I30)</f>
        <v>1.5128777512512226</v>
      </c>
      <c r="AB30" s="98"/>
      <c r="AC30" s="98"/>
      <c r="AD30" s="98"/>
    </row>
    <row r="31" spans="2:30" ht="15.75" customHeight="1" x14ac:dyDescent="0.2">
      <c r="B31" s="6" t="s">
        <v>206</v>
      </c>
      <c r="C31" s="6" t="str">
        <f>Ticker</f>
        <v>STLD</v>
      </c>
      <c r="D31" s="161">
        <f>L23</f>
        <v>1.2753411798716501</v>
      </c>
      <c r="E31" s="160">
        <f>($E$30+$G$30+$I$30)*F31</f>
        <v>4663.7198724017071</v>
      </c>
      <c r="F31" s="159">
        <f>1-J31-H31</f>
        <v>0.28128187514349656</v>
      </c>
      <c r="G31" s="160">
        <f>($E$30+$G$30+$I$30)*H31</f>
        <v>0</v>
      </c>
      <c r="H31" s="159">
        <f>H23</f>
        <v>0</v>
      </c>
      <c r="I31" s="160">
        <f>($E$30+$G$30+$I$30)*J31</f>
        <v>11916.516127598294</v>
      </c>
      <c r="J31" s="159">
        <f>J23</f>
        <v>0.71871812485650344</v>
      </c>
      <c r="K31" s="157">
        <f>INDEX(Pub_Comps_Data,MATCH($C31,Ticker_Range,0),MATCH(WACC!K$12,Pub_Comps_Info_Range,0))</f>
        <v>0.23899999999999999</v>
      </c>
      <c r="L31" s="113">
        <f>D31*(1+E31/I31*(1-K31)+G31/I31)</f>
        <v>1.65517548958766</v>
      </c>
      <c r="AB31" s="98"/>
      <c r="AC31" s="98"/>
      <c r="AD31" s="98"/>
    </row>
    <row r="32" spans="2:30" ht="15.75" customHeight="1" x14ac:dyDescent="0.2">
      <c r="AB32" s="98"/>
      <c r="AC32" s="98"/>
      <c r="AD32" s="98"/>
    </row>
    <row r="33" spans="2:30" ht="15.75" customHeight="1" x14ac:dyDescent="0.2">
      <c r="B33" s="239" t="s">
        <v>55</v>
      </c>
      <c r="C33" s="240"/>
      <c r="D33" s="240"/>
      <c r="E33" s="240"/>
      <c r="F33" s="240"/>
      <c r="G33" s="240"/>
      <c r="H33" s="240"/>
      <c r="I33" s="240"/>
      <c r="J33" s="240"/>
      <c r="K33" s="240"/>
      <c r="L33" s="241">
        <f>Risk_Free_Rate+Equity_Risk_Premium*L30</f>
        <v>0.11142115407006847</v>
      </c>
      <c r="AB33" s="98"/>
      <c r="AC33" s="98"/>
      <c r="AD33" s="98"/>
    </row>
    <row r="34" spans="2:30" ht="15.75" customHeight="1" x14ac:dyDescent="0.2">
      <c r="B34" s="242" t="s">
        <v>88</v>
      </c>
      <c r="C34" s="243"/>
      <c r="D34" s="243"/>
      <c r="E34" s="243"/>
      <c r="F34" s="243"/>
      <c r="G34" s="243"/>
      <c r="H34" s="243"/>
      <c r="I34" s="243"/>
      <c r="J34" s="243"/>
      <c r="K34" s="243"/>
      <c r="L34" s="327">
        <f>Risk_Free_Rate+Equity_Risk_Premium*L31</f>
        <v>0.11938982741690897</v>
      </c>
      <c r="AB34" s="98"/>
      <c r="AC34" s="98"/>
      <c r="AD34" s="98"/>
    </row>
    <row r="35" spans="2:30" ht="15.75" customHeight="1" x14ac:dyDescent="0.2">
      <c r="B35" s="244" t="s">
        <v>56</v>
      </c>
      <c r="C35" s="245"/>
      <c r="D35" s="245"/>
      <c r="E35" s="245"/>
      <c r="F35" s="245"/>
      <c r="G35" s="245"/>
      <c r="H35" s="245"/>
      <c r="I35" s="245"/>
      <c r="J35" s="245"/>
      <c r="K35" s="245"/>
      <c r="L35" s="246">
        <f>Risk_Free_Rate+Equity_Risk_Premium*D25</f>
        <v>0.1078944</v>
      </c>
      <c r="AB35" s="98"/>
      <c r="AC35" s="98"/>
      <c r="AD35" s="98"/>
    </row>
    <row r="36" spans="2:30" ht="15.75" customHeight="1" x14ac:dyDescent="0.2">
      <c r="B36" s="18"/>
      <c r="C36" s="18"/>
      <c r="D36" s="18"/>
      <c r="E36" s="18"/>
      <c r="F36" s="18"/>
      <c r="G36" s="18"/>
      <c r="H36" s="18"/>
      <c r="I36" s="18"/>
      <c r="J36" s="18"/>
      <c r="K36" s="18"/>
      <c r="L36" s="18"/>
      <c r="AB36" s="98"/>
      <c r="AC36" s="98"/>
      <c r="AD36" s="98"/>
    </row>
    <row r="37" spans="2:30" ht="15.75" customHeight="1" x14ac:dyDescent="0.2">
      <c r="B37" s="239" t="s">
        <v>57</v>
      </c>
      <c r="C37" s="240"/>
      <c r="D37" s="240"/>
      <c r="E37" s="240"/>
      <c r="F37" s="240"/>
      <c r="G37" s="240"/>
      <c r="H37" s="240"/>
      <c r="I37" s="240"/>
      <c r="J37" s="240"/>
      <c r="K37" s="240"/>
      <c r="L37" s="247">
        <f>L33*J30+Cost_of_Debt*F30*(1-K30)+Cost_of_Preferred*H30</f>
        <v>9.3284278005663274E-2</v>
      </c>
      <c r="AB37" s="98"/>
      <c r="AC37" s="98"/>
      <c r="AD37" s="98"/>
    </row>
    <row r="38" spans="2:30" ht="15.75" customHeight="1" x14ac:dyDescent="0.2">
      <c r="B38" s="242" t="s">
        <v>89</v>
      </c>
      <c r="C38" s="243"/>
      <c r="D38" s="243"/>
      <c r="E38" s="243"/>
      <c r="F38" s="243"/>
      <c r="G38" s="243"/>
      <c r="H38" s="243"/>
      <c r="I38" s="243"/>
      <c r="J38" s="243"/>
      <c r="K38" s="243"/>
      <c r="L38" s="328">
        <f>L34*J31+Cost_of_Debt*F31*(1-K31)+Cost_of_Preferred*H31</f>
        <v>9.1202630714237481E-2</v>
      </c>
      <c r="AB38" s="98"/>
      <c r="AC38" s="98"/>
      <c r="AD38" s="98"/>
    </row>
    <row r="39" spans="2:30" ht="15.75" customHeight="1" x14ac:dyDescent="0.2">
      <c r="B39" s="244" t="s">
        <v>58</v>
      </c>
      <c r="C39" s="245"/>
      <c r="D39" s="245"/>
      <c r="E39" s="245"/>
      <c r="F39" s="245"/>
      <c r="G39" s="245"/>
      <c r="H39" s="245"/>
      <c r="I39" s="245"/>
      <c r="J39" s="245"/>
      <c r="K39" s="245"/>
      <c r="L39" s="328">
        <f>L35*J30+Cost_of_Debt*F30*(1-K30)+Cost_of_Preferred*H30</f>
        <v>9.0450970698898472E-2</v>
      </c>
      <c r="AB39" s="98"/>
      <c r="AC39" s="98"/>
      <c r="AD39" s="98"/>
    </row>
    <row r="40" spans="2:30" ht="15.75" customHeight="1" x14ac:dyDescent="0.2">
      <c r="AB40" s="98"/>
      <c r="AC40" s="98"/>
      <c r="AD40" s="98"/>
    </row>
    <row r="41" spans="2:30" ht="15.75" customHeight="1" x14ac:dyDescent="0.2">
      <c r="B41" s="233" t="s">
        <v>90</v>
      </c>
      <c r="C41" s="234"/>
      <c r="D41" s="234"/>
      <c r="E41" s="234"/>
      <c r="F41" s="234"/>
      <c r="G41" s="234"/>
      <c r="H41" s="234"/>
      <c r="I41" s="234"/>
      <c r="J41" s="234"/>
      <c r="K41" s="234"/>
      <c r="L41" s="248">
        <f>AVERAGE(L37:L39)</f>
        <v>9.16459598062664E-2</v>
      </c>
      <c r="AB41" s="98"/>
      <c r="AC41" s="98"/>
      <c r="AD41" s="98"/>
    </row>
    <row r="42" spans="2:30" x14ac:dyDescent="0.2">
      <c r="O42" s="100"/>
      <c r="P42" s="100"/>
      <c r="Q42" s="100"/>
      <c r="R42" s="100"/>
      <c r="S42" s="100"/>
      <c r="T42" s="100"/>
      <c r="U42" s="100"/>
      <c r="V42" s="100"/>
      <c r="W42" s="100"/>
      <c r="X42" s="100"/>
      <c r="Y42" s="100"/>
      <c r="Z42" s="98"/>
      <c r="AA42" s="98"/>
      <c r="AB42" s="98"/>
      <c r="AC42" s="98"/>
      <c r="AD42" s="98"/>
    </row>
    <row r="43" spans="2:30" x14ac:dyDescent="0.2">
      <c r="O43" s="100"/>
      <c r="P43" s="100"/>
      <c r="Q43" s="100"/>
      <c r="R43" s="100"/>
      <c r="S43" s="100"/>
      <c r="T43" s="100"/>
      <c r="U43" s="100"/>
      <c r="V43" s="100"/>
      <c r="W43" s="100"/>
      <c r="X43" s="100"/>
      <c r="Y43" s="100"/>
      <c r="Z43" s="98"/>
      <c r="AA43" s="98"/>
      <c r="AB43" s="98"/>
      <c r="AC43" s="98"/>
      <c r="AD43" s="98"/>
    </row>
    <row r="44" spans="2:30" x14ac:dyDescent="0.2">
      <c r="O44" s="100"/>
      <c r="P44" s="100"/>
      <c r="Q44" s="100"/>
      <c r="R44" s="100"/>
      <c r="S44" s="100"/>
      <c r="T44" s="100"/>
      <c r="U44" s="100"/>
      <c r="V44" s="100"/>
      <c r="W44" s="100"/>
      <c r="X44" s="100"/>
      <c r="Y44" s="100"/>
      <c r="Z44" s="98"/>
      <c r="AA44" s="98"/>
      <c r="AB44" s="98"/>
      <c r="AC44" s="98"/>
      <c r="AD44" s="98"/>
    </row>
    <row r="45" spans="2:30" x14ac:dyDescent="0.2">
      <c r="O45" s="100"/>
      <c r="P45" s="100"/>
      <c r="Q45" s="100"/>
      <c r="R45" s="100"/>
      <c r="S45" s="100"/>
      <c r="T45" s="100"/>
      <c r="U45" s="100"/>
      <c r="V45" s="100"/>
      <c r="W45" s="100"/>
      <c r="X45" s="100"/>
      <c r="Y45" s="100"/>
      <c r="Z45" s="98"/>
      <c r="AA45" s="98"/>
      <c r="AB45" s="98"/>
      <c r="AC45" s="98"/>
      <c r="AD45" s="98"/>
    </row>
    <row r="46" spans="2:30" x14ac:dyDescent="0.2">
      <c r="O46" s="100"/>
      <c r="P46" s="100"/>
      <c r="Q46" s="100"/>
      <c r="R46" s="100"/>
      <c r="S46" s="100"/>
      <c r="T46" s="100"/>
      <c r="U46" s="100"/>
      <c r="V46" s="100"/>
      <c r="W46" s="100"/>
      <c r="X46" s="100"/>
      <c r="Y46" s="100"/>
      <c r="Z46" s="98"/>
      <c r="AA46" s="98"/>
      <c r="AB46" s="98"/>
      <c r="AC46" s="98"/>
      <c r="AD46" s="98"/>
    </row>
    <row r="47" spans="2:30" x14ac:dyDescent="0.2">
      <c r="N47" s="100"/>
      <c r="O47" s="100"/>
      <c r="P47" s="100"/>
      <c r="Q47" s="100"/>
      <c r="R47" s="100"/>
      <c r="S47" s="100"/>
      <c r="T47" s="100"/>
      <c r="U47" s="100"/>
      <c r="V47" s="100"/>
      <c r="W47" s="100"/>
      <c r="X47" s="100"/>
      <c r="Y47" s="100"/>
      <c r="Z47" s="98"/>
      <c r="AA47" s="98"/>
      <c r="AB47" s="98"/>
      <c r="AC47" s="98"/>
      <c r="AD47" s="98"/>
    </row>
    <row r="48" spans="2:30" x14ac:dyDescent="0.2">
      <c r="N48" s="100"/>
      <c r="O48" s="100"/>
      <c r="P48" s="100"/>
      <c r="Q48" s="100"/>
      <c r="R48" s="100"/>
      <c r="S48" s="100"/>
      <c r="T48" s="100"/>
      <c r="U48" s="100"/>
      <c r="V48" s="100"/>
      <c r="W48" s="100"/>
      <c r="X48" s="100"/>
      <c r="Y48" s="100"/>
      <c r="Z48" s="98"/>
      <c r="AA48" s="98"/>
      <c r="AB48" s="98"/>
      <c r="AC48" s="98"/>
      <c r="AD48" s="98"/>
    </row>
    <row r="49" spans="15:30" x14ac:dyDescent="0.2">
      <c r="O49" s="99"/>
      <c r="P49" s="99"/>
      <c r="Q49" s="99"/>
      <c r="R49" s="99"/>
      <c r="S49" s="99"/>
      <c r="T49" s="99"/>
      <c r="U49" s="99"/>
      <c r="V49" s="99"/>
      <c r="W49" s="99"/>
      <c r="X49" s="99"/>
      <c r="Y49" s="99"/>
      <c r="Z49" s="98"/>
      <c r="AA49" s="98"/>
      <c r="AB49" s="98"/>
      <c r="AC49" s="98"/>
      <c r="AD49" s="98"/>
    </row>
    <row r="50" spans="15:30" x14ac:dyDescent="0.2">
      <c r="O50" s="99"/>
      <c r="P50" s="99"/>
      <c r="Q50" s="99"/>
      <c r="R50" s="99"/>
      <c r="S50" s="99"/>
      <c r="T50" s="99"/>
      <c r="U50" s="99"/>
      <c r="V50" s="99"/>
      <c r="W50" s="99"/>
      <c r="X50" s="99"/>
      <c r="Y50" s="99"/>
      <c r="Z50" s="98"/>
      <c r="AA50" s="98"/>
      <c r="AB50" s="98"/>
      <c r="AC50" s="98"/>
      <c r="AD50" s="98"/>
    </row>
    <row r="51" spans="15:30" x14ac:dyDescent="0.2">
      <c r="O51" s="99"/>
      <c r="P51" s="99"/>
      <c r="Q51" s="99"/>
      <c r="R51" s="99"/>
      <c r="S51" s="99"/>
      <c r="T51" s="99"/>
      <c r="U51" s="99"/>
      <c r="V51" s="99"/>
      <c r="W51" s="99"/>
      <c r="X51" s="99"/>
      <c r="Y51" s="99"/>
      <c r="Z51" s="98"/>
      <c r="AA51" s="98"/>
      <c r="AB51" s="98"/>
      <c r="AC51" s="98"/>
      <c r="AD51" s="98"/>
    </row>
    <row r="52" spans="15:30" x14ac:dyDescent="0.2">
      <c r="O52" s="99"/>
      <c r="P52" s="99"/>
      <c r="Q52" s="99"/>
      <c r="R52" s="99"/>
      <c r="S52" s="99"/>
      <c r="T52" s="99"/>
      <c r="U52" s="99"/>
      <c r="V52" s="99"/>
      <c r="W52" s="99"/>
      <c r="X52" s="99"/>
      <c r="Y52" s="99"/>
      <c r="Z52" s="98"/>
      <c r="AA52" s="98"/>
      <c r="AB52" s="98"/>
      <c r="AC52" s="98"/>
      <c r="AD52" s="98"/>
    </row>
    <row r="53" spans="15:30" x14ac:dyDescent="0.2">
      <c r="O53" s="99"/>
      <c r="P53" s="99"/>
      <c r="Q53" s="99"/>
      <c r="R53" s="99"/>
      <c r="S53" s="99"/>
      <c r="T53" s="99"/>
      <c r="U53" s="99"/>
      <c r="V53" s="99"/>
      <c r="W53" s="99"/>
      <c r="X53" s="99"/>
      <c r="Y53" s="99"/>
      <c r="Z53" s="98"/>
      <c r="AA53" s="98"/>
      <c r="AB53" s="98"/>
      <c r="AC53" s="98"/>
      <c r="AD53" s="98"/>
    </row>
    <row r="54" spans="15:30" x14ac:dyDescent="0.2">
      <c r="O54" s="99"/>
      <c r="P54" s="99"/>
      <c r="Q54" s="99"/>
      <c r="R54" s="99"/>
      <c r="S54" s="99"/>
      <c r="T54" s="99"/>
      <c r="U54" s="99"/>
      <c r="V54" s="99"/>
      <c r="W54" s="99"/>
      <c r="X54" s="99"/>
      <c r="Y54" s="99"/>
      <c r="Z54" s="98"/>
      <c r="AA54" s="98"/>
      <c r="AB54" s="98"/>
      <c r="AC54" s="98"/>
      <c r="AD54" s="98"/>
    </row>
    <row r="55" spans="15:30" x14ac:dyDescent="0.2">
      <c r="O55" s="99"/>
      <c r="P55" s="99"/>
      <c r="Q55" s="99"/>
      <c r="R55" s="99"/>
      <c r="S55" s="99"/>
      <c r="T55" s="99"/>
      <c r="U55" s="99"/>
      <c r="V55" s="99"/>
      <c r="W55" s="99"/>
      <c r="X55" s="99"/>
      <c r="Y55" s="99"/>
    </row>
    <row r="56" spans="15:30" x14ac:dyDescent="0.2">
      <c r="O56" s="99"/>
      <c r="P56" s="99"/>
      <c r="Q56" s="99"/>
      <c r="R56" s="99"/>
      <c r="S56" s="99"/>
      <c r="T56" s="99"/>
      <c r="U56" s="99"/>
      <c r="V56" s="99"/>
      <c r="W56" s="99"/>
      <c r="X56" s="99"/>
      <c r="Y56" s="99"/>
    </row>
    <row r="57" spans="15:30" x14ac:dyDescent="0.2">
      <c r="O57" s="99"/>
      <c r="P57" s="99"/>
      <c r="Q57" s="99"/>
      <c r="R57" s="99"/>
      <c r="S57" s="99"/>
      <c r="T57" s="99"/>
      <c r="U57" s="99"/>
      <c r="V57" s="99"/>
      <c r="W57" s="99"/>
      <c r="X57" s="99"/>
      <c r="Y57" s="99"/>
    </row>
    <row r="58" spans="15:30" x14ac:dyDescent="0.2">
      <c r="O58" s="99"/>
      <c r="P58" s="99"/>
      <c r="Q58" s="99"/>
      <c r="R58" s="99"/>
      <c r="S58" s="99"/>
      <c r="T58" s="99"/>
      <c r="U58" s="99"/>
      <c r="V58" s="99"/>
      <c r="W58" s="99"/>
      <c r="X58" s="99"/>
      <c r="Y58" s="99"/>
    </row>
    <row r="59" spans="15:30" x14ac:dyDescent="0.2">
      <c r="O59" s="99"/>
      <c r="P59" s="99"/>
      <c r="Q59" s="99"/>
      <c r="R59" s="99"/>
      <c r="S59" s="99"/>
      <c r="T59" s="99"/>
      <c r="U59" s="99"/>
      <c r="V59" s="99"/>
      <c r="W59" s="99"/>
      <c r="X59" s="99"/>
      <c r="Y59" s="99"/>
    </row>
  </sheetData>
  <pageMargins left="0.7" right="0.7" top="0.75" bottom="0.75" header="0.3" footer="0.3"/>
  <pageSetup scale="5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AP51"/>
  <sheetViews>
    <sheetView showGridLines="0" topLeftCell="F1" zoomScaleNormal="100" workbookViewId="0">
      <selection activeCell="T14" sqref="T14"/>
    </sheetView>
  </sheetViews>
  <sheetFormatPr baseColWidth="10" defaultColWidth="9.1640625" defaultRowHeight="16" outlineLevelCol="1" x14ac:dyDescent="0.2"/>
  <cols>
    <col min="1" max="1" width="2.5" style="70" customWidth="1"/>
    <col min="2" max="2" width="42.5" style="70" customWidth="1"/>
    <col min="3" max="3" width="10.1640625" style="70" customWidth="1" outlineLevel="1"/>
    <col min="4" max="4" width="12.6640625" style="70" customWidth="1" outlineLevel="1"/>
    <col min="5" max="5" width="19.6640625" style="70" customWidth="1" outlineLevel="1"/>
    <col min="6" max="6" width="12.6640625" style="70" customWidth="1"/>
    <col min="7" max="8" width="12.6640625" style="70" customWidth="1" outlineLevel="1"/>
    <col min="9" max="9" width="18.5" style="70" customWidth="1" outlineLevel="1"/>
    <col min="10" max="12" width="12.6640625" style="70" customWidth="1" outlineLevel="1"/>
    <col min="13" max="27" width="12.6640625" style="70" customWidth="1"/>
    <col min="28" max="28" width="2.5" style="70" customWidth="1"/>
    <col min="29" max="29" width="2.6640625" style="70" customWidth="1"/>
    <col min="30" max="38" width="12.33203125" style="70" customWidth="1"/>
    <col min="39" max="16384" width="9.1640625" style="70"/>
  </cols>
  <sheetData>
    <row r="1" spans="1:42" x14ac:dyDescent="0.2">
      <c r="A1" s="6"/>
      <c r="B1" s="6"/>
      <c r="C1" s="6"/>
      <c r="D1" s="6"/>
      <c r="E1" s="6"/>
      <c r="F1" s="6"/>
      <c r="G1" s="6"/>
      <c r="H1" s="6"/>
      <c r="I1" s="6"/>
      <c r="J1" s="6"/>
      <c r="K1" s="6"/>
      <c r="L1" s="6"/>
      <c r="M1" s="6"/>
      <c r="N1" s="6"/>
      <c r="O1" s="6"/>
      <c r="P1" s="6"/>
      <c r="Q1" s="6"/>
      <c r="R1" s="6"/>
      <c r="S1" s="6"/>
      <c r="T1" s="6"/>
      <c r="U1" s="6"/>
      <c r="V1" s="6"/>
      <c r="W1" s="6"/>
      <c r="X1" s="6"/>
      <c r="Y1" s="6"/>
      <c r="Z1" s="6"/>
      <c r="AA1" s="6"/>
    </row>
    <row r="2" spans="1:42" ht="17.75" customHeight="1" x14ac:dyDescent="0.25">
      <c r="A2" s="6"/>
      <c r="B2" s="2" t="s">
        <v>234</v>
      </c>
      <c r="C2" s="29"/>
      <c r="D2" s="29"/>
      <c r="E2" s="29"/>
      <c r="F2" s="6"/>
      <c r="G2" s="6"/>
      <c r="H2" s="6"/>
      <c r="I2" s="6"/>
      <c r="J2" s="6"/>
      <c r="K2" s="6"/>
      <c r="L2" s="6"/>
      <c r="M2" s="6"/>
      <c r="N2" s="6"/>
      <c r="O2" s="6"/>
      <c r="P2" s="6"/>
      <c r="Q2" s="6"/>
      <c r="R2" s="6"/>
      <c r="S2" s="6"/>
      <c r="T2" s="6"/>
      <c r="U2" s="6"/>
      <c r="V2" s="6"/>
      <c r="W2" s="6"/>
      <c r="X2" s="6"/>
      <c r="Y2" s="6"/>
      <c r="Z2" s="6"/>
      <c r="AA2" s="6"/>
    </row>
    <row r="3" spans="1:42" x14ac:dyDescent="0.2">
      <c r="A3" s="6"/>
      <c r="B3" s="6" t="s">
        <v>100</v>
      </c>
      <c r="C3" s="6"/>
      <c r="D3" s="29"/>
      <c r="E3" s="29"/>
      <c r="F3" s="6"/>
      <c r="G3" s="6"/>
      <c r="H3" s="6"/>
      <c r="I3" s="6"/>
      <c r="J3" s="6"/>
      <c r="K3" s="6"/>
      <c r="L3" s="6"/>
      <c r="M3" s="6"/>
      <c r="N3" s="6"/>
      <c r="O3" s="6"/>
      <c r="P3" s="6"/>
      <c r="Q3" s="6"/>
      <c r="R3" s="6"/>
      <c r="S3" s="6"/>
      <c r="T3" s="6"/>
      <c r="U3" s="6"/>
      <c r="V3" s="6"/>
      <c r="W3" s="6"/>
      <c r="X3" s="6"/>
      <c r="Y3" s="6"/>
      <c r="Z3" s="6"/>
      <c r="AA3" s="6"/>
    </row>
    <row r="4" spans="1:42" x14ac:dyDescent="0.2">
      <c r="A4" s="6"/>
      <c r="B4" s="67"/>
      <c r="C4" s="6"/>
      <c r="D4" s="67"/>
      <c r="E4" s="67"/>
      <c r="F4" s="67"/>
      <c r="G4" s="67"/>
      <c r="H4" s="111"/>
      <c r="I4" s="67"/>
      <c r="J4" s="67"/>
      <c r="K4" s="67"/>
      <c r="L4" s="67"/>
      <c r="M4" s="67"/>
      <c r="N4" s="67"/>
      <c r="O4" s="67"/>
      <c r="P4" s="67"/>
      <c r="Q4" s="67"/>
      <c r="R4" s="67"/>
      <c r="S4" s="67"/>
      <c r="T4" s="67"/>
      <c r="U4" s="67"/>
      <c r="V4" s="67"/>
      <c r="W4" s="6"/>
      <c r="X4" s="6"/>
      <c r="Y4" s="6"/>
      <c r="Z4" s="6"/>
      <c r="AA4" s="6"/>
    </row>
    <row r="5" spans="1:42" x14ac:dyDescent="0.2">
      <c r="A5" s="6"/>
      <c r="B5" s="251" t="s">
        <v>79</v>
      </c>
      <c r="C5" s="224"/>
      <c r="D5" s="224"/>
      <c r="E5" s="224"/>
      <c r="F5" s="252" t="s">
        <v>9</v>
      </c>
      <c r="G5" s="252"/>
      <c r="H5" s="252"/>
      <c r="I5" s="252"/>
      <c r="J5" s="252"/>
      <c r="K5" s="252"/>
      <c r="L5" s="252"/>
      <c r="M5" s="253"/>
      <c r="N5" s="254"/>
      <c r="O5" s="254"/>
      <c r="P5" s="254"/>
      <c r="Q5" s="254"/>
      <c r="R5" s="254"/>
      <c r="S5" s="254"/>
      <c r="T5" s="254"/>
      <c r="U5" s="254"/>
      <c r="V5" s="254"/>
      <c r="W5" s="225" t="s">
        <v>0</v>
      </c>
      <c r="X5" s="225" t="s">
        <v>0</v>
      </c>
      <c r="Y5" s="252"/>
      <c r="Z5" s="252"/>
      <c r="AA5" s="255"/>
      <c r="AP5" s="98"/>
    </row>
    <row r="6" spans="1:42" x14ac:dyDescent="0.2">
      <c r="A6" s="6"/>
      <c r="B6" s="254"/>
      <c r="C6" s="254"/>
      <c r="D6" s="225" t="s">
        <v>10</v>
      </c>
      <c r="E6" s="225" t="s">
        <v>77</v>
      </c>
      <c r="F6" s="225" t="s">
        <v>11</v>
      </c>
      <c r="G6" s="225"/>
      <c r="H6" s="225"/>
      <c r="I6" s="225"/>
      <c r="J6" s="225"/>
      <c r="K6" s="225"/>
      <c r="L6" s="225" t="s">
        <v>82</v>
      </c>
      <c r="M6" s="225" t="s">
        <v>12</v>
      </c>
      <c r="N6" s="252" t="s">
        <v>18</v>
      </c>
      <c r="O6" s="252"/>
      <c r="P6" s="252"/>
      <c r="Q6" s="252" t="s">
        <v>19</v>
      </c>
      <c r="R6" s="252"/>
      <c r="S6" s="252"/>
      <c r="T6" s="252" t="s">
        <v>78</v>
      </c>
      <c r="U6" s="252"/>
      <c r="V6" s="252"/>
      <c r="W6" s="225" t="s">
        <v>18</v>
      </c>
      <c r="X6" s="225" t="s">
        <v>19</v>
      </c>
      <c r="Y6" s="252" t="s">
        <v>21</v>
      </c>
      <c r="Z6" s="252"/>
      <c r="AA6" s="252"/>
      <c r="AP6" s="98"/>
    </row>
    <row r="7" spans="1:42" x14ac:dyDescent="0.2">
      <c r="A7" s="6"/>
      <c r="B7" s="226" t="s">
        <v>13</v>
      </c>
      <c r="C7" s="226" t="s">
        <v>14</v>
      </c>
      <c r="D7" s="227" t="s">
        <v>15</v>
      </c>
      <c r="E7" s="227" t="s">
        <v>38</v>
      </c>
      <c r="F7" s="227" t="s">
        <v>204</v>
      </c>
      <c r="G7" s="227" t="s">
        <v>47</v>
      </c>
      <c r="H7" s="227" t="s">
        <v>53</v>
      </c>
      <c r="I7" s="227" t="s">
        <v>81</v>
      </c>
      <c r="J7" s="227" t="s">
        <v>48</v>
      </c>
      <c r="K7" s="227" t="s">
        <v>44</v>
      </c>
      <c r="L7" s="227" t="s">
        <v>83</v>
      </c>
      <c r="M7" s="227" t="s">
        <v>16</v>
      </c>
      <c r="N7" s="256" t="s">
        <v>17</v>
      </c>
      <c r="O7" s="257" t="s">
        <v>120</v>
      </c>
      <c r="P7" s="257" t="s">
        <v>231</v>
      </c>
      <c r="Q7" s="256" t="str">
        <f>$N$7</f>
        <v>LTM</v>
      </c>
      <c r="R7" s="257" t="str">
        <f>+$O$7</f>
        <v>CY 22</v>
      </c>
      <c r="S7" s="257" t="str">
        <f>+$P$7</f>
        <v>CY 23</v>
      </c>
      <c r="T7" s="256" t="str">
        <f>$N$7</f>
        <v>LTM</v>
      </c>
      <c r="U7" s="257" t="str">
        <f>+$O$7</f>
        <v>CY 22</v>
      </c>
      <c r="V7" s="257" t="str">
        <f>+$P$7</f>
        <v>CY 23</v>
      </c>
      <c r="W7" s="227" t="s">
        <v>20</v>
      </c>
      <c r="X7" s="227" t="s">
        <v>20</v>
      </c>
      <c r="Y7" s="256" t="str">
        <f>$N$7</f>
        <v>LTM</v>
      </c>
      <c r="Z7" s="257" t="str">
        <f>+$O$7</f>
        <v>CY 22</v>
      </c>
      <c r="AA7" s="257" t="str">
        <f>+$P$7</f>
        <v>CY 23</v>
      </c>
      <c r="AP7" s="98"/>
    </row>
    <row r="8" spans="1:42" x14ac:dyDescent="0.2">
      <c r="A8" s="6"/>
      <c r="B8" s="6" t="s">
        <v>29</v>
      </c>
      <c r="C8" s="6" t="s">
        <v>30</v>
      </c>
      <c r="D8" s="194">
        <v>134.47</v>
      </c>
      <c r="E8" s="186">
        <v>263.71899999999999</v>
      </c>
      <c r="F8" s="39">
        <f>D8*E8</f>
        <v>35462.29393</v>
      </c>
      <c r="G8" s="196">
        <v>1.5181</v>
      </c>
      <c r="H8" s="197">
        <v>0.23200000000000001</v>
      </c>
      <c r="I8" s="184">
        <v>-3725.2660000000001</v>
      </c>
      <c r="J8" s="184">
        <v>4961.41</v>
      </c>
      <c r="K8" s="184">
        <v>0</v>
      </c>
      <c r="L8" s="184">
        <v>938.55799999999999</v>
      </c>
      <c r="M8" s="36">
        <f t="shared" ref="M8:M13" si="0">+F8+I8+J8+K8+L8</f>
        <v>37636.995929999997</v>
      </c>
      <c r="N8" s="184">
        <v>42965.39</v>
      </c>
      <c r="O8" s="184">
        <v>41656.22</v>
      </c>
      <c r="P8" s="184">
        <v>34429.67</v>
      </c>
      <c r="Q8" s="184">
        <v>13320.4</v>
      </c>
      <c r="R8" s="184">
        <v>11636.41</v>
      </c>
      <c r="S8" s="184">
        <v>5497.36</v>
      </c>
      <c r="T8" s="184">
        <v>9035</v>
      </c>
      <c r="U8" s="184">
        <v>7724.99</v>
      </c>
      <c r="V8" s="184">
        <v>3393.99</v>
      </c>
      <c r="W8" s="26">
        <f>IFERROR(P8/O8-1,"N/A")</f>
        <v>-0.17348069507987052</v>
      </c>
      <c r="X8" s="26">
        <f>IFERROR(S8/R8-1,"N/A")</f>
        <v>-0.52757250732829108</v>
      </c>
      <c r="Y8" s="26">
        <f>Q8/N8</f>
        <v>0.31002627929130866</v>
      </c>
      <c r="Z8" s="26">
        <f t="shared" ref="Y8:AA13" si="1">R8/O8</f>
        <v>0.2793438770968657</v>
      </c>
      <c r="AA8" s="26">
        <f t="shared" si="1"/>
        <v>0.15966926200570614</v>
      </c>
      <c r="AP8" s="6"/>
    </row>
    <row r="9" spans="1:42" x14ac:dyDescent="0.2">
      <c r="A9" s="6"/>
      <c r="B9" s="6" t="s">
        <v>240</v>
      </c>
      <c r="C9" s="6" t="s">
        <v>105</v>
      </c>
      <c r="D9" s="194">
        <v>16.315000000000001</v>
      </c>
      <c r="E9" s="186">
        <v>526</v>
      </c>
      <c r="F9" s="39">
        <f t="shared" ref="F9:F13" si="2">D9*E9</f>
        <v>8581.69</v>
      </c>
      <c r="G9" s="196">
        <v>2.0779000000000001</v>
      </c>
      <c r="H9" s="197">
        <v>0.22</v>
      </c>
      <c r="I9" s="184">
        <v>-47</v>
      </c>
      <c r="J9" s="184">
        <v>4668</v>
      </c>
      <c r="K9" s="186">
        <v>0</v>
      </c>
      <c r="L9" s="250">
        <f>265+(2314+527)*(1-0.22)</f>
        <v>2480.98</v>
      </c>
      <c r="M9" s="39">
        <f t="shared" si="0"/>
        <v>15683.67</v>
      </c>
      <c r="N9" s="184">
        <v>23642</v>
      </c>
      <c r="O9" s="184">
        <v>23444.98</v>
      </c>
      <c r="P9" s="184">
        <v>20057.09</v>
      </c>
      <c r="Q9" s="184">
        <v>6020</v>
      </c>
      <c r="R9" s="184">
        <v>3920.49</v>
      </c>
      <c r="S9" s="184">
        <v>2626.79</v>
      </c>
      <c r="T9" s="184">
        <v>3564</v>
      </c>
      <c r="U9" s="184">
        <v>2006.03</v>
      </c>
      <c r="V9" s="184">
        <v>1146.82</v>
      </c>
      <c r="W9" s="26">
        <f t="shared" ref="W9:W13" si="3">IFERROR(P9/O9-1,"N/A")</f>
        <v>-0.1445038554095589</v>
      </c>
      <c r="X9" s="26">
        <f>IFERROR(S9/R9-1,"N/A")</f>
        <v>-0.32998426217131016</v>
      </c>
      <c r="Y9" s="26">
        <f>Q9/N9</f>
        <v>0.25463158785212758</v>
      </c>
      <c r="Z9" s="26">
        <f t="shared" si="1"/>
        <v>0.16722087201609898</v>
      </c>
      <c r="AA9" s="26">
        <f t="shared" si="1"/>
        <v>0.13096565852773259</v>
      </c>
      <c r="AP9" s="6"/>
    </row>
    <row r="10" spans="1:42" x14ac:dyDescent="0.2">
      <c r="A10" s="6"/>
      <c r="B10" s="6" t="s">
        <v>121</v>
      </c>
      <c r="C10" s="6" t="s">
        <v>28</v>
      </c>
      <c r="D10" s="195">
        <v>25.094999999999999</v>
      </c>
      <c r="E10" s="186">
        <v>286.68</v>
      </c>
      <c r="F10" s="39">
        <f t="shared" si="2"/>
        <v>7194.2345999999998</v>
      </c>
      <c r="G10" s="196">
        <v>2.1274999999999999</v>
      </c>
      <c r="H10" s="197">
        <v>0.21</v>
      </c>
      <c r="I10" s="184">
        <v>-3035</v>
      </c>
      <c r="J10" s="184">
        <v>3869</v>
      </c>
      <c r="K10" s="186">
        <v>0</v>
      </c>
      <c r="L10" s="250">
        <f>93+206*(1-H10)</f>
        <v>255.74</v>
      </c>
      <c r="M10" s="39">
        <f t="shared" si="0"/>
        <v>8283.9745999999996</v>
      </c>
      <c r="N10" s="184">
        <v>23110</v>
      </c>
      <c r="O10" s="184">
        <v>20718.849999999999</v>
      </c>
      <c r="P10" s="184">
        <v>16116.35</v>
      </c>
      <c r="Q10" s="184">
        <v>6535</v>
      </c>
      <c r="R10" s="184">
        <v>4288.3100000000004</v>
      </c>
      <c r="S10" s="184">
        <v>1955.89</v>
      </c>
      <c r="T10" s="184">
        <v>4931</v>
      </c>
      <c r="U10" s="184">
        <v>2718.29</v>
      </c>
      <c r="V10" s="184">
        <v>719.88</v>
      </c>
      <c r="W10" s="26">
        <f t="shared" si="3"/>
        <v>-0.22214070761649407</v>
      </c>
      <c r="X10" s="26">
        <f>IFERROR(S10/R10-1,"N/A")</f>
        <v>-0.54390191007646371</v>
      </c>
      <c r="Y10" s="26">
        <f>Q10/N10</f>
        <v>0.28277801817395065</v>
      </c>
      <c r="Z10" s="26">
        <f>R10/O10</f>
        <v>0.20697625592154009</v>
      </c>
      <c r="AA10" s="26">
        <f t="shared" si="1"/>
        <v>0.12136060584437544</v>
      </c>
      <c r="AP10" s="6"/>
    </row>
    <row r="11" spans="1:42" x14ac:dyDescent="0.2">
      <c r="A11" s="6"/>
      <c r="B11" s="6" t="s">
        <v>242</v>
      </c>
      <c r="C11" s="6" t="s">
        <v>31</v>
      </c>
      <c r="D11" s="195">
        <v>48.71</v>
      </c>
      <c r="E11" s="186">
        <v>122.79900000000001</v>
      </c>
      <c r="F11" s="39">
        <f t="shared" si="2"/>
        <v>5981.5392900000006</v>
      </c>
      <c r="G11" s="196">
        <v>1.2723</v>
      </c>
      <c r="H11" s="197">
        <v>0.22900000000000001</v>
      </c>
      <c r="I11" s="184">
        <v>-410.26499999999999</v>
      </c>
      <c r="J11" s="184">
        <v>1115.4780000000001</v>
      </c>
      <c r="K11" s="186">
        <v>0</v>
      </c>
      <c r="L11" s="184">
        <v>0.23200000000000001</v>
      </c>
      <c r="M11" s="39">
        <f t="shared" si="0"/>
        <v>6686.9842900000003</v>
      </c>
      <c r="N11" s="184">
        <v>8537.1</v>
      </c>
      <c r="O11" s="250">
        <f>8916.62*(8/12)+8116.73*(4/12)</f>
        <v>8649.99</v>
      </c>
      <c r="P11" s="250">
        <f>8116.73*(8/12)+7610.36*(4/12)</f>
        <v>7947.9399999999987</v>
      </c>
      <c r="Q11" s="184">
        <v>1348.2</v>
      </c>
      <c r="R11" s="250">
        <f>1543.63*(8/12)+1206.31*(4/12)</f>
        <v>1431.1899999999998</v>
      </c>
      <c r="S11" s="250">
        <f>1206.31*(8/12)+985.11*(4/12)</f>
        <v>1132.5766666666666</v>
      </c>
      <c r="T11" s="184">
        <v>1080.9000000000001</v>
      </c>
      <c r="U11" s="250">
        <f>1032.89*(8/12)+669.7*(4/12)</f>
        <v>911.82666666666671</v>
      </c>
      <c r="V11" s="250">
        <f>669.7*(8/12)+486.69*(4/12)</f>
        <v>608.69666666666672</v>
      </c>
      <c r="W11" s="26">
        <f t="shared" si="3"/>
        <v>-8.1161943539819204E-2</v>
      </c>
      <c r="X11" s="26">
        <f>IFERROR(S11/R11-1,"N/A")</f>
        <v>-0.20864688359570238</v>
      </c>
      <c r="Y11" s="26">
        <f>Q11/N11</f>
        <v>0.15792247953051974</v>
      </c>
      <c r="Z11" s="26">
        <f>R11/O11</f>
        <v>0.16545568260772553</v>
      </c>
      <c r="AA11" s="26">
        <f>S11/P11</f>
        <v>0.14249939816690449</v>
      </c>
      <c r="AP11" s="6"/>
    </row>
    <row r="12" spans="1:42" x14ac:dyDescent="0.2">
      <c r="A12" s="6"/>
      <c r="B12" s="6" t="s">
        <v>241</v>
      </c>
      <c r="C12" s="6" t="s">
        <v>133</v>
      </c>
      <c r="D12" s="195">
        <v>30.34</v>
      </c>
      <c r="E12" s="186">
        <v>127.1</v>
      </c>
      <c r="F12" s="39">
        <f t="shared" si="2"/>
        <v>3856.2139999999999</v>
      </c>
      <c r="G12" s="196">
        <v>1.1890000000000001</v>
      </c>
      <c r="H12" s="197">
        <v>0.15</v>
      </c>
      <c r="I12" s="184">
        <v>-274</v>
      </c>
      <c r="J12" s="184">
        <v>1703.3</v>
      </c>
      <c r="K12" s="186">
        <v>0</v>
      </c>
      <c r="L12" s="250">
        <f>131+389.5+5.3</f>
        <v>525.79999999999995</v>
      </c>
      <c r="M12" s="39">
        <f t="shared" si="0"/>
        <v>5811.3140000000003</v>
      </c>
      <c r="N12" s="184">
        <v>3284.7</v>
      </c>
      <c r="O12" s="184">
        <v>3742.58</v>
      </c>
      <c r="P12" s="184">
        <v>3929.53</v>
      </c>
      <c r="Q12" s="184">
        <v>452.9</v>
      </c>
      <c r="R12" s="184">
        <v>565.4</v>
      </c>
      <c r="S12" s="184">
        <v>372.7</v>
      </c>
      <c r="T12" s="184">
        <v>11.8</v>
      </c>
      <c r="U12" s="184">
        <v>303.58</v>
      </c>
      <c r="V12" s="184">
        <v>334.87</v>
      </c>
      <c r="W12" s="26">
        <f t="shared" si="3"/>
        <v>4.995217203105895E-2</v>
      </c>
      <c r="X12" s="26">
        <f t="shared" ref="X12:X13" si="4">IFERROR(S12/R12-1,"N/A")</f>
        <v>-0.34082065794128047</v>
      </c>
      <c r="Y12" s="26">
        <f t="shared" si="1"/>
        <v>0.13788169391420829</v>
      </c>
      <c r="Z12" s="26">
        <f t="shared" si="1"/>
        <v>0.15107225496849766</v>
      </c>
      <c r="AA12" s="26">
        <f t="shared" si="1"/>
        <v>9.484594849765747E-2</v>
      </c>
      <c r="AP12" s="6"/>
    </row>
    <row r="13" spans="1:42" x14ac:dyDescent="0.2">
      <c r="A13" s="6"/>
      <c r="B13" s="6" t="s">
        <v>243</v>
      </c>
      <c r="C13" s="6" t="s">
        <v>134</v>
      </c>
      <c r="D13" s="195">
        <v>30.98</v>
      </c>
      <c r="E13" s="186">
        <v>29.625</v>
      </c>
      <c r="F13" s="39">
        <f t="shared" si="2"/>
        <v>917.78250000000003</v>
      </c>
      <c r="G13" s="196">
        <v>1.5001</v>
      </c>
      <c r="H13" s="197">
        <v>0.21199999999999999</v>
      </c>
      <c r="I13" s="184">
        <v>-16.3</v>
      </c>
      <c r="J13" s="184">
        <v>316.108</v>
      </c>
      <c r="K13" s="186">
        <v>0</v>
      </c>
      <c r="L13" s="184">
        <v>4.18</v>
      </c>
      <c r="M13" s="39">
        <f t="shared" si="0"/>
        <v>1221.7705000000001</v>
      </c>
      <c r="N13" s="184">
        <v>3437</v>
      </c>
      <c r="O13" s="250">
        <f>3399.34*(8/12)+2932.4*(4/12)</f>
        <v>3243.6933333333332</v>
      </c>
      <c r="P13" s="250">
        <f>2932.37*(8/12)+2914.34*(4/12)</f>
        <v>2926.3599999999997</v>
      </c>
      <c r="Q13" s="184">
        <v>286.89999999999998</v>
      </c>
      <c r="R13" s="250">
        <f>316.21*(8/12)+252.7*(4/12)</f>
        <v>295.03999999999996</v>
      </c>
      <c r="S13" s="250">
        <f>252.66*(8/12)+224.29*(4/12)</f>
        <v>243.20333333333332</v>
      </c>
      <c r="T13" s="184">
        <v>201.2</v>
      </c>
      <c r="U13" s="250">
        <f>178.67*(8/12)+125.9*(4/12)</f>
        <v>161.07999999999998</v>
      </c>
      <c r="V13" s="250">
        <f>125.86*(8/12)+104.43*(4/12)</f>
        <v>118.71666666666667</v>
      </c>
      <c r="W13" s="26">
        <f t="shared" si="3"/>
        <v>-9.7830867694027823E-2</v>
      </c>
      <c r="X13" s="26">
        <f t="shared" si="4"/>
        <v>-0.17569369125090373</v>
      </c>
      <c r="Y13" s="26">
        <f t="shared" si="1"/>
        <v>8.3473959848705259E-2</v>
      </c>
      <c r="Z13" s="26">
        <f t="shared" si="1"/>
        <v>9.095804371148937E-2</v>
      </c>
      <c r="AA13" s="26">
        <f t="shared" si="1"/>
        <v>8.3107797172368866E-2</v>
      </c>
      <c r="AP13" s="6"/>
    </row>
    <row r="14" spans="1:42" x14ac:dyDescent="0.2">
      <c r="A14" s="6"/>
      <c r="B14" s="6"/>
      <c r="C14" s="6"/>
      <c r="D14" s="6"/>
      <c r="E14" s="6"/>
      <c r="F14" s="6"/>
      <c r="G14" s="6"/>
      <c r="H14" s="6"/>
      <c r="I14" s="6"/>
      <c r="J14" s="6"/>
      <c r="K14" s="6"/>
      <c r="L14" s="6"/>
      <c r="M14" s="6"/>
      <c r="N14" s="6"/>
      <c r="O14" s="6"/>
      <c r="P14" s="6"/>
      <c r="Q14" s="6"/>
      <c r="R14" s="6"/>
      <c r="S14" s="6"/>
      <c r="T14" s="6"/>
      <c r="U14" s="6"/>
      <c r="V14" s="6"/>
      <c r="W14" s="6"/>
      <c r="X14" s="6"/>
      <c r="Y14" s="6"/>
      <c r="Z14" s="6"/>
      <c r="AA14" s="6"/>
      <c r="AP14" s="6"/>
    </row>
    <row r="15" spans="1:42" x14ac:dyDescent="0.2">
      <c r="A15" s="6"/>
      <c r="B15" s="17" t="s">
        <v>33</v>
      </c>
      <c r="C15" s="18"/>
      <c r="D15" s="19">
        <f>MAX(D8:D13)</f>
        <v>134.47</v>
      </c>
      <c r="E15" s="19"/>
      <c r="F15" s="20">
        <f>MAX(F8:F13)</f>
        <v>35462.29393</v>
      </c>
      <c r="G15" s="20"/>
      <c r="H15" s="20"/>
      <c r="I15" s="20"/>
      <c r="J15" s="20"/>
      <c r="K15" s="20"/>
      <c r="L15" s="20"/>
      <c r="M15" s="20">
        <f>MAX(M8:M13)</f>
        <v>37636.995929999997</v>
      </c>
      <c r="N15" s="20">
        <f t="shared" ref="N15:AA15" si="5">MAX(N8:N13)</f>
        <v>42965.39</v>
      </c>
      <c r="O15" s="20">
        <f t="shared" si="5"/>
        <v>41656.22</v>
      </c>
      <c r="P15" s="20">
        <f t="shared" si="5"/>
        <v>34429.67</v>
      </c>
      <c r="Q15" s="20">
        <f t="shared" si="5"/>
        <v>13320.4</v>
      </c>
      <c r="R15" s="20">
        <f t="shared" si="5"/>
        <v>11636.41</v>
      </c>
      <c r="S15" s="20">
        <f t="shared" si="5"/>
        <v>5497.36</v>
      </c>
      <c r="T15" s="20">
        <f t="shared" si="5"/>
        <v>9035</v>
      </c>
      <c r="U15" s="20">
        <f t="shared" si="5"/>
        <v>7724.99</v>
      </c>
      <c r="V15" s="20">
        <f t="shared" si="5"/>
        <v>3393.99</v>
      </c>
      <c r="W15" s="21">
        <f t="shared" si="5"/>
        <v>4.995217203105895E-2</v>
      </c>
      <c r="X15" s="21">
        <f t="shared" si="5"/>
        <v>-0.17569369125090373</v>
      </c>
      <c r="Y15" s="21">
        <f t="shared" si="5"/>
        <v>0.31002627929130866</v>
      </c>
      <c r="Z15" s="21">
        <f t="shared" si="5"/>
        <v>0.2793438770968657</v>
      </c>
      <c r="AA15" s="22">
        <f t="shared" si="5"/>
        <v>0.15966926200570614</v>
      </c>
      <c r="AP15" s="6"/>
    </row>
    <row r="16" spans="1:42" x14ac:dyDescent="0.2">
      <c r="A16" s="6"/>
      <c r="B16" s="23" t="s">
        <v>34</v>
      </c>
      <c r="C16" s="6"/>
      <c r="D16" s="24">
        <f>QUARTILE(D8:D13,3)</f>
        <v>44.277500000000003</v>
      </c>
      <c r="E16" s="24"/>
      <c r="F16" s="25">
        <f>QUARTILE(F8:F13,3)</f>
        <v>8234.8261500000008</v>
      </c>
      <c r="G16" s="25"/>
      <c r="H16" s="25"/>
      <c r="I16" s="25"/>
      <c r="J16" s="25"/>
      <c r="K16" s="25"/>
      <c r="L16" s="25"/>
      <c r="M16" s="25">
        <f t="shared" ref="M16:AA16" si="6">QUARTILE(M8:M13,3)</f>
        <v>13833.746149999999</v>
      </c>
      <c r="N16" s="25">
        <f t="shared" si="6"/>
        <v>23509</v>
      </c>
      <c r="O16" s="25">
        <f t="shared" si="6"/>
        <v>22763.447499999998</v>
      </c>
      <c r="P16" s="25">
        <f t="shared" si="6"/>
        <v>19071.904999999999</v>
      </c>
      <c r="Q16" s="25">
        <f t="shared" si="6"/>
        <v>6406.25</v>
      </c>
      <c r="R16" s="25">
        <f t="shared" si="6"/>
        <v>4196.3550000000005</v>
      </c>
      <c r="S16" s="25">
        <f t="shared" si="6"/>
        <v>2459.0650000000001</v>
      </c>
      <c r="T16" s="25">
        <f t="shared" si="6"/>
        <v>4589.25</v>
      </c>
      <c r="U16" s="25">
        <f t="shared" si="6"/>
        <v>2540.2249999999999</v>
      </c>
      <c r="V16" s="25">
        <f t="shared" si="6"/>
        <v>1040.085</v>
      </c>
      <c r="W16" s="26">
        <f t="shared" si="6"/>
        <v>-8.5329174578371358E-2</v>
      </c>
      <c r="X16" s="26">
        <f t="shared" si="6"/>
        <v>-0.23898122823960433</v>
      </c>
      <c r="Y16" s="26">
        <f t="shared" si="6"/>
        <v>0.27574141059349488</v>
      </c>
      <c r="Z16" s="26">
        <f t="shared" si="6"/>
        <v>0.19703740994517982</v>
      </c>
      <c r="AA16" s="27">
        <f t="shared" si="6"/>
        <v>0.13961596325711151</v>
      </c>
      <c r="AP16" s="6"/>
    </row>
    <row r="17" spans="1:42" x14ac:dyDescent="0.2">
      <c r="A17" s="6"/>
      <c r="B17" s="258" t="s">
        <v>35</v>
      </c>
      <c r="C17" s="229"/>
      <c r="D17" s="259">
        <f>MEDIAN(D8:D13)</f>
        <v>30.66</v>
      </c>
      <c r="E17" s="259"/>
      <c r="F17" s="260">
        <f>MEDIAN(F8:F13)</f>
        <v>6587.8869450000002</v>
      </c>
      <c r="G17" s="260"/>
      <c r="H17" s="260"/>
      <c r="I17" s="261"/>
      <c r="J17" s="261"/>
      <c r="K17" s="261"/>
      <c r="L17" s="261"/>
      <c r="M17" s="260">
        <f t="shared" ref="M17:AA17" si="7">MEDIAN(M8:M13)</f>
        <v>7485.4794449999999</v>
      </c>
      <c r="N17" s="260">
        <f t="shared" si="7"/>
        <v>15823.55</v>
      </c>
      <c r="O17" s="260">
        <f t="shared" si="7"/>
        <v>14684.419999999998</v>
      </c>
      <c r="P17" s="260">
        <f t="shared" si="7"/>
        <v>12032.145</v>
      </c>
      <c r="Q17" s="260">
        <f t="shared" si="7"/>
        <v>3684.1000000000004</v>
      </c>
      <c r="R17" s="260">
        <f t="shared" si="7"/>
        <v>2675.84</v>
      </c>
      <c r="S17" s="260">
        <f t="shared" si="7"/>
        <v>1544.2333333333333</v>
      </c>
      <c r="T17" s="260">
        <f t="shared" si="7"/>
        <v>2322.4499999999998</v>
      </c>
      <c r="U17" s="260">
        <f t="shared" si="7"/>
        <v>1458.9283333333333</v>
      </c>
      <c r="V17" s="260">
        <f t="shared" si="7"/>
        <v>664.28833333333341</v>
      </c>
      <c r="W17" s="262">
        <f t="shared" si="7"/>
        <v>-0.12116736155179336</v>
      </c>
      <c r="X17" s="262">
        <f t="shared" si="7"/>
        <v>-0.33540246005629532</v>
      </c>
      <c r="Y17" s="262">
        <f t="shared" si="7"/>
        <v>0.20627703369132366</v>
      </c>
      <c r="Z17" s="262">
        <f t="shared" si="7"/>
        <v>0.16633827731191225</v>
      </c>
      <c r="AA17" s="263">
        <f t="shared" si="7"/>
        <v>0.12616313218605402</v>
      </c>
      <c r="AP17" s="6"/>
    </row>
    <row r="18" spans="1:42" x14ac:dyDescent="0.2">
      <c r="A18" s="6"/>
      <c r="B18" s="23" t="s">
        <v>36</v>
      </c>
      <c r="C18" s="29"/>
      <c r="D18" s="24">
        <f>QUARTILE(D8:D13,1)</f>
        <v>26.40625</v>
      </c>
      <c r="E18" s="24"/>
      <c r="F18" s="25">
        <f>QUARTILE(F8:F13,1)</f>
        <v>4387.5453225000001</v>
      </c>
      <c r="G18" s="25"/>
      <c r="H18" s="25"/>
      <c r="I18" s="25"/>
      <c r="J18" s="25"/>
      <c r="K18" s="25"/>
      <c r="L18" s="25"/>
      <c r="M18" s="25">
        <f t="shared" ref="M18:AA18" si="8">QUARTILE(M8:M13,1)</f>
        <v>6030.2315725000008</v>
      </c>
      <c r="N18" s="25">
        <f t="shared" si="8"/>
        <v>4712.0249999999996</v>
      </c>
      <c r="O18" s="25">
        <f t="shared" si="8"/>
        <v>4969.4324999999999</v>
      </c>
      <c r="P18" s="25">
        <f t="shared" si="8"/>
        <v>4934.1324999999997</v>
      </c>
      <c r="Q18" s="25">
        <f t="shared" si="8"/>
        <v>676.72500000000002</v>
      </c>
      <c r="R18" s="25">
        <f t="shared" si="8"/>
        <v>781.84749999999997</v>
      </c>
      <c r="S18" s="25">
        <f t="shared" si="8"/>
        <v>562.66916666666657</v>
      </c>
      <c r="T18" s="25">
        <f t="shared" si="8"/>
        <v>421.125</v>
      </c>
      <c r="U18" s="25">
        <f t="shared" si="8"/>
        <v>455.64166666666665</v>
      </c>
      <c r="V18" s="25">
        <f t="shared" si="8"/>
        <v>403.32666666666671</v>
      </c>
      <c r="W18" s="26">
        <f t="shared" si="8"/>
        <v>-0.16623648516229261</v>
      </c>
      <c r="X18" s="26">
        <f t="shared" si="8"/>
        <v>-0.48088454498153843</v>
      </c>
      <c r="Y18" s="26">
        <f t="shared" si="8"/>
        <v>0.14289189031828614</v>
      </c>
      <c r="Z18" s="26">
        <f t="shared" si="8"/>
        <v>0.15466811187830462</v>
      </c>
      <c r="AA18" s="27">
        <f t="shared" si="8"/>
        <v>0.10147461283433697</v>
      </c>
      <c r="AP18" s="6"/>
    </row>
    <row r="19" spans="1:42" x14ac:dyDescent="0.2">
      <c r="A19" s="6"/>
      <c r="B19" s="30" t="s">
        <v>37</v>
      </c>
      <c r="C19" s="31"/>
      <c r="D19" s="32">
        <f>MIN(D8:D13)</f>
        <v>16.315000000000001</v>
      </c>
      <c r="E19" s="32"/>
      <c r="F19" s="33">
        <f>MIN(F8:F13)</f>
        <v>917.78250000000003</v>
      </c>
      <c r="G19" s="33"/>
      <c r="H19" s="33"/>
      <c r="I19" s="33"/>
      <c r="J19" s="33"/>
      <c r="K19" s="33"/>
      <c r="L19" s="33"/>
      <c r="M19" s="33">
        <f t="shared" ref="M19:AA19" si="9">MIN(M8:M13)</f>
        <v>1221.7705000000001</v>
      </c>
      <c r="N19" s="33">
        <f t="shared" si="9"/>
        <v>3284.7</v>
      </c>
      <c r="O19" s="33">
        <f t="shared" si="9"/>
        <v>3243.6933333333332</v>
      </c>
      <c r="P19" s="33">
        <f t="shared" si="9"/>
        <v>2926.3599999999997</v>
      </c>
      <c r="Q19" s="33">
        <f t="shared" si="9"/>
        <v>286.89999999999998</v>
      </c>
      <c r="R19" s="33">
        <f t="shared" si="9"/>
        <v>295.03999999999996</v>
      </c>
      <c r="S19" s="33">
        <f t="shared" si="9"/>
        <v>243.20333333333332</v>
      </c>
      <c r="T19" s="33">
        <f t="shared" si="9"/>
        <v>11.8</v>
      </c>
      <c r="U19" s="33">
        <f t="shared" si="9"/>
        <v>161.07999999999998</v>
      </c>
      <c r="V19" s="33">
        <f t="shared" si="9"/>
        <v>118.71666666666667</v>
      </c>
      <c r="W19" s="34">
        <f t="shared" si="9"/>
        <v>-0.22214070761649407</v>
      </c>
      <c r="X19" s="34">
        <f t="shared" si="9"/>
        <v>-0.54390191007646371</v>
      </c>
      <c r="Y19" s="34">
        <f t="shared" si="9"/>
        <v>8.3473959848705259E-2</v>
      </c>
      <c r="Z19" s="34">
        <f t="shared" si="9"/>
        <v>9.095804371148937E-2</v>
      </c>
      <c r="AA19" s="35">
        <f t="shared" si="9"/>
        <v>8.3107797172368866E-2</v>
      </c>
      <c r="AP19" s="6"/>
    </row>
    <row r="20" spans="1:42" x14ac:dyDescent="0.2">
      <c r="A20" s="6"/>
      <c r="B20" s="6"/>
      <c r="C20" s="6"/>
      <c r="D20" s="6"/>
      <c r="E20" s="6"/>
      <c r="F20" s="6"/>
      <c r="G20" s="6"/>
      <c r="H20" s="6"/>
      <c r="I20" s="6"/>
      <c r="J20" s="6"/>
      <c r="K20" s="6"/>
      <c r="L20" s="6"/>
      <c r="M20" s="6"/>
      <c r="N20" s="6"/>
      <c r="O20" s="6"/>
      <c r="P20" s="6"/>
      <c r="Q20" s="6"/>
      <c r="R20" s="6"/>
      <c r="S20" s="6"/>
      <c r="T20" s="6"/>
      <c r="U20" s="6"/>
      <c r="V20" s="6"/>
      <c r="W20" s="6"/>
      <c r="X20" s="6"/>
      <c r="Y20" s="6"/>
      <c r="Z20" s="6"/>
      <c r="AA20" s="6"/>
      <c r="AP20" s="6"/>
    </row>
    <row r="21" spans="1:42" x14ac:dyDescent="0.2">
      <c r="A21" s="6"/>
      <c r="B21" s="233" t="str">
        <f>Company_Name</f>
        <v xml:space="preserve">STEEL DYNAMICS, INC. </v>
      </c>
      <c r="C21" s="234" t="str">
        <f>Ticker</f>
        <v>STLD</v>
      </c>
      <c r="D21" s="264">
        <f>Share_Price</f>
        <v>70.95</v>
      </c>
      <c r="E21" s="265">
        <f>Diluted_Shares</f>
        <v>187.74</v>
      </c>
      <c r="F21" s="266">
        <f>E21*D21</f>
        <v>13320.153000000002</v>
      </c>
      <c r="G21" s="267">
        <v>1.4499</v>
      </c>
      <c r="H21" s="268">
        <f>Tax_Rate</f>
        <v>0.23899999999999999</v>
      </c>
      <c r="I21" s="266">
        <f>STLD_DCF!G20+STLD_DCF!G21</f>
        <v>-1028.183</v>
      </c>
      <c r="J21" s="266">
        <f>STLD_DCF!G22</f>
        <v>3260.0829999999996</v>
      </c>
      <c r="K21" s="266">
        <f>STLD_DCF!G23</f>
        <v>0</v>
      </c>
      <c r="L21" s="266">
        <f>SUM(STLD_DCF!G24:G25)</f>
        <v>-34.448000000000008</v>
      </c>
      <c r="M21" s="266">
        <f t="shared" ref="M21" si="10">+F21+I21+J21+K21+L21</f>
        <v>15517.605</v>
      </c>
      <c r="N21" s="266">
        <f>STLD_DCF!I79+11782.78-8009.905</f>
        <v>22181.724999999999</v>
      </c>
      <c r="O21" s="266">
        <f>STLD_DCF!J79</f>
        <v>22029.616241894888</v>
      </c>
      <c r="P21" s="266">
        <f>STLD_DCF!K79</f>
        <v>19237.431391781894</v>
      </c>
      <c r="Q21" s="266">
        <f>STLD_DCF!I111+(3112.93+183.247)+(1549.934+173.966)</f>
        <v>10839.897101605693</v>
      </c>
      <c r="R21" s="266">
        <f>STLD_DCF!J111</f>
        <v>3028.2451173823456</v>
      </c>
      <c r="S21" s="266">
        <f>STLD_DCF!K111</f>
        <v>2671.1689838466937</v>
      </c>
      <c r="T21" s="266">
        <f>3214.066+2313.485-1132.798</f>
        <v>4394.7529999999997</v>
      </c>
      <c r="U21" s="266">
        <f>(STLD_DCF!J84-3060.608*3.2%-94.814*1.6%)*(1-Tax_Rate)</f>
        <v>1933.3601825390153</v>
      </c>
      <c r="V21" s="266">
        <f>(STLD_DCF!K84-3060.608*3.2%-94.814*1.6%)*(1-Tax_Rate)</f>
        <v>1649.456798573839</v>
      </c>
      <c r="W21" s="268">
        <f t="shared" ref="W21" si="11">IFERROR(P21/O21-1,"N/A")</f>
        <v>-0.12674686746485164</v>
      </c>
      <c r="X21" s="268">
        <f t="shared" ref="X21" si="12">IFERROR(S21/R21-1,"N/A")</f>
        <v>-0.11791520160835367</v>
      </c>
      <c r="Y21" s="268">
        <f t="shared" ref="Y21" si="13">Q21/N21</f>
        <v>0.48868593860962994</v>
      </c>
      <c r="Z21" s="268">
        <f t="shared" ref="Z21" si="14">R21/O21</f>
        <v>0.13746245436737892</v>
      </c>
      <c r="AA21" s="268">
        <f t="shared" ref="AA21" si="15">S21/P21</f>
        <v>0.13885268409522697</v>
      </c>
      <c r="AP21" s="6"/>
    </row>
    <row r="22" spans="1:42"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P22" s="6"/>
    </row>
    <row r="23" spans="1:42" x14ac:dyDescent="0.2">
      <c r="A23" s="6"/>
      <c r="B23" s="224" t="s">
        <v>80</v>
      </c>
      <c r="C23" s="224"/>
      <c r="D23" s="224"/>
      <c r="E23" s="224"/>
      <c r="F23" s="252" t="s">
        <v>9</v>
      </c>
      <c r="G23" s="252"/>
      <c r="H23" s="252"/>
      <c r="I23" s="252"/>
      <c r="J23" s="252"/>
      <c r="K23" s="252"/>
      <c r="L23" s="252"/>
      <c r="M23" s="253"/>
      <c r="N23" s="252" t="s">
        <v>22</v>
      </c>
      <c r="O23" s="253"/>
      <c r="P23" s="253"/>
      <c r="Q23" s="252" t="s">
        <v>22</v>
      </c>
      <c r="R23" s="253"/>
      <c r="S23" s="253"/>
      <c r="T23" s="254"/>
      <c r="U23" s="254"/>
      <c r="V23" s="254"/>
      <c r="W23" s="6"/>
      <c r="X23" s="6"/>
      <c r="Y23" s="6"/>
      <c r="Z23" s="6"/>
      <c r="AA23" s="6"/>
      <c r="AP23" s="6"/>
    </row>
    <row r="24" spans="1:42" x14ac:dyDescent="0.2">
      <c r="A24" s="6"/>
      <c r="B24" s="254"/>
      <c r="C24" s="254"/>
      <c r="D24" s="225"/>
      <c r="E24" s="225"/>
      <c r="F24" s="225" t="s">
        <v>11</v>
      </c>
      <c r="G24" s="225"/>
      <c r="H24" s="225"/>
      <c r="I24" s="225"/>
      <c r="J24" s="225"/>
      <c r="K24" s="225"/>
      <c r="L24" s="225"/>
      <c r="M24" s="225" t="s">
        <v>12</v>
      </c>
      <c r="N24" s="252" t="s">
        <v>18</v>
      </c>
      <c r="O24" s="253"/>
      <c r="P24" s="253"/>
      <c r="Q24" s="252" t="s">
        <v>19</v>
      </c>
      <c r="R24" s="255"/>
      <c r="S24" s="255"/>
      <c r="T24" s="252" t="s">
        <v>84</v>
      </c>
      <c r="U24" s="252"/>
      <c r="V24" s="252"/>
      <c r="W24" s="60"/>
      <c r="X24" s="60"/>
      <c r="Y24" s="60"/>
      <c r="Z24" s="60"/>
      <c r="AA24" s="6"/>
      <c r="AP24" s="6"/>
    </row>
    <row r="25" spans="1:42" x14ac:dyDescent="0.2">
      <c r="A25" s="6"/>
      <c r="B25" s="226" t="s">
        <v>13</v>
      </c>
      <c r="C25" s="226"/>
      <c r="D25" s="227"/>
      <c r="E25" s="227"/>
      <c r="F25" s="227" t="s">
        <v>16</v>
      </c>
      <c r="G25" s="227"/>
      <c r="H25" s="227"/>
      <c r="I25" s="227"/>
      <c r="J25" s="227"/>
      <c r="K25" s="227"/>
      <c r="L25" s="227"/>
      <c r="M25" s="227" t="s">
        <v>16</v>
      </c>
      <c r="N25" s="256" t="str">
        <f>$N$7</f>
        <v>LTM</v>
      </c>
      <c r="O25" s="257" t="str">
        <f>+$O$7</f>
        <v>CY 22</v>
      </c>
      <c r="P25" s="257" t="str">
        <f>+$P$7</f>
        <v>CY 23</v>
      </c>
      <c r="Q25" s="256" t="str">
        <f>$N$7</f>
        <v>LTM</v>
      </c>
      <c r="R25" s="257" t="str">
        <f>+$O$7</f>
        <v>CY 22</v>
      </c>
      <c r="S25" s="257" t="str">
        <f>+$P$7</f>
        <v>CY 23</v>
      </c>
      <c r="T25" s="256" t="str">
        <f>$N$7</f>
        <v>LTM</v>
      </c>
      <c r="U25" s="257" t="str">
        <f>+$O$7</f>
        <v>CY 22</v>
      </c>
      <c r="V25" s="257" t="str">
        <f>+$P$7</f>
        <v>CY 23</v>
      </c>
      <c r="W25" s="68"/>
      <c r="X25" s="68"/>
      <c r="Y25" s="68"/>
      <c r="Z25" s="68"/>
      <c r="AA25" s="6"/>
      <c r="AP25" s="6"/>
    </row>
    <row r="26" spans="1:42" x14ac:dyDescent="0.2">
      <c r="A26" s="6"/>
      <c r="B26" s="6" t="str">
        <f>B8</f>
        <v>Nucor Corporation</v>
      </c>
      <c r="C26" s="6" t="str">
        <f t="shared" ref="C26:C31" si="16">C8</f>
        <v>NUE</v>
      </c>
      <c r="D26" s="13"/>
      <c r="E26" s="14"/>
      <c r="F26" s="36">
        <f t="shared" ref="F26:F31" si="17">F8</f>
        <v>35462.29393</v>
      </c>
      <c r="G26" s="36"/>
      <c r="H26" s="36"/>
      <c r="I26" s="15"/>
      <c r="J26" s="15"/>
      <c r="K26" s="15"/>
      <c r="L26" s="15"/>
      <c r="M26" s="36">
        <f t="shared" ref="M26:M31" si="18">M8</f>
        <v>37636.995929999997</v>
      </c>
      <c r="N26" s="38">
        <f>IFERROR(IF(OR(+$M8/N8&lt;0,+$M8/N8&gt;=100),"NM",+$M8/N8),"N/A")</f>
        <v>0.87598404041019984</v>
      </c>
      <c r="O26" s="38">
        <f t="shared" ref="O26:S26" si="19">IFERROR(IF(OR(+$M8/O8&lt;0,+$M8/O8&gt;=100),"NM",+$M8/O8),"N/A")</f>
        <v>0.90351443145825516</v>
      </c>
      <c r="P26" s="38">
        <f t="shared" si="19"/>
        <v>1.093155871955787</v>
      </c>
      <c r="Q26" s="38">
        <f t="shared" si="19"/>
        <v>2.8255154447313893</v>
      </c>
      <c r="R26" s="38">
        <f t="shared" si="19"/>
        <v>3.2344164506063295</v>
      </c>
      <c r="S26" s="38">
        <f t="shared" si="19"/>
        <v>6.8463764297772025</v>
      </c>
      <c r="T26" s="38">
        <f>IFERROR(IF(OR(+$F8/T8&lt;0,+$F8/T8&gt;=100),"NM",+$F8/T8),"N/A")</f>
        <v>3.9249910271167683</v>
      </c>
      <c r="U26" s="38">
        <f>IFERROR(IF(OR(+$F8/U8&lt;0,+$F8/U8&gt;=100),"NM",+$F8/U8),"N/A")</f>
        <v>4.5905941535199402</v>
      </c>
      <c r="V26" s="38">
        <f>IFERROR(IF(OR(+$F8/V8&lt;0,+$F8/V8&gt;=100),"NM",+$F8/V8),"N/A")</f>
        <v>10.448555808944635</v>
      </c>
      <c r="W26" s="6"/>
      <c r="X26" s="6"/>
      <c r="Y26" s="6"/>
      <c r="Z26" s="6"/>
      <c r="AA26" s="6"/>
      <c r="AP26" s="6"/>
    </row>
    <row r="27" spans="1:42" x14ac:dyDescent="0.2">
      <c r="A27" s="6"/>
      <c r="B27" s="6" t="str">
        <f t="shared" ref="B27" si="20">B9</f>
        <v>Cleveland-Cliffs, Inc.</v>
      </c>
      <c r="C27" s="6" t="str">
        <f t="shared" si="16"/>
        <v>CLF</v>
      </c>
      <c r="D27" s="16"/>
      <c r="E27" s="14"/>
      <c r="F27" s="39">
        <f t="shared" si="17"/>
        <v>8581.69</v>
      </c>
      <c r="G27" s="39"/>
      <c r="H27" s="39"/>
      <c r="I27" s="14"/>
      <c r="J27" s="14"/>
      <c r="K27" s="14"/>
      <c r="L27" s="14"/>
      <c r="M27" s="39">
        <f t="shared" si="18"/>
        <v>15683.67</v>
      </c>
      <c r="N27" s="38">
        <f t="shared" ref="N27:S27" si="21">IFERROR(IF(OR(+$M9/N9&lt;0,+$M9/N9&gt;=100),"NM",+$M9/N9),"N/A")</f>
        <v>0.66338169359614241</v>
      </c>
      <c r="O27" s="38">
        <f>IFERROR(IF(OR(+$M9/O9&lt;0,+$M9/O9&gt;=100),"NM",+$M9/O9),"N/A")</f>
        <v>0.668956424786884</v>
      </c>
      <c r="P27" s="38">
        <f t="shared" si="21"/>
        <v>0.78195141967254467</v>
      </c>
      <c r="Q27" s="38">
        <f t="shared" si="21"/>
        <v>2.6052607973421926</v>
      </c>
      <c r="R27" s="38">
        <f t="shared" si="21"/>
        <v>4.00043616996855</v>
      </c>
      <c r="S27" s="38">
        <f t="shared" si="21"/>
        <v>5.9706600070808857</v>
      </c>
      <c r="T27" s="38">
        <f t="shared" ref="T27:V27" si="22">IFERROR(IF(OR(+$F9/T9&lt;0,+$F9/T9&gt;=100),"NM",+$F9/T9),"N/A")</f>
        <v>2.4078815937149272</v>
      </c>
      <c r="U27" s="38">
        <f t="shared" si="22"/>
        <v>4.2779469898256757</v>
      </c>
      <c r="V27" s="38">
        <f t="shared" si="22"/>
        <v>7.4830313388325989</v>
      </c>
      <c r="W27" s="6"/>
      <c r="X27" s="6"/>
      <c r="Y27" s="6"/>
      <c r="Z27" s="6"/>
      <c r="AA27" s="6"/>
      <c r="AP27" s="6"/>
    </row>
    <row r="28" spans="1:42" x14ac:dyDescent="0.2">
      <c r="A28" s="6"/>
      <c r="B28" s="6" t="str">
        <f t="shared" ref="B28" si="23">B10</f>
        <v>United States Steel Corporation</v>
      </c>
      <c r="C28" s="6" t="str">
        <f t="shared" si="16"/>
        <v>X</v>
      </c>
      <c r="D28" s="16"/>
      <c r="E28" s="14"/>
      <c r="F28" s="39">
        <f t="shared" si="17"/>
        <v>7194.2345999999998</v>
      </c>
      <c r="G28" s="39"/>
      <c r="H28" s="39"/>
      <c r="I28" s="14"/>
      <c r="J28" s="14"/>
      <c r="K28" s="14"/>
      <c r="L28" s="14"/>
      <c r="M28" s="39">
        <f t="shared" si="18"/>
        <v>8283.9745999999996</v>
      </c>
      <c r="N28" s="38">
        <f t="shared" ref="N28:S28" si="24">IFERROR(IF(OR(+$M10/N10&lt;0,+$M10/N10&gt;=100),"NM",+$M10/N10),"N/A")</f>
        <v>0.35845844223279966</v>
      </c>
      <c r="O28" s="38">
        <f t="shared" si="24"/>
        <v>0.39982791515938387</v>
      </c>
      <c r="P28" s="38">
        <f t="shared" si="24"/>
        <v>0.5140105917282759</v>
      </c>
      <c r="Q28" s="38">
        <f t="shared" si="24"/>
        <v>1.2676319204284621</v>
      </c>
      <c r="R28" s="38">
        <f t="shared" si="24"/>
        <v>1.9317574055980091</v>
      </c>
      <c r="S28" s="38">
        <f t="shared" si="24"/>
        <v>4.2353990255075686</v>
      </c>
      <c r="T28" s="38">
        <f t="shared" ref="T28:V28" si="25">IFERROR(IF(OR(+$F10/T10&lt;0,+$F10/T10&gt;=100),"NM",+$F10/T10),"N/A")</f>
        <v>1.4589808558101804</v>
      </c>
      <c r="U28" s="38">
        <f t="shared" si="25"/>
        <v>2.6466030482398861</v>
      </c>
      <c r="V28" s="38">
        <f t="shared" si="25"/>
        <v>9.9936581096849473</v>
      </c>
      <c r="W28" s="6"/>
      <c r="X28" s="6"/>
      <c r="Y28" s="6"/>
      <c r="Z28" s="6"/>
      <c r="AA28" s="6"/>
      <c r="AP28" s="6"/>
    </row>
    <row r="29" spans="1:42" x14ac:dyDescent="0.2">
      <c r="A29" s="6"/>
      <c r="B29" s="6" t="str">
        <f t="shared" ref="B29" si="26">B11</f>
        <v>Commercial Metals Company</v>
      </c>
      <c r="C29" s="6" t="str">
        <f t="shared" si="16"/>
        <v>CMC</v>
      </c>
      <c r="D29" s="16"/>
      <c r="E29" s="14"/>
      <c r="F29" s="39">
        <f t="shared" si="17"/>
        <v>5981.5392900000006</v>
      </c>
      <c r="G29" s="39"/>
      <c r="H29" s="39"/>
      <c r="I29" s="14"/>
      <c r="J29" s="14"/>
      <c r="K29" s="14"/>
      <c r="L29" s="14"/>
      <c r="M29" s="39">
        <f t="shared" si="18"/>
        <v>6686.9842900000003</v>
      </c>
      <c r="N29" s="38">
        <f t="shared" ref="N29:S29" si="27">IFERROR(IF(OR(+$M11/N11&lt;0,+$M11/N11&gt;=100),"NM",+$M11/N11),"N/A")</f>
        <v>0.78328522449075211</v>
      </c>
      <c r="O29" s="38">
        <f t="shared" si="27"/>
        <v>0.77306266134411716</v>
      </c>
      <c r="P29" s="38">
        <f t="shared" si="27"/>
        <v>0.84134810906977175</v>
      </c>
      <c r="Q29" s="38">
        <f t="shared" si="27"/>
        <v>4.9599349428868118</v>
      </c>
      <c r="R29" s="38">
        <f t="shared" si="27"/>
        <v>4.6723246319496372</v>
      </c>
      <c r="S29" s="38">
        <f t="shared" si="27"/>
        <v>5.9042221924637923</v>
      </c>
      <c r="T29" s="38">
        <f>IFERROR(IF(OR(+$F11/T11&lt;0,+$F11/T11&gt;=100),"NM",+$F11/T11),"N/A")</f>
        <v>5.5338507632528451</v>
      </c>
      <c r="U29" s="38">
        <f t="shared" ref="U29:V29" si="28">IFERROR(IF(OR(+$F11/U11&lt;0,+$F11/U11&gt;=100),"NM",+$F11/U11),"N/A")</f>
        <v>6.5599521363709483</v>
      </c>
      <c r="V29" s="38">
        <f t="shared" si="28"/>
        <v>9.8267981698601936</v>
      </c>
      <c r="W29" s="6"/>
      <c r="X29" s="6"/>
      <c r="Y29" s="6"/>
      <c r="Z29" s="6"/>
      <c r="AA29" s="6"/>
      <c r="AP29" s="6"/>
    </row>
    <row r="30" spans="1:42" x14ac:dyDescent="0.2">
      <c r="A30" s="6"/>
      <c r="B30" s="6" t="str">
        <f t="shared" ref="B30" si="29">B12</f>
        <v xml:space="preserve">ATI Inc. </v>
      </c>
      <c r="C30" s="6" t="str">
        <f t="shared" si="16"/>
        <v>ATI</v>
      </c>
      <c r="D30" s="16"/>
      <c r="E30" s="14"/>
      <c r="F30" s="39">
        <f t="shared" si="17"/>
        <v>3856.2139999999999</v>
      </c>
      <c r="G30" s="39"/>
      <c r="H30" s="39"/>
      <c r="I30" s="14"/>
      <c r="J30" s="14"/>
      <c r="K30" s="14"/>
      <c r="L30" s="14"/>
      <c r="M30" s="39">
        <f t="shared" si="18"/>
        <v>5811.3140000000003</v>
      </c>
      <c r="N30" s="38">
        <f t="shared" ref="N30:S30" si="30">IFERROR(IF(OR(+$M12/N12&lt;0,+$M12/N12&gt;=100),"NM",+$M12/N12),"N/A")</f>
        <v>1.7692069290955035</v>
      </c>
      <c r="O30" s="38">
        <f t="shared" si="30"/>
        <v>1.5527561201096571</v>
      </c>
      <c r="P30" s="38">
        <f t="shared" si="30"/>
        <v>1.4788827162535978</v>
      </c>
      <c r="Q30" s="38">
        <f t="shared" si="30"/>
        <v>12.831340251711195</v>
      </c>
      <c r="R30" s="38">
        <f t="shared" si="30"/>
        <v>10.278234877962506</v>
      </c>
      <c r="S30" s="38">
        <f t="shared" si="30"/>
        <v>15.592471156426081</v>
      </c>
      <c r="T30" s="38" t="str">
        <f>IFERROR(IF(OR(+$F12/T12&lt;0,+$F12/T12&gt;=100),"NM",+$F12/T12),"N/A")</f>
        <v>NM</v>
      </c>
      <c r="U30" s="38">
        <f t="shared" ref="U30:V30" si="31">IFERROR(IF(OR(+$F12/U12&lt;0,+$F12/U12&gt;=100),"NM",+$F12/U12),"N/A")</f>
        <v>12.7024639304302</v>
      </c>
      <c r="V30" s="38">
        <f t="shared" si="31"/>
        <v>11.51555529011258</v>
      </c>
      <c r="W30" s="6"/>
      <c r="X30" s="6"/>
      <c r="Y30" s="6"/>
      <c r="Z30" s="6"/>
      <c r="AA30" s="6"/>
      <c r="AP30" s="6"/>
    </row>
    <row r="31" spans="1:42" x14ac:dyDescent="0.2">
      <c r="A31" s="6"/>
      <c r="B31" s="6" t="str">
        <f t="shared" ref="B31" si="32">B13</f>
        <v>Schnitzer Steel Industries, Inc.</v>
      </c>
      <c r="C31" s="6" t="str">
        <f t="shared" si="16"/>
        <v>SCHN</v>
      </c>
      <c r="D31" s="16"/>
      <c r="E31" s="14"/>
      <c r="F31" s="39">
        <f t="shared" si="17"/>
        <v>917.78250000000003</v>
      </c>
      <c r="G31" s="39"/>
      <c r="H31" s="39"/>
      <c r="I31" s="14"/>
      <c r="J31" s="14"/>
      <c r="K31" s="14"/>
      <c r="L31" s="14"/>
      <c r="M31" s="39">
        <f t="shared" si="18"/>
        <v>1221.7705000000001</v>
      </c>
      <c r="N31" s="38">
        <f t="shared" ref="N31:S31" si="33">IFERROR(IF(OR(+$M13/N13&lt;0,+$M13/N13&gt;=100),"NM",+$M13/N13),"N/A")</f>
        <v>0.35547585103287754</v>
      </c>
      <c r="O31" s="38">
        <f t="shared" si="33"/>
        <v>0.37666029875409518</v>
      </c>
      <c r="P31" s="38">
        <f t="shared" si="33"/>
        <v>0.41750519416613135</v>
      </c>
      <c r="Q31" s="38">
        <f t="shared" si="33"/>
        <v>4.2585238759149533</v>
      </c>
      <c r="R31" s="38">
        <f t="shared" si="33"/>
        <v>4.1410334191973979</v>
      </c>
      <c r="S31" s="38">
        <f t="shared" si="33"/>
        <v>5.023658529899536</v>
      </c>
      <c r="T31" s="38">
        <f t="shared" ref="T31:V31" si="34">IFERROR(IF(OR(+$F13/T13&lt;0,+$F13/T13&gt;=100),"NM",+$F13/T13),"N/A")</f>
        <v>4.5615432405566603</v>
      </c>
      <c r="U31" s="38">
        <f t="shared" si="34"/>
        <v>5.6976812763844062</v>
      </c>
      <c r="V31" s="38">
        <f t="shared" si="34"/>
        <v>7.7308648041555523</v>
      </c>
      <c r="W31" s="6"/>
      <c r="X31" s="6"/>
      <c r="Y31" s="6"/>
      <c r="Z31" s="6"/>
      <c r="AA31" s="6"/>
      <c r="AP31" s="6"/>
    </row>
    <row r="32" spans="1:42" x14ac:dyDescent="0.2">
      <c r="A32" s="6"/>
      <c r="B32" s="6"/>
      <c r="C32" s="6"/>
      <c r="D32" s="6"/>
      <c r="E32" s="6"/>
      <c r="F32" s="6"/>
      <c r="G32" s="6"/>
      <c r="H32" s="6"/>
      <c r="I32" s="6"/>
      <c r="J32" s="6"/>
      <c r="K32" s="6"/>
      <c r="L32" s="6"/>
      <c r="M32" s="6"/>
      <c r="N32" s="6"/>
      <c r="O32" s="6"/>
      <c r="P32" s="6"/>
      <c r="Q32" s="6"/>
      <c r="R32" s="6"/>
      <c r="S32" s="6"/>
      <c r="T32" s="6"/>
      <c r="U32" s="6"/>
      <c r="V32" s="6"/>
      <c r="W32" s="6"/>
      <c r="X32" s="6"/>
      <c r="Y32" s="6"/>
      <c r="Z32" s="6"/>
      <c r="AA32" s="6"/>
      <c r="AP32" s="6"/>
    </row>
    <row r="33" spans="1:42" x14ac:dyDescent="0.2">
      <c r="A33" s="6"/>
      <c r="B33" s="17" t="s">
        <v>33</v>
      </c>
      <c r="C33" s="18"/>
      <c r="D33" s="19"/>
      <c r="E33" s="19"/>
      <c r="F33" s="20">
        <f>MAX(F26:F31)</f>
        <v>35462.29393</v>
      </c>
      <c r="G33" s="20"/>
      <c r="H33" s="20"/>
      <c r="I33" s="20"/>
      <c r="J33" s="20"/>
      <c r="K33" s="20"/>
      <c r="L33" s="20"/>
      <c r="M33" s="20">
        <f t="shared" ref="M33:V33" si="35">MAX(M26:M31)</f>
        <v>37636.995929999997</v>
      </c>
      <c r="N33" s="40">
        <f t="shared" si="35"/>
        <v>1.7692069290955035</v>
      </c>
      <c r="O33" s="40">
        <f t="shared" si="35"/>
        <v>1.5527561201096571</v>
      </c>
      <c r="P33" s="40">
        <f t="shared" si="35"/>
        <v>1.4788827162535978</v>
      </c>
      <c r="Q33" s="40">
        <f t="shared" si="35"/>
        <v>12.831340251711195</v>
      </c>
      <c r="R33" s="40">
        <f t="shared" si="35"/>
        <v>10.278234877962506</v>
      </c>
      <c r="S33" s="40">
        <f t="shared" si="35"/>
        <v>15.592471156426081</v>
      </c>
      <c r="T33" s="40">
        <f t="shared" si="35"/>
        <v>5.5338507632528451</v>
      </c>
      <c r="U33" s="40">
        <f t="shared" si="35"/>
        <v>12.7024639304302</v>
      </c>
      <c r="V33" s="41">
        <f t="shared" si="35"/>
        <v>11.51555529011258</v>
      </c>
      <c r="W33" s="6"/>
      <c r="X33" s="6"/>
      <c r="Y33" s="6"/>
      <c r="Z33" s="6"/>
      <c r="AA33" s="6"/>
      <c r="AP33" s="6"/>
    </row>
    <row r="34" spans="1:42" x14ac:dyDescent="0.2">
      <c r="A34" s="6"/>
      <c r="B34" s="23" t="s">
        <v>34</v>
      </c>
      <c r="C34" s="6"/>
      <c r="D34" s="24"/>
      <c r="E34" s="24"/>
      <c r="F34" s="25">
        <f>QUARTILE(F26:F31,3)</f>
        <v>8234.8261500000008</v>
      </c>
      <c r="G34" s="25"/>
      <c r="H34" s="25"/>
      <c r="I34" s="25"/>
      <c r="J34" s="25"/>
      <c r="K34" s="25"/>
      <c r="L34" s="25"/>
      <c r="M34" s="25">
        <f t="shared" ref="M34:V34" si="36">QUARTILE(M26:M31,3)</f>
        <v>13833.746149999999</v>
      </c>
      <c r="N34" s="38">
        <f t="shared" si="36"/>
        <v>0.85280933643033796</v>
      </c>
      <c r="O34" s="38">
        <f t="shared" si="36"/>
        <v>0.87090148892972064</v>
      </c>
      <c r="P34" s="38">
        <f t="shared" si="36"/>
        <v>1.0302039312342832</v>
      </c>
      <c r="Q34" s="38">
        <f t="shared" si="36"/>
        <v>4.7845821761438474</v>
      </c>
      <c r="R34" s="38">
        <f t="shared" si="36"/>
        <v>4.5395018287615772</v>
      </c>
      <c r="S34" s="38">
        <f t="shared" si="36"/>
        <v>6.6274473241031231</v>
      </c>
      <c r="T34" s="38">
        <f t="shared" si="36"/>
        <v>4.5615432405566603</v>
      </c>
      <c r="U34" s="38">
        <f t="shared" si="36"/>
        <v>6.344384421374313</v>
      </c>
      <c r="V34" s="42">
        <f t="shared" si="36"/>
        <v>10.334831384129712</v>
      </c>
      <c r="W34" s="6"/>
      <c r="X34" s="6"/>
      <c r="Y34" s="6"/>
      <c r="Z34" s="6"/>
      <c r="AA34" s="6"/>
      <c r="AP34" s="6"/>
    </row>
    <row r="35" spans="1:42" x14ac:dyDescent="0.2">
      <c r="A35" s="6"/>
      <c r="B35" s="258" t="s">
        <v>35</v>
      </c>
      <c r="C35" s="229"/>
      <c r="D35" s="259"/>
      <c r="E35" s="259"/>
      <c r="F35" s="260">
        <f>MEDIAN(F26:F31)</f>
        <v>6587.8869450000002</v>
      </c>
      <c r="G35" s="260"/>
      <c r="H35" s="260"/>
      <c r="I35" s="261"/>
      <c r="J35" s="261"/>
      <c r="K35" s="261"/>
      <c r="L35" s="261"/>
      <c r="M35" s="260">
        <f t="shared" ref="M35:V35" si="37">MEDIAN(M26:M31)</f>
        <v>7485.4794449999999</v>
      </c>
      <c r="N35" s="269">
        <f t="shared" si="37"/>
        <v>0.72333345904344726</v>
      </c>
      <c r="O35" s="269">
        <f t="shared" si="37"/>
        <v>0.72100954306550058</v>
      </c>
      <c r="P35" s="269">
        <f t="shared" si="37"/>
        <v>0.81164976437115821</v>
      </c>
      <c r="Q35" s="269">
        <f t="shared" si="37"/>
        <v>3.5420196603231711</v>
      </c>
      <c r="R35" s="269">
        <f t="shared" si="37"/>
        <v>4.0707347945829735</v>
      </c>
      <c r="S35" s="269">
        <f t="shared" si="37"/>
        <v>5.9374410997723395</v>
      </c>
      <c r="T35" s="269">
        <f t="shared" si="37"/>
        <v>3.9249910271167683</v>
      </c>
      <c r="U35" s="269">
        <f t="shared" si="37"/>
        <v>5.1441377149521728</v>
      </c>
      <c r="V35" s="270">
        <f t="shared" si="37"/>
        <v>9.9102281397725704</v>
      </c>
      <c r="W35" s="6"/>
      <c r="X35" s="6"/>
      <c r="Y35" s="6"/>
      <c r="Z35" s="6"/>
      <c r="AA35" s="6"/>
      <c r="AP35" s="6"/>
    </row>
    <row r="36" spans="1:42" x14ac:dyDescent="0.2">
      <c r="A36" s="6"/>
      <c r="B36" s="23" t="s">
        <v>36</v>
      </c>
      <c r="C36" s="29"/>
      <c r="D36" s="24"/>
      <c r="E36" s="24"/>
      <c r="F36" s="25">
        <f>QUARTILE(F26:F31,1)</f>
        <v>4387.5453225000001</v>
      </c>
      <c r="G36" s="25"/>
      <c r="H36" s="25"/>
      <c r="I36" s="25"/>
      <c r="J36" s="25"/>
      <c r="K36" s="25"/>
      <c r="L36" s="25"/>
      <c r="M36" s="25">
        <f t="shared" ref="M36:V36" si="38">QUARTILE(M26:M31,1)</f>
        <v>6030.2315725000008</v>
      </c>
      <c r="N36" s="38">
        <f t="shared" si="38"/>
        <v>0.43468925507363532</v>
      </c>
      <c r="O36" s="38">
        <f t="shared" si="38"/>
        <v>0.46711004256625888</v>
      </c>
      <c r="P36" s="38">
        <f t="shared" si="38"/>
        <v>0.58099579871434304</v>
      </c>
      <c r="Q36" s="38">
        <f t="shared" si="38"/>
        <v>2.6603244591894919</v>
      </c>
      <c r="R36" s="38">
        <f t="shared" si="38"/>
        <v>3.4259213804468844</v>
      </c>
      <c r="S36" s="38">
        <f t="shared" si="38"/>
        <v>5.2437994455406001</v>
      </c>
      <c r="T36" s="38">
        <f t="shared" si="38"/>
        <v>2.4078815937149272</v>
      </c>
      <c r="U36" s="38">
        <f t="shared" si="38"/>
        <v>4.356108780749242</v>
      </c>
      <c r="V36" s="42">
        <f t="shared" si="38"/>
        <v>8.2548481455817129</v>
      </c>
      <c r="W36" s="6"/>
      <c r="X36" s="6"/>
      <c r="Y36" s="6"/>
      <c r="Z36" s="6"/>
      <c r="AA36" s="6"/>
      <c r="AP36" s="6"/>
    </row>
    <row r="37" spans="1:42" x14ac:dyDescent="0.2">
      <c r="A37" s="6"/>
      <c r="B37" s="30" t="s">
        <v>37</v>
      </c>
      <c r="C37" s="31"/>
      <c r="D37" s="32"/>
      <c r="E37" s="32"/>
      <c r="F37" s="33">
        <f>MIN(F26:F31)</f>
        <v>917.78250000000003</v>
      </c>
      <c r="G37" s="33"/>
      <c r="H37" s="33"/>
      <c r="I37" s="33"/>
      <c r="J37" s="33"/>
      <c r="K37" s="33"/>
      <c r="L37" s="33"/>
      <c r="M37" s="33">
        <f t="shared" ref="M37:V37" si="39">MIN(M26:M31)</f>
        <v>1221.7705000000001</v>
      </c>
      <c r="N37" s="45">
        <f t="shared" si="39"/>
        <v>0.35547585103287754</v>
      </c>
      <c r="O37" s="45">
        <f t="shared" si="39"/>
        <v>0.37666029875409518</v>
      </c>
      <c r="P37" s="45">
        <f t="shared" si="39"/>
        <v>0.41750519416613135</v>
      </c>
      <c r="Q37" s="45">
        <f t="shared" si="39"/>
        <v>1.2676319204284621</v>
      </c>
      <c r="R37" s="45">
        <f t="shared" si="39"/>
        <v>1.9317574055980091</v>
      </c>
      <c r="S37" s="45">
        <f t="shared" si="39"/>
        <v>4.2353990255075686</v>
      </c>
      <c r="T37" s="45">
        <f t="shared" si="39"/>
        <v>1.4589808558101804</v>
      </c>
      <c r="U37" s="45">
        <f t="shared" si="39"/>
        <v>2.6466030482398861</v>
      </c>
      <c r="V37" s="46">
        <f t="shared" si="39"/>
        <v>7.4830313388325989</v>
      </c>
      <c r="W37" s="6"/>
      <c r="X37" s="6"/>
      <c r="Y37" s="6"/>
      <c r="Z37" s="6"/>
      <c r="AA37" s="6"/>
      <c r="AP37" s="6"/>
    </row>
    <row r="38" spans="1:42" x14ac:dyDescent="0.2">
      <c r="A38" s="6"/>
      <c r="B38" s="6"/>
      <c r="C38" s="6"/>
      <c r="D38" s="6"/>
      <c r="E38" s="6"/>
      <c r="F38" s="6"/>
      <c r="G38" s="6"/>
      <c r="H38" s="6"/>
      <c r="I38" s="6"/>
      <c r="J38" s="6"/>
      <c r="K38" s="6"/>
      <c r="L38" s="6"/>
      <c r="M38" s="6"/>
      <c r="N38" s="6"/>
      <c r="O38" s="6"/>
      <c r="P38" s="6"/>
      <c r="Q38" s="6"/>
      <c r="R38" s="6"/>
      <c r="S38" s="6"/>
      <c r="T38" s="6"/>
      <c r="U38" s="6"/>
      <c r="V38" s="6"/>
      <c r="W38" s="6"/>
      <c r="X38" s="6"/>
      <c r="Y38" s="6"/>
      <c r="Z38" s="6"/>
      <c r="AA38" s="6"/>
      <c r="AP38" s="6"/>
    </row>
    <row r="39" spans="1:42" ht="14.5" customHeight="1" x14ac:dyDescent="0.2">
      <c r="A39" s="6"/>
      <c r="B39" s="233" t="str">
        <f>Company_Name</f>
        <v xml:space="preserve">STEEL DYNAMICS, INC. </v>
      </c>
      <c r="C39" s="234" t="str">
        <f>Ticker</f>
        <v>STLD</v>
      </c>
      <c r="D39" s="264"/>
      <c r="E39" s="264"/>
      <c r="F39" s="271">
        <f>F21</f>
        <v>13320.153000000002</v>
      </c>
      <c r="G39" s="271"/>
      <c r="H39" s="271"/>
      <c r="I39" s="236"/>
      <c r="J39" s="236"/>
      <c r="K39" s="236"/>
      <c r="L39" s="236"/>
      <c r="M39" s="271">
        <f>M21</f>
        <v>15517.605</v>
      </c>
      <c r="N39" s="272">
        <f t="shared" ref="N39:S39" si="40">IFERROR(IF(OR(+$M21/N21&lt;0,+$M21/N21&gt;=100),"NM",+$M21/N21),"N/A")</f>
        <v>0.69956709859129529</v>
      </c>
      <c r="O39" s="272">
        <f t="shared" si="40"/>
        <v>0.70439742706408781</v>
      </c>
      <c r="P39" s="273">
        <f t="shared" si="40"/>
        <v>0.80663601517139238</v>
      </c>
      <c r="Q39" s="274">
        <f t="shared" si="40"/>
        <v>1.4315269651131104</v>
      </c>
      <c r="R39" s="274">
        <f t="shared" si="40"/>
        <v>5.1242896127951552</v>
      </c>
      <c r="S39" s="274">
        <f t="shared" si="40"/>
        <v>5.8092936440334926</v>
      </c>
      <c r="T39" s="274">
        <f t="shared" ref="T39:V39" si="41">IFERROR(IF(OR(+$F21/T21&lt;0,+$F21/T21&gt;=100),"NM",+$F21/T21),"N/A")</f>
        <v>3.0309218743351454</v>
      </c>
      <c r="U39" s="274">
        <f t="shared" si="41"/>
        <v>6.8896386303493147</v>
      </c>
      <c r="V39" s="274">
        <f t="shared" si="41"/>
        <v>8.0754785524040003</v>
      </c>
      <c r="W39" s="6"/>
      <c r="X39" s="6"/>
      <c r="Y39" s="6"/>
      <c r="Z39" s="6"/>
      <c r="AA39" s="6"/>
      <c r="AP39" s="6"/>
    </row>
    <row r="40" spans="1:42" x14ac:dyDescent="0.2">
      <c r="A40" s="6"/>
      <c r="B40" s="6"/>
      <c r="C40" s="6"/>
      <c r="D40" s="6"/>
      <c r="E40" s="6"/>
      <c r="F40" s="6"/>
      <c r="G40" s="6"/>
      <c r="H40" s="6"/>
      <c r="I40" s="6"/>
      <c r="J40" s="6"/>
      <c r="K40" s="6"/>
      <c r="L40" s="6"/>
      <c r="M40" s="6"/>
      <c r="N40" s="6"/>
      <c r="O40" s="6"/>
      <c r="P40" s="6"/>
      <c r="Q40" s="6"/>
      <c r="R40" s="6"/>
      <c r="S40" s="6"/>
      <c r="T40" s="78"/>
      <c r="U40" s="6"/>
      <c r="V40" s="6"/>
      <c r="W40" s="6"/>
      <c r="X40" s="6"/>
      <c r="Y40" s="6"/>
      <c r="Z40" s="6"/>
      <c r="AA40" s="6"/>
      <c r="AP40" s="6"/>
    </row>
    <row r="41" spans="1:42" x14ac:dyDescent="0.2">
      <c r="A41" s="6"/>
      <c r="B41" s="6"/>
      <c r="C41" s="6"/>
      <c r="D41" s="6"/>
      <c r="E41" s="6"/>
      <c r="F41" s="6"/>
      <c r="G41" s="6"/>
      <c r="H41" s="6"/>
      <c r="I41" s="6"/>
      <c r="J41" s="6"/>
      <c r="K41" s="6"/>
      <c r="L41" s="6"/>
      <c r="M41" s="6"/>
      <c r="N41" s="6"/>
      <c r="O41" s="6"/>
      <c r="P41" s="6"/>
      <c r="Q41" s="6"/>
      <c r="R41" s="6"/>
      <c r="S41" s="6"/>
      <c r="T41" s="6"/>
      <c r="U41" s="6"/>
      <c r="V41" s="6"/>
      <c r="W41" s="6"/>
      <c r="X41" s="6"/>
      <c r="Y41" s="6"/>
      <c r="Z41" s="6"/>
      <c r="AA41" s="6"/>
      <c r="AP41" s="6"/>
    </row>
    <row r="42" spans="1:42" x14ac:dyDescent="0.2">
      <c r="AP42" s="6"/>
    </row>
    <row r="43" spans="1:42" x14ac:dyDescent="0.2">
      <c r="AP43" s="6"/>
    </row>
    <row r="44" spans="1:42" x14ac:dyDescent="0.2">
      <c r="I44" s="198"/>
    </row>
    <row r="45" spans="1:42" x14ac:dyDescent="0.2">
      <c r="I45" s="198"/>
    </row>
    <row r="46" spans="1:42" x14ac:dyDescent="0.2">
      <c r="I46" s="199"/>
    </row>
    <row r="48" spans="1:42" x14ac:dyDescent="0.2">
      <c r="I48" s="198"/>
    </row>
    <row r="49" spans="4:9" x14ac:dyDescent="0.2">
      <c r="I49" s="199"/>
    </row>
    <row r="50" spans="4:9" x14ac:dyDescent="0.2">
      <c r="D50" s="192"/>
      <c r="E50" s="193"/>
    </row>
    <row r="51" spans="4:9" x14ac:dyDescent="0.2">
      <c r="D51" s="192"/>
      <c r="E51" s="193"/>
    </row>
  </sheetData>
  <sortState xmlns:xlrd2="http://schemas.microsoft.com/office/spreadsheetml/2017/richdata2" ref="A8:AP13">
    <sortCondition descending="1" ref="M8:M13"/>
  </sortState>
  <hyperlinks>
    <hyperlink ref="Q8" r:id="rId1" tooltip="EBITDA_x000a_ FY: 2022, FQ: 2_x000a_ Period End Date: Jul-02-2022_x000a_ Filing Date: Aug-10-2022_x000a_ Period Type: LTM_x000a_ Value: 13,320.4, Currency: USD, Millions" display="javascript:void(0);" xr:uid="{1AC7A33D-A3C2-934E-A9C5-02872693C272}"/>
    <hyperlink ref="R8" r:id="rId2" tooltip="EBITDA_x000a_ FY: 2022_x000a_ Period End Date: Dec-31-2022_x000a_ Period Type: Annual_x000a_ Value: 11,636.41, Currency: USD, Millions" display="javascript:click();" xr:uid="{B7F3FDBE-A706-1B40-833F-B930AAB9FF5E}"/>
    <hyperlink ref="S8" r:id="rId3" tooltip="EBITDA_x000a_ FY: 2023_x000a_ Period End Date: Dec-31-2023_x000a_ Period Type: Annual_x000a_ Value: 5,497.36, Currency: USD, Millions" display="javascript:click();" xr:uid="{D14B61F6-15AD-A042-A389-5F9ECA29442E}"/>
    <hyperlink ref="T8" r:id="rId4" tooltip="Net Income_x000a_ FY: 2022, FQ: 2_x000a_ Period End Date: Jul-02-2022_x000a_ Filing Date: Aug-10-2022_x000a_ Period Type: LTM_x000a_ Value: 9,035.0, Currency: USD, Millions" display="javascript:void(0);" xr:uid="{8E0512C0-DD07-FA49-A8E7-96C0D84372F4}"/>
    <hyperlink ref="U8" r:id="rId5" tooltip="Net Income_x000a_ FY: 2022_x000a_ Period End Date: Dec-31-2022_x000a_ Period Type: Annual_x000a_ Value: 7,724.99, Currency: USD, Millions" display="javascript:click();" xr:uid="{09CD93EC-07CD-1749-8E21-4CF8636E768F}"/>
    <hyperlink ref="V8" r:id="rId6" tooltip="Net Income_x000a_ FY: 2023_x000a_ Period End Date: Dec-31-2023_x000a_ Period Type: Annual_x000a_ Value: 3,393.99, Currency: USD, Millions" display="javascript:click();" xr:uid="{355D6D02-1AAC-6248-9378-095E4B340A50}"/>
    <hyperlink ref="N9" r:id="rId7" tooltip="Total Revenue_x000a_ FY: 2022, FQ: 2_x000a_ Period End Date: Jun-30-2022_x000a_ Filing Date: Jul-26-2022_x000a_ Period Type: LTM_x000a_ Value: 23,642.0, Currency: USD, Millions" display="javascript:void(0);" xr:uid="{812610FF-E7F6-E549-BD99-831116185A58}"/>
    <hyperlink ref="O9" r:id="rId8" tooltip="Total Revenue_x000a_ FY: 2022_x000a_ Period End Date: Dec-31-2022_x000a_ Period Type: Annual_x000a_ Value: 23,444.98, Currency: USD, Millions" display="javascript:click();" xr:uid="{25F44CAB-B033-7945-B232-87870647A1C6}"/>
    <hyperlink ref="P9" r:id="rId9" tooltip="Total Revenue_x000a_ FY: 2023_x000a_ Period End Date: Dec-31-2023_x000a_ Period Type: Annual_x000a_ Value: 20,057.09, Currency: USD, Millions" display="javascript:click();" xr:uid="{EC9BF19E-F61E-CF4F-972A-6A75B2C21AB1}"/>
    <hyperlink ref="Q9" r:id="rId10" tooltip="EBITDA_x000a_ FY: 2022, FQ: 2_x000a_ Period End Date: Jun-30-2022_x000a_ Filing Date: Jul-26-2022_x000a_ Period Type: LTM_x000a_ Value: 6,020.0, Currency: USD, Millions" display="javascript:void(0);" xr:uid="{49D2056C-850D-7046-98FC-DD8EEAEA9B5E}"/>
    <hyperlink ref="R9" r:id="rId11" tooltip="EBITDA_x000a_ FY: 2022_x000a_ Period End Date: Dec-31-2022_x000a_ Period Type: Annual_x000a_ Value: 3,920.49, Currency: USD, Millions" display="javascript:click();" xr:uid="{E0EC0B04-6A15-2B4D-B143-17D2B47584ED}"/>
    <hyperlink ref="S9" r:id="rId12" tooltip="EBITDA_x000a_ FY: 2023_x000a_ Period End Date: Dec-31-2023_x000a_ Period Type: Annual_x000a_ Value: 2,626.79, Currency: USD, Millions" display="javascript:click();" xr:uid="{D709B73F-0992-DE48-A53E-ECE96A7CC263}"/>
    <hyperlink ref="T9" r:id="rId13" tooltip="Net Income_x000a_ FY: 2022, FQ: 2_x000a_ Period End Date: Jun-30-2022_x000a_ Filing Date: Jul-26-2022_x000a_ Period Type: LTM_x000a_ Value: 3,564.0, Currency: USD, Millions" display="javascript:void(0);" xr:uid="{62003FAA-8B4D-BE46-94C2-58E267342881}"/>
    <hyperlink ref="U9" r:id="rId14" tooltip="Net Income_x000a_ FY: 2022_x000a_ Period End Date: Dec-31-2022_x000a_ Period Type: Annual_x000a_ Value: 2,006.03, Currency: USD, Millions" display="javascript:click();" xr:uid="{183BEA30-F01F-E84B-85CE-A927F580EB9E}"/>
    <hyperlink ref="V9" r:id="rId15" tooltip="Net Income_x000a_ FY: 2023_x000a_ Period End Date: Dec-31-2023_x000a_ Period Type: Annual_x000a_ Value: 1,146.82, Currency: USD, Millions" display="javascript:click();" xr:uid="{3685B9DB-6074-3242-BE75-18BB436DA36E}"/>
    <hyperlink ref="N10" r:id="rId16" tooltip="Total Revenue_x000a_ FY: 2022, FQ: 2_x000a_ Period End Date: Jun-30-2022_x000a_ Filing Date: Jul-29-2022_x000a_ Period Type: LTM_x000a_ Value: 23,110.0, Currency: USD, Millions" display="javascript:void(0);" xr:uid="{70594211-EABD-5745-8BB6-5C66D206A504}"/>
    <hyperlink ref="O10" r:id="rId17" tooltip="Total Revenue_x000a_ FY: 2022_x000a_ Period End Date: Dec-31-2022_x000a_ Period Type: Annual_x000a_ Value: 20,718.85, Currency: USD, Millions" display="javascript:click();" xr:uid="{0EB4C289-B14F-074C-ABD5-CC201A4F0E18}"/>
    <hyperlink ref="P10" r:id="rId18" tooltip="Total Revenue_x000a_ FY: 2023_x000a_ Period End Date: Dec-31-2023_x000a_ Period Type: Annual_x000a_ Value: 16,116.35, Currency: USD, Millions" display="javascript:click();" xr:uid="{D02082CB-87D6-594A-87FC-91E389B430C1}"/>
    <hyperlink ref="Q10" r:id="rId19" tooltip="EBITDA_x000a_ FY: 2022, FQ: 2_x000a_ Period End Date: Jun-30-2022_x000a_ Filing Date: Jul-29-2022_x000a_ Period Type: LTM_x000a_ Value: 6,535.0, Currency: USD, Millions" display="javascript:void(0);" xr:uid="{EB7B67C0-875A-694F-A185-B48A39F7F264}"/>
    <hyperlink ref="R10" r:id="rId20" tooltip="EBITDA_x000a_ FY: 2022_x000a_ Period End Date: Dec-31-2022_x000a_ Period Type: Annual_x000a_ Value: 4,288.31, Currency: USD, Millions" display="javascript:click();" xr:uid="{4BBF0D20-6901-2740-89DF-1651B3F1E5B7}"/>
    <hyperlink ref="S10" r:id="rId21" tooltip="EBITDA_x000a_ FY: 2023_x000a_ Period End Date: Dec-31-2023_x000a_ Period Type: Annual_x000a_ Value: 1,955.89, Currency: USD, Millions" display="javascript:click();" xr:uid="{A3CD3B19-6E0B-EC49-9ACC-7975F1A00812}"/>
    <hyperlink ref="T10" r:id="rId22" tooltip="Net Income_x000a_ FY: 2022, FQ: 2_x000a_ Period End Date: Jun-30-2022_x000a_ Filing Date: Jul-29-2022_x000a_ Period Type: LTM_x000a_ Value: 4,931.0, Currency: USD, Millions" display="javascript:void(0);" xr:uid="{F01DFC35-211F-FD4D-9DC9-8BDD302F7A62}"/>
    <hyperlink ref="U10" r:id="rId23" tooltip="Net Income_x000a_ FY: 2022_x000a_ Period End Date: Dec-31-2022_x000a_ Period Type: Annual_x000a_ Value: 2,718.29, Currency: USD, Millions" display="javascript:click();" xr:uid="{E6E1742B-1F66-7540-9B27-79645AE80691}"/>
    <hyperlink ref="V10" r:id="rId24" tooltip="Net Income_x000a_ FY: 2023_x000a_ Period End Date: Dec-31-2023_x000a_ Period Type: Annual_x000a_ Value: 719.88, Currency: USD, Millions" display="javascript:click();" xr:uid="{1520107E-2DB6-D84B-BA9F-8D8AD19DFDE9}"/>
    <hyperlink ref="N11" r:id="rId25" tooltip="Total Revenue_x000a_ FY: 2022, FQ: 3_x000a_ Period End Date: May-31-2022_x000a_ Filing Date: Jun-22-2022_x000a_ Period Type: LTM_x000a_ Value: 8,537.1, Currency: USD, Millions" display="javascript:void(0);" xr:uid="{83423E4A-CF3C-8D4D-8A1C-F034B9BCCD25}"/>
    <hyperlink ref="O11" r:id="rId26" tooltip="Total Revenue_x000a_ FY: 2022, FQ: 3_x000a_ Period End Date: Aug-31-2022_x000a_ Period Type: Annual_x000a_ Value: 8,916.62, Currency: USD, Millions" display="javascript:click();" xr:uid="{E175CC5A-8E26-7349-92FC-5907944D98CA}"/>
    <hyperlink ref="P11" r:id="rId27" tooltip="Total Revenue_x000a_ FY: 2023, FQ: 3_x000a_ Period End Date: Aug-31-2023_x000a_ Period Type: Annual_x000a_ Value: 8,116.73, Currency: USD, Millions" display="javascript:click();" xr:uid="{667D23B5-4FA7-7547-A6F2-415B7DE97B13}"/>
    <hyperlink ref="Q11" r:id="rId28" tooltip="EBITDA_x000a_ FY: 2022, FQ: 3_x000a_ Period End Date: May-31-2022_x000a_ Filing Date: Jun-22-2022_x000a_ Period Type: LTM_x000a_ Value: 1,348.2, Currency: USD, Millions" display="javascript:void(0);" xr:uid="{6E5A2273-3670-694D-B318-DD3FE673B3C3}"/>
    <hyperlink ref="R11" r:id="rId29" tooltip="EBITDA_x000a_ FY: 2022, FQ: 3_x000a_ Period End Date: Aug-31-2022_x000a_ Period Type: Annual_x000a_ Value: 1,543.63, Currency: USD, Millions" display="javascript:click();" xr:uid="{7A2334E3-52AB-2548-8ECD-7E43C619976C}"/>
    <hyperlink ref="S11" r:id="rId30" tooltip="EBITDA_x000a_ FY: 2023, FQ: 3_x000a_ Period End Date: Aug-31-2023_x000a_ Period Type: Annual_x000a_ Value: 1,206.31, Currency: USD, Millions" display="javascript:click();" xr:uid="{F1DC5965-52A4-1D45-A11F-8F38BA8B3EA0}"/>
    <hyperlink ref="T11" r:id="rId31" tooltip="Net Income_x000a_ FY: 2022, FQ: 3_x000a_ Period End Date: May-31-2022_x000a_ Filing Date: Jun-22-2022_x000a_ Period Type: LTM_x000a_ Value: 1,080.9, Currency: USD, Millions" display="javascript:void(0);" xr:uid="{26C4A8B5-659B-AC46-9B3C-EBC4966E4337}"/>
    <hyperlink ref="U11" r:id="rId32" tooltip="Net Income_x000a_ FY: 2022, FQ: 3_x000a_ Period End Date: Aug-31-2022_x000a_ Period Type: Annual_x000a_ Value: 1,032.89, Currency: USD, Millions" display="javascript:click();" xr:uid="{E84E83F5-E4F5-9340-B969-5717F16AF563}"/>
    <hyperlink ref="V11" r:id="rId33" tooltip="Net Income_x000a_ FY: 2023, FQ: 3_x000a_ Period End Date: Aug-31-2023_x000a_ Period Type: Annual_x000a_ Value: 669.70, Currency: USD, Millions" display="javascript:click();" xr:uid="{81E11E78-B1FE-A84E-9349-BEE0923656B5}"/>
    <hyperlink ref="N12" r:id="rId34" tooltip="Total Revenue_x000a_ FY: 2022, FQ: 2_x000a_ Period End Date: Jun-30-2022_x000a_ Filing Date: Aug-04-2022_x000a_ Period Type: LTM_x000a_ Value: 3,284.7, Currency: USD, Millions" display="javascript:void(0);" xr:uid="{BE56B2A1-2D66-AD4B-9667-6EFDF2C81B4F}"/>
    <hyperlink ref="O12" r:id="rId35" tooltip="Total Revenue_x000a_ FY: 2022_x000a_ Period End Date: Dec-31-2022_x000a_ Period Type: Annual_x000a_ Value: 3,742.58, Currency: USD, Millions" display="javascript:click();" xr:uid="{3A121F18-D57F-2C4C-BF71-DE5B2D8683B8}"/>
    <hyperlink ref="P12" r:id="rId36" tooltip="Total Revenue_x000a_ FY: 2023_x000a_ Period End Date: Dec-31-2023_x000a_ Period Type: Annual_x000a_ Value: 3,929.53, Currency: USD, Millions" display="javascript:click();" xr:uid="{0BE9286D-03AD-DA47-A881-6C51A4D95422}"/>
    <hyperlink ref="Q12" r:id="rId37" tooltip="EBITDA_x000a_ FY: 2022, FQ: 2_x000a_ Period End Date: Jun-30-2022_x000a_ Filing Date: Aug-04-2022_x000a_ Period Type: LTM_x000a_ Value: 452.9, Currency: USD, Millions" display="javascript:void(0);" xr:uid="{1198154D-01D1-3349-8423-7BA0EC21CD35}"/>
    <hyperlink ref="R12" r:id="rId38" tooltip="EBITDA_x000a_ FY: 2022_x000a_ Period End Date: Dec-31-2022_x000a_ Period Type: Annual_x000a_ Value: 565.40, Currency: USD, Millions" display="javascript:click();" xr:uid="{A5389D16-ABC9-5245-97FA-3ADA4CF7B813}"/>
    <hyperlink ref="T12" r:id="rId39" tooltip="Net Income_x000a_ FY: 2022, FQ: 2_x000a_ Period End Date: Jun-30-2022_x000a_ Filing Date: Aug-04-2022_x000a_ Period Type: LTM_x000a_ Value: 11.8, Currency: USD, Millions" display="javascript:void(0);" xr:uid="{052FC2E8-9ACC-1F48-AB5A-98EACBFA3410}"/>
    <hyperlink ref="U12" r:id="rId40" tooltip="Net Income_x000a_ FY: 2022_x000a_ Period End Date: Dec-31-2022_x000a_ Period Type: Annual_x000a_ Value: 303.58, Currency: USD, Millions" display="javascript:click();" xr:uid="{FC095739-C320-E142-9843-F35141CFA2E7}"/>
    <hyperlink ref="V12" r:id="rId41" tooltip="Net Income_x000a_ FY: 2023_x000a_ Period End Date: Dec-31-2023_x000a_ Period Type: Annual_x000a_ Value: 334.87, Currency: USD, Millions" display="javascript:click();" xr:uid="{83972A25-DCA3-B543-9FC1-64081434E824}"/>
    <hyperlink ref="N13" r:id="rId42" tooltip="Total Revenue_x000a_ FY: 2022, FQ: 3_x000a_ Period End Date: May-31-2022_x000a_ Filing Date: Jun-29-2022_x000a_ Period Type: LTM_x000a_ Value: 3,437.0, Currency: USD, Millions" display="javascript:void(0);" xr:uid="{0C6F2269-DA8C-6144-8259-7FE4F33894CD}"/>
    <hyperlink ref="O13" r:id="rId43" tooltip="Total Revenue_x000a_ FY: 2022, FQ: 3_x000a_ Period End Date: Aug-31-2022_x000a_ Period Type: Annual_x000a_ Value: 3,399.34, Currency: USD, Millions" display="javascript:click();" xr:uid="{3DE061F7-D26A-9E4C-821E-B3427B93927A}"/>
    <hyperlink ref="P13" r:id="rId44" tooltip="Total Revenue_x000a_ FY: 2023, FQ: 3_x000a_ Period End Date: Aug-31-2023_x000a_ Period Type: Annual_x000a_ Value: 2,932.37, Currency: USD, Millions" display="javascript:click();" xr:uid="{89C818CC-98C5-8742-8283-96B9CE91A755}"/>
    <hyperlink ref="Q13" r:id="rId45" tooltip="EBITDA_x000a_ FY: 2022, FQ: 3_x000a_ Period End Date: May-31-2022_x000a_ Filing Date: Jun-29-2022_x000a_ Period Type: LTM_x000a_ Value: 286.9, Currency: USD, Millions" display="javascript:void(0);" xr:uid="{9B938B10-82BF-3C4C-8B20-B511AA70D1F6}"/>
    <hyperlink ref="R13" r:id="rId46" tooltip="EBITDA_x000a_ FY: 2022, FQ: 3_x000a_ Period End Date: Aug-31-2022_x000a_ Period Type: Annual_x000a_ Value: 316.21, Currency: USD, Millions" display="javascript:click();" xr:uid="{C1A6E627-C7E5-0C44-B748-588AAB4C1543}"/>
    <hyperlink ref="S13" r:id="rId47" tooltip="EBITDA_x000a_ FY: 2023, FQ: 3_x000a_ Period End Date: Aug-31-2023_x000a_ Period Type: Annual_x000a_ Value: 252.66, Currency: USD, Millions" display="javascript:click();" xr:uid="{61C3025B-B436-7147-8888-5C5DA1F21FF8}"/>
    <hyperlink ref="T13" r:id="rId48" tooltip="Net Income_x000a_ FY: 2022, FQ: 3_x000a_ Period End Date: May-31-2022_x000a_ Filing Date: Jun-29-2022_x000a_ Period Type: LTM_x000a_ Value: 201.2, Currency: USD, Millions" display="javascript:void(0);" xr:uid="{6C6413B1-858C-E746-8E25-11EF055ED314}"/>
    <hyperlink ref="U13" r:id="rId49" tooltip="Net Income_x000a_ FY: 2022, FQ: 3_x000a_ Period End Date: Aug-31-2022_x000a_ Period Type: Annual_x000a_ Value: 178.67, Currency: USD, Millions" display="javascript:click();" xr:uid="{330B15E6-9A25-364B-B7BB-B59FFDFBE091}"/>
    <hyperlink ref="V13" r:id="rId50" tooltip="Net Income_x000a_ FY: 2023, FQ: 3_x000a_ Period End Date: Aug-31-2023_x000a_ Period Type: Annual_x000a_ Value: 125.86, Currency: USD, Millions" display="javascript:click();" xr:uid="{AD806D87-649A-944E-82D7-796E150D204B}"/>
  </hyperlinks>
  <pageMargins left="0.7" right="0.7" top="0.75" bottom="0.75" header="0.3" footer="0.3"/>
  <pageSetup scale="37" orientation="portrait" horizontalDpi="1200" verticalDpi="1200" r:id="rId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F7DCD-E20D-A94D-998E-2251774078F0}">
  <sheetPr>
    <pageSetUpPr autoPageBreaks="0"/>
  </sheetPr>
  <dimension ref="B2:V69"/>
  <sheetViews>
    <sheetView showGridLines="0" zoomScaleNormal="100" workbookViewId="0">
      <selection activeCell="C10" sqref="C10"/>
    </sheetView>
  </sheetViews>
  <sheetFormatPr baseColWidth="10" defaultColWidth="8.83203125" defaultRowHeight="15" x14ac:dyDescent="0.2"/>
  <cols>
    <col min="1" max="1" width="2.6640625" customWidth="1"/>
    <col min="2" max="2" width="38.5" bestFit="1" customWidth="1"/>
    <col min="3" max="3" width="55.33203125" customWidth="1"/>
    <col min="4" max="10" width="16.6640625" customWidth="1"/>
    <col min="11" max="12" width="2.6640625" customWidth="1"/>
    <col min="13" max="21" width="12.33203125" customWidth="1"/>
  </cols>
  <sheetData>
    <row r="2" spans="2:22" ht="19" x14ac:dyDescent="0.25">
      <c r="B2" s="1" t="s">
        <v>107</v>
      </c>
    </row>
    <row r="3" spans="2:22" ht="19" x14ac:dyDescent="0.25">
      <c r="B3" s="1" t="s">
        <v>264</v>
      </c>
    </row>
    <row r="4" spans="2:22" ht="16" x14ac:dyDescent="0.2">
      <c r="B4" s="6" t="s">
        <v>100</v>
      </c>
    </row>
    <row r="5" spans="2:22" ht="16" x14ac:dyDescent="0.2">
      <c r="B5" s="329" t="s">
        <v>130</v>
      </c>
    </row>
    <row r="7" spans="2:22" ht="16" x14ac:dyDescent="0.2">
      <c r="B7" s="224" t="str">
        <f>Company_Name&amp;" - Comparable M&amp;A Transactions:"</f>
        <v>Steel Dynamics Inc. - Comparable M&amp;A Transactions:</v>
      </c>
      <c r="C7" s="224"/>
      <c r="D7" s="224"/>
      <c r="E7" s="224"/>
      <c r="F7" s="225"/>
      <c r="G7" s="225"/>
      <c r="H7" s="225"/>
      <c r="I7" s="252" t="s">
        <v>26</v>
      </c>
      <c r="J7" s="252"/>
      <c r="L7" s="329"/>
      <c r="M7" s="329"/>
      <c r="N7" s="329"/>
      <c r="O7" s="329"/>
      <c r="P7" s="329"/>
      <c r="Q7" s="329"/>
      <c r="R7" s="329"/>
      <c r="S7" s="329"/>
      <c r="T7" s="329"/>
      <c r="U7" s="329"/>
      <c r="V7" s="6"/>
    </row>
    <row r="8" spans="2:22" ht="16" x14ac:dyDescent="0.2">
      <c r="B8" s="224"/>
      <c r="C8" s="224"/>
      <c r="D8" s="224"/>
      <c r="E8" s="224"/>
      <c r="F8" s="225" t="s">
        <v>27</v>
      </c>
      <c r="G8" s="225"/>
      <c r="H8" s="225"/>
      <c r="I8" s="225" t="s">
        <v>106</v>
      </c>
      <c r="J8" s="225" t="s">
        <v>106</v>
      </c>
      <c r="L8" s="97"/>
      <c r="M8" s="6"/>
      <c r="N8" s="6"/>
      <c r="O8" s="6"/>
      <c r="P8" s="6"/>
      <c r="Q8" s="6"/>
      <c r="R8" s="6"/>
      <c r="S8" s="6"/>
      <c r="T8" s="6"/>
      <c r="U8" s="6"/>
      <c r="V8" s="6"/>
    </row>
    <row r="9" spans="2:22" ht="16" x14ac:dyDescent="0.2">
      <c r="B9" s="254"/>
      <c r="C9" s="254"/>
      <c r="D9" s="225" t="s">
        <v>98</v>
      </c>
      <c r="E9" s="225" t="s">
        <v>117</v>
      </c>
      <c r="F9" s="225" t="s">
        <v>12</v>
      </c>
      <c r="G9" s="225" t="s">
        <v>17</v>
      </c>
      <c r="H9" s="225" t="s">
        <v>17</v>
      </c>
      <c r="I9" s="225" t="s">
        <v>17</v>
      </c>
      <c r="J9" s="225" t="s">
        <v>17</v>
      </c>
      <c r="L9" s="97"/>
      <c r="M9" s="6"/>
      <c r="N9" s="6"/>
      <c r="O9" s="6"/>
      <c r="P9" s="6"/>
      <c r="Q9" s="6"/>
      <c r="R9" s="6"/>
      <c r="S9" s="6"/>
      <c r="T9" s="6"/>
      <c r="U9" s="6"/>
      <c r="V9" s="6"/>
    </row>
    <row r="10" spans="2:22" ht="16" x14ac:dyDescent="0.2">
      <c r="B10" s="227" t="s">
        <v>23</v>
      </c>
      <c r="C10" s="227" t="s">
        <v>24</v>
      </c>
      <c r="D10" s="227" t="s">
        <v>25</v>
      </c>
      <c r="E10" s="227" t="s">
        <v>118</v>
      </c>
      <c r="F10" s="227" t="s">
        <v>16</v>
      </c>
      <c r="G10" s="227" t="s">
        <v>18</v>
      </c>
      <c r="H10" s="227" t="s">
        <v>19</v>
      </c>
      <c r="I10" s="227" t="s">
        <v>18</v>
      </c>
      <c r="J10" s="227" t="s">
        <v>19</v>
      </c>
      <c r="L10" s="71"/>
      <c r="M10" s="329"/>
      <c r="N10" s="329"/>
      <c r="O10" s="329"/>
      <c r="P10" s="329"/>
      <c r="Q10" s="329"/>
      <c r="R10" s="329"/>
      <c r="S10" s="329"/>
      <c r="T10" s="329"/>
      <c r="U10" s="329"/>
      <c r="V10" s="329"/>
    </row>
    <row r="11" spans="2:22" ht="16" x14ac:dyDescent="0.2">
      <c r="B11" s="329" t="s">
        <v>121</v>
      </c>
      <c r="C11" s="53" t="s">
        <v>109</v>
      </c>
      <c r="D11" s="51">
        <v>44173</v>
      </c>
      <c r="E11" s="333">
        <v>0.501</v>
      </c>
      <c r="F11" s="334">
        <v>1395.11</v>
      </c>
      <c r="G11" s="107">
        <f>700.378/75%</f>
        <v>933.83733333333339</v>
      </c>
      <c r="H11" s="107">
        <f>(-65.44+102.85+3.695)/75%</f>
        <v>54.806666666666665</v>
      </c>
      <c r="I11" s="38">
        <f t="shared" ref="I11:I25" si="0">IFERROR(IF(OR(+$F11/G11&lt;0,+$F11/G11&gt;=100),"NM",+$F11/G11),"N/A")</f>
        <v>1.49395397913698</v>
      </c>
      <c r="J11" s="38">
        <f t="shared" ref="J11:J25" si="1">IFERROR(IF(OR(+$F11/H11&lt;0,+$F11/H11&gt;=100),"NM",+$F11/H11),"N/A")</f>
        <v>25.455114949519523</v>
      </c>
      <c r="L11" s="329"/>
      <c r="M11" s="329"/>
      <c r="N11" s="329"/>
      <c r="O11" s="329"/>
      <c r="P11" s="329"/>
      <c r="Q11" s="329"/>
      <c r="R11" s="329"/>
      <c r="S11" s="329"/>
      <c r="T11" s="329"/>
      <c r="U11" s="329"/>
      <c r="V11" s="329"/>
    </row>
    <row r="12" spans="2:22" ht="16" x14ac:dyDescent="0.2">
      <c r="B12" s="329" t="s">
        <v>104</v>
      </c>
      <c r="C12" s="53" t="s">
        <v>110</v>
      </c>
      <c r="D12" s="51">
        <v>44102</v>
      </c>
      <c r="E12" s="333">
        <v>1</v>
      </c>
      <c r="F12" s="334">
        <v>3288.74</v>
      </c>
      <c r="G12" s="334">
        <v>10169</v>
      </c>
      <c r="H12" s="107">
        <f>-126+359+21</f>
        <v>254</v>
      </c>
      <c r="I12" s="38">
        <f t="shared" si="0"/>
        <v>0.32340839807257349</v>
      </c>
      <c r="J12" s="38">
        <f t="shared" si="1"/>
        <v>12.947795275590551</v>
      </c>
      <c r="L12" s="329"/>
      <c r="M12" s="329"/>
      <c r="N12" s="329"/>
      <c r="O12" s="329"/>
      <c r="P12" s="329"/>
      <c r="Q12" s="329"/>
      <c r="R12" s="329"/>
      <c r="S12" s="329"/>
      <c r="T12" s="329"/>
      <c r="U12" s="329"/>
      <c r="V12" s="329"/>
    </row>
    <row r="13" spans="2:22" ht="16" x14ac:dyDescent="0.2">
      <c r="B13" s="329" t="s">
        <v>104</v>
      </c>
      <c r="C13" s="53" t="s">
        <v>111</v>
      </c>
      <c r="D13" s="51">
        <v>43802</v>
      </c>
      <c r="E13" s="333">
        <v>1</v>
      </c>
      <c r="F13" s="107">
        <f>1068.3+1969.7-30.8+324.1</f>
        <v>3331.2999999999997</v>
      </c>
      <c r="G13" s="334">
        <v>6590.8</v>
      </c>
      <c r="H13" s="334">
        <v>595.20000000000005</v>
      </c>
      <c r="I13" s="38">
        <f t="shared" si="0"/>
        <v>0.50544698670874544</v>
      </c>
      <c r="J13" s="38">
        <f t="shared" si="1"/>
        <v>5.5969422043010741</v>
      </c>
      <c r="L13" s="329"/>
      <c r="M13" s="329"/>
      <c r="N13" s="329"/>
      <c r="O13" s="329"/>
      <c r="P13" s="329"/>
      <c r="Q13" s="329"/>
      <c r="R13" s="329"/>
      <c r="S13" s="329"/>
      <c r="T13" s="329"/>
      <c r="U13" s="329"/>
      <c r="V13" s="329"/>
    </row>
    <row r="14" spans="2:22" ht="16" x14ac:dyDescent="0.2">
      <c r="B14" s="329" t="s">
        <v>122</v>
      </c>
      <c r="C14" s="53" t="s">
        <v>112</v>
      </c>
      <c r="D14" s="51">
        <v>43546</v>
      </c>
      <c r="E14" s="333">
        <v>1</v>
      </c>
      <c r="F14" s="334">
        <v>1106.6199999999999</v>
      </c>
      <c r="G14" s="334">
        <v>1401.58</v>
      </c>
      <c r="H14" s="334">
        <v>165.64</v>
      </c>
      <c r="I14" s="38">
        <f t="shared" si="0"/>
        <v>0.78955179154953692</v>
      </c>
      <c r="J14" s="38">
        <f t="shared" si="1"/>
        <v>6.6808741849794737</v>
      </c>
      <c r="L14" s="71"/>
      <c r="M14" s="332"/>
      <c r="N14" s="329"/>
      <c r="O14" s="329"/>
      <c r="P14" s="329"/>
      <c r="Q14" s="329"/>
      <c r="R14" s="329"/>
      <c r="S14" s="329"/>
      <c r="T14" s="329"/>
      <c r="U14" s="329"/>
      <c r="V14" s="329"/>
    </row>
    <row r="15" spans="2:22" ht="16" x14ac:dyDescent="0.2">
      <c r="B15" s="329" t="s">
        <v>123</v>
      </c>
      <c r="C15" s="53" t="s">
        <v>113</v>
      </c>
      <c r="D15" s="51">
        <v>43102</v>
      </c>
      <c r="E15" s="333">
        <v>1</v>
      </c>
      <c r="F15" s="334">
        <v>701.2</v>
      </c>
      <c r="G15" s="334" t="s">
        <v>94</v>
      </c>
      <c r="H15" s="334" t="s">
        <v>94</v>
      </c>
      <c r="I15" s="38" t="str">
        <f t="shared" si="0"/>
        <v>N/A</v>
      </c>
      <c r="J15" s="38" t="str">
        <f t="shared" si="1"/>
        <v>N/A</v>
      </c>
      <c r="L15" s="329"/>
      <c r="M15" s="329"/>
      <c r="N15" s="329"/>
      <c r="O15" s="329"/>
      <c r="P15" s="329"/>
      <c r="Q15" s="329"/>
      <c r="R15" s="329"/>
      <c r="S15" s="329"/>
      <c r="T15" s="329"/>
      <c r="U15" s="329"/>
    </row>
    <row r="16" spans="2:22" ht="16" x14ac:dyDescent="0.2">
      <c r="B16" s="329" t="s">
        <v>124</v>
      </c>
      <c r="C16" s="53" t="s">
        <v>114</v>
      </c>
      <c r="D16" s="51">
        <v>42475</v>
      </c>
      <c r="E16" s="333">
        <v>1</v>
      </c>
      <c r="F16" s="334">
        <v>924.73</v>
      </c>
      <c r="G16" s="107">
        <f>618.1+173.4-282.9</f>
        <v>508.6</v>
      </c>
      <c r="H16" s="107">
        <f>(618.1-516.6-47.6)+(173.4-146.1-11.3)-(282.9-238.2-27.5)+G16*4%</f>
        <v>73.044000000000011</v>
      </c>
      <c r="I16" s="38">
        <f t="shared" si="0"/>
        <v>1.8181871804954777</v>
      </c>
      <c r="J16" s="38">
        <f t="shared" si="1"/>
        <v>12.659903619736047</v>
      </c>
      <c r="L16" s="329"/>
      <c r="M16" s="329"/>
      <c r="N16" s="329"/>
      <c r="O16" s="329"/>
      <c r="P16" s="329"/>
      <c r="Q16" s="329"/>
      <c r="R16" s="329"/>
      <c r="S16" s="329"/>
      <c r="T16" s="329"/>
      <c r="U16" s="329"/>
    </row>
    <row r="17" spans="2:22" ht="16" x14ac:dyDescent="0.2">
      <c r="B17" s="329" t="s">
        <v>125</v>
      </c>
      <c r="C17" s="53" t="s">
        <v>95</v>
      </c>
      <c r="D17" s="51">
        <v>42303</v>
      </c>
      <c r="E17" s="333">
        <v>0.5</v>
      </c>
      <c r="F17" s="334">
        <v>1481</v>
      </c>
      <c r="G17" s="334">
        <v>1167.68</v>
      </c>
      <c r="H17" s="334">
        <v>185.87</v>
      </c>
      <c r="I17" s="38">
        <f t="shared" si="0"/>
        <v>1.2683269388873664</v>
      </c>
      <c r="J17" s="38">
        <f t="shared" si="1"/>
        <v>7.9679345779308113</v>
      </c>
      <c r="L17" s="329"/>
      <c r="M17" s="329"/>
      <c r="N17" s="329"/>
      <c r="O17" s="329"/>
      <c r="P17" s="329"/>
      <c r="Q17" s="329"/>
      <c r="R17" s="329"/>
      <c r="S17" s="329"/>
      <c r="T17" s="329"/>
      <c r="U17" s="329"/>
      <c r="V17" s="329"/>
    </row>
    <row r="18" spans="2:22" ht="16" x14ac:dyDescent="0.2">
      <c r="B18" s="329" t="s">
        <v>29</v>
      </c>
      <c r="C18" s="53" t="s">
        <v>119</v>
      </c>
      <c r="D18" s="51">
        <v>41897</v>
      </c>
      <c r="E18" s="333">
        <v>1</v>
      </c>
      <c r="F18" s="334">
        <v>770</v>
      </c>
      <c r="G18" s="334" t="s">
        <v>94</v>
      </c>
      <c r="H18" s="334">
        <v>120.3125</v>
      </c>
      <c r="I18" s="38" t="str">
        <f t="shared" si="0"/>
        <v>N/A</v>
      </c>
      <c r="J18" s="38">
        <f t="shared" si="1"/>
        <v>6.4</v>
      </c>
      <c r="L18" s="329"/>
      <c r="M18" s="329"/>
      <c r="N18" s="329"/>
      <c r="O18" s="329"/>
      <c r="P18" s="329"/>
      <c r="Q18" s="329"/>
      <c r="R18" s="329"/>
      <c r="S18" s="329"/>
      <c r="T18" s="329"/>
      <c r="U18" s="329"/>
      <c r="V18" s="329"/>
    </row>
    <row r="19" spans="2:22" ht="16" x14ac:dyDescent="0.2">
      <c r="B19" s="329" t="s">
        <v>126</v>
      </c>
      <c r="C19" s="53" t="s">
        <v>93</v>
      </c>
      <c r="D19" s="51">
        <v>41870</v>
      </c>
      <c r="E19" s="333">
        <v>1</v>
      </c>
      <c r="F19" s="334">
        <v>1337.8</v>
      </c>
      <c r="G19" s="334">
        <v>1735</v>
      </c>
      <c r="H19" s="334">
        <v>161.69999999999999</v>
      </c>
      <c r="I19" s="38">
        <f t="shared" si="0"/>
        <v>0.77106628242074926</v>
      </c>
      <c r="J19" s="38">
        <f t="shared" si="1"/>
        <v>8.2733457019171315</v>
      </c>
      <c r="L19" s="329"/>
      <c r="M19" s="329"/>
      <c r="N19" s="329"/>
      <c r="O19" s="329"/>
      <c r="P19" s="329"/>
      <c r="Q19" s="329"/>
      <c r="R19" s="329"/>
      <c r="S19" s="329"/>
      <c r="T19" s="329"/>
      <c r="U19" s="329"/>
      <c r="V19" s="329"/>
    </row>
    <row r="20" spans="2:22" ht="16" x14ac:dyDescent="0.2">
      <c r="B20" s="329" t="s">
        <v>97</v>
      </c>
      <c r="C20" s="53" t="s">
        <v>96</v>
      </c>
      <c r="D20" s="51">
        <v>41841</v>
      </c>
      <c r="E20" s="333">
        <v>1</v>
      </c>
      <c r="F20" s="334">
        <v>707</v>
      </c>
      <c r="G20" s="334">
        <v>2018.06</v>
      </c>
      <c r="H20" s="334">
        <v>72</v>
      </c>
      <c r="I20" s="38">
        <f t="shared" si="0"/>
        <v>0.35033646175039396</v>
      </c>
      <c r="J20" s="38">
        <f t="shared" si="1"/>
        <v>9.8194444444444446</v>
      </c>
      <c r="L20" s="329"/>
      <c r="M20" s="6"/>
      <c r="N20" s="6"/>
      <c r="O20" s="6"/>
      <c r="P20" s="6"/>
      <c r="Q20" s="6"/>
      <c r="R20" s="6"/>
      <c r="S20" s="6"/>
      <c r="T20" s="6"/>
      <c r="U20" s="6"/>
      <c r="V20" s="329"/>
    </row>
    <row r="21" spans="2:22" ht="16" x14ac:dyDescent="0.2">
      <c r="B21" s="329" t="s">
        <v>127</v>
      </c>
      <c r="C21" s="53" t="s">
        <v>91</v>
      </c>
      <c r="D21" s="51">
        <v>41841</v>
      </c>
      <c r="E21" s="333">
        <v>1</v>
      </c>
      <c r="F21" s="334">
        <v>1625</v>
      </c>
      <c r="G21" s="334">
        <v>1938.57</v>
      </c>
      <c r="H21" s="334">
        <v>144.68199999999999</v>
      </c>
      <c r="I21" s="38">
        <f t="shared" si="0"/>
        <v>0.83824674889222472</v>
      </c>
      <c r="J21" s="38">
        <f t="shared" si="1"/>
        <v>11.231528455509325</v>
      </c>
      <c r="L21" s="71"/>
    </row>
    <row r="22" spans="2:22" ht="16" x14ac:dyDescent="0.2">
      <c r="B22" s="329" t="s">
        <v>128</v>
      </c>
      <c r="C22" s="53" t="s">
        <v>115</v>
      </c>
      <c r="D22" s="51">
        <v>41817</v>
      </c>
      <c r="E22" s="333">
        <v>1</v>
      </c>
      <c r="F22" s="334">
        <v>600</v>
      </c>
      <c r="G22" s="334">
        <v>199.80000000000018</v>
      </c>
      <c r="H22" s="334">
        <v>31.392000000000099</v>
      </c>
      <c r="I22" s="38">
        <f t="shared" si="0"/>
        <v>3.0030030030030002</v>
      </c>
      <c r="J22" s="38">
        <f t="shared" si="1"/>
        <v>19.113149847094743</v>
      </c>
      <c r="L22" s="329"/>
      <c r="M22" s="329"/>
      <c r="N22" s="329"/>
      <c r="O22" s="329"/>
      <c r="P22" s="329"/>
      <c r="Q22" s="329"/>
      <c r="R22" s="329"/>
      <c r="S22" s="329"/>
      <c r="T22" s="329"/>
      <c r="U22" s="329"/>
      <c r="V22" s="329"/>
    </row>
    <row r="23" spans="2:22" ht="16" x14ac:dyDescent="0.2">
      <c r="B23" s="329" t="s">
        <v>129</v>
      </c>
      <c r="C23" s="53" t="s">
        <v>92</v>
      </c>
      <c r="D23" s="51">
        <v>41607</v>
      </c>
      <c r="E23" s="333">
        <v>1</v>
      </c>
      <c r="F23" s="334">
        <v>1550</v>
      </c>
      <c r="G23" s="334">
        <v>1662.1364501223159</v>
      </c>
      <c r="H23" s="334">
        <v>80.184832835009516</v>
      </c>
      <c r="I23" s="38">
        <f t="shared" si="0"/>
        <v>0.93253475061324609</v>
      </c>
      <c r="J23" s="38">
        <f t="shared" si="1"/>
        <v>19.330338983050847</v>
      </c>
      <c r="L23" s="97"/>
      <c r="M23" s="6"/>
      <c r="N23" s="6"/>
      <c r="O23" s="6"/>
      <c r="P23" s="6"/>
      <c r="Q23" s="6"/>
      <c r="R23" s="6"/>
      <c r="S23" s="6"/>
      <c r="T23" s="6"/>
      <c r="U23" s="6"/>
      <c r="V23" s="329"/>
    </row>
    <row r="24" spans="2:22" ht="16" x14ac:dyDescent="0.2">
      <c r="B24" s="329" t="s">
        <v>32</v>
      </c>
      <c r="C24" s="53" t="s">
        <v>99</v>
      </c>
      <c r="D24" s="51">
        <v>41311</v>
      </c>
      <c r="E24" s="333">
        <v>1</v>
      </c>
      <c r="F24" s="334">
        <v>1216.48</v>
      </c>
      <c r="G24" s="334">
        <v>1983.6</v>
      </c>
      <c r="H24" s="334">
        <v>143.30000000000001</v>
      </c>
      <c r="I24" s="38">
        <f t="shared" si="0"/>
        <v>0.61326880419439411</v>
      </c>
      <c r="J24" s="38">
        <f t="shared" si="1"/>
        <v>8.4890439637124899</v>
      </c>
      <c r="L24" s="97"/>
      <c r="M24" s="6"/>
      <c r="N24" s="6"/>
      <c r="O24" s="6"/>
      <c r="P24" s="6"/>
      <c r="Q24" s="6"/>
      <c r="R24" s="6"/>
      <c r="S24" s="6"/>
      <c r="T24" s="6"/>
      <c r="U24" s="6"/>
      <c r="V24" s="6"/>
    </row>
    <row r="25" spans="2:22" ht="16" x14ac:dyDescent="0.2">
      <c r="B25" s="329" t="s">
        <v>29</v>
      </c>
      <c r="C25" s="53" t="s">
        <v>116</v>
      </c>
      <c r="D25" s="51">
        <v>41046</v>
      </c>
      <c r="E25" s="333">
        <v>1</v>
      </c>
      <c r="F25" s="334">
        <v>684</v>
      </c>
      <c r="G25" s="334">
        <v>873</v>
      </c>
      <c r="H25" s="334" t="s">
        <v>94</v>
      </c>
      <c r="I25" s="38">
        <f t="shared" si="0"/>
        <v>0.78350515463917525</v>
      </c>
      <c r="J25" s="38" t="str">
        <f t="shared" si="1"/>
        <v>N/A</v>
      </c>
      <c r="L25" s="329"/>
      <c r="M25" s="329"/>
      <c r="N25" s="329"/>
      <c r="O25" s="329"/>
      <c r="P25" s="329"/>
      <c r="Q25" s="329"/>
      <c r="R25" s="329"/>
      <c r="S25" s="329"/>
      <c r="T25" s="329"/>
      <c r="U25" s="329"/>
    </row>
    <row r="26" spans="2:22" ht="16" x14ac:dyDescent="0.2">
      <c r="F26" s="5"/>
      <c r="L26" s="329"/>
      <c r="M26" s="329"/>
      <c r="N26" s="329"/>
      <c r="O26" s="329"/>
      <c r="P26" s="329"/>
      <c r="Q26" s="329"/>
      <c r="R26" s="329"/>
      <c r="S26" s="329"/>
      <c r="T26" s="329"/>
      <c r="U26" s="329"/>
    </row>
    <row r="27" spans="2:22" ht="16" x14ac:dyDescent="0.2">
      <c r="C27" s="17" t="s">
        <v>33</v>
      </c>
      <c r="D27" s="47"/>
      <c r="E27" s="47"/>
      <c r="F27" s="20">
        <f>MAX(F11:F25)</f>
        <v>3331.2999999999997</v>
      </c>
      <c r="G27" s="20">
        <f>MAX(G11:G25)</f>
        <v>10169</v>
      </c>
      <c r="H27" s="20">
        <f>MAX(H11:H25)</f>
        <v>595.20000000000005</v>
      </c>
      <c r="I27" s="40">
        <f>MAX(I11:I25)</f>
        <v>3.0030030030030002</v>
      </c>
      <c r="J27" s="41">
        <f>MAX(J11:J25)</f>
        <v>25.455114949519523</v>
      </c>
      <c r="L27" s="329"/>
      <c r="M27" s="329"/>
      <c r="N27" s="329"/>
      <c r="O27" s="329"/>
      <c r="P27" s="329"/>
      <c r="Q27" s="329"/>
      <c r="R27" s="329"/>
      <c r="S27" s="329"/>
      <c r="T27" s="329"/>
      <c r="U27" s="329"/>
    </row>
    <row r="28" spans="2:22" ht="16" x14ac:dyDescent="0.2">
      <c r="C28" s="23" t="s">
        <v>34</v>
      </c>
      <c r="D28" s="48"/>
      <c r="E28" s="48"/>
      <c r="F28" s="25">
        <f>QUARTILE(F11:F25,3)</f>
        <v>1515.5</v>
      </c>
      <c r="G28" s="25">
        <f>QUARTILE(G11:G25,3)</f>
        <v>1983.6</v>
      </c>
      <c r="H28" s="25">
        <f>QUARTILE(H11:H25,3)</f>
        <v>165.64</v>
      </c>
      <c r="I28" s="38">
        <f>QUARTILE(I11:I25,3)</f>
        <v>1.2683269388873664</v>
      </c>
      <c r="J28" s="42">
        <f>QUARTILE(J11:J25,3)</f>
        <v>12.947795275590551</v>
      </c>
      <c r="L28" s="329"/>
      <c r="M28" s="329"/>
      <c r="N28" s="329"/>
      <c r="O28" s="329"/>
      <c r="P28" s="329"/>
      <c r="Q28" s="329"/>
      <c r="R28" s="329"/>
      <c r="S28" s="329"/>
      <c r="T28" s="329"/>
      <c r="U28" s="329"/>
    </row>
    <row r="29" spans="2:22" ht="16" x14ac:dyDescent="0.2">
      <c r="C29" s="258" t="s">
        <v>35</v>
      </c>
      <c r="D29" s="347"/>
      <c r="E29" s="347"/>
      <c r="F29" s="260">
        <f>MEDIAN(F11:F25)</f>
        <v>1216.48</v>
      </c>
      <c r="G29" s="260">
        <f>MEDIAN(G11:G25)</f>
        <v>1662.1364501223159</v>
      </c>
      <c r="H29" s="260">
        <f>MEDIAN(H11:H25)</f>
        <v>143.30000000000001</v>
      </c>
      <c r="I29" s="269">
        <f>MEDIAN(I11:I25)</f>
        <v>0.78955179154953692</v>
      </c>
      <c r="J29" s="270">
        <f>MEDIAN(J11:J25)</f>
        <v>9.8194444444444446</v>
      </c>
      <c r="L29" s="329"/>
      <c r="M29" s="329"/>
      <c r="N29" s="329"/>
      <c r="O29" s="329"/>
      <c r="P29" s="329"/>
      <c r="Q29" s="329"/>
      <c r="R29" s="329"/>
      <c r="S29" s="329"/>
      <c r="T29" s="329"/>
      <c r="U29" s="329"/>
    </row>
    <row r="30" spans="2:22" ht="16" x14ac:dyDescent="0.2">
      <c r="C30" s="23" t="s">
        <v>36</v>
      </c>
      <c r="D30" s="48"/>
      <c r="E30" s="48"/>
      <c r="F30" s="25">
        <f>QUARTILE(F11:F25,1)</f>
        <v>738.5</v>
      </c>
      <c r="G30" s="25">
        <f>QUARTILE(G11:G25,1)</f>
        <v>933.83733333333339</v>
      </c>
      <c r="H30" s="25">
        <f>QUARTILE(H11:H25,1)</f>
        <v>73.044000000000011</v>
      </c>
      <c r="I30" s="38">
        <f>QUARTILE(I11:I25,1)</f>
        <v>0.61326880419439411</v>
      </c>
      <c r="J30" s="42">
        <f>QUARTILE(J11:J25,1)</f>
        <v>7.9679345779308113</v>
      </c>
      <c r="L30" s="329"/>
      <c r="M30" s="329"/>
      <c r="N30" s="329"/>
      <c r="O30" s="329"/>
      <c r="P30" s="329"/>
      <c r="Q30" s="329"/>
      <c r="R30" s="329"/>
      <c r="S30" s="329"/>
      <c r="T30" s="329"/>
      <c r="U30" s="329"/>
    </row>
    <row r="31" spans="2:22" ht="16" x14ac:dyDescent="0.2">
      <c r="C31" s="30" t="s">
        <v>37</v>
      </c>
      <c r="D31" s="50"/>
      <c r="E31" s="50"/>
      <c r="F31" s="33">
        <f>MIN(F11:F25)</f>
        <v>600</v>
      </c>
      <c r="G31" s="33">
        <f>MIN(G11:G25)</f>
        <v>199.80000000000018</v>
      </c>
      <c r="H31" s="33">
        <f>MIN(H11:H25)</f>
        <v>31.392000000000099</v>
      </c>
      <c r="I31" s="45">
        <f>MIN(I11:I25)</f>
        <v>0.32340839807257349</v>
      </c>
      <c r="J31" s="46">
        <f>MIN(J11:J25)</f>
        <v>5.5969422043010741</v>
      </c>
      <c r="L31" s="329"/>
      <c r="M31" s="329"/>
      <c r="N31" s="329"/>
      <c r="O31" s="329"/>
      <c r="P31" s="329"/>
      <c r="Q31" s="329"/>
      <c r="R31" s="329"/>
      <c r="S31" s="329"/>
      <c r="T31" s="329"/>
      <c r="U31" s="329"/>
    </row>
    <row r="32" spans="2:22" ht="16" x14ac:dyDescent="0.2">
      <c r="L32" s="329"/>
      <c r="M32" s="329"/>
      <c r="N32" s="329"/>
      <c r="O32" s="329"/>
      <c r="P32" s="329"/>
      <c r="Q32" s="329"/>
      <c r="R32" s="329"/>
      <c r="S32" s="329"/>
      <c r="T32" s="329"/>
      <c r="U32" s="329"/>
    </row>
    <row r="33" spans="9:21" ht="16" x14ac:dyDescent="0.2">
      <c r="I33" s="331"/>
      <c r="J33" s="331"/>
      <c r="L33" s="329"/>
      <c r="M33" s="329"/>
      <c r="N33" s="329"/>
      <c r="O33" s="329"/>
      <c r="P33" s="329"/>
      <c r="Q33" s="329"/>
      <c r="R33" s="329"/>
      <c r="S33" s="329"/>
      <c r="T33" s="329"/>
      <c r="U33" s="329"/>
    </row>
    <row r="34" spans="9:21" ht="16" x14ac:dyDescent="0.2">
      <c r="L34" s="329"/>
      <c r="M34" s="329"/>
      <c r="N34" s="329"/>
      <c r="O34" s="329"/>
      <c r="P34" s="329"/>
      <c r="Q34" s="329"/>
      <c r="R34" s="329"/>
      <c r="S34" s="329"/>
      <c r="T34" s="329"/>
      <c r="U34" s="329"/>
    </row>
    <row r="35" spans="9:21" ht="16" x14ac:dyDescent="0.2">
      <c r="L35" s="329"/>
      <c r="M35" s="329"/>
      <c r="N35" s="329"/>
      <c r="O35" s="329"/>
      <c r="P35" s="329"/>
      <c r="Q35" s="329"/>
      <c r="R35" s="329"/>
      <c r="S35" s="329"/>
      <c r="T35" s="329"/>
      <c r="U35" s="329"/>
    </row>
    <row r="36" spans="9:21" ht="16" x14ac:dyDescent="0.2">
      <c r="L36" s="97"/>
      <c r="M36" s="6"/>
      <c r="N36" s="6"/>
      <c r="O36" s="6"/>
      <c r="P36" s="6"/>
      <c r="Q36" s="6"/>
      <c r="R36" s="6"/>
      <c r="S36" s="6"/>
      <c r="T36" s="6"/>
      <c r="U36" s="6"/>
    </row>
    <row r="37" spans="9:21" ht="16" x14ac:dyDescent="0.2">
      <c r="L37" s="329"/>
      <c r="M37" s="6"/>
      <c r="N37" s="6"/>
      <c r="O37" s="6"/>
      <c r="P37" s="6"/>
      <c r="Q37" s="6"/>
      <c r="R37" s="6"/>
      <c r="S37" s="6"/>
      <c r="T37" s="6"/>
      <c r="U37" s="6"/>
    </row>
    <row r="38" spans="9:21" ht="16" x14ac:dyDescent="0.2">
      <c r="L38" s="329"/>
      <c r="M38" s="6"/>
      <c r="N38" s="6"/>
      <c r="O38" s="6"/>
      <c r="P38" s="6"/>
      <c r="Q38" s="6"/>
      <c r="R38" s="6"/>
      <c r="S38" s="6"/>
      <c r="T38" s="6"/>
      <c r="U38" s="6"/>
    </row>
    <row r="39" spans="9:21" ht="16" x14ac:dyDescent="0.2">
      <c r="L39" s="329"/>
      <c r="M39" s="329"/>
      <c r="N39" s="329"/>
      <c r="O39" s="329"/>
      <c r="P39" s="329"/>
      <c r="Q39" s="329"/>
      <c r="R39" s="329"/>
      <c r="S39" s="329"/>
      <c r="T39" s="329"/>
      <c r="U39" s="329"/>
    </row>
    <row r="40" spans="9:21" ht="16" x14ac:dyDescent="0.2">
      <c r="L40" s="329"/>
      <c r="M40" s="329"/>
      <c r="N40" s="329"/>
      <c r="O40" s="329"/>
      <c r="P40" s="329"/>
      <c r="Q40" s="329"/>
      <c r="R40" s="329"/>
      <c r="S40" s="329"/>
      <c r="T40" s="329"/>
      <c r="U40" s="329"/>
    </row>
    <row r="41" spans="9:21" ht="16" x14ac:dyDescent="0.2">
      <c r="L41" s="329"/>
      <c r="M41" s="329"/>
      <c r="N41" s="329"/>
      <c r="O41" s="329"/>
      <c r="P41" s="329"/>
      <c r="Q41" s="329"/>
      <c r="R41" s="329"/>
      <c r="S41" s="329"/>
      <c r="T41" s="329"/>
      <c r="U41" s="329"/>
    </row>
    <row r="42" spans="9:21" ht="16" x14ac:dyDescent="0.2">
      <c r="L42" s="329"/>
      <c r="M42" s="329"/>
      <c r="N42" s="329"/>
      <c r="O42" s="329"/>
      <c r="P42" s="329"/>
      <c r="Q42" s="329"/>
      <c r="R42" s="329"/>
      <c r="S42" s="329"/>
      <c r="T42" s="329"/>
      <c r="U42" s="329"/>
    </row>
    <row r="43" spans="9:21" ht="16" x14ac:dyDescent="0.2">
      <c r="L43" s="329"/>
      <c r="M43" s="329"/>
      <c r="N43" s="329"/>
      <c r="O43" s="329"/>
      <c r="P43" s="329"/>
      <c r="Q43" s="329"/>
      <c r="R43" s="329"/>
      <c r="S43" s="329"/>
      <c r="T43" s="329"/>
      <c r="U43" s="329"/>
    </row>
    <row r="44" spans="9:21" ht="16" x14ac:dyDescent="0.2">
      <c r="L44" s="329"/>
      <c r="M44" s="329"/>
      <c r="N44" s="329"/>
      <c r="O44" s="329"/>
      <c r="P44" s="329"/>
      <c r="Q44" s="329"/>
      <c r="R44" s="329"/>
      <c r="S44" s="329"/>
      <c r="T44" s="329"/>
      <c r="U44" s="329"/>
    </row>
    <row r="45" spans="9:21" ht="16" x14ac:dyDescent="0.2">
      <c r="L45" s="329"/>
      <c r="M45" s="329"/>
      <c r="N45" s="329"/>
      <c r="O45" s="329"/>
      <c r="P45" s="329"/>
      <c r="Q45" s="329"/>
      <c r="R45" s="329"/>
      <c r="S45" s="329"/>
      <c r="T45" s="329"/>
      <c r="U45" s="329"/>
    </row>
    <row r="46" spans="9:21" ht="16" x14ac:dyDescent="0.2">
      <c r="L46" s="329"/>
      <c r="M46" s="329"/>
      <c r="N46" s="329"/>
      <c r="O46" s="329"/>
      <c r="P46" s="329"/>
      <c r="Q46" s="329"/>
      <c r="R46" s="329"/>
      <c r="S46" s="329"/>
      <c r="T46" s="329"/>
      <c r="U46" s="329"/>
    </row>
    <row r="47" spans="9:21" ht="16" x14ac:dyDescent="0.2">
      <c r="L47" s="329"/>
      <c r="M47" s="329"/>
      <c r="N47" s="329"/>
      <c r="O47" s="329"/>
      <c r="P47" s="329"/>
      <c r="Q47" s="329"/>
      <c r="R47" s="329"/>
      <c r="S47" s="329"/>
      <c r="T47" s="329"/>
      <c r="U47" s="329"/>
    </row>
    <row r="48" spans="9:21" ht="16" x14ac:dyDescent="0.2">
      <c r="L48" s="329"/>
      <c r="M48" s="329"/>
      <c r="N48" s="329"/>
      <c r="O48" s="329"/>
      <c r="P48" s="329"/>
      <c r="Q48" s="329"/>
      <c r="R48" s="329"/>
      <c r="S48" s="329"/>
      <c r="T48" s="329"/>
      <c r="U48" s="329"/>
    </row>
    <row r="49" spans="12:22" ht="16" x14ac:dyDescent="0.2">
      <c r="L49" s="329"/>
      <c r="M49" s="329"/>
      <c r="N49" s="329"/>
      <c r="O49" s="329"/>
      <c r="P49" s="329"/>
      <c r="Q49" s="329"/>
      <c r="R49" s="329"/>
      <c r="S49" s="329"/>
      <c r="T49" s="329"/>
      <c r="U49" s="329"/>
    </row>
    <row r="50" spans="12:22" ht="16" x14ac:dyDescent="0.2">
      <c r="L50" s="329"/>
      <c r="M50" s="330"/>
      <c r="N50" s="329"/>
      <c r="O50" s="329"/>
      <c r="P50" s="329"/>
      <c r="Q50" s="329"/>
      <c r="R50" s="329"/>
      <c r="S50" s="329"/>
      <c r="T50" s="329"/>
      <c r="U50" s="329"/>
    </row>
    <row r="51" spans="12:22" ht="16" x14ac:dyDescent="0.2">
      <c r="L51" s="329"/>
      <c r="M51" s="329"/>
      <c r="N51" s="329"/>
      <c r="O51" s="329"/>
      <c r="P51" s="329"/>
      <c r="Q51" s="329"/>
      <c r="R51" s="329"/>
      <c r="S51" s="329"/>
      <c r="T51" s="329"/>
      <c r="U51" s="329"/>
    </row>
    <row r="52" spans="12:22" ht="16" x14ac:dyDescent="0.2">
      <c r="L52" s="329"/>
      <c r="M52" s="329"/>
      <c r="N52" s="329"/>
      <c r="O52" s="329"/>
      <c r="P52" s="329"/>
      <c r="Q52" s="329"/>
      <c r="R52" s="329"/>
      <c r="S52" s="329"/>
      <c r="T52" s="329"/>
      <c r="U52" s="329"/>
    </row>
    <row r="53" spans="12:22" ht="16" x14ac:dyDescent="0.2">
      <c r="L53" s="329"/>
      <c r="M53" s="329"/>
      <c r="N53" s="329"/>
      <c r="O53" s="329"/>
      <c r="P53" s="329"/>
      <c r="Q53" s="329"/>
      <c r="R53" s="329"/>
      <c r="S53" s="329"/>
      <c r="T53" s="329"/>
      <c r="U53" s="329"/>
    </row>
    <row r="54" spans="12:22" ht="16" x14ac:dyDescent="0.2">
      <c r="L54" s="329"/>
      <c r="M54" s="329"/>
      <c r="N54" s="329"/>
      <c r="O54" s="329"/>
      <c r="P54" s="329"/>
      <c r="Q54" s="329"/>
      <c r="R54" s="329"/>
      <c r="S54" s="329"/>
      <c r="T54" s="329"/>
      <c r="U54" s="329"/>
    </row>
    <row r="55" spans="12:22" ht="16" x14ac:dyDescent="0.2">
      <c r="L55" s="329"/>
      <c r="M55" s="329"/>
      <c r="N55" s="329"/>
      <c r="O55" s="329"/>
      <c r="P55" s="329"/>
      <c r="Q55" s="329"/>
      <c r="R55" s="329"/>
      <c r="S55" s="329"/>
      <c r="T55" s="329"/>
      <c r="U55" s="329"/>
      <c r="V55" s="6"/>
    </row>
    <row r="56" spans="12:22" ht="16" x14ac:dyDescent="0.2">
      <c r="L56" s="97"/>
      <c r="M56" s="6"/>
      <c r="N56" s="6"/>
      <c r="O56" s="6"/>
      <c r="P56" s="6"/>
      <c r="Q56" s="6"/>
      <c r="R56" s="6"/>
      <c r="S56" s="6"/>
      <c r="T56" s="6"/>
      <c r="U56" s="6"/>
      <c r="V56" s="6"/>
    </row>
    <row r="57" spans="12:22" ht="16" x14ac:dyDescent="0.2">
      <c r="L57" s="97"/>
      <c r="M57" s="6"/>
      <c r="N57" s="6"/>
      <c r="O57" s="6"/>
      <c r="P57" s="6"/>
      <c r="Q57" s="6"/>
      <c r="R57" s="6"/>
      <c r="S57" s="6"/>
      <c r="T57" s="6"/>
      <c r="U57" s="6"/>
      <c r="V57" s="6"/>
    </row>
    <row r="58" spans="12:22" ht="16" x14ac:dyDescent="0.2">
      <c r="L58" s="97"/>
      <c r="M58" s="6"/>
      <c r="N58" s="6"/>
      <c r="O58" s="6"/>
      <c r="P58" s="6"/>
      <c r="Q58" s="6"/>
      <c r="R58" s="6"/>
      <c r="S58" s="6"/>
      <c r="T58" s="6"/>
      <c r="U58" s="6"/>
      <c r="V58" s="6"/>
    </row>
    <row r="59" spans="12:22" ht="16" x14ac:dyDescent="0.2">
      <c r="L59" s="97"/>
      <c r="M59" s="6"/>
      <c r="N59" s="6"/>
      <c r="O59" s="6"/>
      <c r="P59" s="6"/>
      <c r="Q59" s="6"/>
      <c r="R59" s="6"/>
      <c r="S59" s="6"/>
      <c r="T59" s="6"/>
      <c r="U59" s="6"/>
      <c r="V59" s="6"/>
    </row>
    <row r="60" spans="12:22" ht="16" x14ac:dyDescent="0.2">
      <c r="L60" s="97"/>
      <c r="M60" s="6"/>
      <c r="N60" s="6"/>
      <c r="O60" s="6"/>
      <c r="P60" s="6"/>
      <c r="Q60" s="6"/>
      <c r="R60" s="6"/>
      <c r="S60" s="6"/>
      <c r="T60" s="6"/>
      <c r="U60" s="6"/>
      <c r="V60" s="6"/>
    </row>
    <row r="61" spans="12:22" ht="16" x14ac:dyDescent="0.2">
      <c r="L61" s="329"/>
      <c r="M61" s="329"/>
      <c r="N61" s="329"/>
      <c r="O61" s="329"/>
      <c r="P61" s="329"/>
      <c r="Q61" s="329"/>
      <c r="R61" s="329"/>
      <c r="S61" s="329"/>
      <c r="T61" s="329"/>
      <c r="U61" s="329"/>
      <c r="V61" s="6"/>
    </row>
    <row r="62" spans="12:22" ht="16" x14ac:dyDescent="0.2">
      <c r="L62" s="97"/>
      <c r="M62" s="6"/>
      <c r="N62" s="6"/>
      <c r="O62" s="6"/>
      <c r="P62" s="6"/>
      <c r="Q62" s="6"/>
      <c r="R62" s="6"/>
      <c r="S62" s="6"/>
      <c r="T62" s="6"/>
      <c r="U62" s="6"/>
      <c r="V62" s="6"/>
    </row>
    <row r="63" spans="12:22" ht="16" x14ac:dyDescent="0.2">
      <c r="L63" s="97"/>
      <c r="M63" s="6"/>
      <c r="N63" s="6"/>
      <c r="O63" s="6"/>
      <c r="P63" s="6"/>
      <c r="Q63" s="6"/>
      <c r="R63" s="6"/>
      <c r="S63" s="6"/>
      <c r="T63" s="6"/>
      <c r="U63" s="6"/>
      <c r="V63" s="6"/>
    </row>
    <row r="64" spans="12:22" ht="16" x14ac:dyDescent="0.2">
      <c r="L64" s="97"/>
      <c r="M64" s="6"/>
      <c r="N64" s="6"/>
      <c r="O64" s="6"/>
      <c r="P64" s="6"/>
      <c r="Q64" s="6"/>
      <c r="R64" s="6"/>
      <c r="S64" s="6"/>
      <c r="T64" s="6"/>
      <c r="U64" s="6"/>
      <c r="V64" s="6"/>
    </row>
    <row r="65" spans="12:22" ht="16" x14ac:dyDescent="0.2">
      <c r="L65" s="97"/>
      <c r="M65" s="6"/>
      <c r="N65" s="6"/>
      <c r="O65" s="6"/>
      <c r="P65" s="6"/>
      <c r="Q65" s="6"/>
      <c r="R65" s="6"/>
      <c r="S65" s="6"/>
      <c r="T65" s="6"/>
      <c r="U65" s="6"/>
      <c r="V65" s="6"/>
    </row>
    <row r="66" spans="12:22" ht="16" x14ac:dyDescent="0.2">
      <c r="L66" s="329"/>
      <c r="M66" s="329"/>
      <c r="N66" s="329"/>
      <c r="O66" s="329"/>
      <c r="P66" s="329"/>
      <c r="Q66" s="329"/>
      <c r="R66" s="329"/>
      <c r="S66" s="329"/>
      <c r="T66" s="329"/>
      <c r="U66" s="329"/>
      <c r="V66" s="329"/>
    </row>
    <row r="67" spans="12:22" ht="16" x14ac:dyDescent="0.2">
      <c r="L67" s="329"/>
      <c r="M67" s="329"/>
      <c r="N67" s="329"/>
      <c r="O67" s="329"/>
      <c r="P67" s="329"/>
      <c r="Q67" s="329"/>
      <c r="R67" s="329"/>
      <c r="S67" s="329"/>
      <c r="T67" s="329"/>
      <c r="U67" s="329"/>
      <c r="V67" s="329"/>
    </row>
    <row r="68" spans="12:22" ht="16" x14ac:dyDescent="0.2">
      <c r="L68" s="329"/>
      <c r="M68" s="329"/>
      <c r="N68" s="329"/>
      <c r="O68" s="329"/>
      <c r="P68" s="329"/>
      <c r="Q68" s="329"/>
      <c r="R68" s="329"/>
      <c r="S68" s="329"/>
      <c r="T68" s="329"/>
      <c r="U68" s="329"/>
      <c r="V68" s="329"/>
    </row>
    <row r="69" spans="12:22" ht="16" x14ac:dyDescent="0.2">
      <c r="L69" s="329"/>
      <c r="M69" s="329"/>
      <c r="N69" s="329"/>
      <c r="O69" s="329"/>
      <c r="P69" s="329"/>
      <c r="Q69" s="329"/>
      <c r="R69" s="329"/>
      <c r="S69" s="329"/>
      <c r="T69" s="329"/>
      <c r="U69" s="329"/>
      <c r="V69" s="329"/>
    </row>
  </sheetData>
  <pageMargins left="0.7" right="0.7" top="0.75" bottom="0.75" header="0.3" footer="0.3"/>
  <pageSetup scale="42"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36963-EA7B-CD41-89EB-CC6B0F57B7F1}">
  <sheetPr>
    <pageSetUpPr autoPageBreaks="0"/>
  </sheetPr>
  <dimension ref="B1:X46"/>
  <sheetViews>
    <sheetView showGridLines="0" zoomScaleNormal="100" workbookViewId="0">
      <selection activeCell="B3" sqref="B3"/>
    </sheetView>
  </sheetViews>
  <sheetFormatPr baseColWidth="10" defaultColWidth="9.1640625" defaultRowHeight="16" x14ac:dyDescent="0.2"/>
  <cols>
    <col min="1" max="1" width="2.6640625" style="329" customWidth="1"/>
    <col min="2" max="2" width="42.5" style="329" bestFit="1" customWidth="1"/>
    <col min="3" max="7" width="10.6640625" style="329" customWidth="1"/>
    <col min="8" max="8" width="14" style="329" bestFit="1" customWidth="1"/>
    <col min="9" max="9" width="10.6640625" style="329" customWidth="1"/>
    <col min="10" max="10" width="14" style="329" bestFit="1" customWidth="1"/>
    <col min="11" max="11" width="13.5" style="329" bestFit="1" customWidth="1"/>
    <col min="12" max="13" width="14" style="329" bestFit="1" customWidth="1"/>
    <col min="14" max="15" width="2.6640625" style="329" customWidth="1"/>
    <col min="16" max="24" width="12.33203125" style="329" customWidth="1"/>
    <col min="25" max="16384" width="9.1640625" style="329"/>
  </cols>
  <sheetData>
    <row r="1" spans="2:24" x14ac:dyDescent="0.2">
      <c r="B1" s="335"/>
      <c r="C1" s="335"/>
      <c r="D1" s="335"/>
      <c r="E1" s="335"/>
      <c r="F1" s="335"/>
      <c r="G1" s="335"/>
      <c r="H1" s="335"/>
      <c r="I1" s="335"/>
      <c r="J1" s="335"/>
      <c r="K1" s="335"/>
      <c r="L1" s="335"/>
      <c r="M1" s="335"/>
    </row>
    <row r="2" spans="2:24" ht="19" x14ac:dyDescent="0.25">
      <c r="B2" s="4" t="str">
        <f>"Valuation Summary - "&amp;Company_Name</f>
        <v>Valuation Summary - Steel Dynamics Inc.</v>
      </c>
      <c r="C2" s="335"/>
      <c r="D2" s="335"/>
      <c r="E2" s="335"/>
      <c r="F2" s="335"/>
      <c r="G2" s="335"/>
      <c r="H2" s="335"/>
      <c r="I2" s="335"/>
      <c r="J2" s="335"/>
      <c r="K2" s="335"/>
      <c r="L2" s="335"/>
      <c r="M2" s="335"/>
    </row>
    <row r="3" spans="2:24" x14ac:dyDescent="0.2">
      <c r="B3" s="6" t="s">
        <v>100</v>
      </c>
      <c r="C3" s="335"/>
      <c r="D3" s="335"/>
      <c r="E3" s="335"/>
      <c r="F3" s="335"/>
      <c r="G3" s="335"/>
      <c r="H3" s="335"/>
      <c r="I3" s="335"/>
      <c r="J3" s="335"/>
      <c r="K3" s="335"/>
      <c r="L3" s="335"/>
      <c r="M3" s="335"/>
    </row>
    <row r="4" spans="2:24" x14ac:dyDescent="0.2">
      <c r="B4" s="335"/>
      <c r="C4" s="335"/>
      <c r="D4" s="335"/>
      <c r="E4" s="335"/>
      <c r="F4" s="335"/>
      <c r="G4" s="335"/>
      <c r="H4" s="335"/>
      <c r="I4" s="335"/>
      <c r="J4" s="335"/>
      <c r="K4" s="335"/>
      <c r="L4" s="335"/>
      <c r="M4" s="335"/>
    </row>
    <row r="5" spans="2:24" x14ac:dyDescent="0.2">
      <c r="B5" s="224" t="str">
        <f>"Valuation Summary - "&amp;TEXT(Company_Name,"")</f>
        <v>Valuation Summary - Steel Dynamics Inc.</v>
      </c>
      <c r="C5" s="252" t="str">
        <f>TEXT(Company_Name,"")&amp;" - Range of Valuation Multiples / Premiums"</f>
        <v>Steel Dynamics Inc. - Range of Valuation Multiples / Premiums</v>
      </c>
      <c r="D5" s="252"/>
      <c r="E5" s="252"/>
      <c r="F5" s="253"/>
      <c r="G5" s="253"/>
      <c r="H5" s="253"/>
      <c r="I5" s="252" t="str">
        <f>TEXT(Company_Name,"")&amp;" - Implied Per Share Value Range"</f>
        <v>Steel Dynamics Inc. - Implied Per Share Value Range</v>
      </c>
      <c r="J5" s="253"/>
      <c r="K5" s="253"/>
      <c r="L5" s="253"/>
      <c r="M5" s="253"/>
    </row>
    <row r="6" spans="2:24" x14ac:dyDescent="0.2">
      <c r="B6" s="254"/>
      <c r="C6" s="225"/>
      <c r="D6" s="252"/>
      <c r="E6" s="252"/>
      <c r="F6" s="253"/>
      <c r="G6" s="252"/>
      <c r="H6" s="252"/>
      <c r="I6" s="252"/>
      <c r="J6" s="252"/>
      <c r="K6" s="252"/>
      <c r="L6" s="252"/>
      <c r="M6" s="252"/>
      <c r="O6" s="97"/>
      <c r="P6" s="6"/>
      <c r="Q6" s="6"/>
      <c r="R6" s="6"/>
      <c r="S6" s="6"/>
      <c r="T6" s="6"/>
      <c r="U6" s="6"/>
      <c r="V6" s="6"/>
      <c r="W6" s="6"/>
      <c r="X6" s="6"/>
    </row>
    <row r="7" spans="2:24" x14ac:dyDescent="0.2">
      <c r="B7" s="254"/>
      <c r="C7" s="225"/>
      <c r="D7" s="225" t="s">
        <v>61</v>
      </c>
      <c r="E7" s="225"/>
      <c r="F7" s="225" t="s">
        <v>62</v>
      </c>
      <c r="G7" s="252"/>
      <c r="H7" s="225" t="s">
        <v>63</v>
      </c>
      <c r="I7" s="225"/>
      <c r="J7" s="225" t="s">
        <v>62</v>
      </c>
      <c r="K7" s="225"/>
      <c r="L7" s="225" t="s">
        <v>61</v>
      </c>
      <c r="M7" s="225"/>
      <c r="O7" s="97"/>
      <c r="P7" s="6"/>
      <c r="Q7" s="6"/>
      <c r="R7" s="6"/>
      <c r="S7" s="6"/>
      <c r="T7" s="6"/>
      <c r="U7" s="6"/>
      <c r="V7" s="6"/>
      <c r="W7" s="6"/>
      <c r="X7" s="6"/>
    </row>
    <row r="8" spans="2:24" x14ac:dyDescent="0.2">
      <c r="B8" s="254"/>
      <c r="C8" s="225" t="s">
        <v>33</v>
      </c>
      <c r="D8" s="225" t="s">
        <v>64</v>
      </c>
      <c r="E8" s="225" t="s">
        <v>35</v>
      </c>
      <c r="F8" s="225" t="s">
        <v>64</v>
      </c>
      <c r="G8" s="225" t="s">
        <v>37</v>
      </c>
      <c r="H8" s="225" t="s">
        <v>65</v>
      </c>
      <c r="I8" s="225" t="s">
        <v>37</v>
      </c>
      <c r="J8" s="225" t="s">
        <v>64</v>
      </c>
      <c r="K8" s="225" t="s">
        <v>35</v>
      </c>
      <c r="L8" s="225" t="s">
        <v>64</v>
      </c>
      <c r="M8" s="225" t="s">
        <v>33</v>
      </c>
      <c r="O8" s="71"/>
    </row>
    <row r="9" spans="2:24" x14ac:dyDescent="0.2">
      <c r="B9" s="226" t="s">
        <v>60</v>
      </c>
      <c r="C9" s="227" t="s">
        <v>66</v>
      </c>
      <c r="D9" s="227" t="s">
        <v>66</v>
      </c>
      <c r="E9" s="227" t="s">
        <v>66</v>
      </c>
      <c r="F9" s="227" t="s">
        <v>66</v>
      </c>
      <c r="G9" s="227" t="s">
        <v>66</v>
      </c>
      <c r="H9" s="227" t="s">
        <v>67</v>
      </c>
      <c r="I9" s="227" t="s">
        <v>66</v>
      </c>
      <c r="J9" s="227" t="s">
        <v>66</v>
      </c>
      <c r="K9" s="227" t="s">
        <v>66</v>
      </c>
      <c r="L9" s="227" t="s">
        <v>66</v>
      </c>
      <c r="M9" s="227" t="s">
        <v>66</v>
      </c>
    </row>
    <row r="11" spans="2:24" x14ac:dyDescent="0.2">
      <c r="B11" s="80" t="s">
        <v>68</v>
      </c>
    </row>
    <row r="12" spans="2:24" x14ac:dyDescent="0.2">
      <c r="B12" s="337" t="s">
        <v>131</v>
      </c>
      <c r="C12" s="82" cm="1">
        <f t="array" ref="C12:G20">TRANSPOSE(Public_Comps!N33:V37)</f>
        <v>1.7692069290955035</v>
      </c>
      <c r="D12" s="82">
        <v>0.85280933643033796</v>
      </c>
      <c r="E12" s="82">
        <v>0.72333345904344726</v>
      </c>
      <c r="F12" s="82">
        <v>0.43468925507363532</v>
      </c>
      <c r="G12" s="82">
        <v>0.35547585103287754</v>
      </c>
      <c r="H12" s="83" cm="1">
        <f t="array" ref="H12:H20">TRANSPOSE(Public_Comps!N21:V21)</f>
        <v>22181.724999999999</v>
      </c>
      <c r="I12" s="342">
        <f t="shared" ref="I12:M17" si="0">(I31+SUM($E$30:$E$36))/$E$39</f>
        <v>30.29517189598517</v>
      </c>
      <c r="J12" s="342">
        <f t="shared" si="0"/>
        <v>39.654338534666209</v>
      </c>
      <c r="K12" s="342">
        <f t="shared" si="0"/>
        <v>73.758026375841638</v>
      </c>
      <c r="L12" s="342">
        <f t="shared" si="0"/>
        <v>89.055769564984743</v>
      </c>
      <c r="M12" s="342">
        <f t="shared" si="0"/>
        <v>197.32933615260976</v>
      </c>
      <c r="O12" s="71"/>
      <c r="P12" s="342"/>
      <c r="Q12" s="342"/>
      <c r="R12" s="342"/>
      <c r="S12" s="342"/>
      <c r="T12" s="342"/>
      <c r="V12" s="342"/>
    </row>
    <row r="13" spans="2:24" x14ac:dyDescent="0.2">
      <c r="B13" s="346" t="s">
        <v>256</v>
      </c>
      <c r="C13" s="82">
        <v>1.5527561201096571</v>
      </c>
      <c r="D13" s="82">
        <v>0.87090148892972064</v>
      </c>
      <c r="E13" s="82">
        <v>0.72100954306550058</v>
      </c>
      <c r="F13" s="82">
        <v>0.46711004256625888</v>
      </c>
      <c r="G13" s="82">
        <v>0.37666029875409518</v>
      </c>
      <c r="H13" s="85">
        <v>22029.616241894888</v>
      </c>
      <c r="I13" s="341">
        <f t="shared" si="0"/>
        <v>32.49296812139233</v>
      </c>
      <c r="J13" s="341">
        <f t="shared" si="0"/>
        <v>43.106439653083349</v>
      </c>
      <c r="K13" s="341">
        <f t="shared" si="0"/>
        <v>72.899283799280724</v>
      </c>
      <c r="L13" s="341">
        <f t="shared" si="0"/>
        <v>90.487768113436729</v>
      </c>
      <c r="M13" s="341">
        <f t="shared" si="0"/>
        <v>170.497333776869</v>
      </c>
      <c r="O13" s="71"/>
      <c r="P13" s="341"/>
      <c r="Q13" s="341"/>
      <c r="R13" s="341"/>
      <c r="S13" s="341"/>
      <c r="T13" s="341"/>
    </row>
    <row r="14" spans="2:24" x14ac:dyDescent="0.2">
      <c r="B14" s="346" t="s">
        <v>257</v>
      </c>
      <c r="C14" s="82">
        <v>1.4788827162535978</v>
      </c>
      <c r="D14" s="82">
        <v>1.0302039312342832</v>
      </c>
      <c r="E14" s="82">
        <v>0.81164976437115821</v>
      </c>
      <c r="F14" s="82">
        <v>0.58099579871434304</v>
      </c>
      <c r="G14" s="82">
        <v>0.41750519416613135</v>
      </c>
      <c r="H14" s="85">
        <v>19237.431391781894</v>
      </c>
      <c r="I14" s="341">
        <f t="shared" si="0"/>
        <v>31.076358413143343</v>
      </c>
      <c r="J14" s="341">
        <f t="shared" si="0"/>
        <v>47.828991246834441</v>
      </c>
      <c r="K14" s="341">
        <f t="shared" si="0"/>
        <v>71.463751231735898</v>
      </c>
      <c r="L14" s="341">
        <f t="shared" si="0"/>
        <v>93.858663293190133</v>
      </c>
      <c r="M14" s="341">
        <f t="shared" si="0"/>
        <v>139.8340939087069</v>
      </c>
      <c r="O14" s="71"/>
      <c r="P14" s="341"/>
      <c r="Q14" s="341"/>
      <c r="R14" s="341"/>
      <c r="S14" s="341"/>
      <c r="T14" s="341"/>
    </row>
    <row r="15" spans="2:24" x14ac:dyDescent="0.2">
      <c r="B15" s="337" t="s">
        <v>132</v>
      </c>
      <c r="C15" s="82">
        <v>12.831340251711195</v>
      </c>
      <c r="D15" s="82">
        <v>4.7845821761438474</v>
      </c>
      <c r="E15" s="82">
        <v>3.5420196603231711</v>
      </c>
      <c r="F15" s="82">
        <v>2.6603244591894919</v>
      </c>
      <c r="G15" s="82">
        <v>1.2676319204284621</v>
      </c>
      <c r="H15" s="85">
        <v>10839.897101605693</v>
      </c>
      <c r="I15" s="341">
        <f t="shared" si="0"/>
        <v>61.486883882791865</v>
      </c>
      <c r="J15" s="341">
        <f t="shared" si="0"/>
        <v>141.89938955203422</v>
      </c>
      <c r="K15" s="341">
        <f t="shared" si="0"/>
        <v>192.80748188860937</v>
      </c>
      <c r="L15" s="341">
        <f>(L34+SUM($E$30:$E$36))/$E$39</f>
        <v>264.55164836250106</v>
      </c>
      <c r="M15" s="341">
        <f t="shared" si="0"/>
        <v>729.16243743603206</v>
      </c>
      <c r="P15" s="341"/>
      <c r="Q15" s="341"/>
      <c r="R15" s="341"/>
      <c r="S15" s="341"/>
      <c r="T15" s="341"/>
    </row>
    <row r="16" spans="2:24" x14ac:dyDescent="0.2">
      <c r="B16" s="346" t="s">
        <v>258</v>
      </c>
      <c r="C16" s="82">
        <v>10.278234877962506</v>
      </c>
      <c r="D16" s="82">
        <v>4.5395018287615772</v>
      </c>
      <c r="E16" s="82">
        <v>4.0707347945829735</v>
      </c>
      <c r="F16" s="82">
        <v>3.4259213804468844</v>
      </c>
      <c r="G16" s="82">
        <v>1.9317574055980091</v>
      </c>
      <c r="H16" s="85">
        <v>3028.2451173823456</v>
      </c>
      <c r="I16" s="341">
        <f t="shared" si="0"/>
        <v>19.454473907901132</v>
      </c>
      <c r="J16" s="341">
        <f t="shared" si="0"/>
        <v>43.55533020599799</v>
      </c>
      <c r="K16" s="341">
        <f t="shared" si="0"/>
        <v>53.956166857645229</v>
      </c>
      <c r="L16" s="341">
        <f t="shared" si="0"/>
        <v>61.517376415763692</v>
      </c>
      <c r="M16" s="341">
        <f t="shared" si="0"/>
        <v>154.0831074065137</v>
      </c>
      <c r="O16" s="97"/>
      <c r="P16" s="341"/>
      <c r="Q16" s="341"/>
      <c r="R16" s="341"/>
      <c r="S16" s="341"/>
      <c r="T16" s="341"/>
      <c r="U16" s="6"/>
      <c r="V16" s="6"/>
      <c r="W16" s="6"/>
      <c r="X16" s="6"/>
    </row>
    <row r="17" spans="2:24" x14ac:dyDescent="0.2">
      <c r="B17" s="346" t="s">
        <v>259</v>
      </c>
      <c r="C17" s="82">
        <v>15.592471156426081</v>
      </c>
      <c r="D17" s="82">
        <v>6.6274473241031231</v>
      </c>
      <c r="E17" s="82">
        <v>5.9374410997723395</v>
      </c>
      <c r="F17" s="82">
        <v>5.2437994455406001</v>
      </c>
      <c r="G17" s="82">
        <v>4.2353990255075686</v>
      </c>
      <c r="H17" s="85">
        <v>2671.1689838466937</v>
      </c>
      <c r="I17" s="341">
        <f t="shared" si="0"/>
        <v>48.556591622192016</v>
      </c>
      <c r="J17" s="341">
        <f t="shared" si="0"/>
        <v>62.904135700652709</v>
      </c>
      <c r="K17" s="341">
        <f t="shared" si="0"/>
        <v>72.77328491066622</v>
      </c>
      <c r="L17" s="341">
        <f t="shared" si="0"/>
        <v>82.59070914148306</v>
      </c>
      <c r="M17" s="341">
        <f t="shared" si="0"/>
        <v>210.14527183642025</v>
      </c>
      <c r="O17" s="71"/>
      <c r="P17" s="341"/>
      <c r="Q17" s="341"/>
      <c r="R17" s="341"/>
      <c r="S17" s="341"/>
      <c r="T17" s="341"/>
    </row>
    <row r="18" spans="2:24" x14ac:dyDescent="0.2">
      <c r="B18" s="337" t="s">
        <v>69</v>
      </c>
      <c r="C18" s="82">
        <v>5.5338507632528451</v>
      </c>
      <c r="D18" s="82">
        <v>4.5615432405566603</v>
      </c>
      <c r="E18" s="82">
        <v>3.9249910271167683</v>
      </c>
      <c r="F18" s="82">
        <v>2.4078815937149272</v>
      </c>
      <c r="G18" s="82">
        <v>1.4589808558101804</v>
      </c>
      <c r="H18" s="85">
        <v>4394.7529999999997</v>
      </c>
      <c r="I18" s="341">
        <f t="shared" ref="I18:M20" si="1">I37/$E$39</f>
        <v>34.152873617845728</v>
      </c>
      <c r="J18" s="341">
        <f t="shared" si="1"/>
        <v>56.365424830209093</v>
      </c>
      <c r="K18" s="341">
        <f t="shared" si="1"/>
        <v>91.879014016163296</v>
      </c>
      <c r="L18" s="341">
        <f t="shared" si="1"/>
        <v>106.7798862313098</v>
      </c>
      <c r="M18" s="341">
        <f t="shared" si="1"/>
        <v>129.54036030338619</v>
      </c>
      <c r="O18" s="71"/>
      <c r="P18" s="341"/>
      <c r="Q18" s="341"/>
      <c r="R18" s="341"/>
      <c r="S18" s="341"/>
      <c r="T18" s="341"/>
    </row>
    <row r="19" spans="2:24" ht="14.5" customHeight="1" x14ac:dyDescent="0.2">
      <c r="B19" s="346" t="s">
        <v>260</v>
      </c>
      <c r="C19" s="82">
        <v>12.7024639304302</v>
      </c>
      <c r="D19" s="82">
        <v>6.344384421374313</v>
      </c>
      <c r="E19" s="82">
        <v>5.1441377149521728</v>
      </c>
      <c r="F19" s="82">
        <v>4.356108780749242</v>
      </c>
      <c r="G19" s="82">
        <v>2.6466030482398861</v>
      </c>
      <c r="H19" s="85">
        <v>1933.3601825390153</v>
      </c>
      <c r="I19" s="341">
        <f t="shared" si="1"/>
        <v>27.254910793935128</v>
      </c>
      <c r="J19" s="341">
        <f t="shared" si="1"/>
        <v>44.859525234415472</v>
      </c>
      <c r="K19" s="341">
        <f t="shared" si="1"/>
        <v>52.974704546637724</v>
      </c>
      <c r="L19" s="341">
        <f t="shared" si="1"/>
        <v>65.334932475795924</v>
      </c>
      <c r="M19" s="341">
        <f t="shared" si="1"/>
        <v>130.81089796117922</v>
      </c>
      <c r="O19" s="71"/>
      <c r="P19" s="341"/>
      <c r="Q19" s="341"/>
      <c r="R19" s="341"/>
      <c r="S19" s="341"/>
      <c r="T19" s="341"/>
    </row>
    <row r="20" spans="2:24" x14ac:dyDescent="0.2">
      <c r="B20" s="346" t="s">
        <v>261</v>
      </c>
      <c r="C20" s="82">
        <v>11.51555529011258</v>
      </c>
      <c r="D20" s="82">
        <v>10.334831384129712</v>
      </c>
      <c r="E20" s="82">
        <v>9.9102281397725704</v>
      </c>
      <c r="F20" s="82">
        <v>8.2548481455817129</v>
      </c>
      <c r="G20" s="82">
        <v>7.4830313388325989</v>
      </c>
      <c r="H20" s="85">
        <v>1649.456798573839</v>
      </c>
      <c r="I20" s="341">
        <f t="shared" si="1"/>
        <v>65.744843484491994</v>
      </c>
      <c r="J20" s="341">
        <f t="shared" si="1"/>
        <v>72.525915600960914</v>
      </c>
      <c r="K20" s="341">
        <f t="shared" si="1"/>
        <v>87.0698475581423</v>
      </c>
      <c r="L20" s="341">
        <f t="shared" si="1"/>
        <v>90.80035095699921</v>
      </c>
      <c r="M20" s="341">
        <f t="shared" si="1"/>
        <v>101.17402238536876</v>
      </c>
      <c r="P20" s="341"/>
      <c r="Q20" s="341"/>
      <c r="R20" s="341"/>
      <c r="S20" s="341"/>
      <c r="T20" s="341"/>
    </row>
    <row r="21" spans="2:24" x14ac:dyDescent="0.2">
      <c r="K21" s="342"/>
    </row>
    <row r="22" spans="2:24" x14ac:dyDescent="0.2">
      <c r="B22" s="87" t="s">
        <v>70</v>
      </c>
    </row>
    <row r="23" spans="2:24" x14ac:dyDescent="0.2">
      <c r="B23" s="337" t="s">
        <v>131</v>
      </c>
      <c r="C23" s="82" cm="1">
        <f t="array" ref="C23:G24">TRANSPOSE('M&amp;A_Comps'!I27:J31)</f>
        <v>3.0030030030030002</v>
      </c>
      <c r="D23" s="82">
        <v>1.2683269388873664</v>
      </c>
      <c r="E23" s="82">
        <v>0.78955179154953692</v>
      </c>
      <c r="F23" s="82">
        <v>0.61326880419439411</v>
      </c>
      <c r="G23" s="82">
        <v>0.32340839807257349</v>
      </c>
      <c r="H23" s="85">
        <f>Public_Comps!N21</f>
        <v>22181.724999999999</v>
      </c>
      <c r="I23" s="341">
        <f t="shared" ref="I23:M24" si="2">(I41+SUM($E$30:$E$36))/$E$39</f>
        <v>26.50636065162648</v>
      </c>
      <c r="J23" s="341">
        <f t="shared" si="2"/>
        <v>60.753744357722887</v>
      </c>
      <c r="K23" s="341">
        <f t="shared" si="2"/>
        <v>81.581808423400176</v>
      </c>
      <c r="L23" s="341">
        <f t="shared" si="2"/>
        <v>138.14971433094365</v>
      </c>
      <c r="M23" s="341">
        <f t="shared" si="2"/>
        <v>343.10394581222283</v>
      </c>
      <c r="P23" s="341"/>
      <c r="Q23" s="341"/>
      <c r="R23" s="341"/>
      <c r="S23" s="341"/>
      <c r="T23" s="341"/>
    </row>
    <row r="24" spans="2:24" x14ac:dyDescent="0.2">
      <c r="B24" s="337" t="s">
        <v>132</v>
      </c>
      <c r="C24" s="82">
        <v>25.455114949519523</v>
      </c>
      <c r="D24" s="82">
        <v>12.947795275590551</v>
      </c>
      <c r="E24" s="82">
        <v>9.8194444444444446</v>
      </c>
      <c r="F24" s="82">
        <v>7.9679345779308113</v>
      </c>
      <c r="G24" s="82">
        <v>5.5969422043010741</v>
      </c>
      <c r="H24" s="85">
        <f>Public_Comps!Q21</f>
        <v>10839.897101605693</v>
      </c>
      <c r="I24" s="341">
        <f>(I42+SUM($E$30:$E$36))/$E$39</f>
        <v>311.45640555160219</v>
      </c>
      <c r="J24" s="341">
        <f t="shared" si="2"/>
        <v>448.35484679394898</v>
      </c>
      <c r="K24" s="341">
        <f t="shared" si="2"/>
        <v>555.25895053111458</v>
      </c>
      <c r="L24" s="341">
        <f t="shared" si="2"/>
        <v>735.88641994278203</v>
      </c>
      <c r="M24" s="341">
        <f>(M42+SUM($E$30:$E$36))/$E$39</f>
        <v>1458.0450344217345</v>
      </c>
      <c r="P24" s="341"/>
      <c r="Q24" s="341"/>
      <c r="R24" s="341"/>
      <c r="S24" s="341"/>
      <c r="T24" s="341"/>
    </row>
    <row r="26" spans="2:24" x14ac:dyDescent="0.2">
      <c r="B26" s="80" t="s">
        <v>71</v>
      </c>
      <c r="K26" s="341"/>
    </row>
    <row r="27" spans="2:24" x14ac:dyDescent="0.2">
      <c r="B27" s="346" t="s">
        <v>262</v>
      </c>
      <c r="I27" s="88">
        <f>STLD_DCF!E161</f>
        <v>75.255063981467146</v>
      </c>
      <c r="J27" s="88">
        <f>STLD_DCF!G163</f>
        <v>89.272689022397046</v>
      </c>
      <c r="K27" s="88">
        <f>STLD_DCF!J165</f>
        <v>108.73031538551</v>
      </c>
      <c r="L27" s="88">
        <f>STLD_DCF!M168</f>
        <v>133.52189982278128</v>
      </c>
      <c r="M27" s="88">
        <f>STLD_DCF!O172</f>
        <v>159.46248997065322</v>
      </c>
      <c r="P27" s="88"/>
      <c r="Q27" s="88"/>
      <c r="R27" s="88"/>
      <c r="S27" s="88"/>
      <c r="T27" s="88"/>
    </row>
    <row r="28" spans="2:24" x14ac:dyDescent="0.2">
      <c r="B28" s="337"/>
    </row>
    <row r="29" spans="2:24" x14ac:dyDescent="0.2">
      <c r="B29" s="89" t="s">
        <v>5</v>
      </c>
      <c r="C29" s="340"/>
      <c r="D29" s="340"/>
      <c r="E29" s="55">
        <f>I31</f>
        <v>7885.0675717522554</v>
      </c>
      <c r="G29" s="91" t="s">
        <v>72</v>
      </c>
      <c r="H29" s="91"/>
      <c r="I29" s="91"/>
      <c r="J29" s="339"/>
      <c r="K29" s="339"/>
      <c r="L29" s="339"/>
      <c r="M29" s="339"/>
    </row>
    <row r="30" spans="2:24" x14ac:dyDescent="0.2">
      <c r="B30" s="56" t="s">
        <v>218</v>
      </c>
      <c r="C30" s="6"/>
      <c r="D30" s="6"/>
      <c r="E30" s="85">
        <f>STLD_DCF!M23</f>
        <v>1007.85</v>
      </c>
      <c r="O30" s="97"/>
      <c r="P30" s="6"/>
      <c r="Q30" s="6"/>
      <c r="R30" s="6"/>
      <c r="S30" s="6"/>
      <c r="T30" s="6"/>
      <c r="U30" s="6"/>
      <c r="V30" s="6"/>
      <c r="W30" s="6"/>
      <c r="X30" s="6"/>
    </row>
    <row r="31" spans="2:24" x14ac:dyDescent="0.2">
      <c r="B31" s="337" t="s">
        <v>219</v>
      </c>
      <c r="E31" s="85">
        <f>STLD_DCF!M24</f>
        <v>20.332999999999998</v>
      </c>
      <c r="G31" s="335" t="s">
        <v>73</v>
      </c>
      <c r="I31" s="338">
        <f t="shared" ref="I31:I39" si="3">G12*$H12</f>
        <v>7885.0675717522554</v>
      </c>
      <c r="J31" s="338">
        <f t="shared" ref="J31:J39" si="4">F12*$H12</f>
        <v>9642.1575164982332</v>
      </c>
      <c r="K31" s="338">
        <f t="shared" ref="K31:K39" si="5">E12*$H12</f>
        <v>16044.78387180051</v>
      </c>
      <c r="L31" s="338">
        <f t="shared" ref="L31:L39" si="6">D12*$H12</f>
        <v>18916.782178130237</v>
      </c>
      <c r="M31" s="338">
        <f t="shared" ref="M31:M39" si="7">C12*$H12</f>
        <v>39244.061569290956</v>
      </c>
    </row>
    <row r="32" spans="2:24" x14ac:dyDescent="0.2">
      <c r="B32" s="337" t="s">
        <v>247</v>
      </c>
      <c r="E32" s="85">
        <f>STLD_DCF!M25</f>
        <v>-3260.0829999999996</v>
      </c>
      <c r="G32" s="335" t="s">
        <v>73</v>
      </c>
      <c r="I32" s="336">
        <f t="shared" si="3"/>
        <v>8297.6818351101956</v>
      </c>
      <c r="J32" s="336">
        <f t="shared" si="4"/>
        <v>10290.254980469868</v>
      </c>
      <c r="K32" s="336">
        <f t="shared" si="5"/>
        <v>15883.563540476964</v>
      </c>
      <c r="L32" s="336">
        <f t="shared" si="6"/>
        <v>19185.625585616614</v>
      </c>
      <c r="M32" s="336">
        <f t="shared" si="7"/>
        <v>34206.621443269389</v>
      </c>
    </row>
    <row r="33" spans="2:13" x14ac:dyDescent="0.2">
      <c r="B33" s="337" t="s">
        <v>221</v>
      </c>
      <c r="E33" s="85">
        <f>STLD_DCF!M26</f>
        <v>0</v>
      </c>
      <c r="G33" s="335" t="s">
        <v>73</v>
      </c>
      <c r="I33" s="336">
        <f t="shared" si="3"/>
        <v>8031.7275284835305</v>
      </c>
      <c r="J33" s="336">
        <f t="shared" si="4"/>
        <v>11176.866816680698</v>
      </c>
      <c r="K33" s="336">
        <f t="shared" si="5"/>
        <v>15614.056656246097</v>
      </c>
      <c r="L33" s="336">
        <f t="shared" si="6"/>
        <v>19818.477446663517</v>
      </c>
      <c r="M33" s="336">
        <f t="shared" si="7"/>
        <v>28449.904790420638</v>
      </c>
    </row>
    <row r="34" spans="2:13" x14ac:dyDescent="0.2">
      <c r="B34" s="337" t="s">
        <v>222</v>
      </c>
      <c r="E34" s="85">
        <f>STLD_DCF!M27</f>
        <v>0</v>
      </c>
      <c r="G34" s="335" t="s">
        <v>73</v>
      </c>
      <c r="I34" s="336">
        <f t="shared" si="3"/>
        <v>13740.999580155345</v>
      </c>
      <c r="J34" s="336">
        <f t="shared" si="4"/>
        <v>28837.643394498908</v>
      </c>
      <c r="K34" s="336">
        <f t="shared" si="5"/>
        <v>38395.128649767525</v>
      </c>
      <c r="L34" s="336">
        <f t="shared" si="6"/>
        <v>51864.378463575951</v>
      </c>
      <c r="M34" s="336">
        <f t="shared" si="7"/>
        <v>139090.40800424066</v>
      </c>
    </row>
    <row r="35" spans="2:13" x14ac:dyDescent="0.2">
      <c r="B35" s="337" t="s">
        <v>246</v>
      </c>
      <c r="E35" s="85">
        <f>STLD_DCF!M28</f>
        <v>34.448000000000008</v>
      </c>
      <c r="G35" s="335" t="s">
        <v>73</v>
      </c>
      <c r="I35" s="336">
        <f t="shared" si="3"/>
        <v>5849.8349314693587</v>
      </c>
      <c r="J35" s="336">
        <f t="shared" si="4"/>
        <v>10374.529692874063</v>
      </c>
      <c r="K35" s="336">
        <f t="shared" si="5"/>
        <v>12327.182765854315</v>
      </c>
      <c r="L35" s="336">
        <f t="shared" si="6"/>
        <v>13746.724248295475</v>
      </c>
      <c r="M35" s="336">
        <f t="shared" si="7"/>
        <v>31125.014584498887</v>
      </c>
    </row>
    <row r="36" spans="2:13" x14ac:dyDescent="0.2">
      <c r="B36" s="337" t="s">
        <v>224</v>
      </c>
      <c r="E36" s="85">
        <f>STLD_DCF!M29</f>
        <v>0</v>
      </c>
      <c r="G36" s="335" t="s">
        <v>73</v>
      </c>
      <c r="I36" s="336">
        <f t="shared" si="3"/>
        <v>11313.466511150329</v>
      </c>
      <c r="J36" s="336">
        <f t="shared" si="4"/>
        <v>14007.07443644054</v>
      </c>
      <c r="K36" s="336">
        <f t="shared" si="5"/>
        <v>15859.908509128476</v>
      </c>
      <c r="L36" s="336">
        <f t="shared" si="6"/>
        <v>17703.03173422203</v>
      </c>
      <c r="M36" s="336">
        <f t="shared" si="7"/>
        <v>41650.125334569537</v>
      </c>
    </row>
    <row r="37" spans="2:13" x14ac:dyDescent="0.2">
      <c r="B37" s="57" t="s">
        <v>225</v>
      </c>
      <c r="C37" s="58"/>
      <c r="D37" s="58"/>
      <c r="E37" s="343">
        <f>SUM(E29:E36)</f>
        <v>5687.615571752257</v>
      </c>
      <c r="G37" s="335" t="s">
        <v>74</v>
      </c>
      <c r="I37" s="336">
        <f t="shared" si="3"/>
        <v>6411.8604930143574</v>
      </c>
      <c r="J37" s="336">
        <f t="shared" si="4"/>
        <v>10582.044857623456</v>
      </c>
      <c r="K37" s="336">
        <f t="shared" si="5"/>
        <v>17249.366091394499</v>
      </c>
      <c r="L37" s="336">
        <f t="shared" si="6"/>
        <v>20046.855841066103</v>
      </c>
      <c r="M37" s="336">
        <f t="shared" si="7"/>
        <v>24319.907243357728</v>
      </c>
    </row>
    <row r="38" spans="2:13" x14ac:dyDescent="0.2">
      <c r="G38" s="335" t="s">
        <v>74</v>
      </c>
      <c r="I38" s="336">
        <f t="shared" si="3"/>
        <v>5116.8369524533809</v>
      </c>
      <c r="J38" s="336">
        <f t="shared" si="4"/>
        <v>8421.9272675091615</v>
      </c>
      <c r="K38" s="336">
        <f t="shared" si="5"/>
        <v>9945.4710315857665</v>
      </c>
      <c r="L38" s="336">
        <f t="shared" si="6"/>
        <v>12265.980223005927</v>
      </c>
      <c r="M38" s="336">
        <f t="shared" si="7"/>
        <v>24558.43798323179</v>
      </c>
    </row>
    <row r="39" spans="2:13" x14ac:dyDescent="0.2">
      <c r="B39" s="6" t="s">
        <v>6</v>
      </c>
      <c r="C39" s="6"/>
      <c r="D39" s="6"/>
      <c r="E39" s="95">
        <v>187.74</v>
      </c>
      <c r="G39" s="335" t="s">
        <v>74</v>
      </c>
      <c r="I39" s="336">
        <f t="shared" si="3"/>
        <v>12342.936915778528</v>
      </c>
      <c r="J39" s="336">
        <f t="shared" si="4"/>
        <v>13616.015394924403</v>
      </c>
      <c r="K39" s="336">
        <f t="shared" si="5"/>
        <v>16346.493180565636</v>
      </c>
      <c r="L39" s="336">
        <f t="shared" si="6"/>
        <v>17046.857888667033</v>
      </c>
      <c r="M39" s="336">
        <f t="shared" si="7"/>
        <v>18994.410962629132</v>
      </c>
    </row>
    <row r="40" spans="2:13" x14ac:dyDescent="0.2">
      <c r="B40" s="6"/>
      <c r="C40" s="6"/>
      <c r="D40" s="6"/>
      <c r="E40" s="6"/>
    </row>
    <row r="41" spans="2:13" x14ac:dyDescent="0.2">
      <c r="B41" s="348" t="s">
        <v>245</v>
      </c>
      <c r="C41" s="349"/>
      <c r="D41" s="349"/>
      <c r="E41" s="350">
        <f>E37/E39</f>
        <v>30.295171895985174</v>
      </c>
      <c r="G41" s="335" t="s">
        <v>73</v>
      </c>
      <c r="I41" s="336">
        <f>G23*$H23</f>
        <v>7173.7561487363546</v>
      </c>
      <c r="J41" s="336">
        <f>F23*$H23</f>
        <v>13603.359965718895</v>
      </c>
      <c r="K41" s="336">
        <f>E23*$H23</f>
        <v>17513.620713409149</v>
      </c>
      <c r="L41" s="336">
        <f>D23*$H23</f>
        <v>28133.679368491365</v>
      </c>
      <c r="M41" s="336">
        <f>C23*$H23</f>
        <v>66611.786786786717</v>
      </c>
    </row>
    <row r="42" spans="2:13" x14ac:dyDescent="0.2">
      <c r="B42" s="351" t="s">
        <v>8</v>
      </c>
      <c r="C42" s="352"/>
      <c r="D42" s="352"/>
      <c r="E42" s="353">
        <f>E41/Share_Price-1</f>
        <v>-0.52994302721512532</v>
      </c>
      <c r="G42" s="335" t="s">
        <v>73</v>
      </c>
      <c r="I42" s="336">
        <f>G24*$H24</f>
        <v>60670.277578257796</v>
      </c>
      <c r="J42" s="336">
        <f>F24*$H24</f>
        <v>86371.590937095985</v>
      </c>
      <c r="K42" s="336">
        <f>E24*$H24</f>
        <v>106441.76737271146</v>
      </c>
      <c r="L42" s="336">
        <f>D24*$H24</f>
        <v>140352.76848005789</v>
      </c>
      <c r="M42" s="336">
        <f>C24*$H24</f>
        <v>275930.82676233642</v>
      </c>
    </row>
    <row r="43" spans="2:13" x14ac:dyDescent="0.2">
      <c r="G43" s="335"/>
    </row>
    <row r="46" spans="2:13" x14ac:dyDescent="0.2">
      <c r="B46" s="96"/>
      <c r="C46" s="96"/>
      <c r="D46" s="96"/>
      <c r="E46" s="96"/>
      <c r="G46" s="335"/>
    </row>
  </sheetData>
  <pageMargins left="0.7" right="0.7" top="0.75" bottom="0.75" header="0.3" footer="0.3"/>
  <pageSetup scale="4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F6A46-BFC0-B14E-8501-F989B84A8846}">
  <dimension ref="A17:O54"/>
  <sheetViews>
    <sheetView showGridLines="0" tabSelected="1" workbookViewId="0">
      <selection activeCell="M39" sqref="M39"/>
    </sheetView>
  </sheetViews>
  <sheetFormatPr baseColWidth="10" defaultRowHeight="15" x14ac:dyDescent="0.2"/>
  <cols>
    <col min="1" max="1" width="3.1640625" customWidth="1"/>
    <col min="2" max="2" width="24.83203125" customWidth="1"/>
  </cols>
  <sheetData>
    <row r="17" ht="14" customHeight="1" x14ac:dyDescent="0.2"/>
    <row r="37" spans="1:15" x14ac:dyDescent="0.2">
      <c r="F37" t="s">
        <v>248</v>
      </c>
      <c r="G37" t="s">
        <v>62</v>
      </c>
      <c r="H37" t="s">
        <v>249</v>
      </c>
      <c r="I37" t="s">
        <v>61</v>
      </c>
      <c r="J37" t="s">
        <v>250</v>
      </c>
      <c r="K37" t="s">
        <v>251</v>
      </c>
      <c r="L37" t="s">
        <v>252</v>
      </c>
      <c r="M37" t="s">
        <v>253</v>
      </c>
      <c r="N37" t="s">
        <v>254</v>
      </c>
      <c r="O37" t="s">
        <v>255</v>
      </c>
    </row>
    <row r="39" spans="1:15" x14ac:dyDescent="0.2">
      <c r="A39">
        <v>14</v>
      </c>
      <c r="B39" t="str">
        <f>Val_sum!B27</f>
        <v>$900 - $1300 Steel Price per Ton, 15-20% Gross Margin:</v>
      </c>
      <c r="F39" s="345">
        <f>Val_sum!I27</f>
        <v>75.255063981467146</v>
      </c>
      <c r="G39" s="345">
        <f>Val_sum!J27</f>
        <v>89.272689022397046</v>
      </c>
      <c r="H39" s="345">
        <f>Val_sum!K27</f>
        <v>108.73031538551</v>
      </c>
      <c r="I39" s="345">
        <f>Val_sum!L27</f>
        <v>133.52189982278128</v>
      </c>
      <c r="J39" s="345">
        <f>Val_sum!M27</f>
        <v>159.46248997065322</v>
      </c>
      <c r="K39" s="345">
        <f>F39</f>
        <v>75.255063981467146</v>
      </c>
      <c r="L39" s="345">
        <f>G39-F39</f>
        <v>14.0176250409299</v>
      </c>
      <c r="M39" s="345">
        <f t="shared" ref="M39:O39" si="0">H39-G39</f>
        <v>19.457626363112951</v>
      </c>
      <c r="N39" s="345">
        <f t="shared" si="0"/>
        <v>24.791584437271283</v>
      </c>
      <c r="O39" s="345">
        <f t="shared" si="0"/>
        <v>25.940590147871944</v>
      </c>
    </row>
    <row r="40" spans="1:15" x14ac:dyDescent="0.2">
      <c r="A40">
        <v>13</v>
      </c>
      <c r="F40" s="345"/>
      <c r="G40" s="345"/>
      <c r="H40" s="345"/>
      <c r="I40" s="345"/>
      <c r="J40" s="345"/>
    </row>
    <row r="41" spans="1:15" x14ac:dyDescent="0.2">
      <c r="A41">
        <v>12</v>
      </c>
      <c r="B41" t="str">
        <f>Val_sum!B24</f>
        <v>LTM TEV / EBITDA:</v>
      </c>
      <c r="F41" s="345">
        <f>Val_sum!I24</f>
        <v>311.45640555160219</v>
      </c>
      <c r="G41" s="345">
        <f>Val_sum!J24</f>
        <v>448.35484679394898</v>
      </c>
      <c r="H41" s="345">
        <f>Val_sum!K24</f>
        <v>555.25895053111458</v>
      </c>
      <c r="I41" s="345">
        <f>Val_sum!L24</f>
        <v>735.88641994278203</v>
      </c>
      <c r="J41" s="345">
        <f>Val_sum!M24</f>
        <v>1458.0450344217345</v>
      </c>
      <c r="K41" s="345">
        <f t="shared" ref="K41:K42" si="1">F41</f>
        <v>311.45640555160219</v>
      </c>
      <c r="L41" s="345">
        <f>G41-F41</f>
        <v>136.89844124234679</v>
      </c>
      <c r="M41" s="345">
        <f t="shared" ref="M41:M42" si="2">H41-G41</f>
        <v>106.9041037371656</v>
      </c>
      <c r="N41" s="345">
        <f t="shared" ref="N41:N42" si="3">I41-H41</f>
        <v>180.62746941166745</v>
      </c>
      <c r="O41" s="345">
        <f t="shared" ref="O41:O42" si="4">J41-I41</f>
        <v>722.15861447895247</v>
      </c>
    </row>
    <row r="42" spans="1:15" x14ac:dyDescent="0.2">
      <c r="A42">
        <v>11</v>
      </c>
      <c r="B42" t="str">
        <f>Val_sum!B23</f>
        <v>LTM TEV / Revenue:</v>
      </c>
      <c r="F42" s="345">
        <f>Val_sum!I23</f>
        <v>26.50636065162648</v>
      </c>
      <c r="G42" s="345">
        <f>Val_sum!J23</f>
        <v>60.753744357722887</v>
      </c>
      <c r="H42" s="345">
        <f>Val_sum!K23</f>
        <v>81.581808423400176</v>
      </c>
      <c r="I42" s="345">
        <f>Val_sum!L23</f>
        <v>138.14971433094365</v>
      </c>
      <c r="J42" s="345">
        <f>Val_sum!M23</f>
        <v>343.10394581222283</v>
      </c>
      <c r="K42" s="345">
        <f t="shared" si="1"/>
        <v>26.50636065162648</v>
      </c>
      <c r="L42" s="345">
        <f t="shared" ref="L42" si="5">G42-F42</f>
        <v>34.247383706096407</v>
      </c>
      <c r="M42" s="345">
        <f t="shared" si="2"/>
        <v>20.828064065677289</v>
      </c>
      <c r="N42" s="345">
        <f t="shared" si="3"/>
        <v>56.567905907543476</v>
      </c>
      <c r="O42" s="345">
        <f t="shared" si="4"/>
        <v>204.95423148127918</v>
      </c>
    </row>
    <row r="43" spans="1:15" x14ac:dyDescent="0.2">
      <c r="A43">
        <v>10</v>
      </c>
      <c r="F43" s="345"/>
      <c r="G43" s="345"/>
      <c r="H43" s="345"/>
      <c r="I43" s="345"/>
      <c r="J43" s="345"/>
    </row>
    <row r="44" spans="1:15" x14ac:dyDescent="0.2">
      <c r="A44">
        <v>9</v>
      </c>
      <c r="B44" t="str">
        <f>Val_sum!B20</f>
        <v>CY 23 P / E:</v>
      </c>
      <c r="F44" s="345">
        <f>Val_sum!I20</f>
        <v>65.744843484491994</v>
      </c>
      <c r="G44" s="345">
        <f>Val_sum!J20</f>
        <v>72.525915600960914</v>
      </c>
      <c r="H44" s="345">
        <f>Val_sum!K20</f>
        <v>87.0698475581423</v>
      </c>
      <c r="I44" s="345">
        <f>Val_sum!L20</f>
        <v>90.80035095699921</v>
      </c>
      <c r="J44" s="345">
        <f>Val_sum!M20</f>
        <v>101.17402238536876</v>
      </c>
      <c r="K44" s="345">
        <f t="shared" ref="K44:K45" si="6">F44</f>
        <v>65.744843484491994</v>
      </c>
      <c r="L44" s="345">
        <f>G44-F44</f>
        <v>6.7810721164689198</v>
      </c>
      <c r="M44" s="345">
        <f t="shared" ref="M44:M45" si="7">H44-G44</f>
        <v>14.543931957181385</v>
      </c>
      <c r="N44" s="345">
        <f>I44-H44</f>
        <v>3.7305033988569107</v>
      </c>
      <c r="O44" s="345">
        <f t="shared" ref="O44:O45" si="8">J44-I44</f>
        <v>10.373671428369548</v>
      </c>
    </row>
    <row r="45" spans="1:15" x14ac:dyDescent="0.2">
      <c r="A45">
        <v>8</v>
      </c>
      <c r="B45" t="str">
        <f>Val_sum!B19</f>
        <v>CY 22 P / E:</v>
      </c>
      <c r="F45" s="345">
        <f>Val_sum!I19</f>
        <v>27.254910793935128</v>
      </c>
      <c r="G45" s="345">
        <f>Val_sum!J19</f>
        <v>44.859525234415472</v>
      </c>
      <c r="H45" s="345">
        <f>Val_sum!K19</f>
        <v>52.974704546637724</v>
      </c>
      <c r="I45" s="345">
        <f>Val_sum!L19</f>
        <v>65.334932475795924</v>
      </c>
      <c r="J45" s="345">
        <f>Val_sum!M19</f>
        <v>130.81089796117922</v>
      </c>
      <c r="K45" s="345">
        <f t="shared" si="6"/>
        <v>27.254910793935128</v>
      </c>
      <c r="L45" s="345">
        <f t="shared" ref="L45" si="9">G45-F45</f>
        <v>17.604614440480344</v>
      </c>
      <c r="M45" s="345">
        <f t="shared" si="7"/>
        <v>8.1151793122222529</v>
      </c>
      <c r="N45" s="345">
        <f t="shared" ref="N45" si="10">I45-H45</f>
        <v>12.360227929158199</v>
      </c>
      <c r="O45" s="345">
        <f t="shared" si="8"/>
        <v>65.475965485383298</v>
      </c>
    </row>
    <row r="46" spans="1:15" x14ac:dyDescent="0.2">
      <c r="A46">
        <v>7</v>
      </c>
      <c r="B46" t="str">
        <f>Val_sum!B18</f>
        <v>LTM P / E:</v>
      </c>
      <c r="F46" s="345">
        <f>Val_sum!I18</f>
        <v>34.152873617845728</v>
      </c>
      <c r="G46" s="345">
        <f>Val_sum!J18</f>
        <v>56.365424830209093</v>
      </c>
      <c r="H46" s="345">
        <f>Val_sum!K18</f>
        <v>91.879014016163296</v>
      </c>
      <c r="I46" s="345">
        <f>Val_sum!L18</f>
        <v>106.7798862313098</v>
      </c>
      <c r="J46" s="345">
        <f>Val_sum!M18</f>
        <v>129.54036030338619</v>
      </c>
      <c r="K46" s="345">
        <f t="shared" ref="K46:K52" si="11">F46</f>
        <v>34.152873617845728</v>
      </c>
      <c r="L46" s="345">
        <f t="shared" ref="L46:L52" si="12">G46-F46</f>
        <v>22.212551212363365</v>
      </c>
      <c r="M46" s="345">
        <f t="shared" ref="M46:M52" si="13">H46-G46</f>
        <v>35.513589185954203</v>
      </c>
      <c r="N46" s="345">
        <f t="shared" ref="N46:N52" si="14">I46-H46</f>
        <v>14.900872215146507</v>
      </c>
      <c r="O46" s="345">
        <f t="shared" ref="O46:O52" si="15">J46-I46</f>
        <v>22.760474072076391</v>
      </c>
    </row>
    <row r="47" spans="1:15" x14ac:dyDescent="0.2">
      <c r="A47">
        <v>6</v>
      </c>
      <c r="B47" t="str">
        <f>Val_sum!B17</f>
        <v>CY 23 TEV / EBITDA:</v>
      </c>
      <c r="F47" s="345">
        <f>Val_sum!I17</f>
        <v>48.556591622192016</v>
      </c>
      <c r="G47" s="345">
        <f>Val_sum!J17</f>
        <v>62.904135700652709</v>
      </c>
      <c r="H47" s="345">
        <f>Val_sum!K17</f>
        <v>72.77328491066622</v>
      </c>
      <c r="I47" s="345">
        <f>Val_sum!L17</f>
        <v>82.59070914148306</v>
      </c>
      <c r="J47" s="345">
        <f>Val_sum!M17</f>
        <v>210.14527183642025</v>
      </c>
      <c r="K47" s="345">
        <f t="shared" si="11"/>
        <v>48.556591622192016</v>
      </c>
      <c r="L47" s="345">
        <f t="shared" si="12"/>
        <v>14.347544078460693</v>
      </c>
      <c r="M47" s="345">
        <f t="shared" si="13"/>
        <v>9.8691492100135108</v>
      </c>
      <c r="N47" s="345">
        <f t="shared" si="14"/>
        <v>9.8174242308168402</v>
      </c>
      <c r="O47" s="345">
        <f t="shared" si="15"/>
        <v>127.55456269493719</v>
      </c>
    </row>
    <row r="48" spans="1:15" x14ac:dyDescent="0.2">
      <c r="A48">
        <v>5</v>
      </c>
      <c r="B48" t="str">
        <f>Val_sum!B16</f>
        <v>CY 22 TEV / EBITDA:</v>
      </c>
      <c r="F48" s="345">
        <f>Val_sum!I16</f>
        <v>19.454473907901132</v>
      </c>
      <c r="G48" s="345">
        <f>Val_sum!J16</f>
        <v>43.55533020599799</v>
      </c>
      <c r="H48" s="345">
        <f>Val_sum!K16</f>
        <v>53.956166857645229</v>
      </c>
      <c r="I48" s="345">
        <f>Val_sum!L16</f>
        <v>61.517376415763692</v>
      </c>
      <c r="J48" s="345">
        <f>Val_sum!M16</f>
        <v>154.0831074065137</v>
      </c>
      <c r="K48" s="345">
        <f t="shared" si="11"/>
        <v>19.454473907901132</v>
      </c>
      <c r="L48" s="345">
        <f t="shared" si="12"/>
        <v>24.100856298096858</v>
      </c>
      <c r="M48" s="345">
        <f t="shared" si="13"/>
        <v>10.400836651647239</v>
      </c>
      <c r="N48" s="345">
        <f t="shared" si="14"/>
        <v>7.5612095581184633</v>
      </c>
      <c r="O48" s="345">
        <f t="shared" si="15"/>
        <v>92.565730990750012</v>
      </c>
    </row>
    <row r="49" spans="1:15" x14ac:dyDescent="0.2">
      <c r="A49">
        <v>4</v>
      </c>
      <c r="B49" t="str">
        <f>Val_sum!B15</f>
        <v>LTM TEV / EBITDA:</v>
      </c>
      <c r="F49" s="345">
        <f>Val_sum!I15</f>
        <v>61.486883882791865</v>
      </c>
      <c r="G49" s="345">
        <f>Val_sum!J15</f>
        <v>141.89938955203422</v>
      </c>
      <c r="H49" s="345">
        <f>Val_sum!K15</f>
        <v>192.80748188860937</v>
      </c>
      <c r="I49" s="345">
        <f>Val_sum!L15</f>
        <v>264.55164836250106</v>
      </c>
      <c r="J49" s="345">
        <f>Val_sum!M15</f>
        <v>729.16243743603206</v>
      </c>
      <c r="K49" s="345">
        <f t="shared" si="11"/>
        <v>61.486883882791865</v>
      </c>
      <c r="L49" s="345">
        <f t="shared" si="12"/>
        <v>80.412505669242364</v>
      </c>
      <c r="M49" s="345">
        <f t="shared" si="13"/>
        <v>50.908092336575152</v>
      </c>
      <c r="N49" s="345">
        <f t="shared" si="14"/>
        <v>71.744166473891681</v>
      </c>
      <c r="O49" s="345">
        <f t="shared" si="15"/>
        <v>464.61078907353101</v>
      </c>
    </row>
    <row r="50" spans="1:15" x14ac:dyDescent="0.2">
      <c r="A50">
        <v>3</v>
      </c>
      <c r="B50" t="str">
        <f>Val_sum!B14</f>
        <v>CY 23 TEV / Revenue:</v>
      </c>
      <c r="F50" s="345">
        <f>Val_sum!I14</f>
        <v>31.076358413143343</v>
      </c>
      <c r="G50" s="345">
        <f>Val_sum!J14</f>
        <v>47.828991246834441</v>
      </c>
      <c r="H50" s="345">
        <f>Val_sum!K14</f>
        <v>71.463751231735898</v>
      </c>
      <c r="I50" s="345">
        <f>Val_sum!L14</f>
        <v>93.858663293190133</v>
      </c>
      <c r="J50" s="345">
        <f>Val_sum!M14</f>
        <v>139.8340939087069</v>
      </c>
      <c r="K50" s="345">
        <f t="shared" si="11"/>
        <v>31.076358413143343</v>
      </c>
      <c r="L50" s="345">
        <f t="shared" si="12"/>
        <v>16.752632833691099</v>
      </c>
      <c r="M50" s="345">
        <f t="shared" si="13"/>
        <v>23.634759984901457</v>
      </c>
      <c r="N50" s="345">
        <f t="shared" si="14"/>
        <v>22.394912061454235</v>
      </c>
      <c r="O50" s="345">
        <f t="shared" si="15"/>
        <v>45.975430615516771</v>
      </c>
    </row>
    <row r="51" spans="1:15" x14ac:dyDescent="0.2">
      <c r="A51">
        <v>2</v>
      </c>
      <c r="B51" t="str">
        <f>Val_sum!B13</f>
        <v>CY 22 TEV / Revenue:</v>
      </c>
      <c r="F51" s="345">
        <f>Val_sum!I13</f>
        <v>32.49296812139233</v>
      </c>
      <c r="G51" s="345">
        <f>Val_sum!J13</f>
        <v>43.106439653083349</v>
      </c>
      <c r="H51" s="345">
        <f>Val_sum!K13</f>
        <v>72.899283799280724</v>
      </c>
      <c r="I51" s="345">
        <f>Val_sum!L13</f>
        <v>90.487768113436729</v>
      </c>
      <c r="J51" s="345">
        <f>Val_sum!M13</f>
        <v>170.497333776869</v>
      </c>
      <c r="K51" s="345">
        <f t="shared" si="11"/>
        <v>32.49296812139233</v>
      </c>
      <c r="L51" s="345">
        <f t="shared" si="12"/>
        <v>10.613471531691019</v>
      </c>
      <c r="M51" s="345">
        <f t="shared" si="13"/>
        <v>29.792844146197375</v>
      </c>
      <c r="N51" s="345">
        <f t="shared" si="14"/>
        <v>17.588484314156005</v>
      </c>
      <c r="O51" s="345">
        <f t="shared" si="15"/>
        <v>80.009565663432269</v>
      </c>
    </row>
    <row r="52" spans="1:15" x14ac:dyDescent="0.2">
      <c r="A52">
        <v>1</v>
      </c>
      <c r="B52" t="str">
        <f>Val_sum!B12</f>
        <v>LTM TEV / Revenue:</v>
      </c>
      <c r="F52" s="345">
        <f>Val_sum!I12</f>
        <v>30.29517189598517</v>
      </c>
      <c r="G52" s="345">
        <f>Val_sum!J12</f>
        <v>39.654338534666209</v>
      </c>
      <c r="H52" s="345">
        <f>Val_sum!K12</f>
        <v>73.758026375841638</v>
      </c>
      <c r="I52" s="345">
        <f>Val_sum!L12</f>
        <v>89.055769564984743</v>
      </c>
      <c r="J52" s="345">
        <f>Val_sum!M12</f>
        <v>197.32933615260976</v>
      </c>
      <c r="K52" s="345">
        <f t="shared" si="11"/>
        <v>30.29517189598517</v>
      </c>
      <c r="L52" s="345">
        <f t="shared" si="12"/>
        <v>9.3591666386810388</v>
      </c>
      <c r="M52" s="345">
        <f t="shared" si="13"/>
        <v>34.103687841175429</v>
      </c>
      <c r="N52" s="345">
        <f t="shared" si="14"/>
        <v>15.297743189143105</v>
      </c>
      <c r="O52" s="345">
        <f t="shared" si="15"/>
        <v>108.27356658762501</v>
      </c>
    </row>
    <row r="54" spans="1:15" x14ac:dyDescent="0.2">
      <c r="B54" t="s">
        <v>4</v>
      </c>
      <c r="F54" s="345">
        <f>Share_Price</f>
        <v>70.95</v>
      </c>
      <c r="G54" s="345">
        <f>Share_Price</f>
        <v>70.95</v>
      </c>
      <c r="H54" s="345">
        <f>Share_Price</f>
        <v>70.95</v>
      </c>
      <c r="I54" s="345">
        <f>Share_Price</f>
        <v>70.95</v>
      </c>
      <c r="J54" s="345">
        <v>1000</v>
      </c>
      <c r="K54" s="345">
        <v>0</v>
      </c>
      <c r="L54" s="345">
        <v>0</v>
      </c>
      <c r="M54" s="345">
        <v>0</v>
      </c>
      <c r="N54" s="345">
        <v>0</v>
      </c>
      <c r="O54" s="345">
        <v>0</v>
      </c>
    </row>
  </sheetData>
  <sortState xmlns:xlrd2="http://schemas.microsoft.com/office/spreadsheetml/2017/richdata2" ref="A39:J52">
    <sortCondition descending="1" ref="A39:A52"/>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B2:J31"/>
  <sheetViews>
    <sheetView showGridLines="0" topLeftCell="A3" zoomScaleNormal="100" workbookViewId="0">
      <selection activeCell="G15" sqref="G15"/>
    </sheetView>
  </sheetViews>
  <sheetFormatPr baseColWidth="10" defaultColWidth="8.83203125" defaultRowHeight="15" x14ac:dyDescent="0.2"/>
  <cols>
    <col min="1" max="1" width="2.6640625" customWidth="1"/>
    <col min="2" max="2" width="38.5" bestFit="1" customWidth="1"/>
    <col min="3" max="3" width="55.33203125" customWidth="1"/>
    <col min="4" max="10" width="16.6640625" customWidth="1"/>
    <col min="11" max="11" width="2.6640625" customWidth="1"/>
  </cols>
  <sheetData>
    <row r="2" spans="2:10" ht="19" x14ac:dyDescent="0.25">
      <c r="B2" s="1" t="s">
        <v>107</v>
      </c>
    </row>
    <row r="3" spans="2:10" ht="19" x14ac:dyDescent="0.25">
      <c r="B3" s="1" t="s">
        <v>108</v>
      </c>
    </row>
    <row r="4" spans="2:10" ht="16" x14ac:dyDescent="0.2">
      <c r="B4" s="6" t="str">
        <f>Public_Comps!$B$3</f>
        <v>($ USD in Millions Except Per Share Amounts in USD as Stated)</v>
      </c>
    </row>
    <row r="5" spans="2:10" ht="16" x14ac:dyDescent="0.2">
      <c r="B5" s="100" t="s">
        <v>130</v>
      </c>
    </row>
    <row r="7" spans="2:10" ht="16" x14ac:dyDescent="0.2">
      <c r="B7" s="37" t="str">
        <f>Company_Name&amp;" - Comparable M&amp;A Transactions:"</f>
        <v>STEEL DYNAMICS, INC.  - Comparable M&amp;A Transactions:</v>
      </c>
      <c r="C7" s="37"/>
      <c r="D7" s="37"/>
      <c r="E7" s="37"/>
      <c r="F7" s="8"/>
      <c r="G7" s="8"/>
      <c r="H7" s="8"/>
      <c r="I7" s="9" t="s">
        <v>26</v>
      </c>
      <c r="J7" s="9"/>
    </row>
    <row r="8" spans="2:10" ht="16" x14ac:dyDescent="0.2">
      <c r="B8" s="37"/>
      <c r="C8" s="37"/>
      <c r="D8" s="37"/>
      <c r="E8" s="37"/>
      <c r="F8" s="8" t="s">
        <v>27</v>
      </c>
      <c r="G8" s="8"/>
      <c r="H8" s="8"/>
      <c r="I8" s="8" t="s">
        <v>106</v>
      </c>
      <c r="J8" s="8" t="s">
        <v>106</v>
      </c>
    </row>
    <row r="9" spans="2:10" ht="16" x14ac:dyDescent="0.2">
      <c r="B9" s="7"/>
      <c r="C9" s="7"/>
      <c r="D9" s="8" t="s">
        <v>98</v>
      </c>
      <c r="E9" s="8" t="s">
        <v>117</v>
      </c>
      <c r="F9" s="8" t="s">
        <v>12</v>
      </c>
      <c r="G9" s="8" t="s">
        <v>17</v>
      </c>
      <c r="H9" s="8" t="s">
        <v>17</v>
      </c>
      <c r="I9" s="8" t="s">
        <v>17</v>
      </c>
      <c r="J9" s="8" t="s">
        <v>17</v>
      </c>
    </row>
    <row r="10" spans="2:10" ht="16" x14ac:dyDescent="0.2">
      <c r="B10" s="11" t="s">
        <v>23</v>
      </c>
      <c r="C10" s="11" t="s">
        <v>24</v>
      </c>
      <c r="D10" s="11" t="s">
        <v>25</v>
      </c>
      <c r="E10" s="11" t="s">
        <v>118</v>
      </c>
      <c r="F10" s="11" t="s">
        <v>16</v>
      </c>
      <c r="G10" s="11" t="s">
        <v>18</v>
      </c>
      <c r="H10" s="11" t="s">
        <v>19</v>
      </c>
      <c r="I10" s="11" t="s">
        <v>18</v>
      </c>
      <c r="J10" s="11" t="s">
        <v>19</v>
      </c>
    </row>
    <row r="11" spans="2:10" ht="16" x14ac:dyDescent="0.2">
      <c r="B11" s="100" t="s">
        <v>121</v>
      </c>
      <c r="C11" s="53" t="s">
        <v>109</v>
      </c>
      <c r="D11" s="51">
        <v>44173</v>
      </c>
      <c r="E11" s="106">
        <v>0.501</v>
      </c>
      <c r="F11" s="54">
        <v>1395.11</v>
      </c>
      <c r="G11" s="107">
        <f>700.378/75%</f>
        <v>933.83733333333339</v>
      </c>
      <c r="H11" s="107">
        <f>(-65.44+102.85+3.695)/75%</f>
        <v>54.806666666666665</v>
      </c>
      <c r="I11" s="38">
        <f t="shared" ref="I11" si="0">IFERROR(IF(OR(+$F11/G11&lt;0,+$F11/G11&gt;=100),"NM",+$F11/G11),"N/A")</f>
        <v>1.49395397913698</v>
      </c>
      <c r="J11" s="38">
        <f t="shared" ref="J11" si="1">IFERROR(IF(OR(+$F11/H11&lt;0,+$F11/H11&gt;=100),"NM",+$F11/H11),"N/A")</f>
        <v>25.455114949519523</v>
      </c>
    </row>
    <row r="12" spans="2:10" ht="16" x14ac:dyDescent="0.2">
      <c r="B12" s="100" t="s">
        <v>104</v>
      </c>
      <c r="C12" s="53" t="s">
        <v>110</v>
      </c>
      <c r="D12" s="51">
        <v>44102</v>
      </c>
      <c r="E12" s="106">
        <v>1</v>
      </c>
      <c r="F12" s="54">
        <v>3288.74</v>
      </c>
      <c r="G12" s="54">
        <v>10169</v>
      </c>
      <c r="H12" s="107">
        <f>-126+359+21</f>
        <v>254</v>
      </c>
      <c r="I12" s="38">
        <f t="shared" ref="I12" si="2">IFERROR(IF(OR(+$F12/G12&lt;0,+$F12/G12&gt;=100),"NM",+$F12/G12),"N/A")</f>
        <v>0.32340839807257349</v>
      </c>
      <c r="J12" s="38">
        <f t="shared" ref="J12" si="3">IFERROR(IF(OR(+$F12/H12&lt;0,+$F12/H12&gt;=100),"NM",+$F12/H12),"N/A")</f>
        <v>12.947795275590551</v>
      </c>
    </row>
    <row r="13" spans="2:10" ht="16" x14ac:dyDescent="0.2">
      <c r="B13" s="100" t="s">
        <v>104</v>
      </c>
      <c r="C13" s="53" t="s">
        <v>111</v>
      </c>
      <c r="D13" s="51">
        <v>43802</v>
      </c>
      <c r="E13" s="106">
        <v>1</v>
      </c>
      <c r="F13" s="107">
        <f>1068.3+1969.7-30.8+324.1</f>
        <v>3331.2999999999997</v>
      </c>
      <c r="G13" s="54">
        <v>6590.8</v>
      </c>
      <c r="H13" s="54">
        <v>595.20000000000005</v>
      </c>
      <c r="I13" s="38">
        <f t="shared" ref="I13" si="4">IFERROR(IF(OR(+$F13/G13&lt;0,+$F13/G13&gt;=100),"NM",+$F13/G13),"N/A")</f>
        <v>0.50544698670874544</v>
      </c>
      <c r="J13" s="38">
        <f t="shared" ref="J13" si="5">IFERROR(IF(OR(+$F13/H13&lt;0,+$F13/H13&gt;=100),"NM",+$F13/H13),"N/A")</f>
        <v>5.5969422043010741</v>
      </c>
    </row>
    <row r="14" spans="2:10" ht="16" x14ac:dyDescent="0.2">
      <c r="B14" s="100" t="s">
        <v>122</v>
      </c>
      <c r="C14" s="53" t="s">
        <v>112</v>
      </c>
      <c r="D14" s="51">
        <v>43546</v>
      </c>
      <c r="E14" s="106">
        <v>1</v>
      </c>
      <c r="F14" s="54">
        <v>1106.6199999999999</v>
      </c>
      <c r="G14" s="54">
        <v>1401.58</v>
      </c>
      <c r="H14" s="54">
        <v>165.64</v>
      </c>
      <c r="I14" s="38">
        <f t="shared" ref="I14" si="6">IFERROR(IF(OR(+$F14/G14&lt;0,+$F14/G14&gt;=100),"NM",+$F14/G14),"N/A")</f>
        <v>0.78955179154953692</v>
      </c>
      <c r="J14" s="38">
        <f t="shared" ref="J14" si="7">IFERROR(IF(OR(+$F14/H14&lt;0,+$F14/H14&gt;=100),"NM",+$F14/H14),"N/A")</f>
        <v>6.6808741849794737</v>
      </c>
    </row>
    <row r="15" spans="2:10" ht="16" x14ac:dyDescent="0.2">
      <c r="B15" s="100" t="s">
        <v>123</v>
      </c>
      <c r="C15" s="53" t="s">
        <v>113</v>
      </c>
      <c r="D15" s="51">
        <v>43102</v>
      </c>
      <c r="E15" s="106">
        <v>1</v>
      </c>
      <c r="F15" s="54">
        <v>701.2</v>
      </c>
      <c r="G15" s="54" t="s">
        <v>94</v>
      </c>
      <c r="H15" s="54" t="s">
        <v>94</v>
      </c>
      <c r="I15" s="38" t="str">
        <f t="shared" ref="I15:I16" si="8">IFERROR(IF(OR(+$F15/G15&lt;0,+$F15/G15&gt;=100),"NM",+$F15/G15),"N/A")</f>
        <v>N/A</v>
      </c>
      <c r="J15" s="38" t="str">
        <f t="shared" ref="J15:J16" si="9">IFERROR(IF(OR(+$F15/H15&lt;0,+$F15/H15&gt;=100),"NM",+$F15/H15),"N/A")</f>
        <v>N/A</v>
      </c>
    </row>
    <row r="16" spans="2:10" ht="16" x14ac:dyDescent="0.2">
      <c r="B16" s="100" t="s">
        <v>124</v>
      </c>
      <c r="C16" s="53" t="s">
        <v>114</v>
      </c>
      <c r="D16" s="51">
        <v>42475</v>
      </c>
      <c r="E16" s="106">
        <v>1</v>
      </c>
      <c r="F16" s="54">
        <v>924.73</v>
      </c>
      <c r="G16" s="107">
        <f>618.1+173.4-282.9</f>
        <v>508.6</v>
      </c>
      <c r="H16" s="107">
        <f>(618.1-516.6-47.6)+(173.4-146.1-11.3)-(282.9-238.2-27.5)+G16*4%</f>
        <v>73.044000000000011</v>
      </c>
      <c r="I16" s="38">
        <f t="shared" si="8"/>
        <v>1.8181871804954777</v>
      </c>
      <c r="J16" s="38">
        <f t="shared" si="9"/>
        <v>12.659903619736047</v>
      </c>
    </row>
    <row r="17" spans="2:10" ht="16" x14ac:dyDescent="0.2">
      <c r="B17" s="100" t="s">
        <v>125</v>
      </c>
      <c r="C17" s="53" t="s">
        <v>95</v>
      </c>
      <c r="D17" s="51">
        <v>42303</v>
      </c>
      <c r="E17" s="106">
        <v>0.5</v>
      </c>
      <c r="F17" s="54">
        <v>1481</v>
      </c>
      <c r="G17" s="54">
        <v>1167.68</v>
      </c>
      <c r="H17" s="54">
        <v>185.87</v>
      </c>
      <c r="I17" s="38">
        <f t="shared" ref="I17" si="10">IFERROR(IF(OR(+$F17/G17&lt;0,+$F17/G17&gt;=100),"NM",+$F17/G17),"N/A")</f>
        <v>1.2683269388873664</v>
      </c>
      <c r="J17" s="38">
        <f t="shared" ref="J17" si="11">IFERROR(IF(OR(+$F17/H17&lt;0,+$F17/H17&gt;=100),"NM",+$F17/H17),"N/A")</f>
        <v>7.9679345779308113</v>
      </c>
    </row>
    <row r="18" spans="2:10" ht="16" x14ac:dyDescent="0.2">
      <c r="B18" s="100" t="s">
        <v>29</v>
      </c>
      <c r="C18" s="53" t="s">
        <v>119</v>
      </c>
      <c r="D18" s="51">
        <v>41897</v>
      </c>
      <c r="E18" s="106">
        <v>1</v>
      </c>
      <c r="F18" s="54">
        <v>770</v>
      </c>
      <c r="G18" s="54" t="s">
        <v>94</v>
      </c>
      <c r="H18" s="54">
        <v>120.3125</v>
      </c>
      <c r="I18" s="38" t="str">
        <f t="shared" ref="I18" si="12">IFERROR(IF(OR(+$F18/G18&lt;0,+$F18/G18&gt;=100),"NM",+$F18/G18),"N/A")</f>
        <v>N/A</v>
      </c>
      <c r="J18" s="38">
        <f t="shared" ref="J18" si="13">IFERROR(IF(OR(+$F18/H18&lt;0,+$F18/H18&gt;=100),"NM",+$F18/H18),"N/A")</f>
        <v>6.4</v>
      </c>
    </row>
    <row r="19" spans="2:10" ht="16" x14ac:dyDescent="0.2">
      <c r="B19" s="100" t="s">
        <v>126</v>
      </c>
      <c r="C19" s="53" t="s">
        <v>93</v>
      </c>
      <c r="D19" s="51">
        <v>41870</v>
      </c>
      <c r="E19" s="106">
        <v>1</v>
      </c>
      <c r="F19" s="54">
        <v>1337.8</v>
      </c>
      <c r="G19" s="54">
        <v>1735</v>
      </c>
      <c r="H19" s="54">
        <v>161.69999999999999</v>
      </c>
      <c r="I19" s="38">
        <f t="shared" ref="I19:I21" si="14">IFERROR(IF(OR(+$F19/G19&lt;0,+$F19/G19&gt;=100),"NM",+$F19/G19),"N/A")</f>
        <v>0.77106628242074926</v>
      </c>
      <c r="J19" s="38">
        <f t="shared" ref="J19:J21" si="15">IFERROR(IF(OR(+$F19/H19&lt;0,+$F19/H19&gt;=100),"NM",+$F19/H19),"N/A")</f>
        <v>8.2733457019171315</v>
      </c>
    </row>
    <row r="20" spans="2:10" ht="16" x14ac:dyDescent="0.2">
      <c r="B20" s="52" t="s">
        <v>97</v>
      </c>
      <c r="C20" s="53" t="s">
        <v>96</v>
      </c>
      <c r="D20" s="51">
        <v>41841</v>
      </c>
      <c r="E20" s="106">
        <v>1</v>
      </c>
      <c r="F20" s="54">
        <v>707</v>
      </c>
      <c r="G20" s="54">
        <v>2018.06</v>
      </c>
      <c r="H20" s="54">
        <v>72</v>
      </c>
      <c r="I20" s="38">
        <f t="shared" si="14"/>
        <v>0.35033646175039396</v>
      </c>
      <c r="J20" s="38">
        <f t="shared" si="15"/>
        <v>9.8194444444444446</v>
      </c>
    </row>
    <row r="21" spans="2:10" ht="16" x14ac:dyDescent="0.2">
      <c r="B21" s="100" t="s">
        <v>127</v>
      </c>
      <c r="C21" s="53" t="s">
        <v>91</v>
      </c>
      <c r="D21" s="51">
        <v>41841</v>
      </c>
      <c r="E21" s="106">
        <v>1</v>
      </c>
      <c r="F21" s="54">
        <v>1625</v>
      </c>
      <c r="G21" s="54">
        <v>1938.57</v>
      </c>
      <c r="H21" s="54">
        <v>144.68199999999999</v>
      </c>
      <c r="I21" s="38">
        <f t="shared" si="14"/>
        <v>0.83824674889222472</v>
      </c>
      <c r="J21" s="38">
        <f t="shared" si="15"/>
        <v>11.231528455509325</v>
      </c>
    </row>
    <row r="22" spans="2:10" ht="16" x14ac:dyDescent="0.2">
      <c r="B22" s="100" t="s">
        <v>128</v>
      </c>
      <c r="C22" s="53" t="s">
        <v>115</v>
      </c>
      <c r="D22" s="51">
        <v>41817</v>
      </c>
      <c r="E22" s="106">
        <v>1</v>
      </c>
      <c r="F22" s="54">
        <v>600</v>
      </c>
      <c r="G22" s="54">
        <v>199.80000000000018</v>
      </c>
      <c r="H22" s="54">
        <v>31.392000000000099</v>
      </c>
      <c r="I22" s="38">
        <f t="shared" ref="I22" si="16">IFERROR(IF(OR(+$F22/G22&lt;0,+$F22/G22&gt;=100),"NM",+$F22/G22),"N/A")</f>
        <v>3.0030030030030002</v>
      </c>
      <c r="J22" s="38">
        <f t="shared" ref="J22" si="17">IFERROR(IF(OR(+$F22/H22&lt;0,+$F22/H22&gt;=100),"NM",+$F22/H22),"N/A")</f>
        <v>19.113149847094743</v>
      </c>
    </row>
    <row r="23" spans="2:10" ht="16" x14ac:dyDescent="0.2">
      <c r="B23" s="100" t="s">
        <v>129</v>
      </c>
      <c r="C23" s="53" t="s">
        <v>92</v>
      </c>
      <c r="D23" s="51">
        <v>41607</v>
      </c>
      <c r="E23" s="106">
        <v>1</v>
      </c>
      <c r="F23" s="54">
        <v>1550</v>
      </c>
      <c r="G23" s="54">
        <v>1662.1364501223159</v>
      </c>
      <c r="H23" s="54">
        <v>80.184832835009516</v>
      </c>
      <c r="I23" s="38">
        <f t="shared" ref="I23:I24" si="18">IFERROR(IF(OR(+$F23/G23&lt;0,+$F23/G23&gt;=100),"NM",+$F23/G23),"N/A")</f>
        <v>0.93253475061324609</v>
      </c>
      <c r="J23" s="38">
        <f t="shared" ref="J23:J24" si="19">IFERROR(IF(OR(+$F23/H23&lt;0,+$F23/H23&gt;=100),"NM",+$F23/H23),"N/A")</f>
        <v>19.330338983050847</v>
      </c>
    </row>
    <row r="24" spans="2:10" ht="16" x14ac:dyDescent="0.2">
      <c r="B24" s="100" t="s">
        <v>32</v>
      </c>
      <c r="C24" s="53" t="s">
        <v>99</v>
      </c>
      <c r="D24" s="51">
        <v>41311</v>
      </c>
      <c r="E24" s="106">
        <v>1</v>
      </c>
      <c r="F24" s="54">
        <v>1216.48</v>
      </c>
      <c r="G24" s="54">
        <v>1983.6</v>
      </c>
      <c r="H24" s="54">
        <v>143.30000000000001</v>
      </c>
      <c r="I24" s="38">
        <f t="shared" si="18"/>
        <v>0.61326880419439411</v>
      </c>
      <c r="J24" s="38">
        <f t="shared" si="19"/>
        <v>8.4890439637124899</v>
      </c>
    </row>
    <row r="25" spans="2:10" ht="16" x14ac:dyDescent="0.2">
      <c r="B25" s="100" t="s">
        <v>29</v>
      </c>
      <c r="C25" s="53" t="s">
        <v>116</v>
      </c>
      <c r="D25" s="51">
        <v>41046</v>
      </c>
      <c r="E25" s="106">
        <v>1</v>
      </c>
      <c r="F25" s="54">
        <v>684</v>
      </c>
      <c r="G25" s="54">
        <v>873</v>
      </c>
      <c r="H25" s="54" t="s">
        <v>94</v>
      </c>
      <c r="I25" s="38">
        <f t="shared" ref="I25" si="20">IFERROR(IF(OR(+$F25/G25&lt;0,+$F25/G25&gt;=100),"NM",+$F25/G25),"N/A")</f>
        <v>0.78350515463917525</v>
      </c>
      <c r="J25" s="38" t="str">
        <f t="shared" ref="J25" si="21">IFERROR(IF(OR(+$F25/H25&lt;0,+$F25/H25&gt;=100),"NM",+$F25/H25),"N/A")</f>
        <v>N/A</v>
      </c>
    </row>
    <row r="26" spans="2:10" x14ac:dyDescent="0.2">
      <c r="F26" s="5"/>
    </row>
    <row r="27" spans="2:10" ht="16" x14ac:dyDescent="0.2">
      <c r="C27" s="17" t="s">
        <v>33</v>
      </c>
      <c r="D27" s="47"/>
      <c r="E27" s="47"/>
      <c r="F27" s="20">
        <f>MAX(F11:F25)</f>
        <v>3331.2999999999997</v>
      </c>
      <c r="G27" s="20">
        <f>MAX(G11:G25)</f>
        <v>10169</v>
      </c>
      <c r="H27" s="20">
        <f>MAX(H11:H25)</f>
        <v>595.20000000000005</v>
      </c>
      <c r="I27" s="40">
        <f>MAX(I11:I25)</f>
        <v>3.0030030030030002</v>
      </c>
      <c r="J27" s="41">
        <f>MAX(J11:J25)</f>
        <v>25.455114949519523</v>
      </c>
    </row>
    <row r="28" spans="2:10" ht="16" x14ac:dyDescent="0.2">
      <c r="C28" s="23" t="s">
        <v>34</v>
      </c>
      <c r="D28" s="48"/>
      <c r="E28" s="48"/>
      <c r="F28" s="25">
        <f>QUARTILE(F11:F25,3)</f>
        <v>1515.5</v>
      </c>
      <c r="G28" s="25">
        <f>QUARTILE(G11:G25,3)</f>
        <v>1983.6</v>
      </c>
      <c r="H28" s="25">
        <f>QUARTILE(H11:H25,3)</f>
        <v>165.64</v>
      </c>
      <c r="I28" s="38">
        <f>QUARTILE(I11:I25,3)</f>
        <v>1.2683269388873664</v>
      </c>
      <c r="J28" s="42">
        <f>QUARTILE(J11:J25,3)</f>
        <v>12.947795275590551</v>
      </c>
    </row>
    <row r="29" spans="2:10" ht="16" x14ac:dyDescent="0.2">
      <c r="C29" s="28" t="s">
        <v>35</v>
      </c>
      <c r="D29" s="49"/>
      <c r="E29" s="49"/>
      <c r="F29" s="108">
        <f>MEDIAN(F11:F25)</f>
        <v>1216.48</v>
      </c>
      <c r="G29" s="108">
        <f>MEDIAN(G11:G25)</f>
        <v>1662.1364501223159</v>
      </c>
      <c r="H29" s="108">
        <f>MEDIAN(H11:H25)</f>
        <v>143.30000000000001</v>
      </c>
      <c r="I29" s="43">
        <f>MEDIAN(I11:I25)</f>
        <v>0.78955179154953692</v>
      </c>
      <c r="J29" s="44">
        <f>MEDIAN(J11:J25)</f>
        <v>9.8194444444444446</v>
      </c>
    </row>
    <row r="30" spans="2:10" ht="16" x14ac:dyDescent="0.2">
      <c r="C30" s="23" t="s">
        <v>36</v>
      </c>
      <c r="D30" s="48"/>
      <c r="E30" s="48"/>
      <c r="F30" s="25">
        <f>QUARTILE(F11:F25,1)</f>
        <v>738.5</v>
      </c>
      <c r="G30" s="25">
        <f>QUARTILE(G11:G25,1)</f>
        <v>933.83733333333339</v>
      </c>
      <c r="H30" s="25">
        <f>QUARTILE(H11:H25,1)</f>
        <v>73.044000000000011</v>
      </c>
      <c r="I30" s="38">
        <f>QUARTILE(I11:I25,1)</f>
        <v>0.61326880419439411</v>
      </c>
      <c r="J30" s="42">
        <f>QUARTILE(J11:J25,1)</f>
        <v>7.9679345779308113</v>
      </c>
    </row>
    <row r="31" spans="2:10" ht="16" x14ac:dyDescent="0.2">
      <c r="C31" s="30" t="s">
        <v>37</v>
      </c>
      <c r="D31" s="50"/>
      <c r="E31" s="50"/>
      <c r="F31" s="33">
        <f>MIN(F11:F25)</f>
        <v>600</v>
      </c>
      <c r="G31" s="33">
        <f>MIN(G11:G25)</f>
        <v>199.80000000000018</v>
      </c>
      <c r="H31" s="33">
        <f>MIN(H11:H25)</f>
        <v>31.392000000000099</v>
      </c>
      <c r="I31" s="45">
        <f>MIN(I11:I25)</f>
        <v>0.32340839807257349</v>
      </c>
      <c r="J31" s="46">
        <f>MIN(J11:J25)</f>
        <v>5.5969422043010741</v>
      </c>
    </row>
  </sheetData>
  <sortState xmlns:xlrd2="http://schemas.microsoft.com/office/spreadsheetml/2017/richdata2" ref="B11:J25">
    <sortCondition descending="1" ref="D11:D25"/>
  </sortState>
  <pageMargins left="0.7" right="0.7" top="0.75" bottom="0.75" header="0.3" footer="0.3"/>
  <pageSetup scale="42" orientation="portrait" horizontalDpi="1200" verticalDpi="12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B1:M46"/>
  <sheetViews>
    <sheetView showGridLines="0" zoomScaleNormal="100" workbookViewId="0">
      <selection activeCell="C5" sqref="C5"/>
    </sheetView>
  </sheetViews>
  <sheetFormatPr baseColWidth="10" defaultColWidth="9.1640625" defaultRowHeight="16" x14ac:dyDescent="0.2"/>
  <cols>
    <col min="1" max="1" width="2.6640625" style="70" customWidth="1"/>
    <col min="2" max="2" width="42.5" style="70" bestFit="1" customWidth="1"/>
    <col min="3" max="7" width="10.6640625" style="70" customWidth="1"/>
    <col min="8" max="8" width="14" style="70" bestFit="1" customWidth="1"/>
    <col min="9" max="9" width="10.6640625" style="70" customWidth="1"/>
    <col min="10" max="10" width="14" style="70" bestFit="1" customWidth="1"/>
    <col min="11" max="11" width="13.5" style="70" bestFit="1" customWidth="1"/>
    <col min="12" max="13" width="14" style="70" bestFit="1" customWidth="1"/>
    <col min="14" max="14" width="2.6640625" style="70" customWidth="1"/>
    <col min="15" max="16384" width="9.1640625" style="70"/>
  </cols>
  <sheetData>
    <row r="1" spans="2:13" x14ac:dyDescent="0.2">
      <c r="B1" s="79"/>
      <c r="C1" s="79"/>
      <c r="D1" s="79"/>
      <c r="E1" s="79"/>
      <c r="F1" s="79"/>
      <c r="G1" s="79"/>
      <c r="H1" s="79"/>
      <c r="I1" s="79"/>
      <c r="J1" s="79"/>
      <c r="K1" s="79"/>
      <c r="L1" s="79"/>
      <c r="M1" s="79"/>
    </row>
    <row r="2" spans="2:13" ht="19" x14ac:dyDescent="0.25">
      <c r="B2" s="4" t="s">
        <v>238</v>
      </c>
      <c r="C2" s="79"/>
      <c r="D2" s="79"/>
      <c r="E2" s="79"/>
      <c r="F2" s="79"/>
      <c r="G2" s="79"/>
      <c r="H2" s="79"/>
      <c r="I2" s="79"/>
      <c r="J2" s="79"/>
      <c r="K2" s="79"/>
      <c r="L2" s="79"/>
      <c r="M2" s="79"/>
    </row>
    <row r="3" spans="2:13" x14ac:dyDescent="0.2">
      <c r="B3" s="6" t="str">
        <f>Public_Comps!$B$3</f>
        <v>($ USD in Millions Except Per Share Amounts in USD as Stated)</v>
      </c>
      <c r="C3" s="79"/>
      <c r="D3" s="79"/>
      <c r="E3" s="79"/>
      <c r="F3" s="79"/>
      <c r="G3" s="79"/>
      <c r="H3" s="79"/>
      <c r="I3" s="79"/>
      <c r="J3" s="79"/>
      <c r="K3" s="79"/>
      <c r="L3" s="79"/>
      <c r="M3" s="79"/>
    </row>
    <row r="4" spans="2:13" x14ac:dyDescent="0.2">
      <c r="B4" s="79"/>
      <c r="C4" s="79"/>
      <c r="D4" s="79"/>
      <c r="E4" s="79"/>
      <c r="F4" s="79"/>
      <c r="G4" s="79"/>
      <c r="H4" s="79"/>
      <c r="I4" s="79"/>
      <c r="J4" s="79"/>
      <c r="K4" s="79"/>
      <c r="L4" s="79"/>
      <c r="M4" s="79"/>
    </row>
    <row r="5" spans="2:13" x14ac:dyDescent="0.2">
      <c r="B5" s="9" t="s">
        <v>238</v>
      </c>
      <c r="C5" s="9" t="str">
        <f>TEXT(Company_Name,"")&amp;" - Range of Valuation Multiples / Premiums"</f>
        <v>STEEL DYNAMICS, INC.  - Range of Valuation Multiples / Premiums</v>
      </c>
      <c r="D5" s="9"/>
      <c r="E5" s="9"/>
      <c r="F5" s="12"/>
      <c r="G5" s="12"/>
      <c r="H5" s="12"/>
      <c r="I5" s="9" t="str">
        <f>TEXT(Company_Name,"")&amp;" - Implied Per Share Value Range"</f>
        <v>STEEL DYNAMICS, INC.  - Implied Per Share Value Range</v>
      </c>
      <c r="J5" s="12"/>
      <c r="K5" s="12"/>
      <c r="L5" s="12"/>
      <c r="M5" s="12"/>
    </row>
    <row r="6" spans="2:13" x14ac:dyDescent="0.2">
      <c r="B6" s="7"/>
      <c r="C6" s="8"/>
      <c r="D6" s="9"/>
      <c r="E6" s="9"/>
      <c r="F6" s="12"/>
      <c r="G6" s="9"/>
      <c r="H6" s="9"/>
      <c r="I6" s="9"/>
      <c r="J6" s="9"/>
      <c r="K6" s="9"/>
      <c r="L6" s="9"/>
      <c r="M6" s="9"/>
    </row>
    <row r="7" spans="2:13" x14ac:dyDescent="0.2">
      <c r="B7" s="7"/>
      <c r="C7" s="8"/>
      <c r="D7" s="8" t="s">
        <v>61</v>
      </c>
      <c r="E7" s="8"/>
      <c r="F7" s="8" t="s">
        <v>62</v>
      </c>
      <c r="G7" s="9"/>
      <c r="H7" s="8" t="s">
        <v>63</v>
      </c>
      <c r="I7" s="8"/>
      <c r="J7" s="8" t="s">
        <v>62</v>
      </c>
      <c r="K7" s="8"/>
      <c r="L7" s="8" t="s">
        <v>61</v>
      </c>
      <c r="M7" s="8"/>
    </row>
    <row r="8" spans="2:13" x14ac:dyDescent="0.2">
      <c r="B8" s="7"/>
      <c r="C8" s="8" t="s">
        <v>33</v>
      </c>
      <c r="D8" s="8" t="s">
        <v>64</v>
      </c>
      <c r="E8" s="8" t="s">
        <v>35</v>
      </c>
      <c r="F8" s="8" t="s">
        <v>64</v>
      </c>
      <c r="G8" s="8" t="s">
        <v>37</v>
      </c>
      <c r="H8" s="8" t="s">
        <v>65</v>
      </c>
      <c r="I8" s="8" t="s">
        <v>37</v>
      </c>
      <c r="J8" s="8" t="s">
        <v>64</v>
      </c>
      <c r="K8" s="8" t="s">
        <v>35</v>
      </c>
      <c r="L8" s="8" t="s">
        <v>64</v>
      </c>
      <c r="M8" s="8" t="s">
        <v>33</v>
      </c>
    </row>
    <row r="9" spans="2:13" x14ac:dyDescent="0.2">
      <c r="B9" s="10" t="s">
        <v>60</v>
      </c>
      <c r="C9" s="11" t="s">
        <v>66</v>
      </c>
      <c r="D9" s="11" t="s">
        <v>66</v>
      </c>
      <c r="E9" s="11" t="s">
        <v>66</v>
      </c>
      <c r="F9" s="11" t="s">
        <v>66</v>
      </c>
      <c r="G9" s="11" t="s">
        <v>66</v>
      </c>
      <c r="H9" s="11" t="s">
        <v>67</v>
      </c>
      <c r="I9" s="11" t="s">
        <v>66</v>
      </c>
      <c r="J9" s="11" t="s">
        <v>66</v>
      </c>
      <c r="K9" s="11" t="s">
        <v>66</v>
      </c>
      <c r="L9" s="11" t="s">
        <v>66</v>
      </c>
      <c r="M9" s="11" t="s">
        <v>66</v>
      </c>
    </row>
    <row r="11" spans="2:13" x14ac:dyDescent="0.2">
      <c r="B11" s="80" t="s">
        <v>68</v>
      </c>
    </row>
    <row r="12" spans="2:13" x14ac:dyDescent="0.2">
      <c r="B12" s="81" t="s">
        <v>131</v>
      </c>
      <c r="C12" s="82" cm="1">
        <f t="array" ref="C12:G20">TRANSPOSE(Public_Comps!N33:V37)</f>
        <v>1.7692069290955035</v>
      </c>
      <c r="D12" s="82">
        <v>0.85280933643033796</v>
      </c>
      <c r="E12" s="82">
        <v>0.72333345904344726</v>
      </c>
      <c r="F12" s="82">
        <v>0.43468925507363532</v>
      </c>
      <c r="G12" s="82">
        <v>0.35547585103287754</v>
      </c>
      <c r="H12" s="83" cm="1">
        <f t="array" ref="H12:H20">TRANSPOSE(Public_Comps!N21:V21)</f>
        <v>22181.724999999999</v>
      </c>
      <c r="I12" s="84">
        <f>(I31+SUM(_xlfn.ANCHORARRAY($E$30)))/$E$39</f>
        <v>30.29517189598517</v>
      </c>
      <c r="J12" s="84">
        <f t="shared" ref="J12:M12" si="0">(J31+SUM(_xlfn.ANCHORARRAY($E$30)))/$E$39</f>
        <v>39.654338534666209</v>
      </c>
      <c r="K12" s="84">
        <f>(K31+SUM(_xlfn.ANCHORARRAY($E$30)))/$E$39</f>
        <v>73.758026375841638</v>
      </c>
      <c r="L12" s="84">
        <f t="shared" si="0"/>
        <v>89.055769564984743</v>
      </c>
      <c r="M12" s="84">
        <f t="shared" si="0"/>
        <v>197.32933615260976</v>
      </c>
    </row>
    <row r="13" spans="2:13" x14ac:dyDescent="0.2">
      <c r="B13" s="81" t="str">
        <f>"CY "&amp;TEXT(EOMONTH(Hist_Year,12),"YY")&amp;" TEV / Revenue:"</f>
        <v>CY 22 TEV / Revenue:</v>
      </c>
      <c r="C13" s="82">
        <v>1.5527561201096571</v>
      </c>
      <c r="D13" s="82">
        <v>0.87090148892972064</v>
      </c>
      <c r="E13" s="82">
        <v>0.72100954306550058</v>
      </c>
      <c r="F13" s="82">
        <v>0.46711004256625888</v>
      </c>
      <c r="G13" s="82">
        <v>0.37666029875409518</v>
      </c>
      <c r="H13" s="85">
        <v>22029.616241894888</v>
      </c>
      <c r="I13" s="84">
        <f t="shared" ref="I13:M13" si="1">(I32+SUM(_xlfn.ANCHORARRAY($E$30)))/$E$39</f>
        <v>32.49296812139233</v>
      </c>
      <c r="J13" s="84">
        <f t="shared" si="1"/>
        <v>43.106439653083349</v>
      </c>
      <c r="K13" s="84">
        <f t="shared" si="1"/>
        <v>72.899283799280724</v>
      </c>
      <c r="L13" s="84">
        <f t="shared" si="1"/>
        <v>90.487768113436729</v>
      </c>
      <c r="M13" s="84">
        <f t="shared" si="1"/>
        <v>170.497333776869</v>
      </c>
    </row>
    <row r="14" spans="2:13" x14ac:dyDescent="0.2">
      <c r="B14" s="81" t="str">
        <f>"CY "&amp;TEXT(EOMONTH(Hist_Year,24),"YY")&amp;" TEV / Revenue:"</f>
        <v>CY 23 TEV / Revenue:</v>
      </c>
      <c r="C14" s="82">
        <v>1.4788827162535978</v>
      </c>
      <c r="D14" s="82">
        <v>1.0302039312342832</v>
      </c>
      <c r="E14" s="82">
        <v>0.81164976437115821</v>
      </c>
      <c r="F14" s="82">
        <v>0.58099579871434304</v>
      </c>
      <c r="G14" s="82">
        <v>0.41750519416613135</v>
      </c>
      <c r="H14" s="85">
        <v>19237.431391781894</v>
      </c>
      <c r="I14" s="84">
        <f t="shared" ref="I14:M14" si="2">(I33+SUM(_xlfn.ANCHORARRAY($E$30)))/$E$39</f>
        <v>31.076358413143343</v>
      </c>
      <c r="J14" s="84">
        <f t="shared" si="2"/>
        <v>47.828991246834441</v>
      </c>
      <c r="K14" s="84">
        <f>(K33+SUM(_xlfn.ANCHORARRAY($E$30)))/$E$39</f>
        <v>71.463751231735898</v>
      </c>
      <c r="L14" s="84">
        <f t="shared" si="2"/>
        <v>93.858663293190133</v>
      </c>
      <c r="M14" s="84">
        <f t="shared" si="2"/>
        <v>139.8340939087069</v>
      </c>
    </row>
    <row r="15" spans="2:13" x14ac:dyDescent="0.2">
      <c r="B15" s="81" t="s">
        <v>132</v>
      </c>
      <c r="C15" s="82">
        <v>12.831340251711195</v>
      </c>
      <c r="D15" s="82">
        <v>4.7845821761438474</v>
      </c>
      <c r="E15" s="82">
        <v>3.5420196603231711</v>
      </c>
      <c r="F15" s="82">
        <v>2.6603244591894919</v>
      </c>
      <c r="G15" s="82">
        <v>1.2676319204284621</v>
      </c>
      <c r="H15" s="85">
        <v>10839.897101605693</v>
      </c>
      <c r="I15" s="84">
        <f t="shared" ref="I15:M15" si="3">(I34+SUM(_xlfn.ANCHORARRAY($E$30)))/$E$39</f>
        <v>61.486883882791865</v>
      </c>
      <c r="J15" s="84">
        <f t="shared" si="3"/>
        <v>141.89938955203422</v>
      </c>
      <c r="K15" s="84">
        <f t="shared" si="3"/>
        <v>192.80748188860937</v>
      </c>
      <c r="L15" s="84">
        <f t="shared" si="3"/>
        <v>264.55164836250106</v>
      </c>
      <c r="M15" s="84">
        <f t="shared" si="3"/>
        <v>729.16243743603206</v>
      </c>
    </row>
    <row r="16" spans="2:13" x14ac:dyDescent="0.2">
      <c r="B16" s="81" t="str">
        <f>"CY "&amp;TEXT(EOMONTH(Hist_Year,12),"YY")&amp;" TEV / EBITDA:"</f>
        <v>CY 22 TEV / EBITDA:</v>
      </c>
      <c r="C16" s="82">
        <v>10.278234877962506</v>
      </c>
      <c r="D16" s="82">
        <v>4.5395018287615772</v>
      </c>
      <c r="E16" s="82">
        <v>4.0707347945829735</v>
      </c>
      <c r="F16" s="82">
        <v>3.4259213804468844</v>
      </c>
      <c r="G16" s="82">
        <v>1.9317574055980091</v>
      </c>
      <c r="H16" s="85">
        <v>3028.2451173823456</v>
      </c>
      <c r="I16" s="84">
        <f t="shared" ref="I16:M16" si="4">(I35+SUM(_xlfn.ANCHORARRAY($E$30)))/$E$39</f>
        <v>19.454473907901132</v>
      </c>
      <c r="J16" s="84">
        <f t="shared" si="4"/>
        <v>43.55533020599799</v>
      </c>
      <c r="K16" s="84">
        <f>(K35+SUM(_xlfn.ANCHORARRAY($E$30)))/$E$39</f>
        <v>53.956166857645229</v>
      </c>
      <c r="L16" s="84">
        <f t="shared" si="4"/>
        <v>61.517376415763692</v>
      </c>
      <c r="M16" s="84">
        <f t="shared" si="4"/>
        <v>154.0831074065137</v>
      </c>
    </row>
    <row r="17" spans="2:13" x14ac:dyDescent="0.2">
      <c r="B17" s="81" t="str">
        <f>"CY "&amp;TEXT(EOMONTH(Hist_Year,24),"YY")&amp;" TEV / EBITDA:"</f>
        <v>CY 23 TEV / EBITDA:</v>
      </c>
      <c r="C17" s="82">
        <v>15.592471156426081</v>
      </c>
      <c r="D17" s="82">
        <v>6.6274473241031231</v>
      </c>
      <c r="E17" s="82">
        <v>5.9374410997723395</v>
      </c>
      <c r="F17" s="82">
        <v>5.2437994455406001</v>
      </c>
      <c r="G17" s="82">
        <v>4.2353990255075686</v>
      </c>
      <c r="H17" s="85">
        <v>2671.1689838466937</v>
      </c>
      <c r="I17" s="84">
        <f t="shared" ref="I17:M17" si="5">(I36+SUM(_xlfn.ANCHORARRAY($E$30)))/$E$39</f>
        <v>48.556591622192016</v>
      </c>
      <c r="J17" s="84">
        <f>(J36+SUM(_xlfn.ANCHORARRAY($E$30)))/$E$39</f>
        <v>62.904135700652709</v>
      </c>
      <c r="K17" s="84">
        <f>(K36+SUM(_xlfn.ANCHORARRAY($E$30)))/$E$39</f>
        <v>72.77328491066622</v>
      </c>
      <c r="L17" s="84">
        <f t="shared" si="5"/>
        <v>82.59070914148306</v>
      </c>
      <c r="M17" s="84">
        <f t="shared" si="5"/>
        <v>210.14527183642025</v>
      </c>
    </row>
    <row r="18" spans="2:13" x14ac:dyDescent="0.2">
      <c r="B18" s="81" t="s">
        <v>69</v>
      </c>
      <c r="C18" s="82">
        <v>5.5338507632528451</v>
      </c>
      <c r="D18" s="82">
        <v>4.5615432405566603</v>
      </c>
      <c r="E18" s="82">
        <v>3.9249910271167683</v>
      </c>
      <c r="F18" s="82">
        <v>2.4078815937149272</v>
      </c>
      <c r="G18" s="82">
        <v>1.4589808558101804</v>
      </c>
      <c r="H18" s="85">
        <v>4394.7529999999997</v>
      </c>
      <c r="I18" s="86">
        <f>I37/$E$39</f>
        <v>34.152873617845728</v>
      </c>
      <c r="J18" s="86">
        <f t="shared" ref="J18:M18" si="6">J37/$E$39</f>
        <v>56.365424830209093</v>
      </c>
      <c r="K18" s="86">
        <f t="shared" si="6"/>
        <v>91.879014016163296</v>
      </c>
      <c r="L18" s="86">
        <f t="shared" si="6"/>
        <v>106.7798862313098</v>
      </c>
      <c r="M18" s="86">
        <f t="shared" si="6"/>
        <v>129.54036030338619</v>
      </c>
    </row>
    <row r="19" spans="2:13" ht="14.5" customHeight="1" x14ac:dyDescent="0.2">
      <c r="B19" s="81" t="str">
        <f>"CY "&amp;TEXT(EOMONTH(Hist_Year,12),"YY")&amp;" P / E:"</f>
        <v>CY 22 P / E:</v>
      </c>
      <c r="C19" s="82">
        <v>12.7024639304302</v>
      </c>
      <c r="D19" s="82">
        <v>6.344384421374313</v>
      </c>
      <c r="E19" s="82">
        <v>5.1441377149521728</v>
      </c>
      <c r="F19" s="82">
        <v>4.356108780749242</v>
      </c>
      <c r="G19" s="82">
        <v>2.6466030482398861</v>
      </c>
      <c r="H19" s="85">
        <v>1933.3601825390153</v>
      </c>
      <c r="I19" s="86">
        <f t="shared" ref="I19:M19" si="7">I38/$E$39</f>
        <v>27.254910793935128</v>
      </c>
      <c r="J19" s="86">
        <f t="shared" si="7"/>
        <v>44.859525234415472</v>
      </c>
      <c r="K19" s="86">
        <f t="shared" si="7"/>
        <v>52.974704546637724</v>
      </c>
      <c r="L19" s="86">
        <f t="shared" si="7"/>
        <v>65.334932475795924</v>
      </c>
      <c r="M19" s="86">
        <f t="shared" si="7"/>
        <v>130.81089796117922</v>
      </c>
    </row>
    <row r="20" spans="2:13" x14ac:dyDescent="0.2">
      <c r="B20" s="81" t="str">
        <f>"CY "&amp;TEXT(EOMONTH(Hist_Year,24),"YY")&amp;" P / E:"</f>
        <v>CY 23 P / E:</v>
      </c>
      <c r="C20" s="82">
        <v>11.51555529011258</v>
      </c>
      <c r="D20" s="82">
        <v>10.334831384129712</v>
      </c>
      <c r="E20" s="82">
        <v>9.9102281397725704</v>
      </c>
      <c r="F20" s="82">
        <v>8.2548481455817129</v>
      </c>
      <c r="G20" s="82">
        <v>7.4830313388325989</v>
      </c>
      <c r="H20" s="85">
        <v>1649.456798573839</v>
      </c>
      <c r="I20" s="86">
        <f t="shared" ref="I20:M20" si="8">I39/$E$39</f>
        <v>65.744843484491994</v>
      </c>
      <c r="J20" s="86">
        <f t="shared" si="8"/>
        <v>72.525915600960914</v>
      </c>
      <c r="K20" s="86">
        <f t="shared" si="8"/>
        <v>87.0698475581423</v>
      </c>
      <c r="L20" s="86">
        <f t="shared" si="8"/>
        <v>90.80035095699921</v>
      </c>
      <c r="M20" s="86">
        <f t="shared" si="8"/>
        <v>101.17402238536876</v>
      </c>
    </row>
    <row r="22" spans="2:13" x14ac:dyDescent="0.2">
      <c r="B22" s="87" t="s">
        <v>70</v>
      </c>
    </row>
    <row r="23" spans="2:13" x14ac:dyDescent="0.2">
      <c r="B23" s="81" t="s">
        <v>131</v>
      </c>
      <c r="C23" s="82" cm="1">
        <f t="array" ref="C23:G24">TRANSPOSE(MA_Comps!I27:J31)</f>
        <v>3.0030030030030002</v>
      </c>
      <c r="D23" s="82">
        <v>1.2683269388873664</v>
      </c>
      <c r="E23" s="82">
        <v>0.78955179154953692</v>
      </c>
      <c r="F23" s="82">
        <v>0.61326880419439411</v>
      </c>
      <c r="G23" s="82">
        <v>0.32340839807257349</v>
      </c>
      <c r="H23" s="85">
        <f>Public_Comps!N21</f>
        <v>22181.724999999999</v>
      </c>
      <c r="I23" s="84">
        <f>(I41+SUM(_xlfn.ANCHORARRAY($E$30)))/$E$39</f>
        <v>26.50636065162648</v>
      </c>
      <c r="J23" s="84">
        <f t="shared" ref="J23:M23" si="9">(J41+SUM(_xlfn.ANCHORARRAY($E$30)))/$E$39</f>
        <v>60.753744357722887</v>
      </c>
      <c r="K23" s="84">
        <f t="shared" si="9"/>
        <v>81.581808423400176</v>
      </c>
      <c r="L23" s="84">
        <f t="shared" si="9"/>
        <v>138.14971433094365</v>
      </c>
      <c r="M23" s="84">
        <f t="shared" si="9"/>
        <v>343.10394581222283</v>
      </c>
    </row>
    <row r="24" spans="2:13" x14ac:dyDescent="0.2">
      <c r="B24" s="81" t="s">
        <v>132</v>
      </c>
      <c r="C24" s="82">
        <v>25.455114949519523</v>
      </c>
      <c r="D24" s="82">
        <v>12.947795275590551</v>
      </c>
      <c r="E24" s="82">
        <v>9.8194444444444446</v>
      </c>
      <c r="F24" s="82">
        <v>7.9679345779308113</v>
      </c>
      <c r="G24" s="82">
        <v>5.5969422043010741</v>
      </c>
      <c r="H24" s="85">
        <f>Public_Comps!Q21</f>
        <v>10839.897101605693</v>
      </c>
      <c r="I24" s="84">
        <f t="shared" ref="I24:M24" si="10">(I42+SUM(_xlfn.ANCHORARRAY($E$30)))/$E$39</f>
        <v>311.45640555160219</v>
      </c>
      <c r="J24" s="84">
        <f t="shared" si="10"/>
        <v>448.35484679394898</v>
      </c>
      <c r="K24" s="84">
        <f t="shared" si="10"/>
        <v>555.25895053111458</v>
      </c>
      <c r="L24" s="84">
        <f t="shared" si="10"/>
        <v>735.88641994278203</v>
      </c>
      <c r="M24" s="84">
        <f t="shared" si="10"/>
        <v>1458.0450344217345</v>
      </c>
    </row>
    <row r="26" spans="2:13" x14ac:dyDescent="0.2">
      <c r="B26" s="80" t="s">
        <v>71</v>
      </c>
    </row>
    <row r="27" spans="2:13" x14ac:dyDescent="0.2">
      <c r="B27" s="319" t="s">
        <v>237</v>
      </c>
      <c r="I27" s="88">
        <f>STLD_DCF!E161</f>
        <v>75.255063981467146</v>
      </c>
      <c r="J27" s="88">
        <f>STLD_DCF!G163</f>
        <v>89.272689022397046</v>
      </c>
      <c r="K27" s="88">
        <f>STLD_DCF!J165</f>
        <v>108.73031538551</v>
      </c>
      <c r="L27" s="88">
        <f>STLD_DCF!M168</f>
        <v>133.52189982278128</v>
      </c>
      <c r="M27" s="88">
        <f>STLD_DCF!O171</f>
        <v>155.38358085512047</v>
      </c>
    </row>
    <row r="28" spans="2:13" x14ac:dyDescent="0.2">
      <c r="B28" s="81"/>
    </row>
    <row r="29" spans="2:13" x14ac:dyDescent="0.2">
      <c r="B29" s="89" t="s">
        <v>5</v>
      </c>
      <c r="C29" s="90"/>
      <c r="D29" s="90"/>
      <c r="E29" s="55">
        <f>I31</f>
        <v>7885.0675717522554</v>
      </c>
      <c r="G29" s="91" t="s">
        <v>72</v>
      </c>
      <c r="H29" s="91"/>
      <c r="I29" s="91"/>
      <c r="J29" s="92"/>
      <c r="K29" s="92"/>
      <c r="L29" s="92"/>
      <c r="M29" s="92"/>
    </row>
    <row r="30" spans="2:13" x14ac:dyDescent="0.2">
      <c r="B30" s="56" t="s">
        <v>218</v>
      </c>
      <c r="C30" s="6"/>
      <c r="D30" s="6"/>
      <c r="E30" s="85" cm="1">
        <f t="array" ref="E30:E36">STLD_DCF!M23:M29</f>
        <v>1007.85</v>
      </c>
    </row>
    <row r="31" spans="2:13" x14ac:dyDescent="0.2">
      <c r="B31" s="56" t="s">
        <v>219</v>
      </c>
      <c r="E31" s="85">
        <v>20.332999999999998</v>
      </c>
      <c r="G31" s="79" t="s">
        <v>73</v>
      </c>
      <c r="I31" s="93">
        <f>G12*$H12</f>
        <v>7885.0675717522554</v>
      </c>
      <c r="J31" s="93">
        <f>F12*$H12</f>
        <v>9642.1575164982332</v>
      </c>
      <c r="K31" s="93">
        <f>E12*$H12</f>
        <v>16044.78387180051</v>
      </c>
      <c r="L31" s="93">
        <f>D12*$H12</f>
        <v>18916.782178130237</v>
      </c>
      <c r="M31" s="93">
        <f>C12*$H12</f>
        <v>39244.061569290956</v>
      </c>
    </row>
    <row r="32" spans="2:13" x14ac:dyDescent="0.2">
      <c r="B32" s="56" t="s">
        <v>220</v>
      </c>
      <c r="E32" s="85">
        <v>-3260.0829999999996</v>
      </c>
      <c r="G32" s="79" t="s">
        <v>73</v>
      </c>
      <c r="I32" s="93">
        <f t="shared" ref="I32:I39" si="11">G13*$H13</f>
        <v>8297.6818351101956</v>
      </c>
      <c r="J32" s="93">
        <f t="shared" ref="J32:J39" si="12">F13*$H13</f>
        <v>10290.254980469868</v>
      </c>
      <c r="K32" s="93">
        <f t="shared" ref="K32:K39" si="13">E13*$H13</f>
        <v>15883.563540476964</v>
      </c>
      <c r="L32" s="93">
        <f t="shared" ref="L32:L39" si="14">D13*$H13</f>
        <v>19185.625585616614</v>
      </c>
      <c r="M32" s="93">
        <f t="shared" ref="M32:M39" si="15">C13*$H13</f>
        <v>34206.621443269389</v>
      </c>
    </row>
    <row r="33" spans="2:13" x14ac:dyDescent="0.2">
      <c r="B33" s="56" t="s">
        <v>221</v>
      </c>
      <c r="E33" s="85">
        <v>0</v>
      </c>
      <c r="G33" s="79" t="s">
        <v>73</v>
      </c>
      <c r="I33" s="93">
        <f t="shared" si="11"/>
        <v>8031.7275284835305</v>
      </c>
      <c r="J33" s="93">
        <f t="shared" si="12"/>
        <v>11176.866816680698</v>
      </c>
      <c r="K33" s="93">
        <f t="shared" si="13"/>
        <v>15614.056656246097</v>
      </c>
      <c r="L33" s="93">
        <f t="shared" si="14"/>
        <v>19818.477446663517</v>
      </c>
      <c r="M33" s="93">
        <f t="shared" si="15"/>
        <v>28449.904790420638</v>
      </c>
    </row>
    <row r="34" spans="2:13" x14ac:dyDescent="0.2">
      <c r="B34" s="56" t="s">
        <v>222</v>
      </c>
      <c r="E34" s="85">
        <v>0</v>
      </c>
      <c r="G34" s="79" t="s">
        <v>73</v>
      </c>
      <c r="I34" s="93">
        <f t="shared" si="11"/>
        <v>13740.999580155345</v>
      </c>
      <c r="J34" s="93">
        <f t="shared" si="12"/>
        <v>28837.643394498908</v>
      </c>
      <c r="K34" s="93">
        <f t="shared" si="13"/>
        <v>38395.128649767525</v>
      </c>
      <c r="L34" s="93">
        <f t="shared" si="14"/>
        <v>51864.378463575951</v>
      </c>
      <c r="M34" s="93">
        <f t="shared" si="15"/>
        <v>139090.40800424066</v>
      </c>
    </row>
    <row r="35" spans="2:13" x14ac:dyDescent="0.2">
      <c r="B35" s="56" t="s">
        <v>223</v>
      </c>
      <c r="E35" s="85">
        <v>34.448000000000008</v>
      </c>
      <c r="G35" s="79" t="s">
        <v>73</v>
      </c>
      <c r="I35" s="93">
        <f t="shared" si="11"/>
        <v>5849.8349314693587</v>
      </c>
      <c r="J35" s="93">
        <f t="shared" si="12"/>
        <v>10374.529692874063</v>
      </c>
      <c r="K35" s="93">
        <f t="shared" si="13"/>
        <v>12327.182765854315</v>
      </c>
      <c r="L35" s="93">
        <f t="shared" si="14"/>
        <v>13746.724248295475</v>
      </c>
      <c r="M35" s="93">
        <f t="shared" si="15"/>
        <v>31125.014584498887</v>
      </c>
    </row>
    <row r="36" spans="2:13" x14ac:dyDescent="0.2">
      <c r="B36" s="56" t="s">
        <v>224</v>
      </c>
      <c r="E36" s="94">
        <v>0</v>
      </c>
      <c r="G36" s="79" t="s">
        <v>73</v>
      </c>
      <c r="I36" s="93">
        <f t="shared" si="11"/>
        <v>11313.466511150329</v>
      </c>
      <c r="J36" s="93">
        <f t="shared" si="12"/>
        <v>14007.07443644054</v>
      </c>
      <c r="K36" s="93">
        <f t="shared" si="13"/>
        <v>15859.908509128476</v>
      </c>
      <c r="L36" s="93">
        <f t="shared" si="14"/>
        <v>17703.03173422203</v>
      </c>
      <c r="M36" s="93">
        <f t="shared" si="15"/>
        <v>41650.125334569537</v>
      </c>
    </row>
    <row r="37" spans="2:13" x14ac:dyDescent="0.2">
      <c r="B37" s="57" t="s">
        <v>225</v>
      </c>
      <c r="C37" s="58"/>
      <c r="D37" s="58"/>
      <c r="E37" s="59">
        <f>SUM(E29:E36)</f>
        <v>5687.615571752257</v>
      </c>
      <c r="G37" s="79" t="s">
        <v>74</v>
      </c>
      <c r="I37" s="93">
        <f t="shared" si="11"/>
        <v>6411.8604930143574</v>
      </c>
      <c r="J37" s="93">
        <f t="shared" si="12"/>
        <v>10582.044857623456</v>
      </c>
      <c r="K37" s="93">
        <f t="shared" si="13"/>
        <v>17249.366091394499</v>
      </c>
      <c r="L37" s="93">
        <f t="shared" si="14"/>
        <v>20046.855841066103</v>
      </c>
      <c r="M37" s="93">
        <f t="shared" si="15"/>
        <v>24319.907243357728</v>
      </c>
    </row>
    <row r="38" spans="2:13" x14ac:dyDescent="0.2">
      <c r="G38" s="79" t="s">
        <v>74</v>
      </c>
      <c r="I38" s="93">
        <f t="shared" si="11"/>
        <v>5116.8369524533809</v>
      </c>
      <c r="J38" s="93">
        <f t="shared" si="12"/>
        <v>8421.9272675091615</v>
      </c>
      <c r="K38" s="93">
        <f t="shared" si="13"/>
        <v>9945.4710315857665</v>
      </c>
      <c r="L38" s="93">
        <f t="shared" si="14"/>
        <v>12265.980223005927</v>
      </c>
      <c r="M38" s="93">
        <f t="shared" si="15"/>
        <v>24558.43798323179</v>
      </c>
    </row>
    <row r="39" spans="2:13" x14ac:dyDescent="0.2">
      <c r="B39" s="6" t="s">
        <v>6</v>
      </c>
      <c r="C39" s="6"/>
      <c r="D39" s="6"/>
      <c r="E39" s="95">
        <f>Diluted_Shares</f>
        <v>187.74</v>
      </c>
      <c r="G39" s="79" t="s">
        <v>74</v>
      </c>
      <c r="I39" s="93">
        <f t="shared" si="11"/>
        <v>12342.936915778528</v>
      </c>
      <c r="J39" s="93">
        <f t="shared" si="12"/>
        <v>13616.015394924403</v>
      </c>
      <c r="K39" s="93">
        <f t="shared" si="13"/>
        <v>16346.493180565636</v>
      </c>
      <c r="L39" s="93">
        <f t="shared" si="14"/>
        <v>17046.857888667033</v>
      </c>
      <c r="M39" s="93">
        <f t="shared" si="15"/>
        <v>18994.410962629132</v>
      </c>
    </row>
    <row r="40" spans="2:13" x14ac:dyDescent="0.2">
      <c r="B40" s="6"/>
      <c r="C40" s="6"/>
      <c r="D40" s="6"/>
      <c r="E40" s="6"/>
    </row>
    <row r="41" spans="2:13" x14ac:dyDescent="0.2">
      <c r="B41" s="61" t="s">
        <v>7</v>
      </c>
      <c r="C41" s="62"/>
      <c r="D41" s="62"/>
      <c r="E41" s="63">
        <f>E37/E39</f>
        <v>30.295171895985174</v>
      </c>
      <c r="G41" s="79" t="s">
        <v>73</v>
      </c>
      <c r="I41" s="93">
        <f>G23*$H23</f>
        <v>7173.7561487363546</v>
      </c>
      <c r="J41" s="93">
        <f>F23*$H23</f>
        <v>13603.359965718895</v>
      </c>
      <c r="K41" s="93">
        <f>E23*$H23</f>
        <v>17513.620713409149</v>
      </c>
      <c r="L41" s="93">
        <f>D23*$H23</f>
        <v>28133.679368491365</v>
      </c>
      <c r="M41" s="93">
        <f>C23*$H23</f>
        <v>66611.786786786717</v>
      </c>
    </row>
    <row r="42" spans="2:13" x14ac:dyDescent="0.2">
      <c r="B42" s="64" t="s">
        <v>8</v>
      </c>
      <c r="C42" s="65"/>
      <c r="D42" s="65"/>
      <c r="E42" s="66">
        <f>E41/Share_Price-1</f>
        <v>-0.57300673860486007</v>
      </c>
      <c r="G42" s="79" t="s">
        <v>73</v>
      </c>
      <c r="I42" s="93">
        <f t="shared" ref="I42" si="16">G24*$H24</f>
        <v>60670.277578257796</v>
      </c>
      <c r="J42" s="93">
        <f t="shared" ref="J42" si="17">F24*$H24</f>
        <v>86371.590937095985</v>
      </c>
      <c r="K42" s="93">
        <f t="shared" ref="K42" si="18">E24*$H24</f>
        <v>106441.76737271146</v>
      </c>
      <c r="L42" s="93">
        <f t="shared" ref="L42" si="19">D24*$H24</f>
        <v>140352.76848005789</v>
      </c>
      <c r="M42" s="93">
        <f t="shared" ref="M42" si="20">C24*$H24</f>
        <v>275930.82676233642</v>
      </c>
    </row>
    <row r="43" spans="2:13" x14ac:dyDescent="0.2">
      <c r="G43" s="79"/>
    </row>
    <row r="46" spans="2:13" x14ac:dyDescent="0.2">
      <c r="B46" s="96"/>
      <c r="C46" s="96"/>
      <c r="D46" s="96"/>
      <c r="E46" s="96"/>
      <c r="G46" s="79"/>
    </row>
  </sheetData>
  <pageMargins left="0.7" right="0.7" top="0.75" bottom="0.75" header="0.3" footer="0.3"/>
  <pageSetup scale="4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F783B9-BA0F-4C17-9A37-B49E95E6309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STLD_DCF</vt:lpstr>
      <vt:lpstr>WACC</vt:lpstr>
      <vt:lpstr>Public_Comps</vt:lpstr>
      <vt:lpstr>M&amp;A_Comps</vt:lpstr>
      <vt:lpstr>Val_sum</vt:lpstr>
      <vt:lpstr>Val_Graph</vt:lpstr>
      <vt:lpstr>MA_Comps</vt:lpstr>
      <vt:lpstr>ValSum</vt:lpstr>
      <vt:lpstr>Company_Name</vt:lpstr>
      <vt:lpstr>Cost_of_Debt</vt:lpstr>
      <vt:lpstr>Cost_of_Preferred</vt:lpstr>
      <vt:lpstr>Diluted_Shares</vt:lpstr>
      <vt:lpstr>Discount_Rate</vt:lpstr>
      <vt:lpstr>Equity_Risk_Premium</vt:lpstr>
      <vt:lpstr>Hist_Year</vt:lpstr>
      <vt:lpstr>LT_Average_Steel_Price</vt:lpstr>
      <vt:lpstr>LT_COGS_Pct_Sales</vt:lpstr>
      <vt:lpstr>LT_Utilization_Rate</vt:lpstr>
      <vt:lpstr>'M&amp;A_Comps'!Print_Area</vt:lpstr>
      <vt:lpstr>MA_Comps!Print_Area</vt:lpstr>
      <vt:lpstr>Public_Comps!Print_Area</vt:lpstr>
      <vt:lpstr>STLD_DCF!Print_Area</vt:lpstr>
      <vt:lpstr>Val_sum!Print_Area</vt:lpstr>
      <vt:lpstr>ValSum!Print_Area</vt:lpstr>
      <vt:lpstr>WACC!Print_Area</vt:lpstr>
      <vt:lpstr>Pub_Comps_Data</vt:lpstr>
      <vt:lpstr>Pub_Comps_Info_Range</vt:lpstr>
      <vt:lpstr>Risk_Free_Rate</vt:lpstr>
      <vt:lpstr>Share_Price</vt:lpstr>
      <vt:lpstr>Tax_Rate</vt:lpstr>
      <vt:lpstr>Ticker</vt:lpstr>
      <vt:lpstr>Ticker_Range</vt:lpstr>
      <vt:lpstr>Units</vt:lpstr>
    </vt:vector>
  </TitlesOfParts>
  <Company>LENOVO CUSTOMER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BIWS</dc:creator>
  <cp:lastModifiedBy>Juan Padilla</cp:lastModifiedBy>
  <cp:lastPrinted>2021-08-05T17:06:17Z</cp:lastPrinted>
  <dcterms:created xsi:type="dcterms:W3CDTF">2009-06-26T05:31:17Z</dcterms:created>
  <dcterms:modified xsi:type="dcterms:W3CDTF">2023-01-02T18:48:15Z</dcterms:modified>
</cp:coreProperties>
</file>