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P_Dropbox\Dropbox\__Internal\Self\Old Excel Sheets\"/>
    </mc:Choice>
  </mc:AlternateContent>
  <xr:revisionPtr revIDLastSave="0" documentId="8_{8D1126C8-6C7B-4413-AFD5-00DA4C3B37D2}" xr6:coauthVersionLast="47" xr6:coauthVersionMax="47" xr10:uidLastSave="{00000000-0000-0000-0000-000000000000}"/>
  <bookViews>
    <workbookView xWindow="-120" yWindow="-120" windowWidth="38640" windowHeight="21390" tabRatio="802" xr2:uid="{00000000-000D-0000-FFFF-FFFF00000000}"/>
  </bookViews>
  <sheets>
    <sheet name="Cost Sheet" sheetId="1" r:id="rId1"/>
    <sheet name="Material Info" sheetId="11" r:id="rId2"/>
    <sheet name="Spring Sku's" sheetId="3" r:id="rId3"/>
    <sheet name="SPRING UP ITEMS" sheetId="2" r:id="rId4"/>
    <sheet name="HdWd Database" sheetId="9" r:id="rId5"/>
    <sheet name="Nesting Database" sheetId="6" r:id="rId6"/>
    <sheet name="SUp Database" sheetId="7" r:id="rId7"/>
    <sheet name="Labor Database" sheetId="8" r:id="rId8"/>
  </sheets>
  <definedNames>
    <definedName name="KNOCKUP" localSheetId="0">#REF!</definedName>
    <definedName name="KNOCKUP">#REF!</definedName>
    <definedName name="MISC" localSheetId="0">#REF!</definedName>
    <definedName name="MISC">#REF!</definedName>
    <definedName name="_xlnm.Print_Area" localSheetId="0">'Cost Sheet'!$A$2:$V$40</definedName>
    <definedName name="SPRINGUP">'SPRING UP ITEMS'!$B$2:$B$48</definedName>
    <definedName name="SPRINGUP2">'SPRING UP ITEMS'!$B$2:$D$48</definedName>
    <definedName name="SPRINGUP3">'SPRING UP ITEMS'!$B$2:$D$49</definedName>
    <definedName name="SPRINGUP4">'SPRING UP ITEMS'!$B$2:$B$48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Q7" i="1"/>
  <c r="R7" i="1"/>
  <c r="D2" i="11"/>
  <c r="V7" i="1" l="1"/>
  <c r="N31" i="1" l="1"/>
  <c r="O31" i="1" s="1"/>
  <c r="P31" i="1" s="1"/>
  <c r="J10" i="1"/>
  <c r="A37" i="1"/>
  <c r="F12" i="1"/>
  <c r="M10" i="1" s="1"/>
  <c r="E12" i="1"/>
  <c r="K10" i="1" s="1"/>
  <c r="D8" i="11"/>
  <c r="D9" i="11"/>
  <c r="D10" i="11"/>
  <c r="D11" i="11"/>
  <c r="Q31" i="1" l="1"/>
  <c r="D5" i="11" l="1"/>
  <c r="F11" i="1" s="1"/>
  <c r="D37" i="1" s="1"/>
  <c r="D2" i="1"/>
  <c r="B2" i="6" l="1"/>
  <c r="D2" i="8" l="1"/>
  <c r="C2" i="8"/>
  <c r="B2" i="8"/>
  <c r="A2" i="8"/>
  <c r="E5" i="7"/>
  <c r="E6" i="7"/>
  <c r="E7" i="7"/>
  <c r="E8" i="7"/>
  <c r="E9" i="7"/>
  <c r="C6" i="7"/>
  <c r="C7" i="7"/>
  <c r="C8" i="7"/>
  <c r="C9" i="7"/>
  <c r="C5" i="7"/>
  <c r="B5" i="7" s="1"/>
  <c r="C3" i="7"/>
  <c r="C4" i="7"/>
  <c r="E2" i="7"/>
  <c r="C2" i="7"/>
  <c r="A27" i="1"/>
  <c r="A29" i="1"/>
  <c r="C29" i="1" s="1"/>
  <c r="E12" i="7" s="1"/>
  <c r="A28" i="1"/>
  <c r="C28" i="1" s="1"/>
  <c r="E11" i="7" s="1"/>
  <c r="A3" i="7"/>
  <c r="B3" i="7"/>
  <c r="A4" i="7"/>
  <c r="B4" i="7"/>
  <c r="B2" i="7"/>
  <c r="A2" i="7"/>
  <c r="E11" i="1"/>
  <c r="A2" i="6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" i="9"/>
  <c r="F3" i="9"/>
  <c r="F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G3" i="9"/>
  <c r="G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E3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" i="9"/>
  <c r="D3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" i="9"/>
  <c r="C3" i="9"/>
  <c r="C4" i="9"/>
  <c r="B4" i="9"/>
  <c r="B6" i="9" s="1"/>
  <c r="A4" i="9"/>
  <c r="A3" i="9" s="1"/>
  <c r="G2" i="6" l="1"/>
  <c r="B37" i="1"/>
  <c r="B27" i="1"/>
  <c r="E27" i="1" s="1"/>
  <c r="C27" i="1"/>
  <c r="E10" i="7" s="1"/>
  <c r="A5" i="7"/>
  <c r="A9" i="7"/>
  <c r="B12" i="7"/>
  <c r="B8" i="7"/>
  <c r="A12" i="7"/>
  <c r="A8" i="7"/>
  <c r="B11" i="7"/>
  <c r="B7" i="7"/>
  <c r="A11" i="7"/>
  <c r="A7" i="7"/>
  <c r="B10" i="7"/>
  <c r="B6" i="7"/>
  <c r="A10" i="7"/>
  <c r="A6" i="7"/>
  <c r="B9" i="7"/>
  <c r="C12" i="7"/>
  <c r="C11" i="7"/>
  <c r="C10" i="7"/>
  <c r="D27" i="1"/>
  <c r="D29" i="1"/>
  <c r="F29" i="1" s="1"/>
  <c r="B29" i="1"/>
  <c r="A2" i="9"/>
  <c r="B25" i="9"/>
  <c r="B21" i="9"/>
  <c r="B17" i="9"/>
  <c r="B13" i="9"/>
  <c r="B9" i="9"/>
  <c r="B3" i="9"/>
  <c r="B23" i="9"/>
  <c r="B15" i="9"/>
  <c r="B11" i="9"/>
  <c r="B7" i="9"/>
  <c r="B5" i="9"/>
  <c r="B24" i="9"/>
  <c r="B20" i="9"/>
  <c r="B16" i="9"/>
  <c r="B12" i="9"/>
  <c r="B8" i="9"/>
  <c r="B19" i="9"/>
  <c r="B2" i="9"/>
  <c r="B22" i="9"/>
  <c r="B18" i="9"/>
  <c r="B14" i="9"/>
  <c r="B10" i="9"/>
  <c r="A13" i="9"/>
  <c r="A25" i="9"/>
  <c r="A14" i="9"/>
  <c r="A18" i="9"/>
  <c r="A22" i="9"/>
  <c r="A9" i="9"/>
  <c r="A21" i="9"/>
  <c r="A10" i="9"/>
  <c r="A7" i="9"/>
  <c r="A11" i="9"/>
  <c r="A15" i="9"/>
  <c r="A19" i="9"/>
  <c r="A23" i="9"/>
  <c r="A5" i="9"/>
  <c r="A17" i="9"/>
  <c r="A6" i="9"/>
  <c r="A8" i="9"/>
  <c r="A12" i="9"/>
  <c r="A16" i="9"/>
  <c r="A20" i="9"/>
  <c r="A24" i="9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16" i="2"/>
  <c r="D17" i="2"/>
  <c r="D18" i="2"/>
  <c r="D21" i="2"/>
  <c r="D24" i="1" s="1"/>
  <c r="F24" i="1" s="1"/>
  <c r="D23" i="2"/>
  <c r="D52" i="2"/>
  <c r="D53" i="2"/>
  <c r="D54" i="2"/>
  <c r="D26" i="1" s="1"/>
  <c r="F26" i="1" s="1"/>
  <c r="D55" i="2"/>
  <c r="D56" i="2"/>
  <c r="D57" i="2"/>
  <c r="D58" i="2"/>
  <c r="D64" i="2"/>
  <c r="V38" i="1"/>
  <c r="N37" i="1"/>
  <c r="O37" i="1" s="1"/>
  <c r="P37" i="1" s="1"/>
  <c r="Q37" i="1" s="1"/>
  <c r="N36" i="1"/>
  <c r="O36" i="1" s="1"/>
  <c r="P36" i="1" s="1"/>
  <c r="Q36" i="1" s="1"/>
  <c r="N35" i="1"/>
  <c r="O35" i="1" s="1"/>
  <c r="N34" i="1"/>
  <c r="O34" i="1" s="1"/>
  <c r="P34" i="1" s="1"/>
  <c r="Q34" i="1" s="1"/>
  <c r="N33" i="1"/>
  <c r="O33" i="1" s="1"/>
  <c r="P33" i="1" s="1"/>
  <c r="Q33" i="1" s="1"/>
  <c r="N32" i="1"/>
  <c r="O32" i="1" s="1"/>
  <c r="P32" i="1" s="1"/>
  <c r="Q32" i="1" s="1"/>
  <c r="N30" i="1"/>
  <c r="O30" i="1" s="1"/>
  <c r="P30" i="1" s="1"/>
  <c r="Q30" i="1" s="1"/>
  <c r="N29" i="1"/>
  <c r="O29" i="1" s="1"/>
  <c r="P29" i="1" s="1"/>
  <c r="Q29" i="1" s="1"/>
  <c r="N28" i="1"/>
  <c r="O28" i="1" s="1"/>
  <c r="P28" i="1" s="1"/>
  <c r="Q28" i="1" s="1"/>
  <c r="N27" i="1"/>
  <c r="O27" i="1" s="1"/>
  <c r="P27" i="1" s="1"/>
  <c r="Q27" i="1" s="1"/>
  <c r="N26" i="1"/>
  <c r="O26" i="1" s="1"/>
  <c r="P26" i="1" s="1"/>
  <c r="Q26" i="1" s="1"/>
  <c r="N25" i="1"/>
  <c r="O25" i="1" s="1"/>
  <c r="P25" i="1" s="1"/>
  <c r="Q25" i="1" s="1"/>
  <c r="N24" i="1"/>
  <c r="O24" i="1" s="1"/>
  <c r="P24" i="1" s="1"/>
  <c r="Q24" i="1" s="1"/>
  <c r="N23" i="1"/>
  <c r="O23" i="1" s="1"/>
  <c r="P23" i="1" s="1"/>
  <c r="Q23" i="1" s="1"/>
  <c r="N22" i="1"/>
  <c r="O22" i="1" s="1"/>
  <c r="P22" i="1" s="1"/>
  <c r="Q22" i="1" s="1"/>
  <c r="N21" i="1"/>
  <c r="O21" i="1" s="1"/>
  <c r="P21" i="1" s="1"/>
  <c r="Q21" i="1" s="1"/>
  <c r="N20" i="1"/>
  <c r="O20" i="1" s="1"/>
  <c r="P20" i="1" s="1"/>
  <c r="Q20" i="1" s="1"/>
  <c r="N19" i="1"/>
  <c r="O19" i="1" s="1"/>
  <c r="P19" i="1" s="1"/>
  <c r="Q19" i="1" s="1"/>
  <c r="N18" i="1"/>
  <c r="O18" i="1" s="1"/>
  <c r="P18" i="1" s="1"/>
  <c r="Q18" i="1" s="1"/>
  <c r="N17" i="1"/>
  <c r="O17" i="1" s="1"/>
  <c r="P17" i="1" s="1"/>
  <c r="Q17" i="1" s="1"/>
  <c r="N16" i="1"/>
  <c r="O16" i="1" s="1"/>
  <c r="P16" i="1" s="1"/>
  <c r="Q16" i="1" s="1"/>
  <c r="N15" i="1"/>
  <c r="O15" i="1" s="1"/>
  <c r="P15" i="1" s="1"/>
  <c r="Q15" i="1" s="1"/>
  <c r="N14" i="1"/>
  <c r="O14" i="1" s="1"/>
  <c r="P14" i="1" s="1"/>
  <c r="Q14" i="1" s="1"/>
  <c r="N13" i="1"/>
  <c r="O13" i="1" s="1"/>
  <c r="P13" i="1" s="1"/>
  <c r="E36" i="1"/>
  <c r="F36" i="1" s="1"/>
  <c r="E2" i="6" s="1"/>
  <c r="E35" i="1"/>
  <c r="F35" i="1" s="1"/>
  <c r="D2" i="6" s="1"/>
  <c r="E34" i="1"/>
  <c r="F34" i="1" s="1"/>
  <c r="J5" i="1"/>
  <c r="I5" i="1"/>
  <c r="B30" i="1"/>
  <c r="D28" i="1"/>
  <c r="F28" i="1" s="1"/>
  <c r="B28" i="1"/>
  <c r="D19" i="1"/>
  <c r="F19" i="1" s="1"/>
  <c r="B19" i="1"/>
  <c r="F23" i="1"/>
  <c r="D23" i="1"/>
  <c r="B23" i="1"/>
  <c r="B26" i="1"/>
  <c r="B25" i="1"/>
  <c r="D21" i="1"/>
  <c r="B21" i="1"/>
  <c r="D20" i="1"/>
  <c r="B20" i="1"/>
  <c r="D22" i="1"/>
  <c r="B22" i="1"/>
  <c r="F37" i="1" l="1"/>
  <c r="F39" i="1" s="1"/>
  <c r="D25" i="1"/>
  <c r="F25" i="1" s="1"/>
  <c r="P35" i="1"/>
  <c r="Q35" i="1" s="1"/>
  <c r="D10" i="7"/>
  <c r="E25" i="1"/>
  <c r="D8" i="7"/>
  <c r="E22" i="1"/>
  <c r="D5" i="7"/>
  <c r="E21" i="1"/>
  <c r="D4" i="7"/>
  <c r="E20" i="1"/>
  <c r="D3" i="7"/>
  <c r="E26" i="1"/>
  <c r="D9" i="7"/>
  <c r="E23" i="1"/>
  <c r="D6" i="7"/>
  <c r="E19" i="1"/>
  <c r="D2" i="7"/>
  <c r="E28" i="1"/>
  <c r="D11" i="7"/>
  <c r="E29" i="1"/>
  <c r="D12" i="7"/>
  <c r="C21" i="1"/>
  <c r="E4" i="7" s="1"/>
  <c r="C20" i="1"/>
  <c r="E3" i="7" s="1"/>
  <c r="C2" i="6"/>
  <c r="F2" i="6" s="1"/>
  <c r="F27" i="1"/>
  <c r="B24" i="1"/>
  <c r="Q13" i="1"/>
  <c r="N38" i="1"/>
  <c r="F22" i="1"/>
  <c r="F38" i="1" l="1"/>
  <c r="P38" i="1"/>
  <c r="Q38" i="1"/>
  <c r="J7" i="1" s="1"/>
  <c r="F20" i="1"/>
  <c r="K7" i="1" s="1"/>
  <c r="F21" i="1"/>
  <c r="E24" i="1"/>
  <c r="D7" i="7"/>
  <c r="G6" i="1" l="1"/>
  <c r="H6" i="1"/>
  <c r="H7" i="1" s="1"/>
  <c r="B14" i="1"/>
  <c r="B15" i="1" s="1"/>
  <c r="F30" i="1"/>
  <c r="J3" i="1" s="1"/>
  <c r="K3" i="1" l="1"/>
  <c r="B7" i="1"/>
  <c r="E2" i="8"/>
  <c r="K5" i="1"/>
  <c r="B8" i="1"/>
  <c r="F3" i="1" s="1"/>
  <c r="D3" i="1" l="1"/>
  <c r="D4" i="1" s="1"/>
  <c r="I3" i="1" s="1"/>
  <c r="E3" i="1"/>
  <c r="F4" i="1" l="1"/>
  <c r="F5" i="1" s="1"/>
  <c r="F6" i="1" s="1"/>
  <c r="E4" i="1"/>
  <c r="E5" i="1" s="1"/>
  <c r="E6" i="1" s="1"/>
  <c r="D5" i="1"/>
  <c r="D6" i="1" s="1"/>
  <c r="D8" i="1" s="1"/>
  <c r="D7" i="1" l="1"/>
  <c r="E7" i="1"/>
  <c r="E8" i="1"/>
  <c r="F7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This is a Dropdown menu of our customers
</t>
        </r>
      </text>
    </comment>
    <comment ref="A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This is a dropdown
menu of all our
springs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This is a dropdown
menu of all our
springs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<sst xmlns="http://schemas.openxmlformats.org/spreadsheetml/2006/main" count="462" uniqueCount="277">
  <si>
    <t>Style Number:</t>
  </si>
  <si>
    <t>Style Name:</t>
  </si>
  <si>
    <t>Style Type:</t>
  </si>
  <si>
    <t>Delivery Type:</t>
  </si>
  <si>
    <t>Company:</t>
  </si>
  <si>
    <t>Total Material Cost</t>
  </si>
  <si>
    <t>Total Labor Cost</t>
  </si>
  <si>
    <t>Overhead %</t>
  </si>
  <si>
    <t>Overhead</t>
  </si>
  <si>
    <t>MatLab</t>
  </si>
  <si>
    <t>Material</t>
  </si>
  <si>
    <t>Knock up</t>
  </si>
  <si>
    <t>Spring Up</t>
  </si>
  <si>
    <t>Machine Room</t>
  </si>
  <si>
    <t>Plywood</t>
  </si>
  <si>
    <t>Lumber</t>
  </si>
  <si>
    <t>KD Mats</t>
  </si>
  <si>
    <t>Total Cost:</t>
  </si>
  <si>
    <t>Profit:</t>
  </si>
  <si>
    <t>Price:</t>
  </si>
  <si>
    <t>Average</t>
  </si>
  <si>
    <t>Quote</t>
  </si>
  <si>
    <t>Part No.</t>
  </si>
  <si>
    <t>Part Name</t>
  </si>
  <si>
    <t>Qty</t>
  </si>
  <si>
    <t>Unit Value</t>
  </si>
  <si>
    <t>Unit</t>
  </si>
  <si>
    <t>Total</t>
  </si>
  <si>
    <t>SU1026</t>
  </si>
  <si>
    <t>SU1048</t>
  </si>
  <si>
    <t>SU1034</t>
  </si>
  <si>
    <t>SU1017</t>
  </si>
  <si>
    <t>SU1055</t>
  </si>
  <si>
    <t>SU1002</t>
  </si>
  <si>
    <t>SU1003</t>
  </si>
  <si>
    <t>KU1001</t>
  </si>
  <si>
    <t>KU1002</t>
  </si>
  <si>
    <t>KU1003</t>
  </si>
  <si>
    <t>Total Materials</t>
  </si>
  <si>
    <t>K/up</t>
  </si>
  <si>
    <t>Labor</t>
  </si>
  <si>
    <t>Pay Rate</t>
  </si>
  <si>
    <t>Knock Up Labor</t>
  </si>
  <si>
    <t>Spring Up Labor</t>
  </si>
  <si>
    <t>Whole</t>
  </si>
  <si>
    <t>Fraction</t>
  </si>
  <si>
    <t>Sheets</t>
  </si>
  <si>
    <t>Machine Room Labor</t>
  </si>
  <si>
    <t>Total Labor</t>
  </si>
  <si>
    <t>Average:</t>
  </si>
  <si>
    <t>Footage</t>
  </si>
  <si>
    <t>PLY34HW</t>
  </si>
  <si>
    <t>Length</t>
  </si>
  <si>
    <t>Width</t>
  </si>
  <si>
    <t>With Waste</t>
  </si>
  <si>
    <t>Cost</t>
  </si>
  <si>
    <t>First Clip</t>
  </si>
  <si>
    <t>Remain Clips</t>
  </si>
  <si>
    <t>Edge/Face</t>
  </si>
  <si>
    <t>Bandsaw?</t>
  </si>
  <si>
    <t>Glue Blocks</t>
  </si>
  <si>
    <t>Blocks</t>
  </si>
  <si>
    <t>Totals</t>
  </si>
  <si>
    <t>Clips:</t>
  </si>
  <si>
    <t>Ea</t>
  </si>
  <si>
    <t>Universal</t>
  </si>
  <si>
    <t>Uni-Arc 8 X 22</t>
  </si>
  <si>
    <t>SU1114</t>
  </si>
  <si>
    <t>Uniarc XL 8 X 36"</t>
  </si>
  <si>
    <t>SU1113</t>
  </si>
  <si>
    <t>ea</t>
  </si>
  <si>
    <t>Unive             0,33645 Ea</t>
  </si>
  <si>
    <t>11 X 39" SEAT SPRING</t>
  </si>
  <si>
    <t>SU1070</t>
  </si>
  <si>
    <t>Universal Springs</t>
  </si>
  <si>
    <t>11 x 18" Back Spring</t>
  </si>
  <si>
    <t>SU1076</t>
  </si>
  <si>
    <t>Uni-Arc 11 X 23 90 D Bend</t>
  </si>
  <si>
    <t>SU1071</t>
  </si>
  <si>
    <t>Snyder Paper</t>
  </si>
  <si>
    <t>Greenwich Cardboard</t>
  </si>
  <si>
    <t>SU1065</t>
  </si>
  <si>
    <t>10X20" Wide Loop Seat Spring</t>
  </si>
  <si>
    <t>SU1064</t>
  </si>
  <si>
    <t>8 1/2 X 19" Springs</t>
  </si>
  <si>
    <t>SU1063</t>
  </si>
  <si>
    <t>GREENWICH ISA CARDBOARD</t>
  </si>
  <si>
    <t>SU1062</t>
  </si>
  <si>
    <t>2 7/8 X 49 ½ CARDBOARD STRIPS</t>
  </si>
  <si>
    <t>SU1061</t>
  </si>
  <si>
    <t>PBK GRAND GLIDER CARDBOARD</t>
  </si>
  <si>
    <t>SU1060</t>
  </si>
  <si>
    <t>Ft</t>
  </si>
  <si>
    <t>Prime Choice</t>
  </si>
  <si>
    <t>25”HEADLINER – FAIRMONT</t>
  </si>
  <si>
    <t>SU1059</t>
  </si>
  <si>
    <t>30” BLACK BOTTOM</t>
  </si>
  <si>
    <t>SU1058</t>
  </si>
  <si>
    <t>36” BLACK BOTTOM</t>
  </si>
  <si>
    <t>SU1057</t>
  </si>
  <si>
    <t>Innovative Comp</t>
  </si>
  <si>
    <t>24” FLW</t>
  </si>
  <si>
    <t>SU1056</t>
  </si>
  <si>
    <t>27” FLW</t>
  </si>
  <si>
    <t>36” FLW</t>
  </si>
  <si>
    <t>SU1054</t>
  </si>
  <si>
    <t>30” FLW</t>
  </si>
  <si>
    <t>SU1053</t>
  </si>
  <si>
    <t>HICKORY SPRINGS</t>
  </si>
  <si>
    <t>10X24 BACK SPRING</t>
  </si>
  <si>
    <t>SU1052</t>
  </si>
  <si>
    <t>Roll</t>
  </si>
  <si>
    <t>3/8 WHITE STRAPPING</t>
  </si>
  <si>
    <t>SU1051</t>
  </si>
  <si>
    <t>Box</t>
  </si>
  <si>
    <t>½ SEALS</t>
  </si>
  <si>
    <t>SU1050</t>
  </si>
  <si>
    <t>1/2” BLACK STRAPPING</t>
  </si>
  <si>
    <t>SU1049</t>
  </si>
  <si>
    <t>DUO FAST</t>
  </si>
  <si>
    <t>AK1 CLIPS</t>
  </si>
  <si>
    <t>Barber Manufacturing</t>
  </si>
  <si>
    <t>#11 Ga - 23" Medium V-Arc 1-Loop</t>
  </si>
  <si>
    <t>SU1047</t>
  </si>
  <si>
    <t>#11 Ga - 19" Medium V-Arc 1-Loop</t>
  </si>
  <si>
    <t>SU1046</t>
  </si>
  <si>
    <t>#11 Ga - 21 1/2" Medium</t>
  </si>
  <si>
    <t>SU1045</t>
  </si>
  <si>
    <t>#11 Ga - 17" Medium w/ 4 3/4" Radius</t>
  </si>
  <si>
    <t>SU1044</t>
  </si>
  <si>
    <t>#11 Ga - 16" Medium w/ 4 3/4" Radius</t>
  </si>
  <si>
    <t>SU1043</t>
  </si>
  <si>
    <t>#8 Ga -30" Large w/35" Radius</t>
  </si>
  <si>
    <t>SU1042</t>
  </si>
  <si>
    <t>#8 Ga -28" Large w/35" Radius</t>
  </si>
  <si>
    <t>SU1041</t>
  </si>
  <si>
    <t>#8 Ga -26" Large w/35" Radius</t>
  </si>
  <si>
    <t>SU1040</t>
  </si>
  <si>
    <t>#8 Ga -24" Large w/35" Radius</t>
  </si>
  <si>
    <t>SU1039</t>
  </si>
  <si>
    <t>#8 Ga -23" Large w/35" Radius</t>
  </si>
  <si>
    <t>SU1038</t>
  </si>
  <si>
    <t>#8 Ga -22" Large w/35" Radius</t>
  </si>
  <si>
    <t>SU1037</t>
  </si>
  <si>
    <t>#7 1/2 Ga - 33 1/2" Large w 35"Radius</t>
  </si>
  <si>
    <t>SU1036</t>
  </si>
  <si>
    <t>Normally .15</t>
  </si>
  <si>
    <t>Chair City</t>
  </si>
  <si>
    <t>STRETCH WEBBING</t>
  </si>
  <si>
    <t>SU1035</t>
  </si>
  <si>
    <t>CL 4 CLIPS</t>
  </si>
  <si>
    <t>APBS CLIPS</t>
  </si>
  <si>
    <t>SU1033</t>
  </si>
  <si>
    <t>8X31 SEAT SPRING</t>
  </si>
  <si>
    <t>SU1030</t>
  </si>
  <si>
    <t>8X30.5 SEAT SPRING</t>
  </si>
  <si>
    <t>SU1029</t>
  </si>
  <si>
    <t>8X30 SEAT SPRING</t>
  </si>
  <si>
    <t>SU1028</t>
  </si>
  <si>
    <t>8X29 SEAT SPRING</t>
  </si>
  <si>
    <t>SU1027</t>
  </si>
  <si>
    <t>8X28 SEAT SPRING</t>
  </si>
  <si>
    <t>8X26 SEAT SPRING</t>
  </si>
  <si>
    <t>SU1025</t>
  </si>
  <si>
    <t>8X25 SEAT SPRING</t>
  </si>
  <si>
    <t>SU1024</t>
  </si>
  <si>
    <t>8X20 SEAT SPRING</t>
  </si>
  <si>
    <t>SU1023</t>
  </si>
  <si>
    <t>27" VERSARE</t>
  </si>
  <si>
    <t>SU1021</t>
  </si>
  <si>
    <t>5850 CARDBOARD</t>
  </si>
  <si>
    <t>SU1020</t>
  </si>
  <si>
    <t>3" WOVEN POLY</t>
  </si>
  <si>
    <t>3/4" HIGH CARBON STAPLE</t>
  </si>
  <si>
    <t>SU1016</t>
  </si>
  <si>
    <t>64" FLW</t>
  </si>
  <si>
    <t>SU1015</t>
  </si>
  <si>
    <t>44" FLW</t>
  </si>
  <si>
    <t>SU1014</t>
  </si>
  <si>
    <t>25" FLW</t>
  </si>
  <si>
    <t>SU1013</t>
  </si>
  <si>
    <t>2" WOVEN POLY</t>
  </si>
  <si>
    <t>SU1011</t>
  </si>
  <si>
    <t>16 GA EDGEWIRE</t>
  </si>
  <si>
    <t>SU1010</t>
  </si>
  <si>
    <t>12 GA EDGEWIRE</t>
  </si>
  <si>
    <t>SU1009</t>
  </si>
  <si>
    <t>11X23 BACK SPRING</t>
  </si>
  <si>
    <t>SU1008</t>
  </si>
  <si>
    <t>11X21 BACK SPRING</t>
  </si>
  <si>
    <t>SU1007</t>
  </si>
  <si>
    <t>11X20 BACK SPRING</t>
  </si>
  <si>
    <t>SU1006</t>
  </si>
  <si>
    <t>11X17 BACK SPRING</t>
  </si>
  <si>
    <t>SU1005</t>
  </si>
  <si>
    <t>11X16 BACK SPRING</t>
  </si>
  <si>
    <t>SU1004</t>
  </si>
  <si>
    <t>10X22 SEAT SPRING</t>
  </si>
  <si>
    <t>Per Frame</t>
  </si>
  <si>
    <t>1/2" UPHOLSTRY STAPLE</t>
  </si>
  <si>
    <t>1" WIDE CROWN STAPLE</t>
  </si>
  <si>
    <t>SU1001</t>
  </si>
  <si>
    <t>¼ T NUT</t>
  </si>
  <si>
    <t>KU1004</t>
  </si>
  <si>
    <t>KNOCKUP STAPLE</t>
  </si>
  <si>
    <t>SPECTRUM ADHESIVES</t>
  </si>
  <si>
    <t>KNOCKUP GLUE</t>
  </si>
  <si>
    <t>5/16 T NUT</t>
  </si>
  <si>
    <t>I.U.C.</t>
  </si>
  <si>
    <t>Inventory Unit</t>
  </si>
  <si>
    <t>Vendor</t>
  </si>
  <si>
    <t>Item Description</t>
  </si>
  <si>
    <t>Item Number</t>
  </si>
  <si>
    <t>Spring SKU's</t>
  </si>
  <si>
    <t>Frame Number</t>
  </si>
  <si>
    <t>Frame Name</t>
  </si>
  <si>
    <t>Notes</t>
  </si>
  <si>
    <t>No.</t>
  </si>
  <si>
    <t>Type</t>
  </si>
  <si>
    <t>Per Sheet</t>
  </si>
  <si>
    <t>Per Sq. Ft</t>
  </si>
  <si>
    <t>PLY1316HW</t>
  </si>
  <si>
    <t>PLY34OSB</t>
  </si>
  <si>
    <t>3/4"OSB</t>
  </si>
  <si>
    <t>Part Number</t>
  </si>
  <si>
    <t>S/Up</t>
  </si>
  <si>
    <t>13/16" PLYWOOD</t>
  </si>
  <si>
    <t>23/32" PLYWOOD</t>
  </si>
  <si>
    <t>Qty2</t>
  </si>
  <si>
    <t>Breakdown</t>
  </si>
  <si>
    <t>su1010</t>
  </si>
  <si>
    <t>su1097</t>
  </si>
  <si>
    <t>10 x 20" BACK SPRING</t>
  </si>
  <si>
    <t>UNIVERSAL</t>
  </si>
  <si>
    <t>EA</t>
  </si>
  <si>
    <t>Info</t>
  </si>
  <si>
    <t>Costs/Quote</t>
  </si>
  <si>
    <t>Variables</t>
  </si>
  <si>
    <t>SMARTCORE 23/32"</t>
  </si>
  <si>
    <t>SMCR2332</t>
  </si>
  <si>
    <t>SM#2AD</t>
  </si>
  <si>
    <t>SM#1KD</t>
  </si>
  <si>
    <t>SMMIX</t>
  </si>
  <si>
    <t>AHC#2KD</t>
  </si>
  <si>
    <t>Southern Miss. #1 Kiln Dried</t>
  </si>
  <si>
    <t>Southern Miss #2 Air Dried</t>
  </si>
  <si>
    <t>Southern Miss Mixed HdWd</t>
  </si>
  <si>
    <t>AHC Hardwood #2 Kiln Dried</t>
  </si>
  <si>
    <t>MBF</t>
  </si>
  <si>
    <t>Per Sq Ft.</t>
  </si>
  <si>
    <t>Plywood Labor</t>
  </si>
  <si>
    <t>Hardwood Labor</t>
  </si>
  <si>
    <t>Hardwood Information Block</t>
  </si>
  <si>
    <t>Plywood Nesting Formula</t>
  </si>
  <si>
    <t>Spring Up Materials</t>
  </si>
  <si>
    <t>Hardwood Machines</t>
  </si>
  <si>
    <t>Name</t>
  </si>
  <si>
    <t>ChopSaw</t>
  </si>
  <si>
    <t>Rip Saw</t>
  </si>
  <si>
    <t>Bandsaw</t>
  </si>
  <si>
    <t>Upright Bore</t>
  </si>
  <si>
    <t>Carolina</t>
  </si>
  <si>
    <t>Richardson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</si>
  <si>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</si>
  <si>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</si>
  <si>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</si>
  <si>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</si>
  <si>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</si>
  <si>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</si>
  <si>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</si>
  <si>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</si>
  <si>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</si>
  <si>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Bores</t>
  </si>
  <si>
    <t>Setups</t>
  </si>
  <si>
    <t>Price</t>
  </si>
  <si>
    <t>New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</si>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</sst>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.00"/>
    <numFmt numFmtId="166" formatCode="0.0000"/>
    <numFmt numFmtId="167" formatCode="&quot;$&quot;#,##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56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19" applyNumberFormat="0" applyAlignment="0" applyProtection="0"/>
    <xf numFmtId="0" fontId="7" fillId="22" borderId="19" applyNumberFormat="0" applyAlignment="0" applyProtection="0"/>
    <xf numFmtId="0" fontId="8" fillId="23" borderId="20" applyNumberFormat="0" applyAlignment="0" applyProtection="0"/>
    <xf numFmtId="0" fontId="9" fillId="0" borderId="0">
      <alignment horizontal="left" vertical="center" indent="1"/>
    </xf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9" applyNumberFormat="0" applyAlignment="0" applyProtection="0"/>
    <xf numFmtId="0" fontId="16" fillId="9" borderId="19" applyNumberFormat="0" applyAlignment="0" applyProtection="0"/>
    <xf numFmtId="0" fontId="17" fillId="0" borderId="24" applyNumberFormat="0" applyFill="0" applyAlignment="0" applyProtection="0"/>
    <xf numFmtId="0" fontId="18" fillId="24" borderId="0" applyNumberFormat="0" applyBorder="0" applyAlignment="0" applyProtection="0"/>
    <xf numFmtId="0" fontId="10" fillId="0" borderId="0"/>
    <xf numFmtId="0" fontId="10" fillId="0" borderId="0"/>
    <xf numFmtId="0" fontId="10" fillId="25" borderId="25" applyNumberFormat="0" applyAlignment="0" applyProtection="0"/>
    <xf numFmtId="0" fontId="10" fillId="25" borderId="25" applyNumberFormat="0" applyAlignment="0" applyProtection="0"/>
    <xf numFmtId="0" fontId="19" fillId="22" borderId="26" applyNumberFormat="0" applyAlignment="0" applyProtection="0"/>
    <xf numFmtId="0" fontId="19" fillId="22" borderId="26" applyNumberFormat="0" applyAlignment="0" applyProtection="0"/>
    <xf numFmtId="0" fontId="20" fillId="0" borderId="0" applyNumberFormat="0" applyFill="0" applyBorder="0" applyAlignment="0" applyProtection="0"/>
    <xf numFmtId="0" fontId="21" fillId="0" borderId="27" applyNumberFormat="0" applyFill="0" applyAlignment="0" applyProtection="0"/>
    <xf numFmtId="0" fontId="21" fillId="0" borderId="27" applyNumberFormat="0" applyFill="0" applyAlignment="0" applyProtection="0"/>
    <xf numFmtId="0" fontId="22" fillId="0" borderId="0" applyNumberForma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165" fontId="0" fillId="0" borderId="0" xfId="0" applyNumberFormat="1"/>
    <xf numFmtId="0" fontId="0" fillId="26" borderId="0" xfId="0" applyFill="1"/>
    <xf numFmtId="166" fontId="0" fillId="0" borderId="0" xfId="0" applyNumberFormat="1"/>
    <xf numFmtId="0" fontId="23" fillId="27" borderId="0" xfId="0" applyFont="1" applyFill="1"/>
    <xf numFmtId="0" fontId="23" fillId="0" borderId="28" xfId="0" applyFont="1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/>
    </xf>
    <xf numFmtId="12" fontId="0" fillId="3" borderId="5" xfId="0" applyNumberFormat="1" applyFill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17" xfId="1" applyFont="1" applyFill="1" applyBorder="1" applyAlignment="1">
      <alignment horizontal="center"/>
    </xf>
    <xf numFmtId="0" fontId="0" fillId="0" borderId="16" xfId="1" applyNumberFormat="1" applyFont="1" applyFill="1" applyBorder="1" applyAlignment="1">
      <alignment horizontal="center"/>
    </xf>
    <xf numFmtId="44" fontId="0" fillId="0" borderId="16" xfId="1" applyFont="1" applyFill="1" applyBorder="1" applyAlignment="1">
      <alignment horizontal="center"/>
    </xf>
    <xf numFmtId="12" fontId="0" fillId="2" borderId="16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/>
    </xf>
    <xf numFmtId="44" fontId="0" fillId="0" borderId="32" xfId="1" applyFont="1" applyBorder="1" applyAlignment="1">
      <alignment horizontal="center"/>
    </xf>
    <xf numFmtId="44" fontId="0" fillId="0" borderId="31" xfId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12" fontId="0" fillId="2" borderId="12" xfId="0" applyNumberForma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16" xfId="0" applyBorder="1" applyAlignment="1">
      <alignment horizontal="center"/>
    </xf>
    <xf numFmtId="12" fontId="0" fillId="0" borderId="29" xfId="0" applyNumberFormat="1" applyBorder="1" applyAlignment="1">
      <alignment horizontal="center" vertical="center"/>
    </xf>
    <xf numFmtId="13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12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5" xfId="0" applyNumberFormat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4" fontId="0" fillId="0" borderId="0" xfId="1" applyFont="1"/>
    <xf numFmtId="0" fontId="0" fillId="0" borderId="11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12" fontId="0" fillId="0" borderId="11" xfId="0" applyNumberFormat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0" borderId="5" xfId="0" applyNumberFormat="1" applyBorder="1"/>
    <xf numFmtId="165" fontId="0" fillId="0" borderId="5" xfId="0" applyNumberFormat="1" applyBorder="1"/>
    <xf numFmtId="0" fontId="0" fillId="0" borderId="1" xfId="0" applyBorder="1"/>
    <xf numFmtId="0" fontId="0" fillId="0" borderId="12" xfId="0" applyBorder="1"/>
    <xf numFmtId="165" fontId="0" fillId="0" borderId="12" xfId="0" applyNumberFormat="1" applyBorder="1"/>
    <xf numFmtId="0" fontId="0" fillId="0" borderId="2" xfId="0" applyBorder="1"/>
    <xf numFmtId="0" fontId="0" fillId="0" borderId="3" xfId="0" applyBorder="1"/>
    <xf numFmtId="167" fontId="0" fillId="0" borderId="4" xfId="0" applyNumberFormat="1" applyBorder="1"/>
    <xf numFmtId="0" fontId="0" fillId="0" borderId="40" xfId="0" applyBorder="1"/>
    <xf numFmtId="0" fontId="0" fillId="0" borderId="41" xfId="0" applyBorder="1"/>
    <xf numFmtId="44" fontId="0" fillId="0" borderId="41" xfId="1" applyFont="1" applyBorder="1"/>
    <xf numFmtId="167" fontId="0" fillId="0" borderId="42" xfId="0" applyNumberFormat="1" applyBorder="1"/>
    <xf numFmtId="0" fontId="24" fillId="0" borderId="0" xfId="0" applyFont="1" applyAlignment="1">
      <alignment horizontal="center"/>
    </xf>
    <xf numFmtId="44" fontId="24" fillId="0" borderId="0" xfId="1" applyFont="1" applyFill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5" xfId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44" fontId="0" fillId="0" borderId="42" xfId="0" applyNumberForma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44" fontId="24" fillId="0" borderId="41" xfId="1" applyFont="1" applyFill="1" applyBorder="1" applyAlignment="1">
      <alignment horizontal="center"/>
    </xf>
    <xf numFmtId="44" fontId="0" fillId="0" borderId="3" xfId="1" applyFont="1" applyBorder="1" applyAlignment="1"/>
    <xf numFmtId="44" fontId="0" fillId="0" borderId="3" xfId="0" applyNumberForma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44" fontId="0" fillId="0" borderId="0" xfId="1" applyFont="1" applyBorder="1"/>
    <xf numFmtId="167" fontId="0" fillId="0" borderId="0" xfId="0" applyNumberFormat="1"/>
    <xf numFmtId="44" fontId="0" fillId="0" borderId="5" xfId="1" applyFont="1" applyBorder="1"/>
    <xf numFmtId="44" fontId="0" fillId="0" borderId="42" xfId="0" applyNumberFormat="1" applyBorder="1"/>
    <xf numFmtId="44" fontId="0" fillId="0" borderId="0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2" fontId="0" fillId="0" borderId="14" xfId="1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4" fontId="0" fillId="0" borderId="41" xfId="1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44" fontId="0" fillId="0" borderId="41" xfId="0" applyNumberFormat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3" borderId="42" xfId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/>
    <xf numFmtId="44" fontId="0" fillId="2" borderId="4" xfId="0" applyNumberFormat="1" applyFill="1" applyBorder="1" applyAlignment="1">
      <alignment horizontal="center"/>
    </xf>
    <xf numFmtId="2" fontId="0" fillId="0" borderId="29" xfId="1" applyNumberFormat="1" applyFont="1" applyBorder="1" applyAlignment="1">
      <alignment horizontal="center"/>
    </xf>
    <xf numFmtId="13" fontId="0" fillId="3" borderId="29" xfId="1" applyNumberFormat="1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29" xfId="0" applyBorder="1" applyAlignment="1">
      <alignment horizontal="center"/>
    </xf>
    <xf numFmtId="44" fontId="0" fillId="0" borderId="29" xfId="1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2" borderId="62" xfId="0" applyFill="1" applyBorder="1" applyAlignment="1">
      <alignment horizontal="center"/>
    </xf>
    <xf numFmtId="13" fontId="0" fillId="2" borderId="29" xfId="0" applyNumberFormat="1" applyFill="1" applyBorder="1" applyAlignment="1">
      <alignment horizontal="center"/>
    </xf>
    <xf numFmtId="12" fontId="1" fillId="3" borderId="29" xfId="1" applyNumberFormat="1" applyFon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44" fontId="0" fillId="0" borderId="29" xfId="0" applyNumberFormat="1" applyBorder="1" applyAlignment="1">
      <alignment horizontal="center"/>
    </xf>
    <xf numFmtId="44" fontId="0" fillId="2" borderId="29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2" fontId="1" fillId="0" borderId="29" xfId="1" applyNumberFormat="1" applyFont="1" applyBorder="1" applyAlignment="1">
      <alignment horizontal="center"/>
    </xf>
    <xf numFmtId="13" fontId="0" fillId="0" borderId="29" xfId="0" applyNumberFormat="1" applyBorder="1" applyAlignment="1">
      <alignment horizontal="center"/>
    </xf>
    <xf numFmtId="44" fontId="0" fillId="0" borderId="29" xfId="1" applyFont="1" applyFill="1" applyBorder="1" applyAlignment="1">
      <alignment horizontal="center"/>
    </xf>
    <xf numFmtId="44" fontId="0" fillId="0" borderId="42" xfId="1" applyFon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9" fillId="0" borderId="45" xfId="0" applyFont="1" applyBorder="1" applyAlignment="1">
      <alignment horizontal="center"/>
    </xf>
    <xf numFmtId="44" fontId="0" fillId="0" borderId="64" xfId="0" applyNumberFormat="1" applyBorder="1" applyAlignment="1">
      <alignment horizontal="center"/>
    </xf>
    <xf numFmtId="44" fontId="0" fillId="3" borderId="64" xfId="1" applyFont="1" applyFill="1" applyBorder="1" applyAlignment="1">
      <alignment horizontal="center"/>
    </xf>
    <xf numFmtId="0" fontId="24" fillId="0" borderId="65" xfId="0" applyFont="1" applyBorder="1" applyAlignment="1">
      <alignment horizontal="center"/>
    </xf>
    <xf numFmtId="44" fontId="27" fillId="0" borderId="0" xfId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4" xfId="2" applyNumberFormat="1" applyFont="1" applyBorder="1" applyAlignment="1">
      <alignment horizontal="center"/>
    </xf>
    <xf numFmtId="44" fontId="24" fillId="0" borderId="65" xfId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164" fontId="26" fillId="2" borderId="31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7" xfId="0" applyFont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3" xfId="0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27" fillId="0" borderId="44" xfId="1" applyFont="1" applyBorder="1" applyAlignment="1">
      <alignment horizontal="center"/>
    </xf>
    <xf numFmtId="44" fontId="27" fillId="0" borderId="45" xfId="1" applyFont="1" applyBorder="1" applyAlignment="1">
      <alignment horizontal="center"/>
    </xf>
    <xf numFmtId="44" fontId="27" fillId="0" borderId="46" xfId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164" fontId="26" fillId="0" borderId="31" xfId="1" applyNumberFormat="1" applyFont="1" applyBorder="1" applyAlignment="1">
      <alignment horizontal="center" vertical="center"/>
    </xf>
    <xf numFmtId="164" fontId="26" fillId="0" borderId="34" xfId="1" applyNumberFormat="1" applyFont="1" applyBorder="1" applyAlignment="1">
      <alignment horizontal="center" vertical="center"/>
    </xf>
    <xf numFmtId="164" fontId="26" fillId="0" borderId="39" xfId="1" applyNumberFormat="1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24" fillId="0" borderId="41" xfId="1" applyNumberFormat="1" applyFont="1" applyFill="1" applyBorder="1" applyAlignment="1">
      <alignment horizontal="center"/>
    </xf>
  </cellXfs>
  <cellStyles count="5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alculation 2 2" xfId="29" xr:uid="{00000000-0005-0000-0000-00001A000000}"/>
    <cellStyle name="Check Cell 2" xfId="30" xr:uid="{00000000-0005-0000-0000-00001B000000}"/>
    <cellStyle name="ContentsHyperlink" xfId="31" xr:uid="{00000000-0005-0000-0000-00001C000000}"/>
    <cellStyle name="Currency" xfId="1" builtinId="4"/>
    <cellStyle name="Currency 2" xfId="32" xr:uid="{00000000-0005-0000-0000-00001E000000}"/>
    <cellStyle name="Currency 3" xfId="33" xr:uid="{00000000-0005-0000-0000-00001F000000}"/>
    <cellStyle name="Currency 4" xfId="34" xr:uid="{00000000-0005-0000-0000-000020000000}"/>
    <cellStyle name="Excel Built-in Normal" xfId="35" xr:uid="{00000000-0005-0000-0000-000021000000}"/>
    <cellStyle name="Explanatory Text 2" xfId="36" xr:uid="{00000000-0005-0000-0000-000022000000}"/>
    <cellStyle name="Good 2" xfId="37" xr:uid="{00000000-0005-0000-0000-000023000000}"/>
    <cellStyle name="Heading 1 2" xfId="38" xr:uid="{00000000-0005-0000-0000-000024000000}"/>
    <cellStyle name="Heading 2 2" xfId="39" xr:uid="{00000000-0005-0000-0000-000025000000}"/>
    <cellStyle name="Heading 3 2" xfId="40" xr:uid="{00000000-0005-0000-0000-000026000000}"/>
    <cellStyle name="Heading 4 2" xfId="41" xr:uid="{00000000-0005-0000-0000-000027000000}"/>
    <cellStyle name="Input 2" xfId="42" xr:uid="{00000000-0005-0000-0000-000028000000}"/>
    <cellStyle name="Input 2 2" xfId="43" xr:uid="{00000000-0005-0000-0000-000029000000}"/>
    <cellStyle name="Linked Cell 2" xfId="44" xr:uid="{00000000-0005-0000-0000-00002A000000}"/>
    <cellStyle name="Neutral 2" xfId="45" xr:uid="{00000000-0005-0000-0000-00002B000000}"/>
    <cellStyle name="Normal" xfId="0" builtinId="0"/>
    <cellStyle name="Normal 2" xfId="46" xr:uid="{00000000-0005-0000-0000-00002D000000}"/>
    <cellStyle name="Normal 3" xfId="47" xr:uid="{00000000-0005-0000-0000-00002E000000}"/>
    <cellStyle name="Note 2" xfId="48" xr:uid="{00000000-0005-0000-0000-00002F000000}"/>
    <cellStyle name="Note 2 2" xfId="49" xr:uid="{00000000-0005-0000-0000-000030000000}"/>
    <cellStyle name="Output 2" xfId="50" xr:uid="{00000000-0005-0000-0000-000031000000}"/>
    <cellStyle name="Output 2 2" xfId="51" xr:uid="{00000000-0005-0000-0000-000032000000}"/>
    <cellStyle name="Percent" xfId="2" builtinId="5"/>
    <cellStyle name="Title 2" xfId="52" xr:uid="{00000000-0005-0000-0000-000034000000}"/>
    <cellStyle name="Total 2" xfId="53" xr:uid="{00000000-0005-0000-0000-000035000000}"/>
    <cellStyle name="Total 2 2" xfId="54" xr:uid="{00000000-0005-0000-0000-000036000000}"/>
    <cellStyle name="Warning Text 2" xfId="55" xr:uid="{00000000-0005-0000-0000-000037000000}"/>
  </cellStyles>
  <dxfs count="16">
    <dxf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8" formatCode="#\ ??/??"/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8" formatCode="#\ ??/??"/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34" formatCode="_(&quot;$&quot;* #,##0.00_);_(&quot;$&quot;* \(#,##0.00\);_(&quot;$&quot;* &quot;-&quot;??_);_(@_)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" formatCode="#\ ??/??"/>
      <fill>
        <patternFill patternType="solid">
          <fgColor indexed="64"/>
          <bgColor rgb="FFFFC0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8" formatCode="#\ ??/??"/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2:V37" totalsRowShown="0" headerRowDxfId="15" dataDxfId="13" headerRowBorderDxfId="14">
  <autoFilter ref="J12:V37" xr:uid="{00000000-0009-0000-0100-000001000000}"/>
  <tableColumns count="13">
    <tableColumn id="1" xr3:uid="{00000000-0010-0000-0000-000001000000}" name="Qty" dataDxfId="12"/>
    <tableColumn id="2" xr3:uid="{00000000-0010-0000-0000-000002000000}" name="Part Name" dataDxfId="11"/>
    <tableColumn id="3" xr3:uid="{00000000-0010-0000-0000-000003000000}" name="Length" dataDxfId="10"/>
    <tableColumn id="4" xr3:uid="{00000000-0010-0000-0000-000004000000}" name="Width" dataDxfId="9" dataCellStyle="Currency"/>
    <tableColumn id="5" xr3:uid="{00000000-0010-0000-0000-000005000000}" name="Footage" dataDxfId="8" dataCellStyle="Currency">
      <calculatedColumnFormula>('Cost Sheet'!$L13*'Cost Sheet'!$M13)/144</calculatedColumnFormula>
    </tableColumn>
    <tableColumn id="6" xr3:uid="{00000000-0010-0000-0000-000006000000}" name="With Waste" dataDxfId="7">
      <calculatedColumnFormula>'Cost Sheet'!$N13*1.6</calculatedColumnFormula>
    </tableColumn>
    <tableColumn id="12" xr3:uid="{00000000-0010-0000-0000-00000C000000}" name="Total" dataDxfId="6">
      <calculatedColumnFormula>'Cost Sheet'!$O13*'Cost Sheet'!$J13</calculatedColumnFormula>
    </tableColumn>
    <tableColumn id="13" xr3:uid="{00000000-0010-0000-0000-00000D000000}" name="Cost" dataDxfId="5">
      <calculatedColumnFormula>'Cost Sheet'!$P13*$M$10</calculatedColumnFormula>
    </tableColumn>
    <tableColumn id="7" xr3:uid="{00000000-0010-0000-0000-000007000000}" name="First Clip" dataDxfId="4"/>
    <tableColumn id="8" xr3:uid="{00000000-0010-0000-0000-000008000000}" name="Remain Clips" dataDxfId="3"/>
    <tableColumn id="9" xr3:uid="{00000000-0010-0000-0000-000009000000}" name="Edge/Face" dataDxfId="2"/>
    <tableColumn id="10" xr3:uid="{00000000-0010-0000-0000-00000A000000}" name="Bandsaw?" dataDxfId="1"/>
    <tableColumn id="11" xr3:uid="{00000000-0010-0000-0000-00000B000000}" name="Qty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70" totalsRowShown="0">
  <autoFilter ref="A1:G70" xr:uid="{00000000-0009-0000-0100-000002000000}"/>
  <sortState xmlns:xlrd2="http://schemas.microsoft.com/office/spreadsheetml/2017/richdata2" ref="A2:E71">
    <sortCondition ref="A1:A71"/>
  </sortState>
  <tableColumns count="7">
    <tableColumn id="1" xr3:uid="{00000000-0010-0000-0100-000001000000}" name="Item Number"/>
    <tableColumn id="2" xr3:uid="{00000000-0010-0000-0100-000002000000}" name="Item Description"/>
    <tableColumn id="3" xr3:uid="{00000000-0010-0000-0100-000003000000}" name="Vendor"/>
    <tableColumn id="4" xr3:uid="{00000000-0010-0000-0100-000004000000}" name="Unit Value"/>
    <tableColumn id="5" xr3:uid="{00000000-0010-0000-0100-000005000000}" name="Unit"/>
    <tableColumn id="6" xr3:uid="{00000000-0010-0000-0100-000006000000}" name="Inventory Unit"/>
    <tableColumn id="7" xr3:uid="{00000000-0010-0000-0100-000007000000}" name="I.U.C.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="80" zoomScaleNormal="80" workbookViewId="0">
      <selection activeCell="H25" sqref="H25"/>
    </sheetView>
  </sheetViews>
  <sheetFormatPr defaultColWidth="17.5703125" defaultRowHeight="15" x14ac:dyDescent="0.25"/>
  <cols>
    <col min="1" max="1" width="22" style="1" bestFit="1" customWidth="1"/>
    <col min="2" max="2" width="19.42578125" style="1" bestFit="1" customWidth="1"/>
    <col min="3" max="3" width="12.7109375" style="1" bestFit="1" customWidth="1"/>
    <col min="4" max="4" width="17.85546875" style="2" bestFit="1" customWidth="1"/>
    <col min="5" max="5" width="29.28515625" style="2" bestFit="1" customWidth="1"/>
    <col min="6" max="6" width="13" style="1" bestFit="1" customWidth="1"/>
    <col min="7" max="8" width="8.5703125" style="1" customWidth="1"/>
    <col min="9" max="9" width="9.85546875" style="1" bestFit="1" customWidth="1"/>
    <col min="10" max="10" width="13.42578125" style="1" bestFit="1" customWidth="1"/>
    <col min="11" max="11" width="16.42578125" style="1" bestFit="1" customWidth="1"/>
    <col min="12" max="12" width="12.85546875" style="1" bestFit="1" customWidth="1"/>
    <col min="13" max="13" width="13.7109375" style="1" bestFit="1" customWidth="1"/>
    <col min="14" max="14" width="15.5703125" style="1" bestFit="1" customWidth="1"/>
    <col min="15" max="15" width="17.42578125" style="1" bestFit="1" customWidth="1"/>
    <col min="16" max="16" width="11.42578125" style="1" bestFit="1" customWidth="1"/>
    <col min="17" max="17" width="13.42578125" style="1" bestFit="1" customWidth="1"/>
    <col min="18" max="18" width="14.5703125" style="1" bestFit="1" customWidth="1"/>
    <col min="19" max="19" width="18.42578125" style="1" bestFit="1" customWidth="1"/>
    <col min="20" max="20" width="16.28515625" style="1" bestFit="1" customWidth="1"/>
    <col min="21" max="21" width="16" style="1" bestFit="1" customWidth="1"/>
    <col min="22" max="23" width="11.28515625" style="1" bestFit="1" customWidth="1"/>
    <col min="24" max="16384" width="17.5703125" style="1"/>
  </cols>
  <sheetData>
    <row r="1" spans="1:22" ht="23.25" x14ac:dyDescent="0.35">
      <c r="A1" s="152" t="s">
        <v>235</v>
      </c>
      <c r="B1" s="154"/>
      <c r="C1" s="170" t="s">
        <v>236</v>
      </c>
      <c r="D1" s="171"/>
      <c r="E1" s="171"/>
      <c r="F1" s="172"/>
      <c r="G1" s="141"/>
      <c r="H1" s="141"/>
      <c r="I1" s="152" t="s">
        <v>229</v>
      </c>
      <c r="J1" s="153"/>
      <c r="K1" s="154"/>
      <c r="M1" s="152" t="s">
        <v>255</v>
      </c>
      <c r="N1" s="153"/>
      <c r="O1" s="153"/>
      <c r="P1" s="153"/>
      <c r="Q1" s="153"/>
      <c r="R1" s="153"/>
      <c r="S1" s="153"/>
      <c r="T1" s="153"/>
      <c r="U1" s="153"/>
      <c r="V1" s="154"/>
    </row>
    <row r="2" spans="1:22" x14ac:dyDescent="0.25">
      <c r="A2" s="47" t="s">
        <v>0</v>
      </c>
      <c r="B2" s="70"/>
      <c r="C2" s="47" t="s">
        <v>7</v>
      </c>
      <c r="D2" s="91">
        <f>IF(B6="Fairmont",0.62,0.75)</f>
        <v>0.75</v>
      </c>
      <c r="E2" s="91">
        <v>1.35</v>
      </c>
      <c r="F2" s="96">
        <v>1.78</v>
      </c>
      <c r="G2" s="150">
        <v>1.05</v>
      </c>
      <c r="H2" s="150">
        <v>1.1000000000000001</v>
      </c>
      <c r="I2" s="41" t="s">
        <v>9</v>
      </c>
      <c r="J2" s="50" t="s">
        <v>10</v>
      </c>
      <c r="K2" s="48" t="s">
        <v>14</v>
      </c>
      <c r="M2" s="124" t="s">
        <v>256</v>
      </c>
      <c r="N2" s="125" t="s">
        <v>257</v>
      </c>
      <c r="O2" s="125" t="s">
        <v>258</v>
      </c>
      <c r="P2" s="125" t="s">
        <v>259</v>
      </c>
      <c r="Q2" s="125" t="s">
        <v>260</v>
      </c>
      <c r="R2" s="125" t="s">
        <v>261</v>
      </c>
      <c r="S2" s="125" t="s">
        <v>262</v>
      </c>
      <c r="T2" s="125"/>
      <c r="U2" s="125"/>
      <c r="V2" s="127" t="s">
        <v>27</v>
      </c>
    </row>
    <row r="3" spans="1:22" x14ac:dyDescent="0.25">
      <c r="A3" s="47" t="s">
        <v>1</v>
      </c>
      <c r="B3" s="70"/>
      <c r="C3" s="47" t="s">
        <v>8</v>
      </c>
      <c r="D3" s="54">
        <f>B8*D2</f>
        <v>0</v>
      </c>
      <c r="E3" s="54">
        <f>B8*E2</f>
        <v>0</v>
      </c>
      <c r="F3" s="61">
        <f>B8*F2</f>
        <v>0</v>
      </c>
      <c r="G3" s="142"/>
      <c r="H3" s="142"/>
      <c r="I3" s="99">
        <f>D4-D3</f>
        <v>0</v>
      </c>
      <c r="J3" s="54">
        <f>$F$30</f>
        <v>0</v>
      </c>
      <c r="K3" s="61">
        <f>$F$39</f>
        <v>0</v>
      </c>
      <c r="M3" s="124" t="s">
        <v>263</v>
      </c>
      <c r="N3" s="125" t="s">
        <v>264</v>
      </c>
      <c r="O3" s="125" t="s">
        <v>265</v>
      </c>
      <c r="P3" s="125" t="s">
        <v>266</v>
      </c>
      <c r="Q3" s="125" t="s">
        <v>267</v>
      </c>
      <c r="R3" s="125" t="s">
        <v>268</v>
      </c>
      <c r="S3" s="125" t="s">
        <v>269</v>
      </c>
      <c r="T3" s="125" t="s">
        <v>270</v>
      </c>
      <c r="U3" s="125" t="s">
        <v>271</v>
      </c>
      <c r="V3" s="127"/>
    </row>
    <row r="4" spans="1:22" x14ac:dyDescent="0.25">
      <c r="A4" s="47" t="s">
        <v>2</v>
      </c>
      <c r="B4" s="56"/>
      <c r="C4" s="47" t="s">
        <v>17</v>
      </c>
      <c r="D4" s="54">
        <f>SUM(D3,B7:B8)</f>
        <v>0</v>
      </c>
      <c r="E4" s="54">
        <f>SUM(E3,B7:B8)</f>
        <v>0</v>
      </c>
      <c r="F4" s="61">
        <f>SUM(F3,B7:B8)</f>
        <v>0</v>
      </c>
      <c r="G4" s="142"/>
      <c r="H4" s="142"/>
      <c r="I4" s="47" t="s">
        <v>11</v>
      </c>
      <c r="J4" s="50" t="s">
        <v>12</v>
      </c>
      <c r="K4" s="48" t="s">
        <v>13</v>
      </c>
      <c r="M4" s="124" t="s">
        <v>272</v>
      </c>
      <c r="N4" s="125"/>
      <c r="O4" s="125"/>
      <c r="P4" s="125"/>
      <c r="Q4" s="125"/>
      <c r="R4" s="125"/>
      <c r="S4" s="125"/>
      <c r="T4" s="125"/>
      <c r="U4" s="125"/>
      <c r="V4" s="127"/>
    </row>
    <row r="5" spans="1:22" x14ac:dyDescent="0.25">
      <c r="A5" s="47" t="s">
        <v>3</v>
      </c>
      <c r="B5" s="56" t="s">
        <v>276</v>
      </c>
      <c r="C5" s="47" t="s">
        <v>18</v>
      </c>
      <c r="D5" s="93">
        <f>IF(B6="Fairmont",D4*0.06,IF(B6="Sutter Street",D4*0.06,D4*0.08))</f>
        <v>0</v>
      </c>
      <c r="E5" s="93">
        <f>IF(B6="Fairmont",E4*0.06,IF(B6="Sutter Street",E4*0.06,E4*0.08))</f>
        <v>0</v>
      </c>
      <c r="F5" s="68">
        <f>IF(B6="Fairmont",F4*0.06,IF(B6="Sutter Street",F4*0.06,F4*0.08))</f>
        <v>0</v>
      </c>
      <c r="G5" s="143"/>
      <c r="H5" s="143"/>
      <c r="I5" s="100">
        <f>$C$12</f>
        <v>0</v>
      </c>
      <c r="J5" s="54">
        <f>$C$13</f>
        <v>0</v>
      </c>
      <c r="K5" s="61">
        <f>$C$14</f>
        <v>0</v>
      </c>
      <c r="M5" s="124" t="s">
        <v>273</v>
      </c>
      <c r="N5" s="125"/>
      <c r="O5" s="125"/>
      <c r="P5" s="125"/>
      <c r="Q5" s="125"/>
      <c r="R5" s="125"/>
      <c r="S5" s="125"/>
      <c r="T5" s="125"/>
      <c r="U5" s="125"/>
      <c r="V5" s="127"/>
    </row>
    <row r="6" spans="1:22" x14ac:dyDescent="0.25">
      <c r="A6" s="47" t="s">
        <v>4</v>
      </c>
      <c r="B6" s="56" t="s">
        <v>275</v>
      </c>
      <c r="C6" s="47" t="s">
        <v>19</v>
      </c>
      <c r="D6" s="54">
        <f>SUM(D4:D5)</f>
        <v>0</v>
      </c>
      <c r="E6" s="54">
        <f>SUM(E4:E5)</f>
        <v>0</v>
      </c>
      <c r="F6" s="61">
        <f>SUM(F4:F5)</f>
        <v>0</v>
      </c>
      <c r="G6" s="142" t="e">
        <f>G2*F38</f>
        <v>#VALUE!</v>
      </c>
      <c r="H6" s="142" t="e">
        <f>H2*F38</f>
        <v>#VALUE!</v>
      </c>
      <c r="I6" s="41"/>
      <c r="J6" s="50" t="s">
        <v>15</v>
      </c>
      <c r="K6" s="48" t="s">
        <v>16</v>
      </c>
      <c r="M6" s="124" t="s">
        <v>274</v>
      </c>
      <c r="N6" s="125"/>
      <c r="O6" s="125"/>
      <c r="P6" s="125"/>
      <c r="Q6" s="126">
        <v>0.216666</v>
      </c>
      <c r="R6" s="138">
        <v>0.216666</v>
      </c>
      <c r="S6" s="125"/>
      <c r="T6" s="125"/>
      <c r="U6" s="125"/>
      <c r="V6" s="127"/>
    </row>
    <row r="7" spans="1:22" ht="15.75" thickBot="1" x14ac:dyDescent="0.3">
      <c r="A7" s="47" t="s">
        <v>5</v>
      </c>
      <c r="B7" s="61">
        <f>F30+F39+Q38</f>
        <v>0</v>
      </c>
      <c r="C7" s="36" t="s">
        <v>21</v>
      </c>
      <c r="D7" s="71">
        <f>MROUND(D6,0.25)</f>
        <v>0</v>
      </c>
      <c r="E7" s="71">
        <f>MROUND(E6,0.25)</f>
        <v>0</v>
      </c>
      <c r="F7" s="121">
        <f>MROUND(F6,0.25)</f>
        <v>0</v>
      </c>
      <c r="G7" s="121" t="e">
        <f>MROUND(G6,0.25)</f>
        <v>#VALUE!</v>
      </c>
      <c r="H7" s="121" t="e">
        <f>MROUND(H6,0.25)</f>
        <v>#VALUE!</v>
      </c>
      <c r="I7" s="41"/>
      <c r="J7" s="54">
        <f>$Q$38</f>
        <v>0</v>
      </c>
      <c r="K7" s="61">
        <f>SUM($F$20)</f>
        <v>0</v>
      </c>
      <c r="M7" s="94" t="s">
        <v>27</v>
      </c>
      <c r="N7" s="111"/>
      <c r="O7" s="111"/>
      <c r="P7" s="111"/>
      <c r="Q7" s="115">
        <f>(((Q5*15)*Q6)/100)+Q6*Q4</f>
        <v>0</v>
      </c>
      <c r="R7" s="115">
        <f>(((R5*15)*R6)/100)+R6*R4</f>
        <v>0</v>
      </c>
      <c r="S7" s="111"/>
      <c r="T7" s="111"/>
      <c r="U7" s="111"/>
      <c r="V7" s="139">
        <f>SUM(N7:U7)</f>
        <v>0</v>
      </c>
    </row>
    <row r="8" spans="1:22" ht="15.75" thickBot="1" x14ac:dyDescent="0.3">
      <c r="A8" s="94" t="s">
        <v>6</v>
      </c>
      <c r="B8" s="95">
        <f>B15</f>
        <v>0</v>
      </c>
      <c r="C8" s="97"/>
      <c r="D8" s="201" t="e">
        <f>D6/F38</f>
        <v>#VALUE!</v>
      </c>
      <c r="E8" s="98" t="e">
        <f>E6/F38</f>
        <v>#VALUE!</v>
      </c>
      <c r="F8" s="98" t="e">
        <f>F6/F38</f>
        <v>#VALUE!</v>
      </c>
      <c r="G8" s="151"/>
      <c r="H8" s="144"/>
      <c r="I8" s="97"/>
      <c r="J8" s="101"/>
      <c r="K8" s="102"/>
    </row>
    <row r="9" spans="1:22" ht="15.75" thickBot="1" x14ac:dyDescent="0.3">
      <c r="C9" s="87"/>
      <c r="D9" s="88"/>
      <c r="E9" s="88"/>
      <c r="F9" s="87"/>
      <c r="G9" s="87"/>
      <c r="H9" s="87"/>
      <c r="I9" s="87"/>
      <c r="J9" s="87"/>
    </row>
    <row r="10" spans="1:22" ht="23.25" customHeight="1" x14ac:dyDescent="0.4">
      <c r="A10" s="173" t="s">
        <v>40</v>
      </c>
      <c r="B10" s="174"/>
      <c r="C10"/>
      <c r="D10" s="175" t="s">
        <v>237</v>
      </c>
      <c r="E10" s="176"/>
      <c r="F10" s="177"/>
      <c r="G10" s="145"/>
      <c r="H10" s="145"/>
      <c r="J10" s="178" t="str">
        <f>D12</f>
        <v>SM#1KD</v>
      </c>
      <c r="K10" s="180" t="str">
        <f>E12</f>
        <v>Southern Miss. #1 Kiln Dried</v>
      </c>
      <c r="L10" s="181"/>
      <c r="M10" s="155">
        <f>F12</f>
        <v>0.8</v>
      </c>
      <c r="N10" s="157" t="s">
        <v>249</v>
      </c>
      <c r="O10" s="159" t="s">
        <v>252</v>
      </c>
      <c r="P10" s="160"/>
      <c r="Q10" s="160"/>
      <c r="R10" s="160"/>
      <c r="S10" s="160"/>
      <c r="T10" s="160"/>
      <c r="U10" s="160"/>
      <c r="V10" s="161"/>
    </row>
    <row r="11" spans="1:22" ht="23.25" customHeight="1" x14ac:dyDescent="0.25">
      <c r="A11" s="47"/>
      <c r="B11" s="48" t="s">
        <v>41</v>
      </c>
      <c r="D11" s="37" t="s">
        <v>239</v>
      </c>
      <c r="E11" s="50" t="str">
        <f>IF(ISNA(VLOOKUP(D11,'Material Info'!A:D,2,FALSE)),"",VLOOKUP(D11,'Material Info'!A:D,2,FALSE))</f>
        <v>SMARTCORE 23/32"</v>
      </c>
      <c r="F11" s="112">
        <f>IF(ISNA(VLOOKUP(D11,'Material Info'!A:D,4,FALSE)),"",VLOOKUP(D11,'Material Info'!A:D,4,FALSE))</f>
        <v>1.1875</v>
      </c>
      <c r="G11" s="146"/>
      <c r="H11" s="146"/>
      <c r="J11" s="179"/>
      <c r="K11" s="182"/>
      <c r="L11" s="183"/>
      <c r="M11" s="156"/>
      <c r="N11" s="158"/>
      <c r="O11" s="162"/>
      <c r="P11" s="163"/>
      <c r="Q11" s="163"/>
      <c r="R11" s="163"/>
      <c r="S11" s="163"/>
      <c r="T11" s="163"/>
      <c r="U11" s="163"/>
      <c r="V11" s="164"/>
    </row>
    <row r="12" spans="1:22" x14ac:dyDescent="0.25">
      <c r="A12" s="47" t="s">
        <v>42</v>
      </c>
      <c r="B12" s="116"/>
      <c r="C12" s="89"/>
      <c r="D12" s="37" t="s">
        <v>241</v>
      </c>
      <c r="E12" s="50" t="str">
        <f>IF(ISNA(VLOOKUP(D12,'Material Info'!A:D,2,FALSE)),"",VLOOKUP(D12,'Material Info'!A:D,2,FALSE))</f>
        <v>Southern Miss. #1 Kiln Dried</v>
      </c>
      <c r="F12" s="112">
        <f>IF(ISNA(VLOOKUP(D12,'Material Info'!A:D,4,FALSE)),"",VLOOKUP(D12,'Material Info'!A:D,4,FALSE))</f>
        <v>0.8</v>
      </c>
      <c r="G12" s="146"/>
      <c r="H12" s="146"/>
      <c r="J12" s="124" t="s">
        <v>24</v>
      </c>
      <c r="K12" s="125" t="s">
        <v>23</v>
      </c>
      <c r="L12" s="125" t="s">
        <v>52</v>
      </c>
      <c r="M12" s="126" t="s">
        <v>53</v>
      </c>
      <c r="N12" s="126" t="s">
        <v>50</v>
      </c>
      <c r="O12" s="125" t="s">
        <v>54</v>
      </c>
      <c r="P12" s="125" t="s">
        <v>27</v>
      </c>
      <c r="Q12" s="125" t="s">
        <v>55</v>
      </c>
      <c r="R12" s="125" t="s">
        <v>56</v>
      </c>
      <c r="S12" s="125" t="s">
        <v>57</v>
      </c>
      <c r="T12" s="125" t="s">
        <v>58</v>
      </c>
      <c r="U12" s="125" t="s">
        <v>59</v>
      </c>
      <c r="V12" s="127" t="s">
        <v>228</v>
      </c>
    </row>
    <row r="13" spans="1:22" ht="15" customHeight="1" x14ac:dyDescent="0.25">
      <c r="A13" s="47" t="s">
        <v>43</v>
      </c>
      <c r="B13" s="116"/>
      <c r="C13" s="89"/>
      <c r="D13" s="168" t="s">
        <v>250</v>
      </c>
      <c r="E13" s="169"/>
      <c r="F13" s="68">
        <v>0.09</v>
      </c>
      <c r="G13" s="147"/>
      <c r="H13" s="147"/>
      <c r="J13" s="128"/>
      <c r="K13" s="125"/>
      <c r="L13" s="129"/>
      <c r="M13" s="130">
        <v>1.375</v>
      </c>
      <c r="N13" s="122">
        <f>('Cost Sheet'!$L13*'Cost Sheet'!$M13)/144</f>
        <v>0</v>
      </c>
      <c r="O13" s="131">
        <f>'Cost Sheet'!$N13*1.6</f>
        <v>0</v>
      </c>
      <c r="P13" s="131">
        <f>'Cost Sheet'!$O13*'Cost Sheet'!$J13</f>
        <v>0</v>
      </c>
      <c r="Q13" s="132">
        <f>'Cost Sheet'!$P13*$M$10</f>
        <v>0</v>
      </c>
      <c r="R13" s="129"/>
      <c r="S13" s="129"/>
      <c r="T13" s="133"/>
      <c r="U13" s="134"/>
      <c r="V13" s="135"/>
    </row>
    <row r="14" spans="1:22" ht="15.75" customHeight="1" thickBot="1" x14ac:dyDescent="0.3">
      <c r="A14" s="94" t="s">
        <v>47</v>
      </c>
      <c r="B14" s="64">
        <f>IF(F38="",(P38*F14)+V7,IF(P38=0,(F38*F13)+V7,(F38*F13)+V7+(P38*F14)))</f>
        <v>0</v>
      </c>
      <c r="C14" s="89"/>
      <c r="D14" s="195" t="s">
        <v>251</v>
      </c>
      <c r="E14" s="196"/>
      <c r="F14" s="117">
        <v>0.27</v>
      </c>
      <c r="G14" s="147"/>
      <c r="H14" s="147"/>
      <c r="J14" s="128"/>
      <c r="K14" s="134"/>
      <c r="L14" s="129"/>
      <c r="M14" s="130">
        <v>2.375</v>
      </c>
      <c r="N14" s="122">
        <f>('Cost Sheet'!$L14*'Cost Sheet'!$M14)/144</f>
        <v>0</v>
      </c>
      <c r="O14" s="131">
        <f>'Cost Sheet'!$N14*1.6</f>
        <v>0</v>
      </c>
      <c r="P14" s="131">
        <f>'Cost Sheet'!$O14*'Cost Sheet'!$J14</f>
        <v>0</v>
      </c>
      <c r="Q14" s="132">
        <f>'Cost Sheet'!$P14*$M$10</f>
        <v>0</v>
      </c>
      <c r="R14" s="129"/>
      <c r="S14" s="129"/>
      <c r="T14" s="133"/>
      <c r="U14" s="134"/>
      <c r="V14" s="135"/>
    </row>
    <row r="15" spans="1:22" ht="15.75" thickBot="1" x14ac:dyDescent="0.3">
      <c r="A15" s="4" t="s">
        <v>48</v>
      </c>
      <c r="B15" s="3">
        <f>IF(B5="KD",SUM(B14),SUM(B12:B14))</f>
        <v>0</v>
      </c>
      <c r="D15" s="140"/>
      <c r="E15" s="140"/>
      <c r="J15" s="128"/>
      <c r="K15" s="134"/>
      <c r="L15" s="129"/>
      <c r="M15" s="130">
        <v>3</v>
      </c>
      <c r="N15" s="122">
        <f>('Cost Sheet'!$L15*'Cost Sheet'!$M15)/144</f>
        <v>0</v>
      </c>
      <c r="O15" s="131">
        <f>'Cost Sheet'!$N15*1.6</f>
        <v>0</v>
      </c>
      <c r="P15" s="131">
        <f>'Cost Sheet'!$O15*'Cost Sheet'!$J15</f>
        <v>0</v>
      </c>
      <c r="Q15" s="132">
        <f>'Cost Sheet'!$P15*$M$10</f>
        <v>0</v>
      </c>
      <c r="R15" s="129"/>
      <c r="S15" s="129"/>
      <c r="T15" s="133"/>
      <c r="U15" s="134"/>
      <c r="V15" s="135"/>
    </row>
    <row r="16" spans="1:22" ht="15.75" thickBot="1" x14ac:dyDescent="0.3">
      <c r="D16" s="1"/>
      <c r="E16" s="1"/>
      <c r="J16" s="128"/>
      <c r="K16" s="134"/>
      <c r="L16" s="129"/>
      <c r="M16" s="130">
        <v>5.5</v>
      </c>
      <c r="N16" s="122">
        <f>('Cost Sheet'!$L16*'Cost Sheet'!$M16)/144</f>
        <v>0</v>
      </c>
      <c r="O16" s="131">
        <f>'Cost Sheet'!$N16*1.6</f>
        <v>0</v>
      </c>
      <c r="P16" s="131">
        <f>'Cost Sheet'!$O16*'Cost Sheet'!$J16</f>
        <v>0</v>
      </c>
      <c r="Q16" s="132">
        <f>'Cost Sheet'!$P16*$M$10</f>
        <v>0</v>
      </c>
      <c r="R16" s="129"/>
      <c r="S16" s="129"/>
      <c r="T16" s="133"/>
      <c r="U16" s="134"/>
      <c r="V16" s="135"/>
    </row>
    <row r="17" spans="1:22" ht="15.75" thickBot="1" x14ac:dyDescent="0.3">
      <c r="A17" s="197" t="s">
        <v>254</v>
      </c>
      <c r="B17" s="198"/>
      <c r="C17" s="198"/>
      <c r="D17" s="198"/>
      <c r="E17" s="198"/>
      <c r="F17" s="199"/>
      <c r="J17" s="128"/>
      <c r="K17" s="134"/>
      <c r="L17" s="129"/>
      <c r="M17" s="130">
        <v>2.375</v>
      </c>
      <c r="N17" s="122">
        <f>('Cost Sheet'!$L17*'Cost Sheet'!$M17)/144</f>
        <v>0</v>
      </c>
      <c r="O17" s="131">
        <f>'Cost Sheet'!$N17*1.6</f>
        <v>0</v>
      </c>
      <c r="P17" s="131">
        <f>'Cost Sheet'!$O17*'Cost Sheet'!$J17</f>
        <v>0</v>
      </c>
      <c r="Q17" s="132">
        <f>'Cost Sheet'!$P17*$M$10</f>
        <v>0</v>
      </c>
      <c r="R17" s="129"/>
      <c r="S17" s="129"/>
      <c r="T17" s="133"/>
      <c r="U17" s="134"/>
      <c r="V17" s="135"/>
    </row>
    <row r="18" spans="1:22" ht="15.75" thickBot="1" x14ac:dyDescent="0.3">
      <c r="A18" s="27" t="s">
        <v>22</v>
      </c>
      <c r="B18" s="26" t="s">
        <v>23</v>
      </c>
      <c r="C18" s="26" t="s">
        <v>24</v>
      </c>
      <c r="D18" s="25" t="s">
        <v>25</v>
      </c>
      <c r="E18" s="25" t="s">
        <v>26</v>
      </c>
      <c r="F18" s="24" t="s">
        <v>27</v>
      </c>
      <c r="G18" s="107"/>
      <c r="H18" s="107"/>
      <c r="I18" s="89"/>
      <c r="J18" s="128"/>
      <c r="K18" s="134"/>
      <c r="L18" s="129"/>
      <c r="M18" s="130">
        <v>2.375</v>
      </c>
      <c r="N18" s="122">
        <f>('Cost Sheet'!$L18*'Cost Sheet'!$M18)/144</f>
        <v>0</v>
      </c>
      <c r="O18" s="131">
        <f>'Cost Sheet'!$N18*1.6</f>
        <v>0</v>
      </c>
      <c r="P18" s="131">
        <f>'Cost Sheet'!$O18*'Cost Sheet'!$J18</f>
        <v>0</v>
      </c>
      <c r="Q18" s="132">
        <f>'Cost Sheet'!$P18*$M$10</f>
        <v>0</v>
      </c>
      <c r="R18" s="129"/>
      <c r="S18" s="129"/>
      <c r="T18" s="133"/>
      <c r="U18" s="134"/>
      <c r="V18" s="135"/>
    </row>
    <row r="19" spans="1:22" x14ac:dyDescent="0.25">
      <c r="A19" s="46" t="s">
        <v>35</v>
      </c>
      <c r="B19" s="52" t="str">
        <f>IF(ISNA(VLOOKUP(A19,'SPRING UP ITEMS'!A:D,3,FALSE)),"",VLOOKUP(A19,'SPRING UP ITEMS'!A:D,2,FALSE))</f>
        <v>5/16 T NUT</v>
      </c>
      <c r="C19" s="31"/>
      <c r="D19" s="30">
        <f>IF(ISNA(VLOOKUP(A19,'SPRING UP ITEMS'!A:D,4,FALSE)),"",VLOOKUP(A19,'SPRING UP ITEMS'!A:D,4,FALSE))</f>
        <v>0.04</v>
      </c>
      <c r="E19" s="29" t="str">
        <f>IF(ISNA(VLOOKUP(B19,'SPRING UP ITEMS'!B:E,4,FALSE)),"",VLOOKUP(B19,'SPRING UP ITEMS'!B:E,4,FALSE))</f>
        <v>Ea</v>
      </c>
      <c r="F19" s="28">
        <f>IF(C19="",0,D19*C19)</f>
        <v>0</v>
      </c>
      <c r="G19" s="107"/>
      <c r="H19" s="107"/>
      <c r="I19" s="89"/>
      <c r="J19" s="128"/>
      <c r="K19" s="134"/>
      <c r="L19" s="129"/>
      <c r="M19" s="130">
        <v>1.375</v>
      </c>
      <c r="N19" s="122">
        <f>('Cost Sheet'!$L19*'Cost Sheet'!$M19)/144</f>
        <v>0</v>
      </c>
      <c r="O19" s="131">
        <f>'Cost Sheet'!$N19*1.6</f>
        <v>0</v>
      </c>
      <c r="P19" s="131">
        <f>'Cost Sheet'!$O19*'Cost Sheet'!$J19</f>
        <v>0</v>
      </c>
      <c r="Q19" s="132">
        <f>'Cost Sheet'!$P19*$M$10</f>
        <v>0</v>
      </c>
      <c r="R19" s="129"/>
      <c r="S19" s="129"/>
      <c r="T19" s="133"/>
      <c r="U19" s="134"/>
      <c r="V19" s="135"/>
    </row>
    <row r="20" spans="1:22" x14ac:dyDescent="0.25">
      <c r="A20" s="47" t="s">
        <v>29</v>
      </c>
      <c r="B20" s="50" t="str">
        <f>IF(ISNA(VLOOKUP(A20,'SPRING UP ITEMS'!A:D,2,FALSE)),"",VLOOKUP(A20,'SPRING UP ITEMS'!A:D,2,FALSE))</f>
        <v>AK1 CLIPS</v>
      </c>
      <c r="C20" s="51">
        <f>V38</f>
        <v>0</v>
      </c>
      <c r="D20" s="69">
        <f>IF(ISNA(VLOOKUP(A20,'SPRING UP ITEMS'!A:D,4,FALSE)),"",VLOOKUP(A20,'SPRING UP ITEMS'!A:D,4,FALSE))</f>
        <v>0.02</v>
      </c>
      <c r="E20" s="38" t="str">
        <f>IF(ISNA(VLOOKUP(B20,'SPRING UP ITEMS'!B:E,4,FALSE)),"",VLOOKUP(B20,'SPRING UP ITEMS'!B:E,4,FALSE))</f>
        <v>Ea</v>
      </c>
      <c r="F20" s="63">
        <f t="shared" ref="F20:F25" si="0">IF(C20="",0,D20*C20)</f>
        <v>0</v>
      </c>
      <c r="G20" s="107"/>
      <c r="H20" s="107"/>
      <c r="I20" s="89"/>
      <c r="J20" s="128"/>
      <c r="K20" s="134"/>
      <c r="L20" s="129"/>
      <c r="M20" s="130">
        <v>1.375</v>
      </c>
      <c r="N20" s="122">
        <f>('Cost Sheet'!$L20*'Cost Sheet'!$M20)/144</f>
        <v>0</v>
      </c>
      <c r="O20" s="131">
        <f>'Cost Sheet'!$N20*1.6</f>
        <v>0</v>
      </c>
      <c r="P20" s="131">
        <f>'Cost Sheet'!$O20*'Cost Sheet'!$J20</f>
        <v>0</v>
      </c>
      <c r="Q20" s="132">
        <f>'Cost Sheet'!$P20*$M$10</f>
        <v>0</v>
      </c>
      <c r="R20" s="129"/>
      <c r="S20" s="129"/>
      <c r="T20" s="133"/>
      <c r="U20" s="134"/>
      <c r="V20" s="135"/>
    </row>
    <row r="21" spans="1:22" ht="15.75" thickBot="1" x14ac:dyDescent="0.3">
      <c r="A21" s="15" t="s">
        <v>30</v>
      </c>
      <c r="B21" s="58" t="str">
        <f>IF(ISNA(VLOOKUP(A21,'SPRING UP ITEMS'!A:D,3,FALSE)),"",VLOOKUP(A21,'SPRING UP ITEMS'!A:D,2,FALSE))</f>
        <v>CL 4 CLIPS</v>
      </c>
      <c r="C21" s="67">
        <f>V38</f>
        <v>0</v>
      </c>
      <c r="D21" s="62">
        <f>IF(ISNA(VLOOKUP(A21,'SPRING UP ITEMS'!A:D,4,FALSE)),"",VLOOKUP(A21,'SPRING UP ITEMS'!A:D,4,FALSE))</f>
        <v>0.01</v>
      </c>
      <c r="E21" s="14" t="str">
        <f>IF(ISNA(VLOOKUP(B21,'SPRING UP ITEMS'!B:E,4,FALSE)),"",VLOOKUP(B21,'SPRING UP ITEMS'!B:E,4,FALSE))</f>
        <v>Ea</v>
      </c>
      <c r="F21" s="64">
        <f t="shared" si="0"/>
        <v>0</v>
      </c>
      <c r="G21" s="107"/>
      <c r="H21" s="107"/>
      <c r="I21" s="89"/>
      <c r="J21" s="128"/>
      <c r="K21" s="134"/>
      <c r="L21" s="129"/>
      <c r="M21" s="130">
        <v>1.375</v>
      </c>
      <c r="N21" s="122">
        <f>('Cost Sheet'!$L21*'Cost Sheet'!$M21)/144</f>
        <v>0</v>
      </c>
      <c r="O21" s="131">
        <f>'Cost Sheet'!$N21*1.6</f>
        <v>0</v>
      </c>
      <c r="P21" s="131">
        <f>'Cost Sheet'!$O21*'Cost Sheet'!$J21</f>
        <v>0</v>
      </c>
      <c r="Q21" s="132">
        <f>'Cost Sheet'!$P21*$M$10</f>
        <v>0</v>
      </c>
      <c r="R21" s="129"/>
      <c r="S21" s="129"/>
      <c r="T21" s="133"/>
      <c r="U21" s="134"/>
      <c r="V21" s="135"/>
    </row>
    <row r="22" spans="1:22" x14ac:dyDescent="0.25">
      <c r="A22" s="20" t="s">
        <v>28</v>
      </c>
      <c r="B22" s="52" t="str">
        <f>IF(ISNA(VLOOKUP(A22,'SPRING UP ITEMS'!A:D,2,FALSE)),"",VLOOKUP(A22,'SPRING UP ITEMS'!A:D,2,FALSE))</f>
        <v>8X28 SEAT SPRING</v>
      </c>
      <c r="C22" s="31"/>
      <c r="D22" s="30">
        <f>IF(ISNA(VLOOKUP(A22,'SPRING UP ITEMS'!A:D,4,FALSE)),"",VLOOKUP(A22,'SPRING UP ITEMS'!A:D,4,FALSE))</f>
        <v>0.3</v>
      </c>
      <c r="E22" s="29" t="str">
        <f>IF(ISNA(VLOOKUP(B22,'SPRING UP ITEMS'!B:E,4,FALSE)),"",VLOOKUP(B22,'SPRING UP ITEMS'!B:E,4,FALSE))</f>
        <v>Ea</v>
      </c>
      <c r="F22" s="28">
        <f>IF(C22="",0,D22*C22)</f>
        <v>0</v>
      </c>
      <c r="G22" s="107"/>
      <c r="H22" s="107"/>
      <c r="I22" s="89"/>
      <c r="J22" s="128"/>
      <c r="K22" s="134"/>
      <c r="L22" s="129"/>
      <c r="M22" s="130">
        <v>1.375</v>
      </c>
      <c r="N22" s="122">
        <f>('Cost Sheet'!$L22*'Cost Sheet'!$M22)/144</f>
        <v>0</v>
      </c>
      <c r="O22" s="131">
        <f>'Cost Sheet'!$N22*1.6</f>
        <v>0</v>
      </c>
      <c r="P22" s="131">
        <f>'Cost Sheet'!$O22*'Cost Sheet'!$J22</f>
        <v>0</v>
      </c>
      <c r="Q22" s="132">
        <f>'Cost Sheet'!$P22*$M$10</f>
        <v>0</v>
      </c>
      <c r="R22" s="129"/>
      <c r="S22" s="129"/>
      <c r="T22" s="133"/>
      <c r="U22" s="134"/>
      <c r="V22" s="135"/>
    </row>
    <row r="23" spans="1:22" x14ac:dyDescent="0.25">
      <c r="A23" s="37" t="s">
        <v>34</v>
      </c>
      <c r="B23" s="50" t="str">
        <f>IF(ISNA(VLOOKUP(A23,'SPRING UP ITEMS'!A:D,3,FALSE)),"",VLOOKUP(A23,'SPRING UP ITEMS'!A:D,2,FALSE))</f>
        <v>10X22 SEAT SPRING</v>
      </c>
      <c r="C23" s="55"/>
      <c r="D23" s="69">
        <f>IF(ISNA(VLOOKUP(A23,'SPRING UP ITEMS'!A:D,4,FALSE)),"",VLOOKUP(A23,'SPRING UP ITEMS'!A:D,4,FALSE))</f>
        <v>0.22</v>
      </c>
      <c r="E23" s="38" t="str">
        <f>IF(ISNA(VLOOKUP(B23,'SPRING UP ITEMS'!B:E,4,FALSE)),"",VLOOKUP(B23,'SPRING UP ITEMS'!B:E,4,FALSE))</f>
        <v>Ea</v>
      </c>
      <c r="F23" s="63">
        <f>IF(C23="",0,D23*C23)</f>
        <v>0</v>
      </c>
      <c r="G23" s="107"/>
      <c r="H23" s="107"/>
      <c r="I23" s="89"/>
      <c r="J23" s="128"/>
      <c r="K23" s="134"/>
      <c r="L23" s="129"/>
      <c r="M23" s="130">
        <v>2.375</v>
      </c>
      <c r="N23" s="122">
        <f>('Cost Sheet'!$L23*'Cost Sheet'!$M23)/144</f>
        <v>0</v>
      </c>
      <c r="O23" s="131">
        <f>'Cost Sheet'!$N23*1.6</f>
        <v>0</v>
      </c>
      <c r="P23" s="131">
        <f>'Cost Sheet'!$O23*'Cost Sheet'!$J23</f>
        <v>0</v>
      </c>
      <c r="Q23" s="132">
        <f>'Cost Sheet'!$P23*$M$10</f>
        <v>0</v>
      </c>
      <c r="R23" s="129"/>
      <c r="S23" s="129"/>
      <c r="T23" s="133"/>
      <c r="U23" s="134"/>
      <c r="V23" s="135"/>
    </row>
    <row r="24" spans="1:22" x14ac:dyDescent="0.25">
      <c r="A24" s="36" t="s">
        <v>31</v>
      </c>
      <c r="B24" s="50" t="str">
        <f>IF(ISNA(VLOOKUP(A24,'SPRING UP ITEMS'!A:D,3,FALSE)),"",VLOOKUP(A24,'SPRING UP ITEMS'!A:D,2,FALSE))</f>
        <v>3" WOVEN POLY</v>
      </c>
      <c r="C24" s="55"/>
      <c r="D24" s="66">
        <f>IF(ISNA(VLOOKUP(A24,'SPRING UP ITEMS'!A:D,4,FALSE)),"",VLOOKUP(A24,'SPRING UP ITEMS'!A:D,4,FALSE))</f>
        <v>2.6666666666666668E-2</v>
      </c>
      <c r="E24" s="23" t="str">
        <f>IF(ISNA(VLOOKUP(B24,'SPRING UP ITEMS'!B:E,4,FALSE)),"",VLOOKUP(B24,'SPRING UP ITEMS'!B:E,4,FALSE))</f>
        <v>Ft</v>
      </c>
      <c r="F24" s="22">
        <f t="shared" si="0"/>
        <v>0</v>
      </c>
      <c r="G24" s="89"/>
      <c r="H24" s="89"/>
      <c r="I24" s="89"/>
      <c r="J24" s="128"/>
      <c r="K24" s="134"/>
      <c r="L24" s="129"/>
      <c r="M24" s="130">
        <v>1.875</v>
      </c>
      <c r="N24" s="122">
        <f>('Cost Sheet'!$L24*'Cost Sheet'!$M24)/144</f>
        <v>0</v>
      </c>
      <c r="O24" s="131">
        <f>'Cost Sheet'!$N24*1.6</f>
        <v>0</v>
      </c>
      <c r="P24" s="131">
        <f>'Cost Sheet'!$O24*'Cost Sheet'!$J24</f>
        <v>0</v>
      </c>
      <c r="Q24" s="132">
        <f>'Cost Sheet'!$P24*$M$10</f>
        <v>0</v>
      </c>
      <c r="R24" s="129"/>
      <c r="S24" s="129"/>
      <c r="T24" s="133"/>
      <c r="U24" s="134"/>
      <c r="V24" s="135"/>
    </row>
    <row r="25" spans="1:22" x14ac:dyDescent="0.25">
      <c r="A25" s="36" t="s">
        <v>102</v>
      </c>
      <c r="B25" s="50" t="str">
        <f>IF(ISNA(VLOOKUP(A25,'SPRING UP ITEMS'!A:D,3,FALSE)),"",VLOOKUP(A25,'SPRING UP ITEMS'!A:D,2,FALSE))</f>
        <v>24” FLW</v>
      </c>
      <c r="C25" s="55"/>
      <c r="D25" s="21">
        <f>IF(ISNA(VLOOKUP(A25,'SPRING UP ITEMS'!A:D,4,FALSE)),"",VLOOKUP(A25,'SPRING UP ITEMS'!A:D,4,FALSE))</f>
        <v>9.3333333333333338E-2</v>
      </c>
      <c r="E25" s="23" t="str">
        <f>IF(ISNA(VLOOKUP(B25,'SPRING UP ITEMS'!B:E,4,FALSE)),"",VLOOKUP(B25,'SPRING UP ITEMS'!B:E,4,FALSE))</f>
        <v>Ft</v>
      </c>
      <c r="F25" s="22">
        <f t="shared" si="0"/>
        <v>0</v>
      </c>
      <c r="G25" s="89"/>
      <c r="H25" s="89"/>
      <c r="I25" s="89"/>
      <c r="J25" s="128"/>
      <c r="K25" s="134"/>
      <c r="L25" s="129"/>
      <c r="M25" s="130">
        <v>1.375</v>
      </c>
      <c r="N25" s="122">
        <f>('Cost Sheet'!$L25*'Cost Sheet'!$M25)/144</f>
        <v>0</v>
      </c>
      <c r="O25" s="131">
        <f>'Cost Sheet'!$N25*1.6</f>
        <v>0</v>
      </c>
      <c r="P25" s="131">
        <f>'Cost Sheet'!$O25*'Cost Sheet'!$J25</f>
        <v>0</v>
      </c>
      <c r="Q25" s="132">
        <f>'Cost Sheet'!$P25*$M$10</f>
        <v>0</v>
      </c>
      <c r="R25" s="129"/>
      <c r="S25" s="129"/>
      <c r="T25" s="133"/>
      <c r="U25" s="134"/>
      <c r="V25" s="135"/>
    </row>
    <row r="26" spans="1:22" ht="15.75" thickBot="1" x14ac:dyDescent="0.3">
      <c r="A26" s="59" t="s">
        <v>230</v>
      </c>
      <c r="B26" s="42" t="str">
        <f>IF(ISNA(VLOOKUP(A26,'SPRING UP ITEMS'!A:D,3,FALSE)),"",VLOOKUP(A26,'SPRING UP ITEMS'!A:D,2,FALSE))</f>
        <v>16 GA EDGEWIRE</v>
      </c>
      <c r="C26" s="19"/>
      <c r="D26" s="18">
        <f>IF(ISNA(VLOOKUP(A26,'SPRING UP ITEMS'!A:D,4,FALSE)),"",VLOOKUP(A26,'SPRING UP ITEMS'!A:D,4,FALSE))</f>
        <v>0.04</v>
      </c>
      <c r="E26" s="17" t="str">
        <f>IF(ISNA(VLOOKUP(B26,'SPRING UP ITEMS'!B:E,4,FALSE)),"",VLOOKUP(B26,'SPRING UP ITEMS'!B:E,4,FALSE))</f>
        <v>Ft</v>
      </c>
      <c r="F26" s="16">
        <f>IF(C26="",0,D26*C26)</f>
        <v>0</v>
      </c>
      <c r="G26" s="89"/>
      <c r="H26" s="89"/>
      <c r="I26" s="89"/>
      <c r="J26" s="128"/>
      <c r="K26" s="134"/>
      <c r="L26" s="129"/>
      <c r="M26" s="130">
        <v>1.875</v>
      </c>
      <c r="N26" s="122">
        <f>('Cost Sheet'!$L26*'Cost Sheet'!$M26)/144</f>
        <v>0</v>
      </c>
      <c r="O26" s="131">
        <f>'Cost Sheet'!$N26*1.6</f>
        <v>0</v>
      </c>
      <c r="P26" s="131">
        <f>'Cost Sheet'!$O26*'Cost Sheet'!$J26</f>
        <v>0</v>
      </c>
      <c r="Q26" s="132">
        <f>'Cost Sheet'!$P26*$M$10</f>
        <v>0</v>
      </c>
      <c r="R26" s="129"/>
      <c r="S26" s="129"/>
      <c r="T26" s="133"/>
      <c r="U26" s="134"/>
      <c r="V26" s="135"/>
    </row>
    <row r="27" spans="1:22" x14ac:dyDescent="0.25">
      <c r="A27" s="60" t="str">
        <f>IF(B5="Assembled","SU1002"," ")</f>
        <v xml:space="preserve"> </v>
      </c>
      <c r="B27" s="49" t="str">
        <f>IF(ISNA(VLOOKUP(A27,'SPRING UP ITEMS'!A:D,3,FALSE)),"",VLOOKUP(A27,'SPRING UP ITEMS'!A:D,2,FALSE))</f>
        <v/>
      </c>
      <c r="C27" s="13" t="str">
        <f>IF(A27=" "," ",1)</f>
        <v xml:space="preserve"> </v>
      </c>
      <c r="D27" s="34" t="str">
        <f>IF(ISNA(VLOOKUP(A27,'SPRING UP ITEMS'!A:D,4,FALSE)),"",VLOOKUP(A27,'SPRING UP ITEMS'!A:D,4,FALSE))</f>
        <v/>
      </c>
      <c r="E27" s="33" t="str">
        <f>IF(ISNA(VLOOKUP(B27,'SPRING UP ITEMS'!B:E,4,FALSE)),"",VLOOKUP(B27,'SPRING UP ITEMS'!B:E,4,FALSE))</f>
        <v/>
      </c>
      <c r="F27" s="32" t="str">
        <f>IF(C27=" "," ",D27*C27)</f>
        <v xml:space="preserve"> </v>
      </c>
      <c r="G27" s="107"/>
      <c r="H27" s="107"/>
      <c r="I27" s="89"/>
      <c r="J27" s="128"/>
      <c r="K27" s="134"/>
      <c r="L27" s="129"/>
      <c r="M27" s="130">
        <v>0.5</v>
      </c>
      <c r="N27" s="122">
        <f>('Cost Sheet'!$L27*'Cost Sheet'!$M27)/144</f>
        <v>0</v>
      </c>
      <c r="O27" s="131">
        <f>'Cost Sheet'!$N27*1.6</f>
        <v>0</v>
      </c>
      <c r="P27" s="131">
        <f>'Cost Sheet'!$O27*'Cost Sheet'!$J27</f>
        <v>0</v>
      </c>
      <c r="Q27" s="132">
        <f>'Cost Sheet'!$P27*$M$10</f>
        <v>0</v>
      </c>
      <c r="R27" s="129"/>
      <c r="S27" s="129"/>
      <c r="T27" s="133"/>
      <c r="U27" s="134"/>
      <c r="V27" s="135"/>
    </row>
    <row r="28" spans="1:22" x14ac:dyDescent="0.25">
      <c r="A28" s="37" t="str">
        <f>IF(B5="Assembled","KU1002"," ")</f>
        <v xml:space="preserve"> </v>
      </c>
      <c r="B28" s="50" t="str">
        <f>IF(ISNA(VLOOKUP(A28,'SPRING UP ITEMS'!A:D,3,FALSE)),"",VLOOKUP(A28,'SPRING UP ITEMS'!A:D,2,FALSE))</f>
        <v/>
      </c>
      <c r="C28" s="13" t="str">
        <f>IF(A28=" "," ",1)</f>
        <v xml:space="preserve"> </v>
      </c>
      <c r="D28" s="69" t="str">
        <f>IF(ISNA(VLOOKUP(A28,'SPRING UP ITEMS'!A:D,4,FALSE)),"",VLOOKUP(A28,'SPRING UP ITEMS'!A:D,4,FALSE))</f>
        <v/>
      </c>
      <c r="E28" s="38" t="str">
        <f>IF(ISNA(VLOOKUP(B28,'SPRING UP ITEMS'!B:E,4,FALSE)),"",VLOOKUP(B28,'SPRING UP ITEMS'!B:E,4,FALSE))</f>
        <v/>
      </c>
      <c r="F28" s="63" t="str">
        <f>IF(C28=" "," ",D28*C28)</f>
        <v xml:space="preserve"> </v>
      </c>
      <c r="G28" s="107"/>
      <c r="H28" s="107"/>
      <c r="I28" s="89"/>
      <c r="J28" s="128"/>
      <c r="K28" s="134"/>
      <c r="L28" s="129"/>
      <c r="M28" s="130">
        <v>1.875</v>
      </c>
      <c r="N28" s="122">
        <f>('Cost Sheet'!$L28*'Cost Sheet'!$M28)/144</f>
        <v>0</v>
      </c>
      <c r="O28" s="131">
        <f>'Cost Sheet'!$N28*1.6</f>
        <v>0</v>
      </c>
      <c r="P28" s="131">
        <f>'Cost Sheet'!$O28*'Cost Sheet'!$J28</f>
        <v>0</v>
      </c>
      <c r="Q28" s="132">
        <f>'Cost Sheet'!$P28*$M$10</f>
        <v>0</v>
      </c>
      <c r="R28" s="129"/>
      <c r="S28" s="129"/>
      <c r="T28" s="133"/>
      <c r="U28" s="134"/>
      <c r="V28" s="135"/>
    </row>
    <row r="29" spans="1:22" x14ac:dyDescent="0.25">
      <c r="A29" s="37" t="str">
        <f>IF(B5="Assembled","KU1003"," ")</f>
        <v xml:space="preserve"> </v>
      </c>
      <c r="B29" s="50" t="str">
        <f>IF(ISNA(VLOOKUP(A29,'SPRING UP ITEMS'!A:D,3,FALSE)),"",VLOOKUP(A29,'SPRING UP ITEMS'!A:D,2,FALSE))</f>
        <v/>
      </c>
      <c r="C29" s="13" t="str">
        <f>IF(A29=" "," ",1)</f>
        <v xml:space="preserve"> </v>
      </c>
      <c r="D29" s="69" t="str">
        <f>IF(ISNA(VLOOKUP(A29,'SPRING UP ITEMS'!A:D,4,FALSE)),"",VLOOKUP(A29,'SPRING UP ITEMS'!A:D,4,FALSE))</f>
        <v/>
      </c>
      <c r="E29" s="38" t="str">
        <f>IF(ISNA(VLOOKUP(B29,'SPRING UP ITEMS'!B:E,4,FALSE)),"",VLOOKUP(B29,'SPRING UP ITEMS'!B:E,4,FALSE))</f>
        <v/>
      </c>
      <c r="F29" s="63" t="str">
        <f>IF(C29=" "," ",D29*C29)</f>
        <v xml:space="preserve"> </v>
      </c>
      <c r="G29" s="107"/>
      <c r="H29" s="107"/>
      <c r="I29" s="89"/>
      <c r="J29" s="128"/>
      <c r="K29" s="134"/>
      <c r="L29" s="129"/>
      <c r="M29" s="130">
        <v>6.25</v>
      </c>
      <c r="N29" s="122">
        <f>('Cost Sheet'!$L29*'Cost Sheet'!$M29)/144</f>
        <v>0</v>
      </c>
      <c r="O29" s="131">
        <f>'Cost Sheet'!$N29*1.6</f>
        <v>0</v>
      </c>
      <c r="P29" s="131">
        <f>'Cost Sheet'!$O29*'Cost Sheet'!$J29</f>
        <v>0</v>
      </c>
      <c r="Q29" s="132">
        <f>'Cost Sheet'!$P29*$M$10</f>
        <v>0</v>
      </c>
      <c r="R29" s="129"/>
      <c r="S29" s="129"/>
      <c r="T29" s="133"/>
      <c r="U29" s="134"/>
      <c r="V29" s="135"/>
    </row>
    <row r="30" spans="1:22" ht="15.75" thickBot="1" x14ac:dyDescent="0.3">
      <c r="A30" s="53"/>
      <c r="B30" s="42" t="str">
        <f>IF(ISNA(VLOOKUP(A30,'SPRING UP ITEMS'!A:D,3,FALSE)),"",VLOOKUP(A30,'SPRING UP ITEMS'!A:D,2,FALSE))</f>
        <v/>
      </c>
      <c r="C30" s="42"/>
      <c r="D30" s="35" t="s">
        <v>38</v>
      </c>
      <c r="E30" s="35"/>
      <c r="F30" s="39">
        <f>IF(B5="KD",SUM(F19:F20),SUM(F19:F29))</f>
        <v>0</v>
      </c>
      <c r="G30" s="107"/>
      <c r="H30" s="107"/>
      <c r="I30" s="89"/>
      <c r="J30" s="128"/>
      <c r="K30" s="134"/>
      <c r="L30" s="129"/>
      <c r="M30" s="130">
        <v>1.875</v>
      </c>
      <c r="N30" s="136">
        <f>('Cost Sheet'!$L30*'Cost Sheet'!$M30)/144</f>
        <v>0</v>
      </c>
      <c r="O30" s="131">
        <f>'Cost Sheet'!$N30*1.6</f>
        <v>0</v>
      </c>
      <c r="P30" s="131">
        <f>'Cost Sheet'!$O30*'Cost Sheet'!$J30</f>
        <v>0</v>
      </c>
      <c r="Q30" s="132">
        <f>'Cost Sheet'!$P30*$M$10</f>
        <v>0</v>
      </c>
      <c r="R30" s="129"/>
      <c r="S30" s="129"/>
      <c r="T30" s="133"/>
      <c r="U30" s="134"/>
      <c r="V30" s="135"/>
    </row>
    <row r="31" spans="1:22" ht="15.75" thickBot="1" x14ac:dyDescent="0.3">
      <c r="D31" s="107"/>
      <c r="E31" s="107"/>
      <c r="F31" s="107"/>
      <c r="G31" s="107"/>
      <c r="H31" s="107"/>
      <c r="I31" s="89"/>
      <c r="J31" s="128"/>
      <c r="K31" s="134"/>
      <c r="L31" s="129"/>
      <c r="M31" s="123"/>
      <c r="N31" s="122">
        <f>('Cost Sheet'!$L31*'Cost Sheet'!$M31)/144</f>
        <v>0</v>
      </c>
      <c r="O31" s="131">
        <f>'Cost Sheet'!$N31*1.6</f>
        <v>0</v>
      </c>
      <c r="P31" s="131">
        <f>'Cost Sheet'!$O31*'Cost Sheet'!$J31</f>
        <v>0</v>
      </c>
      <c r="Q31" s="132">
        <f>'Cost Sheet'!$P31*$M$10</f>
        <v>0</v>
      </c>
      <c r="R31" s="129"/>
      <c r="S31" s="129"/>
      <c r="T31" s="133"/>
      <c r="U31" s="134"/>
      <c r="V31" s="135"/>
    </row>
    <row r="32" spans="1:22" ht="15.75" thickBot="1" x14ac:dyDescent="0.3">
      <c r="A32" s="165" t="s">
        <v>253</v>
      </c>
      <c r="B32" s="166"/>
      <c r="C32" s="166"/>
      <c r="D32" s="166"/>
      <c r="E32" s="166"/>
      <c r="F32" s="167"/>
      <c r="J32" s="128"/>
      <c r="K32" s="134"/>
      <c r="L32" s="129"/>
      <c r="M32" s="130">
        <v>1.375</v>
      </c>
      <c r="N32" s="136">
        <f>('Cost Sheet'!$L32*'Cost Sheet'!$M32)/144</f>
        <v>0</v>
      </c>
      <c r="O32" s="131">
        <f>'Cost Sheet'!$N32*1.6</f>
        <v>0</v>
      </c>
      <c r="P32" s="131">
        <f>'Cost Sheet'!$O32*'Cost Sheet'!$J32</f>
        <v>0</v>
      </c>
      <c r="Q32" s="132">
        <f>'Cost Sheet'!$P32*$M$10</f>
        <v>0</v>
      </c>
      <c r="R32" s="129"/>
      <c r="S32" s="129"/>
      <c r="T32" s="133"/>
      <c r="U32" s="134"/>
      <c r="V32" s="135"/>
    </row>
    <row r="33" spans="1:22" ht="15.75" thickBot="1" x14ac:dyDescent="0.3">
      <c r="A33" s="65" t="s">
        <v>24</v>
      </c>
      <c r="B33" s="72" t="s">
        <v>44</v>
      </c>
      <c r="C33" s="72" t="s">
        <v>45</v>
      </c>
      <c r="D33" s="72"/>
      <c r="E33" s="72" t="s">
        <v>46</v>
      </c>
      <c r="F33" s="73"/>
      <c r="J33" s="128"/>
      <c r="K33" s="134"/>
      <c r="L33" s="129"/>
      <c r="M33" s="130">
        <v>1.375</v>
      </c>
      <c r="N33" s="122">
        <f>('Cost Sheet'!$L33*'Cost Sheet'!$M33)/144</f>
        <v>0</v>
      </c>
      <c r="O33" s="131">
        <f>'Cost Sheet'!$N33*1.6</f>
        <v>0</v>
      </c>
      <c r="P33" s="131">
        <f>'Cost Sheet'!$O33*'Cost Sheet'!$J33</f>
        <v>0</v>
      </c>
      <c r="Q33" s="132">
        <f>'Cost Sheet'!$P33*$M$10</f>
        <v>0</v>
      </c>
      <c r="R33" s="129"/>
      <c r="S33" s="129"/>
      <c r="T33" s="133"/>
      <c r="U33" s="134"/>
      <c r="V33" s="135"/>
    </row>
    <row r="34" spans="1:22" x14ac:dyDescent="0.25">
      <c r="A34" s="46">
        <v>1</v>
      </c>
      <c r="B34" s="12"/>
      <c r="C34" s="12"/>
      <c r="D34" s="110">
        <v>96</v>
      </c>
      <c r="E34" s="52">
        <f>IF(D34="","",IF(D34=96,B34+(C34/96),(B34+((48-C34)/D34))))</f>
        <v>0</v>
      </c>
      <c r="F34" s="90" t="str">
        <f>IF(C34="","",A34/E34)</f>
        <v/>
      </c>
      <c r="J34" s="128"/>
      <c r="K34" s="134"/>
      <c r="L34" s="129"/>
      <c r="M34" s="130">
        <v>1.375</v>
      </c>
      <c r="N34" s="122">
        <f>('Cost Sheet'!$L34*'Cost Sheet'!$M34)/144</f>
        <v>0</v>
      </c>
      <c r="O34" s="131">
        <f>'Cost Sheet'!$N34*1.6</f>
        <v>0</v>
      </c>
      <c r="P34" s="131">
        <f>'Cost Sheet'!$O34*'Cost Sheet'!$J34</f>
        <v>0</v>
      </c>
      <c r="Q34" s="132">
        <f>'Cost Sheet'!$P34*$M$10</f>
        <v>0</v>
      </c>
      <c r="R34" s="129"/>
      <c r="S34" s="129"/>
      <c r="T34" s="133"/>
      <c r="U34" s="134"/>
      <c r="V34" s="135"/>
    </row>
    <row r="35" spans="1:22" x14ac:dyDescent="0.25">
      <c r="A35" s="47">
        <v>5</v>
      </c>
      <c r="B35" s="74"/>
      <c r="C35" s="74"/>
      <c r="D35" s="92">
        <v>96</v>
      </c>
      <c r="E35" s="50">
        <f t="shared" ref="E35:E36" si="1">IF(D35="","",IF(D35=96,B35+(C35/96),(B35+((48-C35)/D35))))</f>
        <v>0</v>
      </c>
      <c r="F35" s="48" t="str">
        <f t="shared" ref="F35:F36" si="2">IF(C35="","",A35/E35)</f>
        <v/>
      </c>
      <c r="J35" s="128"/>
      <c r="K35" s="134"/>
      <c r="L35" s="129"/>
      <c r="M35" s="130">
        <v>1.375</v>
      </c>
      <c r="N35" s="122">
        <f>('Cost Sheet'!$L35*'Cost Sheet'!$M35)/144</f>
        <v>0</v>
      </c>
      <c r="O35" s="131">
        <f>'Cost Sheet'!$N35*1.6</f>
        <v>0</v>
      </c>
      <c r="P35" s="131">
        <f>'Cost Sheet'!$O35*'Cost Sheet'!$J35</f>
        <v>0</v>
      </c>
      <c r="Q35" s="132">
        <f>'Cost Sheet'!$P35*$M$10</f>
        <v>0</v>
      </c>
      <c r="R35" s="129"/>
      <c r="S35" s="129"/>
      <c r="T35" s="133"/>
      <c r="U35" s="134"/>
      <c r="V35" s="135"/>
    </row>
    <row r="36" spans="1:22" ht="15.75" thickBot="1" x14ac:dyDescent="0.3">
      <c r="A36" s="94">
        <v>10</v>
      </c>
      <c r="B36" s="118"/>
      <c r="C36" s="118"/>
      <c r="D36" s="119">
        <v>96</v>
      </c>
      <c r="E36" s="42">
        <f t="shared" si="1"/>
        <v>0</v>
      </c>
      <c r="F36" s="102" t="str">
        <f t="shared" si="2"/>
        <v/>
      </c>
      <c r="J36" s="128"/>
      <c r="K36" s="125" t="s">
        <v>60</v>
      </c>
      <c r="L36" s="137">
        <v>6</v>
      </c>
      <c r="M36" s="130">
        <v>1.875</v>
      </c>
      <c r="N36" s="136">
        <f>('Cost Sheet'!$L36*'Cost Sheet'!$M36)/144</f>
        <v>7.8125E-2</v>
      </c>
      <c r="O36" s="131">
        <f>'Cost Sheet'!$N36*1.6</f>
        <v>0.125</v>
      </c>
      <c r="P36" s="131">
        <f>'Cost Sheet'!$O36*'Cost Sheet'!$J36</f>
        <v>0</v>
      </c>
      <c r="Q36" s="132">
        <f>'Cost Sheet'!$P36*$M$10</f>
        <v>0</v>
      </c>
      <c r="R36" s="129"/>
      <c r="S36" s="129"/>
      <c r="T36" s="133"/>
      <c r="U36" s="134"/>
      <c r="V36" s="135"/>
    </row>
    <row r="37" spans="1:22" ht="15" customHeight="1" x14ac:dyDescent="0.25">
      <c r="A37" s="178" t="str">
        <f>D11</f>
        <v>SMCR2332</v>
      </c>
      <c r="B37" s="187" t="str">
        <f>E11</f>
        <v>SMARTCORE 23/32"</v>
      </c>
      <c r="C37" s="188"/>
      <c r="D37" s="184">
        <f>F11</f>
        <v>1.1875</v>
      </c>
      <c r="E37" s="49" t="s">
        <v>49</v>
      </c>
      <c r="F37" s="109" t="str">
        <f>IF(F34="","",AVERAGE(F34:F36))</f>
        <v/>
      </c>
      <c r="G37" s="148"/>
      <c r="H37" s="148"/>
      <c r="J37" s="128"/>
      <c r="K37" s="125" t="s">
        <v>61</v>
      </c>
      <c r="L37" s="137">
        <v>3</v>
      </c>
      <c r="M37" s="130">
        <v>1.375</v>
      </c>
      <c r="N37" s="136">
        <f>('Cost Sheet'!$L37*'Cost Sheet'!$M37)/144</f>
        <v>2.8645833333333332E-2</v>
      </c>
      <c r="O37" s="131">
        <f>'Cost Sheet'!$N37*1.6</f>
        <v>4.5833333333333337E-2</v>
      </c>
      <c r="P37" s="131">
        <f>'Cost Sheet'!$O37*'Cost Sheet'!$J37</f>
        <v>0</v>
      </c>
      <c r="Q37" s="132">
        <f>'Cost Sheet'!$P37*$M$10</f>
        <v>0</v>
      </c>
      <c r="R37" s="129"/>
      <c r="S37" s="129"/>
      <c r="T37" s="133"/>
      <c r="U37" s="134"/>
      <c r="V37" s="135"/>
    </row>
    <row r="38" spans="1:22" ht="15" customHeight="1" thickBot="1" x14ac:dyDescent="0.3">
      <c r="A38" s="193"/>
      <c r="B38" s="189"/>
      <c r="C38" s="190"/>
      <c r="D38" s="185"/>
      <c r="E38" s="69" t="s">
        <v>50</v>
      </c>
      <c r="F38" s="40" t="str">
        <f>IF(F37="","",(1/F37)*32)</f>
        <v/>
      </c>
      <c r="G38" s="149"/>
      <c r="H38" s="149"/>
      <c r="J38" s="94"/>
      <c r="K38" s="111"/>
      <c r="L38" s="111"/>
      <c r="M38" s="113" t="s">
        <v>62</v>
      </c>
      <c r="N38" s="113">
        <f>SUM('Cost Sheet'!$N$13:$N$37)</f>
        <v>0.10677083333333333</v>
      </c>
      <c r="O38" s="114"/>
      <c r="P38" s="114">
        <f>SUM('Cost Sheet'!$P$13:$P$37)</f>
        <v>0</v>
      </c>
      <c r="Q38" s="115">
        <f>SUM('Cost Sheet'!$Q$13:$Q$37)</f>
        <v>0</v>
      </c>
      <c r="R38" s="115"/>
      <c r="S38" s="115"/>
      <c r="T38" s="115"/>
      <c r="U38" s="111" t="s">
        <v>63</v>
      </c>
      <c r="V38" s="102">
        <f>SUM('Cost Sheet'!$V$13:$V$37)</f>
        <v>0</v>
      </c>
    </row>
    <row r="39" spans="1:22" ht="15.75" thickBot="1" x14ac:dyDescent="0.3">
      <c r="A39" s="194"/>
      <c r="B39" s="191"/>
      <c r="C39" s="192"/>
      <c r="D39" s="186"/>
      <c r="E39" s="120" t="s">
        <v>27</v>
      </c>
      <c r="F39" s="108">
        <f>IF($F37="",0,(((32)*F11)/F37))</f>
        <v>0</v>
      </c>
      <c r="G39" s="107"/>
      <c r="H39" s="107"/>
    </row>
    <row r="40" spans="1:22" x14ac:dyDescent="0.25">
      <c r="D40" s="1"/>
      <c r="E40" s="1"/>
      <c r="F40" s="107"/>
      <c r="G40" s="107"/>
      <c r="H40" s="107"/>
    </row>
    <row r="41" spans="1:22" x14ac:dyDescent="0.25">
      <c r="D41" s="1"/>
      <c r="E41" s="1"/>
    </row>
    <row r="42" spans="1:22" x14ac:dyDescent="0.25">
      <c r="D42" s="1"/>
      <c r="E42" s="1"/>
    </row>
    <row r="43" spans="1:22" x14ac:dyDescent="0.25">
      <c r="D43" s="1"/>
      <c r="E43" s="1"/>
    </row>
    <row r="44" spans="1:22" x14ac:dyDescent="0.25">
      <c r="D44" s="1"/>
      <c r="E44" s="1"/>
    </row>
    <row r="45" spans="1:22" x14ac:dyDescent="0.25">
      <c r="D45" s="1"/>
      <c r="E45" s="1"/>
    </row>
    <row r="46" spans="1:22" x14ac:dyDescent="0.25">
      <c r="D46" s="1"/>
      <c r="E46" s="1"/>
    </row>
    <row r="47" spans="1:22" x14ac:dyDescent="0.25">
      <c r="D47" s="1"/>
      <c r="E47" s="1"/>
    </row>
    <row r="48" spans="1:22" x14ac:dyDescent="0.25">
      <c r="D48" s="1"/>
      <c r="E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</sheetData>
  <mergeCells count="18">
    <mergeCell ref="D37:D39"/>
    <mergeCell ref="B37:C39"/>
    <mergeCell ref="A37:A39"/>
    <mergeCell ref="D14:E14"/>
    <mergeCell ref="A17:F17"/>
    <mergeCell ref="M1:V1"/>
    <mergeCell ref="M10:M11"/>
    <mergeCell ref="N10:N11"/>
    <mergeCell ref="O10:V11"/>
    <mergeCell ref="A32:F32"/>
    <mergeCell ref="D13:E13"/>
    <mergeCell ref="I1:K1"/>
    <mergeCell ref="A1:B1"/>
    <mergeCell ref="C1:F1"/>
    <mergeCell ref="A10:B10"/>
    <mergeCell ref="D10:F10"/>
    <mergeCell ref="J10:J11"/>
    <mergeCell ref="K10:L11"/>
  </mergeCells>
  <dataValidations count="4">
    <dataValidation type="list" allowBlank="1" showInputMessage="1" showErrorMessage="1" sqref="D34:D36" xr:uid="{00000000-0002-0000-0000-000000000000}">
      <formula1>"48,96"</formula1>
    </dataValidation>
    <dataValidation type="list" allowBlank="1" showInputMessage="1" showErrorMessage="1" sqref="B5" xr:uid="{00000000-0002-0000-0000-000001000000}">
      <formula1>"KD,Assembled"</formula1>
    </dataValidation>
    <dataValidation type="list" allowBlank="1" showInputMessage="1" showErrorMessage="1" sqref="B4" xr:uid="{00000000-0002-0000-0000-000002000000}">
      <formula1>"Sofa, Loveseat, Chair,Otto, Chaise,Cuddler,Headboard, Footboard, Side Rails"</formula1>
    </dataValidation>
    <dataValidation type="list" allowBlank="1" showInputMessage="1" showErrorMessage="1" sqref="B6" xr:uid="{00000000-0002-0000-0000-000003000000}">
      <formula1>"Fairmont, Sutter Street, Mitchell Gold, Southern, Vanguard, Bernhardt, Teknion, New"</formula1>
    </dataValidation>
  </dataValidations>
  <pageMargins left="0.25" right="0.25" top="0.75" bottom="0.75" header="0.3" footer="0.3"/>
  <pageSetup scale="48" orientation="landscape" r:id="rId1"/>
  <headerFooter>
    <oddHeader>&amp;C&amp;"Courier New,Bold"&amp;16REDI-FRAME COST SHEET
AND BILL OF MATERIALS
FOR
&amp;F</oddHead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'Material Info'!$A$2:$A$5</xm:f>
          </x14:formula1>
          <xm:sqref>D11</xm:sqref>
        </x14:dataValidation>
        <x14:dataValidation type="list" allowBlank="1" showInputMessage="1" showErrorMessage="1" xr:uid="{00000000-0002-0000-0000-000005000000}">
          <x14:formula1>
            <xm:f>'Material Info'!$A$8:$A$11</xm:f>
          </x14:formula1>
          <xm:sqref>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26" sqref="E26"/>
    </sheetView>
  </sheetViews>
  <sheetFormatPr defaultRowHeight="15" x14ac:dyDescent="0.25"/>
  <cols>
    <col min="1" max="1" width="11.140625" bestFit="1" customWidth="1"/>
    <col min="2" max="2" width="28.140625" bestFit="1" customWidth="1"/>
    <col min="3" max="3" width="9.5703125" bestFit="1" customWidth="1"/>
    <col min="4" max="4" width="9.28515625" bestFit="1" customWidth="1"/>
    <col min="5" max="5" width="7" bestFit="1" customWidth="1"/>
  </cols>
  <sheetData>
    <row r="1" spans="1:5" x14ac:dyDescent="0.25">
      <c r="A1" s="77" t="s">
        <v>217</v>
      </c>
      <c r="B1" s="78" t="s">
        <v>218</v>
      </c>
      <c r="C1" s="79" t="s">
        <v>219</v>
      </c>
      <c r="D1" s="80" t="s">
        <v>220</v>
      </c>
    </row>
    <row r="2" spans="1:5" x14ac:dyDescent="0.25">
      <c r="A2" s="81" t="s">
        <v>221</v>
      </c>
      <c r="B2" s="10" t="s">
        <v>226</v>
      </c>
      <c r="C2" s="76">
        <v>28</v>
      </c>
      <c r="D2" s="82">
        <f>C2/32</f>
        <v>0.875</v>
      </c>
    </row>
    <row r="3" spans="1:5" x14ac:dyDescent="0.25">
      <c r="A3" s="81" t="s">
        <v>51</v>
      </c>
      <c r="B3" s="10" t="s">
        <v>227</v>
      </c>
      <c r="C3" s="76">
        <v>26.56</v>
      </c>
      <c r="D3" s="82">
        <v>0.83</v>
      </c>
      <c r="E3" s="57">
        <v>0.83499999999999996</v>
      </c>
    </row>
    <row r="4" spans="1:5" x14ac:dyDescent="0.25">
      <c r="A4" s="81" t="s">
        <v>222</v>
      </c>
      <c r="B4" s="10" t="s">
        <v>223</v>
      </c>
      <c r="C4" s="76">
        <v>19.936</v>
      </c>
      <c r="D4" s="82">
        <v>0.623</v>
      </c>
      <c r="E4" s="57">
        <v>0.59</v>
      </c>
    </row>
    <row r="5" spans="1:5" ht="15.75" thickBot="1" x14ac:dyDescent="0.3">
      <c r="A5" s="83" t="s">
        <v>239</v>
      </c>
      <c r="B5" s="84" t="s">
        <v>238</v>
      </c>
      <c r="C5" s="85">
        <v>38</v>
      </c>
      <c r="D5" s="86">
        <f>C5/32</f>
        <v>1.1875</v>
      </c>
    </row>
    <row r="6" spans="1:5" ht="15.75" thickBot="1" x14ac:dyDescent="0.3">
      <c r="C6" s="103"/>
      <c r="D6" s="104"/>
    </row>
    <row r="7" spans="1:5" x14ac:dyDescent="0.25">
      <c r="A7" s="77"/>
      <c r="B7" s="78"/>
      <c r="C7" s="78" t="s">
        <v>248</v>
      </c>
      <c r="D7" s="80" t="s">
        <v>220</v>
      </c>
    </row>
    <row r="8" spans="1:5" ht="15.75" thickBot="1" x14ac:dyDescent="0.3">
      <c r="A8" s="81" t="s">
        <v>241</v>
      </c>
      <c r="B8" s="10" t="s">
        <v>244</v>
      </c>
      <c r="C8" s="105">
        <v>800</v>
      </c>
      <c r="D8" s="106">
        <f t="shared" ref="D8:D10" si="0">C8/1000</f>
        <v>0.8</v>
      </c>
    </row>
    <row r="9" spans="1:5" ht="15.75" thickBot="1" x14ac:dyDescent="0.3">
      <c r="A9" s="81" t="s">
        <v>240</v>
      </c>
      <c r="B9" s="10" t="s">
        <v>245</v>
      </c>
      <c r="C9" s="105">
        <v>620</v>
      </c>
      <c r="D9" s="106">
        <f t="shared" si="0"/>
        <v>0.62</v>
      </c>
    </row>
    <row r="10" spans="1:5" ht="15.75" thickBot="1" x14ac:dyDescent="0.3">
      <c r="A10" s="81" t="s">
        <v>242</v>
      </c>
      <c r="B10" s="10" t="s">
        <v>246</v>
      </c>
      <c r="C10" s="105">
        <v>525</v>
      </c>
      <c r="D10" s="106">
        <f t="shared" si="0"/>
        <v>0.52500000000000002</v>
      </c>
    </row>
    <row r="11" spans="1:5" ht="15.75" thickBot="1" x14ac:dyDescent="0.3">
      <c r="A11" s="83" t="s">
        <v>243</v>
      </c>
      <c r="B11" s="84" t="s">
        <v>247</v>
      </c>
      <c r="C11" s="85">
        <v>600</v>
      </c>
      <c r="D11" s="106">
        <f>C11/1000</f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0"/>
  <sheetViews>
    <sheetView topLeftCell="A16" workbookViewId="0">
      <selection activeCell="D48" sqref="D48"/>
    </sheetView>
  </sheetViews>
  <sheetFormatPr defaultColWidth="8.85546875" defaultRowHeight="15" x14ac:dyDescent="0.25"/>
  <cols>
    <col min="2" max="2" width="34.42578125" bestFit="1" customWidth="1"/>
  </cols>
  <sheetData>
    <row r="2" spans="1:2" x14ac:dyDescent="0.25">
      <c r="A2" s="200" t="s">
        <v>213</v>
      </c>
      <c r="B2" s="200"/>
    </row>
    <row r="3" spans="1:2" x14ac:dyDescent="0.25">
      <c r="A3" s="10" t="s">
        <v>34</v>
      </c>
      <c r="B3" s="10" t="str">
        <f>IF(ISNA(VLOOKUP(A3,'SPRING UP ITEMS'!A:D,2,FALSE)),"",VLOOKUP(A3,'SPRING UP ITEMS'!A:D,2,FALSE))</f>
        <v>10X22 SEAT SPRING</v>
      </c>
    </row>
    <row r="4" spans="1:2" x14ac:dyDescent="0.25">
      <c r="A4" s="10" t="s">
        <v>196</v>
      </c>
      <c r="B4" s="10" t="str">
        <f>IF(ISNA(VLOOKUP(A4,'SPRING UP ITEMS'!A:D,2,FALSE)),"",VLOOKUP(A4,'SPRING UP ITEMS'!A:D,2,FALSE))</f>
        <v>11X16 BACK SPRING</v>
      </c>
    </row>
    <row r="5" spans="1:2" x14ac:dyDescent="0.25">
      <c r="A5" s="10" t="s">
        <v>194</v>
      </c>
      <c r="B5" s="10" t="str">
        <f>IF(ISNA(VLOOKUP(A5,'SPRING UP ITEMS'!A:D,2,FALSE)),"",VLOOKUP(A5,'SPRING UP ITEMS'!A:D,2,FALSE))</f>
        <v>11X17 BACK SPRING</v>
      </c>
    </row>
    <row r="6" spans="1:2" x14ac:dyDescent="0.25">
      <c r="A6" s="10" t="s">
        <v>192</v>
      </c>
      <c r="B6" s="10" t="str">
        <f>IF(ISNA(VLOOKUP(A6,'SPRING UP ITEMS'!A:D,2,FALSE)),"",VLOOKUP(A6,'SPRING UP ITEMS'!A:D,2,FALSE))</f>
        <v>11X20 BACK SPRING</v>
      </c>
    </row>
    <row r="7" spans="1:2" x14ac:dyDescent="0.25">
      <c r="A7" s="10" t="s">
        <v>190</v>
      </c>
      <c r="B7" s="10" t="str">
        <f>IF(ISNA(VLOOKUP(A7,'SPRING UP ITEMS'!A:D,2,FALSE)),"",VLOOKUP(A7,'SPRING UP ITEMS'!A:D,2,FALSE))</f>
        <v>11X21 BACK SPRING</v>
      </c>
    </row>
    <row r="8" spans="1:2" x14ac:dyDescent="0.25">
      <c r="A8" s="10" t="s">
        <v>188</v>
      </c>
      <c r="B8" s="10" t="str">
        <f>IF(ISNA(VLOOKUP(A8,'SPRING UP ITEMS'!A:D,2,FALSE)),"",VLOOKUP(A8,'SPRING UP ITEMS'!A:D,2,FALSE))</f>
        <v>11X23 BACK SPRING</v>
      </c>
    </row>
    <row r="9" spans="1:2" x14ac:dyDescent="0.25">
      <c r="A9" s="10" t="s">
        <v>167</v>
      </c>
      <c r="B9" s="10" t="str">
        <f>IF(ISNA(VLOOKUP(A9,'SPRING UP ITEMS'!A:D,2,FALSE)),"",VLOOKUP(A9,'SPRING UP ITEMS'!A:D,2,FALSE))</f>
        <v>8X20 SEAT SPRING</v>
      </c>
    </row>
    <row r="10" spans="1:2" x14ac:dyDescent="0.25">
      <c r="A10" s="10" t="s">
        <v>165</v>
      </c>
      <c r="B10" s="10" t="str">
        <f>IF(ISNA(VLOOKUP(A10,'SPRING UP ITEMS'!A:D,2,FALSE)),"",VLOOKUP(A10,'SPRING UP ITEMS'!A:D,2,FALSE))</f>
        <v>8X25 SEAT SPRING</v>
      </c>
    </row>
    <row r="11" spans="1:2" x14ac:dyDescent="0.25">
      <c r="A11" s="10" t="s">
        <v>163</v>
      </c>
      <c r="B11" s="10" t="str">
        <f>IF(ISNA(VLOOKUP(A11,'SPRING UP ITEMS'!A:D,2,FALSE)),"",VLOOKUP(A11,'SPRING UP ITEMS'!A:D,2,FALSE))</f>
        <v>8X26 SEAT SPRING</v>
      </c>
    </row>
    <row r="12" spans="1:2" x14ac:dyDescent="0.25">
      <c r="A12" s="10" t="s">
        <v>28</v>
      </c>
      <c r="B12" s="10" t="str">
        <f>IF(ISNA(VLOOKUP(A12,'SPRING UP ITEMS'!A:D,2,FALSE)),"",VLOOKUP(A12,'SPRING UP ITEMS'!A:D,2,FALSE))</f>
        <v>8X28 SEAT SPRING</v>
      </c>
    </row>
    <row r="13" spans="1:2" x14ac:dyDescent="0.25">
      <c r="A13" s="10" t="s">
        <v>160</v>
      </c>
      <c r="B13" s="10" t="str">
        <f>IF(ISNA(VLOOKUP(A13,'SPRING UP ITEMS'!A:D,2,FALSE)),"",VLOOKUP(A13,'SPRING UP ITEMS'!A:D,2,FALSE))</f>
        <v>8X29 SEAT SPRING</v>
      </c>
    </row>
    <row r="14" spans="1:2" x14ac:dyDescent="0.25">
      <c r="A14" s="10" t="s">
        <v>158</v>
      </c>
      <c r="B14" s="10" t="str">
        <f>IF(ISNA(VLOOKUP(A14,'SPRING UP ITEMS'!A:D,2,FALSE)),"",VLOOKUP(A14,'SPRING UP ITEMS'!A:D,2,FALSE))</f>
        <v>8X30 SEAT SPRING</v>
      </c>
    </row>
    <row r="15" spans="1:2" x14ac:dyDescent="0.25">
      <c r="A15" s="10" t="s">
        <v>156</v>
      </c>
      <c r="B15" s="10" t="str">
        <f>IF(ISNA(VLOOKUP(A15,'SPRING UP ITEMS'!A:D,2,FALSE)),"",VLOOKUP(A15,'SPRING UP ITEMS'!A:D,2,FALSE))</f>
        <v>8X30.5 SEAT SPRING</v>
      </c>
    </row>
    <row r="16" spans="1:2" x14ac:dyDescent="0.25">
      <c r="A16" s="10" t="s">
        <v>154</v>
      </c>
      <c r="B16" s="10" t="str">
        <f>IF(ISNA(VLOOKUP(A16,'SPRING UP ITEMS'!A:D,2,FALSE)),"",VLOOKUP(A16,'SPRING UP ITEMS'!A:D,2,FALSE))</f>
        <v>8X31 SEAT SPRING</v>
      </c>
    </row>
    <row r="17" spans="1:5" x14ac:dyDescent="0.25">
      <c r="A17" s="10" t="s">
        <v>145</v>
      </c>
      <c r="B17" s="10" t="str">
        <f>IF(ISNA(VLOOKUP(A17,'SPRING UP ITEMS'!A:D,2,FALSE)),"",VLOOKUP(A17,'SPRING UP ITEMS'!A:D,2,FALSE))</f>
        <v>#7 1/2 Ga - 33 1/2" Large w 35"Radius</v>
      </c>
    </row>
    <row r="18" spans="1:5" x14ac:dyDescent="0.25">
      <c r="A18" s="10" t="s">
        <v>143</v>
      </c>
      <c r="B18" s="10" t="str">
        <f>IF(ISNA(VLOOKUP(A18,'SPRING UP ITEMS'!A:D,2,FALSE)),"",VLOOKUP(A18,'SPRING UP ITEMS'!A:D,2,FALSE))</f>
        <v>#8 Ga -22" Large w/35" Radius</v>
      </c>
    </row>
    <row r="19" spans="1:5" x14ac:dyDescent="0.25">
      <c r="A19" s="10" t="s">
        <v>141</v>
      </c>
      <c r="B19" s="10" t="str">
        <f>IF(ISNA(VLOOKUP(A19,'SPRING UP ITEMS'!A:D,2,FALSE)),"",VLOOKUP(A19,'SPRING UP ITEMS'!A:D,2,FALSE))</f>
        <v>#8 Ga -23" Large w/35" Radius</v>
      </c>
    </row>
    <row r="20" spans="1:5" x14ac:dyDescent="0.25">
      <c r="A20" s="10" t="s">
        <v>139</v>
      </c>
      <c r="B20" s="10" t="str">
        <f>IF(ISNA(VLOOKUP(A20,'SPRING UP ITEMS'!A:D,2,FALSE)),"",VLOOKUP(A20,'SPRING UP ITEMS'!A:D,2,FALSE))</f>
        <v>#8 Ga -24" Large w/35" Radius</v>
      </c>
    </row>
    <row r="21" spans="1:5" x14ac:dyDescent="0.25">
      <c r="A21" s="10" t="s">
        <v>137</v>
      </c>
      <c r="B21" s="10" t="str">
        <f>IF(ISNA(VLOOKUP(A21,'SPRING UP ITEMS'!A:D,2,FALSE)),"",VLOOKUP(A21,'SPRING UP ITEMS'!A:D,2,FALSE))</f>
        <v>#8 Ga -26" Large w/35" Radius</v>
      </c>
    </row>
    <row r="22" spans="1:5" x14ac:dyDescent="0.25">
      <c r="A22" s="10" t="s">
        <v>135</v>
      </c>
      <c r="B22" s="10" t="str">
        <f>IF(ISNA(VLOOKUP(A22,'SPRING UP ITEMS'!A:D,2,FALSE)),"",VLOOKUP(A22,'SPRING UP ITEMS'!A:D,2,FALSE))</f>
        <v>#8 Ga -28" Large w/35" Radius</v>
      </c>
    </row>
    <row r="23" spans="1:5" x14ac:dyDescent="0.25">
      <c r="A23" s="10" t="s">
        <v>133</v>
      </c>
      <c r="B23" s="10" t="str">
        <f>IF(ISNA(VLOOKUP(A23,'SPRING UP ITEMS'!A:D,2,FALSE)),"",VLOOKUP(A23,'SPRING UP ITEMS'!A:D,2,FALSE))</f>
        <v>#8 Ga -30" Large w/35" Radius</v>
      </c>
    </row>
    <row r="24" spans="1:5" x14ac:dyDescent="0.25">
      <c r="A24" s="10" t="s">
        <v>131</v>
      </c>
      <c r="B24" s="10" t="str">
        <f>IF(ISNA(VLOOKUP(A24,'SPRING UP ITEMS'!A:D,2,FALSE)),"",VLOOKUP(A24,'SPRING UP ITEMS'!A:D,2,FALSE))</f>
        <v>#11 Ga - 16" Medium w/ 4 3/4" Radius</v>
      </c>
    </row>
    <row r="25" spans="1:5" x14ac:dyDescent="0.25">
      <c r="A25" s="10" t="s">
        <v>129</v>
      </c>
      <c r="B25" s="10" t="str">
        <f>IF(ISNA(VLOOKUP(A25,'SPRING UP ITEMS'!A:D,2,FALSE)),"",VLOOKUP(A25,'SPRING UP ITEMS'!A:D,2,FALSE))</f>
        <v>#11 Ga - 17" Medium w/ 4 3/4" Radius</v>
      </c>
    </row>
    <row r="26" spans="1:5" x14ac:dyDescent="0.25">
      <c r="A26" s="10" t="s">
        <v>127</v>
      </c>
      <c r="B26" s="10" t="str">
        <f>IF(ISNA(VLOOKUP(A26,'SPRING UP ITEMS'!A:D,2,FALSE)),"",VLOOKUP(A26,'SPRING UP ITEMS'!A:D,2,FALSE))</f>
        <v>#11 Ga - 21 1/2" Medium</v>
      </c>
    </row>
    <row r="27" spans="1:5" x14ac:dyDescent="0.25">
      <c r="A27" s="10" t="s">
        <v>125</v>
      </c>
      <c r="B27" s="10" t="str">
        <f>IF(ISNA(VLOOKUP(A27,'SPRING UP ITEMS'!A:D,2,FALSE)),"",VLOOKUP(A27,'SPRING UP ITEMS'!A:D,2,FALSE))</f>
        <v>#11 Ga - 19" Medium V-Arc 1-Loop</v>
      </c>
    </row>
    <row r="28" spans="1:5" x14ac:dyDescent="0.25">
      <c r="A28" s="10" t="s">
        <v>123</v>
      </c>
      <c r="B28" s="10" t="str">
        <f>IF(ISNA(VLOOKUP(A28,'SPRING UP ITEMS'!A:D,2,FALSE)),"",VLOOKUP(A28,'SPRING UP ITEMS'!A:D,2,FALSE))</f>
        <v>#11 Ga - 23" Medium V-Arc 1-Loop</v>
      </c>
    </row>
    <row r="29" spans="1:5" x14ac:dyDescent="0.25">
      <c r="A29" s="8" t="s">
        <v>69</v>
      </c>
      <c r="B29" s="8" t="s">
        <v>68</v>
      </c>
      <c r="C29" s="8" t="s">
        <v>65</v>
      </c>
      <c r="D29" s="8">
        <v>0.36499999999999999</v>
      </c>
      <c r="E29" s="8"/>
    </row>
    <row r="30" spans="1:5" x14ac:dyDescent="0.25">
      <c r="A30" s="9" t="s">
        <v>67</v>
      </c>
      <c r="B30" s="9" t="s">
        <v>66</v>
      </c>
      <c r="C30" s="9" t="s">
        <v>65</v>
      </c>
      <c r="D30" s="9">
        <v>0.23302999999999999</v>
      </c>
      <c r="E30" s="9" t="s">
        <v>64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71"/>
  <sheetViews>
    <sheetView topLeftCell="A55" workbookViewId="0">
      <selection activeCell="F70" sqref="F70"/>
    </sheetView>
  </sheetViews>
  <sheetFormatPr defaultColWidth="8.85546875" defaultRowHeight="18" customHeight="1" x14ac:dyDescent="0.25"/>
  <cols>
    <col min="1" max="1" width="15" customWidth="1"/>
    <col min="2" max="2" width="21.28515625" customWidth="1"/>
    <col min="3" max="3" width="21" bestFit="1" customWidth="1"/>
    <col min="4" max="4" width="12.42578125" style="5" customWidth="1"/>
    <col min="5" max="5" width="10" bestFit="1" customWidth="1"/>
    <col min="6" max="6" width="12.140625" bestFit="1" customWidth="1"/>
  </cols>
  <sheetData>
    <row r="1" spans="1:7" ht="18" customHeight="1" x14ac:dyDescent="0.25">
      <c r="A1" t="s">
        <v>212</v>
      </c>
      <c r="B1" t="s">
        <v>211</v>
      </c>
      <c r="C1" t="s">
        <v>210</v>
      </c>
      <c r="D1" t="s">
        <v>25</v>
      </c>
      <c r="E1" t="s">
        <v>26</v>
      </c>
      <c r="F1" t="s">
        <v>209</v>
      </c>
      <c r="G1" t="s">
        <v>208</v>
      </c>
    </row>
    <row r="2" spans="1:7" ht="18" customHeight="1" x14ac:dyDescent="0.25">
      <c r="A2" t="s">
        <v>35</v>
      </c>
      <c r="B2" t="s">
        <v>207</v>
      </c>
      <c r="C2" t="s">
        <v>147</v>
      </c>
      <c r="D2">
        <v>0.04</v>
      </c>
      <c r="E2" t="s">
        <v>64</v>
      </c>
    </row>
    <row r="3" spans="1:7" ht="18" customHeight="1" x14ac:dyDescent="0.25">
      <c r="A3" t="s">
        <v>36</v>
      </c>
      <c r="B3" t="s">
        <v>206</v>
      </c>
      <c r="C3" t="s">
        <v>205</v>
      </c>
      <c r="D3">
        <v>1.1499999999999999</v>
      </c>
      <c r="E3" t="s">
        <v>198</v>
      </c>
    </row>
    <row r="4" spans="1:7" ht="18" customHeight="1" x14ac:dyDescent="0.25">
      <c r="A4" t="s">
        <v>37</v>
      </c>
      <c r="B4" t="s">
        <v>204</v>
      </c>
      <c r="C4" t="s">
        <v>119</v>
      </c>
      <c r="D4">
        <v>1</v>
      </c>
      <c r="E4" t="s">
        <v>198</v>
      </c>
    </row>
    <row r="5" spans="1:7" ht="18" customHeight="1" x14ac:dyDescent="0.25">
      <c r="A5" t="s">
        <v>203</v>
      </c>
      <c r="B5" t="s">
        <v>202</v>
      </c>
      <c r="C5" t="s">
        <v>147</v>
      </c>
      <c r="D5">
        <v>0.03</v>
      </c>
      <c r="E5" t="s">
        <v>64</v>
      </c>
    </row>
    <row r="6" spans="1:7" ht="18" customHeight="1" x14ac:dyDescent="0.25">
      <c r="A6" t="s">
        <v>201</v>
      </c>
      <c r="B6" t="s">
        <v>200</v>
      </c>
      <c r="C6" t="s">
        <v>119</v>
      </c>
      <c r="D6">
        <v>1</v>
      </c>
      <c r="E6" t="s">
        <v>198</v>
      </c>
    </row>
    <row r="7" spans="1:7" ht="18" customHeight="1" x14ac:dyDescent="0.25">
      <c r="A7" t="s">
        <v>33</v>
      </c>
      <c r="B7" t="s">
        <v>199</v>
      </c>
      <c r="C7" t="s">
        <v>119</v>
      </c>
      <c r="D7">
        <v>1</v>
      </c>
      <c r="E7" t="s">
        <v>198</v>
      </c>
    </row>
    <row r="8" spans="1:7" ht="18" customHeight="1" x14ac:dyDescent="0.25">
      <c r="A8" s="6" t="s">
        <v>34</v>
      </c>
      <c r="B8" t="s">
        <v>197</v>
      </c>
      <c r="C8" t="s">
        <v>108</v>
      </c>
      <c r="D8">
        <v>0.22</v>
      </c>
      <c r="E8" t="s">
        <v>64</v>
      </c>
    </row>
    <row r="9" spans="1:7" ht="18" customHeight="1" x14ac:dyDescent="0.25">
      <c r="A9" s="6" t="s">
        <v>196</v>
      </c>
      <c r="B9" t="s">
        <v>195</v>
      </c>
      <c r="C9" t="s">
        <v>108</v>
      </c>
      <c r="D9">
        <v>0.15</v>
      </c>
      <c r="E9" t="s">
        <v>64</v>
      </c>
    </row>
    <row r="10" spans="1:7" ht="18" customHeight="1" x14ac:dyDescent="0.25">
      <c r="A10" s="6" t="s">
        <v>194</v>
      </c>
      <c r="B10" t="s">
        <v>193</v>
      </c>
      <c r="C10" t="s">
        <v>108</v>
      </c>
      <c r="D10">
        <v>0.17</v>
      </c>
      <c r="E10" t="s">
        <v>64</v>
      </c>
    </row>
    <row r="11" spans="1:7" ht="18" customHeight="1" x14ac:dyDescent="0.25">
      <c r="A11" s="6" t="s">
        <v>192</v>
      </c>
      <c r="B11" t="s">
        <v>191</v>
      </c>
      <c r="C11" t="s">
        <v>108</v>
      </c>
      <c r="D11">
        <v>0.19</v>
      </c>
      <c r="E11" t="s">
        <v>64</v>
      </c>
    </row>
    <row r="12" spans="1:7" ht="18" customHeight="1" x14ac:dyDescent="0.25">
      <c r="A12" s="6" t="s">
        <v>190</v>
      </c>
      <c r="B12" t="s">
        <v>189</v>
      </c>
      <c r="C12" t="s">
        <v>108</v>
      </c>
      <c r="D12">
        <v>0.2</v>
      </c>
      <c r="E12" t="s">
        <v>64</v>
      </c>
    </row>
    <row r="13" spans="1:7" ht="18" customHeight="1" x14ac:dyDescent="0.25">
      <c r="A13" s="6" t="s">
        <v>188</v>
      </c>
      <c r="B13" t="s">
        <v>187</v>
      </c>
      <c r="C13" t="s">
        <v>108</v>
      </c>
      <c r="D13">
        <v>0.21</v>
      </c>
      <c r="E13" t="s">
        <v>64</v>
      </c>
    </row>
    <row r="14" spans="1:7" ht="18" customHeight="1" x14ac:dyDescent="0.25">
      <c r="A14" t="s">
        <v>186</v>
      </c>
      <c r="B14" t="s">
        <v>185</v>
      </c>
      <c r="C14" t="s">
        <v>74</v>
      </c>
      <c r="D14">
        <v>0.05</v>
      </c>
      <c r="E14" t="s">
        <v>92</v>
      </c>
    </row>
    <row r="15" spans="1:7" ht="18" customHeight="1" x14ac:dyDescent="0.25">
      <c r="A15" t="s">
        <v>184</v>
      </c>
      <c r="B15" t="s">
        <v>183</v>
      </c>
      <c r="C15" t="s">
        <v>74</v>
      </c>
      <c r="D15">
        <v>0.04</v>
      </c>
      <c r="E15" t="s">
        <v>92</v>
      </c>
    </row>
    <row r="16" spans="1:7" ht="18" customHeight="1" x14ac:dyDescent="0.25">
      <c r="A16" t="s">
        <v>182</v>
      </c>
      <c r="B16" t="s">
        <v>181</v>
      </c>
      <c r="C16" t="s">
        <v>100</v>
      </c>
      <c r="D16">
        <f>0.05/3</f>
        <v>1.6666666666666666E-2</v>
      </c>
      <c r="E16" t="s">
        <v>92</v>
      </c>
    </row>
    <row r="17" spans="1:5" ht="18" customHeight="1" x14ac:dyDescent="0.25">
      <c r="A17" t="s">
        <v>180</v>
      </c>
      <c r="B17" t="s">
        <v>179</v>
      </c>
      <c r="C17" t="s">
        <v>100</v>
      </c>
      <c r="D17">
        <f>0.39/3</f>
        <v>0.13</v>
      </c>
      <c r="E17" t="s">
        <v>92</v>
      </c>
    </row>
    <row r="18" spans="1:5" ht="18" customHeight="1" x14ac:dyDescent="0.25">
      <c r="A18" t="s">
        <v>178</v>
      </c>
      <c r="B18" t="s">
        <v>177</v>
      </c>
      <c r="C18" t="s">
        <v>100</v>
      </c>
      <c r="D18">
        <f>0.52/3</f>
        <v>0.17333333333333334</v>
      </c>
      <c r="E18" t="s">
        <v>92</v>
      </c>
    </row>
    <row r="19" spans="1:5" ht="18" customHeight="1" x14ac:dyDescent="0.25">
      <c r="A19" t="s">
        <v>176</v>
      </c>
      <c r="B19" t="s">
        <v>175</v>
      </c>
      <c r="C19" t="s">
        <v>100</v>
      </c>
      <c r="D19">
        <v>0.23333329999999999</v>
      </c>
      <c r="E19" t="s">
        <v>92</v>
      </c>
    </row>
    <row r="20" spans="1:5" ht="18" customHeight="1" x14ac:dyDescent="0.25">
      <c r="A20" t="s">
        <v>174</v>
      </c>
      <c r="B20" t="s">
        <v>173</v>
      </c>
      <c r="C20" t="s">
        <v>119</v>
      </c>
      <c r="D20">
        <v>43.34</v>
      </c>
      <c r="E20" t="s">
        <v>114</v>
      </c>
    </row>
    <row r="21" spans="1:5" ht="18" customHeight="1" x14ac:dyDescent="0.25">
      <c r="A21" t="s">
        <v>31</v>
      </c>
      <c r="B21" t="s">
        <v>172</v>
      </c>
      <c r="C21" t="s">
        <v>100</v>
      </c>
      <c r="D21">
        <f>0.08/3</f>
        <v>2.6666666666666668E-2</v>
      </c>
      <c r="E21" t="s">
        <v>92</v>
      </c>
    </row>
    <row r="22" spans="1:5" ht="18" customHeight="1" x14ac:dyDescent="0.25">
      <c r="A22" t="s">
        <v>171</v>
      </c>
      <c r="B22" t="s">
        <v>170</v>
      </c>
      <c r="C22" t="s">
        <v>79</v>
      </c>
      <c r="D22">
        <v>0.8</v>
      </c>
      <c r="E22" t="s">
        <v>64</v>
      </c>
    </row>
    <row r="23" spans="1:5" ht="18" customHeight="1" x14ac:dyDescent="0.25">
      <c r="A23" t="s">
        <v>169</v>
      </c>
      <c r="B23" t="s">
        <v>168</v>
      </c>
      <c r="C23" t="s">
        <v>100</v>
      </c>
      <c r="D23" s="7">
        <f>0.28/3</f>
        <v>9.3333333333333338E-2</v>
      </c>
      <c r="E23" t="s">
        <v>92</v>
      </c>
    </row>
    <row r="24" spans="1:5" ht="18" customHeight="1" x14ac:dyDescent="0.25">
      <c r="A24" s="6" t="s">
        <v>167</v>
      </c>
      <c r="B24" t="s">
        <v>166</v>
      </c>
      <c r="C24" t="s">
        <v>108</v>
      </c>
      <c r="D24">
        <v>0.25</v>
      </c>
      <c r="E24" t="s">
        <v>64</v>
      </c>
    </row>
    <row r="25" spans="1:5" ht="18" customHeight="1" x14ac:dyDescent="0.25">
      <c r="A25" s="6" t="s">
        <v>165</v>
      </c>
      <c r="B25" t="s">
        <v>164</v>
      </c>
      <c r="C25" t="s">
        <v>108</v>
      </c>
      <c r="D25">
        <v>0.35</v>
      </c>
      <c r="E25" t="s">
        <v>64</v>
      </c>
    </row>
    <row r="26" spans="1:5" ht="18" customHeight="1" x14ac:dyDescent="0.25">
      <c r="A26" s="6" t="s">
        <v>163</v>
      </c>
      <c r="B26" t="s">
        <v>162</v>
      </c>
      <c r="C26" t="s">
        <v>108</v>
      </c>
      <c r="D26">
        <v>0.36</v>
      </c>
      <c r="E26" t="s">
        <v>64</v>
      </c>
    </row>
    <row r="27" spans="1:5" ht="18" customHeight="1" x14ac:dyDescent="0.25">
      <c r="A27" s="6" t="s">
        <v>28</v>
      </c>
      <c r="B27" t="s">
        <v>161</v>
      </c>
      <c r="C27" t="s">
        <v>74</v>
      </c>
      <c r="D27">
        <v>0.3</v>
      </c>
      <c r="E27" t="s">
        <v>64</v>
      </c>
    </row>
    <row r="28" spans="1:5" ht="18" customHeight="1" x14ac:dyDescent="0.25">
      <c r="A28" s="6" t="s">
        <v>160</v>
      </c>
      <c r="B28" t="s">
        <v>159</v>
      </c>
      <c r="C28" t="s">
        <v>74</v>
      </c>
      <c r="D28">
        <v>0.33</v>
      </c>
      <c r="E28" t="s">
        <v>64</v>
      </c>
    </row>
    <row r="29" spans="1:5" ht="18" customHeight="1" x14ac:dyDescent="0.25">
      <c r="A29" s="6" t="s">
        <v>158</v>
      </c>
      <c r="B29" t="s">
        <v>157</v>
      </c>
      <c r="C29" t="s">
        <v>74</v>
      </c>
      <c r="D29">
        <v>0.34</v>
      </c>
      <c r="E29" t="s">
        <v>64</v>
      </c>
    </row>
    <row r="30" spans="1:5" ht="18" customHeight="1" x14ac:dyDescent="0.25">
      <c r="A30" s="6" t="s">
        <v>156</v>
      </c>
      <c r="B30" t="s">
        <v>155</v>
      </c>
      <c r="C30" t="s">
        <v>74</v>
      </c>
      <c r="D30">
        <v>0.4</v>
      </c>
      <c r="E30" t="s">
        <v>64</v>
      </c>
    </row>
    <row r="31" spans="1:5" ht="18" customHeight="1" x14ac:dyDescent="0.25">
      <c r="A31" s="6" t="s">
        <v>154</v>
      </c>
      <c r="B31" t="s">
        <v>153</v>
      </c>
      <c r="C31" t="s">
        <v>74</v>
      </c>
      <c r="D31">
        <v>0.35</v>
      </c>
      <c r="E31" t="s">
        <v>64</v>
      </c>
    </row>
    <row r="32" spans="1:5" ht="18" customHeight="1" x14ac:dyDescent="0.25">
      <c r="A32" s="6" t="s">
        <v>152</v>
      </c>
      <c r="B32" t="s">
        <v>151</v>
      </c>
      <c r="C32" t="s">
        <v>74</v>
      </c>
      <c r="D32">
        <v>0.02</v>
      </c>
      <c r="E32" t="s">
        <v>64</v>
      </c>
    </row>
    <row r="33" spans="1:6" ht="18" customHeight="1" x14ac:dyDescent="0.25">
      <c r="A33" t="s">
        <v>30</v>
      </c>
      <c r="B33" t="s">
        <v>150</v>
      </c>
      <c r="C33" t="s">
        <v>119</v>
      </c>
      <c r="D33">
        <v>0.01</v>
      </c>
      <c r="E33" t="s">
        <v>64</v>
      </c>
    </row>
    <row r="34" spans="1:6" ht="18" customHeight="1" x14ac:dyDescent="0.25">
      <c r="A34" t="s">
        <v>149</v>
      </c>
      <c r="B34" t="s">
        <v>148</v>
      </c>
      <c r="C34" t="s">
        <v>147</v>
      </c>
      <c r="D34">
        <v>0.105</v>
      </c>
      <c r="E34" t="s">
        <v>64</v>
      </c>
      <c r="F34" t="s">
        <v>146</v>
      </c>
    </row>
    <row r="35" spans="1:6" ht="18" customHeight="1" x14ac:dyDescent="0.25">
      <c r="A35" s="6" t="s">
        <v>145</v>
      </c>
      <c r="B35" t="s">
        <v>144</v>
      </c>
      <c r="C35" t="s">
        <v>121</v>
      </c>
      <c r="D35">
        <v>0.30847999999999998</v>
      </c>
      <c r="E35" t="s">
        <v>64</v>
      </c>
    </row>
    <row r="36" spans="1:6" ht="18" customHeight="1" x14ac:dyDescent="0.25">
      <c r="A36" s="6" t="s">
        <v>143</v>
      </c>
      <c r="B36" t="s">
        <v>142</v>
      </c>
      <c r="C36" t="s">
        <v>121</v>
      </c>
      <c r="D36">
        <v>0.21568999999999999</v>
      </c>
      <c r="E36" t="s">
        <v>64</v>
      </c>
    </row>
    <row r="37" spans="1:6" ht="18" customHeight="1" x14ac:dyDescent="0.25">
      <c r="A37" s="6" t="s">
        <v>141</v>
      </c>
      <c r="B37" t="s">
        <v>140</v>
      </c>
      <c r="C37" t="s">
        <v>121</v>
      </c>
      <c r="D37">
        <v>0.21701000000000001</v>
      </c>
      <c r="E37" t="s">
        <v>64</v>
      </c>
    </row>
    <row r="38" spans="1:6" ht="18" customHeight="1" x14ac:dyDescent="0.25">
      <c r="A38" s="6" t="s">
        <v>139</v>
      </c>
      <c r="B38" t="s">
        <v>138</v>
      </c>
      <c r="C38" t="s">
        <v>74</v>
      </c>
      <c r="D38">
        <v>0.22536</v>
      </c>
      <c r="E38" t="s">
        <v>64</v>
      </c>
    </row>
    <row r="39" spans="1:6" ht="18" customHeight="1" x14ac:dyDescent="0.25">
      <c r="A39" s="6" t="s">
        <v>137</v>
      </c>
      <c r="B39" t="s">
        <v>136</v>
      </c>
      <c r="C39" t="s">
        <v>74</v>
      </c>
      <c r="D39">
        <v>0.20999000000000001</v>
      </c>
      <c r="E39" t="s">
        <v>64</v>
      </c>
    </row>
    <row r="40" spans="1:6" ht="18" customHeight="1" x14ac:dyDescent="0.25">
      <c r="A40" s="6" t="s">
        <v>135</v>
      </c>
      <c r="B40" t="s">
        <v>134</v>
      </c>
      <c r="C40" t="s">
        <v>74</v>
      </c>
      <c r="D40">
        <v>0.26261000000000001</v>
      </c>
      <c r="E40" t="s">
        <v>64</v>
      </c>
    </row>
    <row r="41" spans="1:6" ht="18" customHeight="1" x14ac:dyDescent="0.25">
      <c r="A41" s="6" t="s">
        <v>133</v>
      </c>
      <c r="B41" t="s">
        <v>132</v>
      </c>
      <c r="C41" t="s">
        <v>74</v>
      </c>
      <c r="D41">
        <v>0.26261000000000001</v>
      </c>
      <c r="E41" t="s">
        <v>64</v>
      </c>
    </row>
    <row r="42" spans="1:6" ht="18" customHeight="1" x14ac:dyDescent="0.25">
      <c r="A42" s="6" t="s">
        <v>131</v>
      </c>
      <c r="B42" t="s">
        <v>130</v>
      </c>
      <c r="C42" t="s">
        <v>121</v>
      </c>
      <c r="D42">
        <v>0.10285999999999999</v>
      </c>
      <c r="E42" t="s">
        <v>64</v>
      </c>
    </row>
    <row r="43" spans="1:6" ht="18" customHeight="1" x14ac:dyDescent="0.25">
      <c r="A43" s="6" t="s">
        <v>129</v>
      </c>
      <c r="B43" t="s">
        <v>128</v>
      </c>
      <c r="C43" t="s">
        <v>121</v>
      </c>
      <c r="D43">
        <v>0.10292999999999999</v>
      </c>
      <c r="E43" t="s">
        <v>64</v>
      </c>
    </row>
    <row r="44" spans="1:6" ht="18" customHeight="1" x14ac:dyDescent="0.25">
      <c r="A44" s="6" t="s">
        <v>127</v>
      </c>
      <c r="B44" t="s">
        <v>126</v>
      </c>
      <c r="C44" t="s">
        <v>121</v>
      </c>
      <c r="D44">
        <v>0.10789</v>
      </c>
      <c r="E44" t="s">
        <v>64</v>
      </c>
    </row>
    <row r="45" spans="1:6" ht="18" customHeight="1" x14ac:dyDescent="0.25">
      <c r="A45" s="6" t="s">
        <v>125</v>
      </c>
      <c r="B45" t="s">
        <v>124</v>
      </c>
      <c r="C45" t="s">
        <v>121</v>
      </c>
      <c r="D45">
        <v>0.27715000000000001</v>
      </c>
      <c r="E45" t="s">
        <v>64</v>
      </c>
    </row>
    <row r="46" spans="1:6" ht="18" customHeight="1" x14ac:dyDescent="0.25">
      <c r="A46" s="6" t="s">
        <v>123</v>
      </c>
      <c r="B46" t="s">
        <v>122</v>
      </c>
      <c r="C46" t="s">
        <v>121</v>
      </c>
      <c r="D46">
        <v>0.29802000000000001</v>
      </c>
      <c r="E46" t="s">
        <v>64</v>
      </c>
    </row>
    <row r="47" spans="1:6" ht="18" customHeight="1" x14ac:dyDescent="0.25">
      <c r="A47" t="s">
        <v>29</v>
      </c>
      <c r="B47" t="s">
        <v>120</v>
      </c>
      <c r="C47" t="s">
        <v>119</v>
      </c>
      <c r="D47">
        <v>0.02</v>
      </c>
      <c r="E47" t="s">
        <v>64</v>
      </c>
    </row>
    <row r="48" spans="1:6" ht="18" customHeight="1" x14ac:dyDescent="0.25">
      <c r="A48" t="s">
        <v>118</v>
      </c>
      <c r="B48" t="s">
        <v>117</v>
      </c>
      <c r="C48" t="s">
        <v>93</v>
      </c>
      <c r="D48">
        <v>48</v>
      </c>
      <c r="E48" t="s">
        <v>111</v>
      </c>
    </row>
    <row r="49" spans="1:5" ht="18" customHeight="1" x14ac:dyDescent="0.25">
      <c r="A49" t="s">
        <v>116</v>
      </c>
      <c r="B49" t="s">
        <v>115</v>
      </c>
      <c r="C49" t="s">
        <v>93</v>
      </c>
      <c r="D49">
        <v>17.5</v>
      </c>
      <c r="E49" t="s">
        <v>114</v>
      </c>
    </row>
    <row r="50" spans="1:5" ht="18" customHeight="1" x14ac:dyDescent="0.25">
      <c r="A50" t="s">
        <v>113</v>
      </c>
      <c r="B50" t="s">
        <v>112</v>
      </c>
      <c r="C50" t="s">
        <v>93</v>
      </c>
      <c r="D50">
        <v>40</v>
      </c>
      <c r="E50" t="s">
        <v>111</v>
      </c>
    </row>
    <row r="51" spans="1:5" ht="18" customHeight="1" x14ac:dyDescent="0.25">
      <c r="A51" t="s">
        <v>110</v>
      </c>
      <c r="B51" t="s">
        <v>109</v>
      </c>
      <c r="C51" t="s">
        <v>108</v>
      </c>
      <c r="D51">
        <v>0.25</v>
      </c>
      <c r="E51" t="s">
        <v>64</v>
      </c>
    </row>
    <row r="52" spans="1:5" ht="18" customHeight="1" x14ac:dyDescent="0.25">
      <c r="A52" t="s">
        <v>107</v>
      </c>
      <c r="B52" t="s">
        <v>106</v>
      </c>
      <c r="C52" t="s">
        <v>100</v>
      </c>
      <c r="D52">
        <f>0.35/3</f>
        <v>0.11666666666666665</v>
      </c>
      <c r="E52" t="s">
        <v>92</v>
      </c>
    </row>
    <row r="53" spans="1:5" ht="18" customHeight="1" x14ac:dyDescent="0.25">
      <c r="A53" t="s">
        <v>105</v>
      </c>
      <c r="B53" t="s">
        <v>104</v>
      </c>
      <c r="C53" t="s">
        <v>100</v>
      </c>
      <c r="D53">
        <f>0.42/3</f>
        <v>0.13999999999999999</v>
      </c>
      <c r="E53" t="s">
        <v>92</v>
      </c>
    </row>
    <row r="54" spans="1:5" ht="18" customHeight="1" x14ac:dyDescent="0.25">
      <c r="A54" t="s">
        <v>32</v>
      </c>
      <c r="B54" t="s">
        <v>103</v>
      </c>
      <c r="C54" t="s">
        <v>100</v>
      </c>
      <c r="D54">
        <f>0.32/3</f>
        <v>0.10666666666666667</v>
      </c>
      <c r="E54" t="s">
        <v>92</v>
      </c>
    </row>
    <row r="55" spans="1:5" ht="18" customHeight="1" x14ac:dyDescent="0.25">
      <c r="A55" t="s">
        <v>102</v>
      </c>
      <c r="B55" t="s">
        <v>101</v>
      </c>
      <c r="C55" t="s">
        <v>100</v>
      </c>
      <c r="D55">
        <f>0.28/3</f>
        <v>9.3333333333333338E-2</v>
      </c>
      <c r="E55" t="s">
        <v>92</v>
      </c>
    </row>
    <row r="56" spans="1:5" ht="18" customHeight="1" x14ac:dyDescent="0.25">
      <c r="A56" t="s">
        <v>99</v>
      </c>
      <c r="B56" t="s">
        <v>98</v>
      </c>
      <c r="C56" t="s">
        <v>93</v>
      </c>
      <c r="D56">
        <f>0.2/3</f>
        <v>6.6666666666666666E-2</v>
      </c>
      <c r="E56" t="s">
        <v>92</v>
      </c>
    </row>
    <row r="57" spans="1:5" ht="18" customHeight="1" x14ac:dyDescent="0.25">
      <c r="A57" t="s">
        <v>97</v>
      </c>
      <c r="B57" t="s">
        <v>96</v>
      </c>
      <c r="C57" t="s">
        <v>93</v>
      </c>
      <c r="D57">
        <f>0.18/3</f>
        <v>0.06</v>
      </c>
      <c r="E57" t="s">
        <v>92</v>
      </c>
    </row>
    <row r="58" spans="1:5" ht="18" customHeight="1" x14ac:dyDescent="0.25">
      <c r="A58" t="s">
        <v>95</v>
      </c>
      <c r="B58" t="s">
        <v>94</v>
      </c>
      <c r="C58" t="s">
        <v>93</v>
      </c>
      <c r="D58">
        <f>0.2/3</f>
        <v>6.6666666666666666E-2</v>
      </c>
      <c r="E58" t="s">
        <v>92</v>
      </c>
    </row>
    <row r="59" spans="1:5" ht="18" customHeight="1" x14ac:dyDescent="0.25">
      <c r="A59" t="s">
        <v>91</v>
      </c>
      <c r="B59" t="s">
        <v>90</v>
      </c>
      <c r="C59" t="s">
        <v>79</v>
      </c>
      <c r="D59">
        <v>0.16</v>
      </c>
      <c r="E59" t="s">
        <v>64</v>
      </c>
    </row>
    <row r="60" spans="1:5" ht="18" customHeight="1" x14ac:dyDescent="0.25">
      <c r="A60" t="s">
        <v>89</v>
      </c>
      <c r="B60" t="s">
        <v>88</v>
      </c>
      <c r="C60" t="s">
        <v>79</v>
      </c>
      <c r="D60">
        <v>0.18</v>
      </c>
      <c r="E60" t="s">
        <v>64</v>
      </c>
    </row>
    <row r="61" spans="1:5" ht="18" customHeight="1" x14ac:dyDescent="0.25">
      <c r="A61" t="s">
        <v>87</v>
      </c>
      <c r="B61" t="s">
        <v>86</v>
      </c>
      <c r="C61" t="s">
        <v>79</v>
      </c>
      <c r="D61">
        <v>0.25</v>
      </c>
      <c r="E61" t="s">
        <v>64</v>
      </c>
    </row>
    <row r="62" spans="1:5" ht="18" customHeight="1" x14ac:dyDescent="0.25">
      <c r="A62" t="s">
        <v>85</v>
      </c>
      <c r="B62" t="s">
        <v>84</v>
      </c>
      <c r="C62" t="s">
        <v>74</v>
      </c>
      <c r="D62">
        <v>0.19499</v>
      </c>
      <c r="E62" t="s">
        <v>64</v>
      </c>
    </row>
    <row r="63" spans="1:5" ht="18" customHeight="1" x14ac:dyDescent="0.25">
      <c r="A63" t="s">
        <v>83</v>
      </c>
      <c r="B63" t="s">
        <v>82</v>
      </c>
      <c r="C63" t="s">
        <v>74</v>
      </c>
      <c r="D63">
        <v>0.14935999999999999</v>
      </c>
      <c r="E63" t="s">
        <v>64</v>
      </c>
    </row>
    <row r="64" spans="1:5" ht="18" customHeight="1" x14ac:dyDescent="0.25">
      <c r="A64" t="s">
        <v>81</v>
      </c>
      <c r="B64" t="s">
        <v>80</v>
      </c>
      <c r="C64" t="s">
        <v>79</v>
      </c>
      <c r="D64">
        <f>438.3/1000</f>
        <v>0.43830000000000002</v>
      </c>
      <c r="E64" t="s">
        <v>64</v>
      </c>
    </row>
    <row r="65" spans="1:5" ht="18" customHeight="1" x14ac:dyDescent="0.25">
      <c r="A65" t="s">
        <v>78</v>
      </c>
      <c r="B65" t="s">
        <v>77</v>
      </c>
      <c r="C65" t="s">
        <v>74</v>
      </c>
      <c r="D65">
        <v>0.28993999999999998</v>
      </c>
      <c r="E65" t="s">
        <v>64</v>
      </c>
    </row>
    <row r="66" spans="1:5" ht="18" customHeight="1" x14ac:dyDescent="0.25">
      <c r="A66" t="s">
        <v>76</v>
      </c>
      <c r="B66" t="s">
        <v>75</v>
      </c>
      <c r="C66" t="s">
        <v>74</v>
      </c>
      <c r="D66">
        <v>0.11437</v>
      </c>
      <c r="E66" t="s">
        <v>64</v>
      </c>
    </row>
    <row r="67" spans="1:5" ht="18" customHeight="1" x14ac:dyDescent="0.25">
      <c r="A67" t="s">
        <v>73</v>
      </c>
      <c r="B67" t="s">
        <v>72</v>
      </c>
      <c r="C67" t="s">
        <v>71</v>
      </c>
      <c r="D67">
        <v>0.33645000000000003</v>
      </c>
      <c r="E67" t="s">
        <v>70</v>
      </c>
    </row>
    <row r="68" spans="1:5" ht="18" customHeight="1" x14ac:dyDescent="0.25">
      <c r="A68" t="s">
        <v>69</v>
      </c>
      <c r="B68" t="s">
        <v>68</v>
      </c>
      <c r="C68" t="s">
        <v>65</v>
      </c>
      <c r="D68">
        <v>0.36499999999999999</v>
      </c>
    </row>
    <row r="69" spans="1:5" ht="18" customHeight="1" x14ac:dyDescent="0.25">
      <c r="A69" t="s">
        <v>67</v>
      </c>
      <c r="B69" t="s">
        <v>66</v>
      </c>
      <c r="C69" t="s">
        <v>65</v>
      </c>
      <c r="D69">
        <v>0.23302999999999999</v>
      </c>
      <c r="E69" t="s">
        <v>64</v>
      </c>
    </row>
    <row r="70" spans="1:5" ht="18" customHeight="1" x14ac:dyDescent="0.25">
      <c r="A70" t="s">
        <v>231</v>
      </c>
      <c r="B70" t="s">
        <v>232</v>
      </c>
      <c r="C70" t="s">
        <v>233</v>
      </c>
      <c r="D70">
        <v>0.14937</v>
      </c>
      <c r="E70" t="s">
        <v>234</v>
      </c>
    </row>
    <row r="71" spans="1:5" ht="18" customHeight="1" x14ac:dyDescent="0.25">
      <c r="D71"/>
    </row>
  </sheetData>
  <pageMargins left="0.7" right="0.7" top="0.75" bottom="0.75" header="0.3" footer="0.3"/>
  <pageSetup scale="6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sqref="A1:XFD1048576"/>
    </sheetView>
  </sheetViews>
  <sheetFormatPr defaultColWidth="9.140625" defaultRowHeight="15" x14ac:dyDescent="0.25"/>
  <cols>
    <col min="1" max="1" width="14.42578125" style="11" bestFit="1" customWidth="1"/>
    <col min="2" max="2" width="13.5703125" style="11" bestFit="1" customWidth="1"/>
    <col min="3" max="3" width="22.85546875" style="11" bestFit="1" customWidth="1"/>
    <col min="4" max="4" width="9.28515625" style="11" bestFit="1" customWidth="1"/>
    <col min="5" max="5" width="6.42578125" style="11" bestFit="1" customWidth="1"/>
    <col min="6" max="6" width="16" style="11" bestFit="1" customWidth="1"/>
    <col min="7" max="7" width="4.140625" style="11" bestFit="1" customWidth="1"/>
    <col min="8" max="16384" width="9.140625" style="11"/>
  </cols>
  <sheetData>
    <row r="1" spans="1:7" x14ac:dyDescent="0.25">
      <c r="A1" s="45" t="s">
        <v>214</v>
      </c>
      <c r="B1" s="45" t="s">
        <v>215</v>
      </c>
      <c r="C1" s="45" t="s">
        <v>23</v>
      </c>
      <c r="D1" s="45" t="s">
        <v>52</v>
      </c>
      <c r="E1" s="45" t="s">
        <v>53</v>
      </c>
      <c r="F1" s="45" t="s">
        <v>216</v>
      </c>
      <c r="G1" s="45" t="s">
        <v>24</v>
      </c>
    </row>
    <row r="2" spans="1:7" x14ac:dyDescent="0.25">
      <c r="A2" s="45" t="str">
        <f>$A$4&amp;"-23"</f>
        <v>0-23</v>
      </c>
      <c r="B2" s="45" t="str">
        <f>$B$4</f>
        <v xml:space="preserve"> </v>
      </c>
      <c r="C2" s="45" t="str">
        <f>'Cost Sheet'!K36</f>
        <v>Glue Blocks</v>
      </c>
      <c r="D2" s="44">
        <f>'Cost Sheet'!L36</f>
        <v>6</v>
      </c>
      <c r="E2" s="43">
        <f>'Cost Sheet'!M36</f>
        <v>1.875</v>
      </c>
      <c r="F2" s="45" t="str">
        <f>'Cost Sheet'!R36&amp;" "&amp;'Cost Sheet'!S36&amp;" "&amp;'Cost Sheet'!T36&amp;" "&amp;'Cost Sheet'!U36&amp;" "&amp;'Cost Sheet'!V36</f>
        <v xml:space="preserve">    </v>
      </c>
      <c r="G2" s="45">
        <f>'Cost Sheet'!J36</f>
        <v>0</v>
      </c>
    </row>
    <row r="3" spans="1:7" x14ac:dyDescent="0.25">
      <c r="A3" s="45" t="str">
        <f>$A$4&amp;"-24"</f>
        <v>0-24</v>
      </c>
      <c r="B3" s="45" t="str">
        <f>$B$4</f>
        <v xml:space="preserve"> </v>
      </c>
      <c r="C3" s="45" t="str">
        <f>'Cost Sheet'!K37</f>
        <v>Blocks</v>
      </c>
      <c r="D3" s="44">
        <f>'Cost Sheet'!L37</f>
        <v>3</v>
      </c>
      <c r="E3" s="43">
        <f>'Cost Sheet'!M37</f>
        <v>1.375</v>
      </c>
      <c r="F3" s="45" t="str">
        <f>'Cost Sheet'!R37&amp;" "&amp;'Cost Sheet'!S37&amp;" "&amp;'Cost Sheet'!T37&amp;" "&amp;'Cost Sheet'!U37&amp;" "&amp;'Cost Sheet'!V37</f>
        <v xml:space="preserve">    </v>
      </c>
      <c r="G3" s="45">
        <f>'Cost Sheet'!J37</f>
        <v>0</v>
      </c>
    </row>
    <row r="4" spans="1:7" x14ac:dyDescent="0.25">
      <c r="A4" s="45">
        <f>'Cost Sheet'!B2</f>
        <v>0</v>
      </c>
      <c r="B4" s="45" t="str">
        <f>'Cost Sheet'!B3&amp;" "&amp;'Cost Sheet'!B4</f>
        <v xml:space="preserve"> </v>
      </c>
      <c r="C4" s="45">
        <f>'Cost Sheet'!K13</f>
        <v>0</v>
      </c>
      <c r="D4" s="44">
        <f>'Cost Sheet'!L13</f>
        <v>0</v>
      </c>
      <c r="E4" s="43">
        <f>'Cost Sheet'!M13</f>
        <v>1.375</v>
      </c>
      <c r="F4" s="45" t="e">
        <f>'Cost Sheet'!#REF!&amp;" "&amp;'Cost Sheet'!#REF!&amp;" "&amp;'Cost Sheet'!#REF!&amp;" "&amp;'Cost Sheet'!#REF!&amp;" "&amp;'Cost Sheet'!#REF!</f>
        <v>#REF!</v>
      </c>
      <c r="G4" s="45">
        <f>'Cost Sheet'!J13</f>
        <v>0</v>
      </c>
    </row>
    <row r="5" spans="1:7" x14ac:dyDescent="0.25">
      <c r="A5" s="45" t="str">
        <f>$A$4&amp;"-2"</f>
        <v>0-2</v>
      </c>
      <c r="B5" s="45" t="str">
        <f t="shared" ref="B5:B25" si="0">$B$4</f>
        <v xml:space="preserve"> </v>
      </c>
      <c r="C5" s="45">
        <f>'Cost Sheet'!K14</f>
        <v>0</v>
      </c>
      <c r="D5" s="44">
        <f>'Cost Sheet'!L14</f>
        <v>0</v>
      </c>
      <c r="E5" s="43">
        <f>'Cost Sheet'!M14</f>
        <v>2.375</v>
      </c>
      <c r="F5" s="45" t="e">
        <f>'Cost Sheet'!#REF!&amp;" "&amp;'Cost Sheet'!#REF!&amp;" "&amp;'Cost Sheet'!#REF!&amp;" "&amp;'Cost Sheet'!#REF!&amp;" "&amp;'Cost Sheet'!#REF!</f>
        <v>#REF!</v>
      </c>
      <c r="G5" s="45">
        <f>'Cost Sheet'!J14</f>
        <v>0</v>
      </c>
    </row>
    <row r="6" spans="1:7" x14ac:dyDescent="0.25">
      <c r="A6" s="45" t="str">
        <f>$A$4&amp;"-3"</f>
        <v>0-3</v>
      </c>
      <c r="B6" s="45" t="str">
        <f t="shared" si="0"/>
        <v xml:space="preserve"> </v>
      </c>
      <c r="C6" s="45">
        <f>'Cost Sheet'!K15</f>
        <v>0</v>
      </c>
      <c r="D6" s="44">
        <f>'Cost Sheet'!L15</f>
        <v>0</v>
      </c>
      <c r="E6" s="43">
        <f>'Cost Sheet'!M15</f>
        <v>3</v>
      </c>
      <c r="F6" s="45" t="str">
        <f>'Cost Sheet'!R15&amp;" "&amp;'Cost Sheet'!S15&amp;" "&amp;'Cost Sheet'!T15&amp;" "&amp;'Cost Sheet'!U15&amp;" "&amp;'Cost Sheet'!V15</f>
        <v xml:space="preserve">    </v>
      </c>
      <c r="G6" s="45">
        <f>'Cost Sheet'!J15</f>
        <v>0</v>
      </c>
    </row>
    <row r="7" spans="1:7" x14ac:dyDescent="0.25">
      <c r="A7" s="45" t="str">
        <f>$A$4&amp;"-4"</f>
        <v>0-4</v>
      </c>
      <c r="B7" s="45" t="str">
        <f t="shared" si="0"/>
        <v xml:space="preserve"> </v>
      </c>
      <c r="C7" s="45">
        <f>'Cost Sheet'!K16</f>
        <v>0</v>
      </c>
      <c r="D7" s="44">
        <f>'Cost Sheet'!L16</f>
        <v>0</v>
      </c>
      <c r="E7" s="43">
        <f>'Cost Sheet'!M16</f>
        <v>5.5</v>
      </c>
      <c r="F7" s="45" t="str">
        <f>'Cost Sheet'!R16&amp;" "&amp;'Cost Sheet'!S16&amp;" "&amp;'Cost Sheet'!T16&amp;" "&amp;'Cost Sheet'!U16&amp;" "&amp;'Cost Sheet'!V16</f>
        <v xml:space="preserve">    </v>
      </c>
      <c r="G7" s="45">
        <f>'Cost Sheet'!J16</f>
        <v>0</v>
      </c>
    </row>
    <row r="8" spans="1:7" x14ac:dyDescent="0.25">
      <c r="A8" s="45" t="str">
        <f>$A$4&amp;"-5"</f>
        <v>0-5</v>
      </c>
      <c r="B8" s="45" t="str">
        <f t="shared" si="0"/>
        <v xml:space="preserve"> </v>
      </c>
      <c r="C8" s="45">
        <f>'Cost Sheet'!K17</f>
        <v>0</v>
      </c>
      <c r="D8" s="44">
        <f>'Cost Sheet'!L17</f>
        <v>0</v>
      </c>
      <c r="E8" s="43">
        <f>'Cost Sheet'!M17</f>
        <v>2.375</v>
      </c>
      <c r="F8" s="45" t="str">
        <f>'Cost Sheet'!R17&amp;" "&amp;'Cost Sheet'!S17&amp;" "&amp;'Cost Sheet'!T17&amp;" "&amp;'Cost Sheet'!U17&amp;" "&amp;'Cost Sheet'!V17</f>
        <v xml:space="preserve">    </v>
      </c>
      <c r="G8" s="45">
        <f>'Cost Sheet'!J17</f>
        <v>0</v>
      </c>
    </row>
    <row r="9" spans="1:7" x14ac:dyDescent="0.25">
      <c r="A9" s="45" t="str">
        <f>$A$4&amp;"-6"</f>
        <v>0-6</v>
      </c>
      <c r="B9" s="45" t="str">
        <f t="shared" si="0"/>
        <v xml:space="preserve"> </v>
      </c>
      <c r="C9" s="45">
        <f>'Cost Sheet'!K18</f>
        <v>0</v>
      </c>
      <c r="D9" s="44">
        <f>'Cost Sheet'!L18</f>
        <v>0</v>
      </c>
      <c r="E9" s="43">
        <f>'Cost Sheet'!M18</f>
        <v>2.375</v>
      </c>
      <c r="F9" s="45" t="str">
        <f>'Cost Sheet'!R18&amp;" "&amp;'Cost Sheet'!S18&amp;" "&amp;'Cost Sheet'!T18&amp;" "&amp;'Cost Sheet'!U18&amp;" "&amp;'Cost Sheet'!V18</f>
        <v xml:space="preserve">    </v>
      </c>
      <c r="G9" s="45">
        <f>'Cost Sheet'!J18</f>
        <v>0</v>
      </c>
    </row>
    <row r="10" spans="1:7" x14ac:dyDescent="0.25">
      <c r="A10" s="45" t="str">
        <f>$A$4&amp;"-7"</f>
        <v>0-7</v>
      </c>
      <c r="B10" s="45" t="str">
        <f t="shared" si="0"/>
        <v xml:space="preserve"> </v>
      </c>
      <c r="C10" s="45">
        <f>'Cost Sheet'!K19</f>
        <v>0</v>
      </c>
      <c r="D10" s="44">
        <f>'Cost Sheet'!L19</f>
        <v>0</v>
      </c>
      <c r="E10" s="43">
        <f>'Cost Sheet'!M19</f>
        <v>1.375</v>
      </c>
      <c r="F10" s="45" t="str">
        <f>'Cost Sheet'!R19&amp;" "&amp;'Cost Sheet'!S19&amp;" "&amp;'Cost Sheet'!T19&amp;" "&amp;'Cost Sheet'!U19&amp;" "&amp;'Cost Sheet'!V19</f>
        <v xml:space="preserve">    </v>
      </c>
      <c r="G10" s="45">
        <f>'Cost Sheet'!J19</f>
        <v>0</v>
      </c>
    </row>
    <row r="11" spans="1:7" x14ac:dyDescent="0.25">
      <c r="A11" s="45" t="str">
        <f>$A$4&amp;"-8"</f>
        <v>0-8</v>
      </c>
      <c r="B11" s="45" t="str">
        <f t="shared" si="0"/>
        <v xml:space="preserve"> </v>
      </c>
      <c r="C11" s="45">
        <f>'Cost Sheet'!K20</f>
        <v>0</v>
      </c>
      <c r="D11" s="44">
        <f>'Cost Sheet'!L20</f>
        <v>0</v>
      </c>
      <c r="E11" s="43">
        <f>'Cost Sheet'!M20</f>
        <v>1.375</v>
      </c>
      <c r="F11" s="45" t="str">
        <f>'Cost Sheet'!R20&amp;" "&amp;'Cost Sheet'!S20&amp;" "&amp;'Cost Sheet'!T20&amp;" "&amp;'Cost Sheet'!U20&amp;" "&amp;'Cost Sheet'!V20</f>
        <v xml:space="preserve">    </v>
      </c>
      <c r="G11" s="45">
        <f>'Cost Sheet'!J20</f>
        <v>0</v>
      </c>
    </row>
    <row r="12" spans="1:7" x14ac:dyDescent="0.25">
      <c r="A12" s="45" t="str">
        <f>$A$4&amp;"-9"</f>
        <v>0-9</v>
      </c>
      <c r="B12" s="45" t="str">
        <f t="shared" si="0"/>
        <v xml:space="preserve"> </v>
      </c>
      <c r="C12" s="45">
        <f>'Cost Sheet'!K21</f>
        <v>0</v>
      </c>
      <c r="D12" s="44">
        <f>'Cost Sheet'!L21</f>
        <v>0</v>
      </c>
      <c r="E12" s="43">
        <f>'Cost Sheet'!M21</f>
        <v>1.375</v>
      </c>
      <c r="F12" s="45" t="str">
        <f>'Cost Sheet'!R21&amp;" "&amp;'Cost Sheet'!S21&amp;" "&amp;'Cost Sheet'!T21&amp;" "&amp;'Cost Sheet'!U21&amp;" "&amp;'Cost Sheet'!V21</f>
        <v xml:space="preserve">    </v>
      </c>
      <c r="G12" s="45">
        <f>'Cost Sheet'!J21</f>
        <v>0</v>
      </c>
    </row>
    <row r="13" spans="1:7" x14ac:dyDescent="0.25">
      <c r="A13" s="45" t="str">
        <f>$A$4&amp;"-10"</f>
        <v>0-10</v>
      </c>
      <c r="B13" s="45" t="str">
        <f t="shared" si="0"/>
        <v xml:space="preserve"> </v>
      </c>
      <c r="C13" s="45">
        <f>'Cost Sheet'!K22</f>
        <v>0</v>
      </c>
      <c r="D13" s="44">
        <f>'Cost Sheet'!L22</f>
        <v>0</v>
      </c>
      <c r="E13" s="43">
        <f>'Cost Sheet'!M22</f>
        <v>1.375</v>
      </c>
      <c r="F13" s="45" t="str">
        <f>'Cost Sheet'!R22&amp;" "&amp;'Cost Sheet'!S22&amp;" "&amp;'Cost Sheet'!T22&amp;" "&amp;'Cost Sheet'!U22&amp;" "&amp;'Cost Sheet'!V22</f>
        <v xml:space="preserve">    </v>
      </c>
      <c r="G13" s="45">
        <f>'Cost Sheet'!J22</f>
        <v>0</v>
      </c>
    </row>
    <row r="14" spans="1:7" x14ac:dyDescent="0.25">
      <c r="A14" s="45" t="str">
        <f>$A$4&amp;"-11"</f>
        <v>0-11</v>
      </c>
      <c r="B14" s="45" t="str">
        <f t="shared" si="0"/>
        <v xml:space="preserve"> </v>
      </c>
      <c r="C14" s="45">
        <f>'Cost Sheet'!K23</f>
        <v>0</v>
      </c>
      <c r="D14" s="44">
        <f>'Cost Sheet'!L23</f>
        <v>0</v>
      </c>
      <c r="E14" s="43">
        <f>'Cost Sheet'!M23</f>
        <v>2.375</v>
      </c>
      <c r="F14" s="45" t="str">
        <f>'Cost Sheet'!R23&amp;" "&amp;'Cost Sheet'!S23&amp;" "&amp;'Cost Sheet'!T23&amp;" "&amp;'Cost Sheet'!U23&amp;" "&amp;'Cost Sheet'!V23</f>
        <v xml:space="preserve">    </v>
      </c>
      <c r="G14" s="45">
        <f>'Cost Sheet'!J23</f>
        <v>0</v>
      </c>
    </row>
    <row r="15" spans="1:7" x14ac:dyDescent="0.25">
      <c r="A15" s="45" t="str">
        <f>$A$4&amp;"-12"</f>
        <v>0-12</v>
      </c>
      <c r="B15" s="45" t="str">
        <f t="shared" si="0"/>
        <v xml:space="preserve"> </v>
      </c>
      <c r="C15" s="45">
        <f>'Cost Sheet'!K24</f>
        <v>0</v>
      </c>
      <c r="D15" s="44">
        <f>'Cost Sheet'!L24</f>
        <v>0</v>
      </c>
      <c r="E15" s="43">
        <f>'Cost Sheet'!M24</f>
        <v>1.875</v>
      </c>
      <c r="F15" s="45" t="str">
        <f>'Cost Sheet'!R24&amp;" "&amp;'Cost Sheet'!S24&amp;" "&amp;'Cost Sheet'!T24&amp;" "&amp;'Cost Sheet'!U24&amp;" "&amp;'Cost Sheet'!V24</f>
        <v xml:space="preserve">    </v>
      </c>
      <c r="G15" s="45">
        <f>'Cost Sheet'!J24</f>
        <v>0</v>
      </c>
    </row>
    <row r="16" spans="1:7" x14ac:dyDescent="0.25">
      <c r="A16" s="45" t="str">
        <f>$A$4&amp;"-13"</f>
        <v>0-13</v>
      </c>
      <c r="B16" s="45" t="str">
        <f t="shared" si="0"/>
        <v xml:space="preserve"> </v>
      </c>
      <c r="C16" s="45">
        <f>'Cost Sheet'!K25</f>
        <v>0</v>
      </c>
      <c r="D16" s="44">
        <f>'Cost Sheet'!L25</f>
        <v>0</v>
      </c>
      <c r="E16" s="43">
        <f>'Cost Sheet'!M25</f>
        <v>1.375</v>
      </c>
      <c r="F16" s="45" t="str">
        <f>'Cost Sheet'!R25&amp;" "&amp;'Cost Sheet'!S25&amp;" "&amp;'Cost Sheet'!T25&amp;" "&amp;'Cost Sheet'!U25&amp;" "&amp;'Cost Sheet'!V25</f>
        <v xml:space="preserve">    </v>
      </c>
      <c r="G16" s="45">
        <f>'Cost Sheet'!J25</f>
        <v>0</v>
      </c>
    </row>
    <row r="17" spans="1:7" x14ac:dyDescent="0.25">
      <c r="A17" s="45" t="str">
        <f>$A$4&amp;"-14"</f>
        <v>0-14</v>
      </c>
      <c r="B17" s="45" t="str">
        <f t="shared" si="0"/>
        <v xml:space="preserve"> </v>
      </c>
      <c r="C17" s="45">
        <f>'Cost Sheet'!K26</f>
        <v>0</v>
      </c>
      <c r="D17" s="44">
        <f>'Cost Sheet'!L26</f>
        <v>0</v>
      </c>
      <c r="E17" s="43">
        <f>'Cost Sheet'!M26</f>
        <v>1.875</v>
      </c>
      <c r="F17" s="45" t="str">
        <f>'Cost Sheet'!R26&amp;" "&amp;'Cost Sheet'!S26&amp;" "&amp;'Cost Sheet'!T26&amp;" "&amp;'Cost Sheet'!U26&amp;" "&amp;'Cost Sheet'!V26</f>
        <v xml:space="preserve">    </v>
      </c>
      <c r="G17" s="45">
        <f>'Cost Sheet'!J26</f>
        <v>0</v>
      </c>
    </row>
    <row r="18" spans="1:7" x14ac:dyDescent="0.25">
      <c r="A18" s="45" t="str">
        <f>$A$4&amp;"-15"</f>
        <v>0-15</v>
      </c>
      <c r="B18" s="45" t="str">
        <f t="shared" si="0"/>
        <v xml:space="preserve"> </v>
      </c>
      <c r="C18" s="45">
        <f>'Cost Sheet'!K27</f>
        <v>0</v>
      </c>
      <c r="D18" s="44">
        <f>'Cost Sheet'!L27</f>
        <v>0</v>
      </c>
      <c r="E18" s="43">
        <f>'Cost Sheet'!M27</f>
        <v>0.5</v>
      </c>
      <c r="F18" s="45" t="str">
        <f>'Cost Sheet'!R27&amp;" "&amp;'Cost Sheet'!S27&amp;" "&amp;'Cost Sheet'!T27&amp;" "&amp;'Cost Sheet'!U27&amp;" "&amp;'Cost Sheet'!V27</f>
        <v xml:space="preserve">    </v>
      </c>
      <c r="G18" s="45">
        <f>'Cost Sheet'!J27</f>
        <v>0</v>
      </c>
    </row>
    <row r="19" spans="1:7" x14ac:dyDescent="0.25">
      <c r="A19" s="45" t="str">
        <f>$A$4&amp;"-16"</f>
        <v>0-16</v>
      </c>
      <c r="B19" s="45" t="str">
        <f t="shared" si="0"/>
        <v xml:space="preserve"> </v>
      </c>
      <c r="C19" s="45">
        <f>'Cost Sheet'!K28</f>
        <v>0</v>
      </c>
      <c r="D19" s="44">
        <f>'Cost Sheet'!L28</f>
        <v>0</v>
      </c>
      <c r="E19" s="43">
        <f>'Cost Sheet'!M28</f>
        <v>1.875</v>
      </c>
      <c r="F19" s="45" t="str">
        <f>'Cost Sheet'!R28&amp;" "&amp;'Cost Sheet'!S28&amp;" "&amp;'Cost Sheet'!T28&amp;" "&amp;'Cost Sheet'!U28&amp;" "&amp;'Cost Sheet'!V28</f>
        <v xml:space="preserve">    </v>
      </c>
      <c r="G19" s="45">
        <f>'Cost Sheet'!J28</f>
        <v>0</v>
      </c>
    </row>
    <row r="20" spans="1:7" x14ac:dyDescent="0.25">
      <c r="A20" s="45" t="str">
        <f>$A$4&amp;"-17"</f>
        <v>0-17</v>
      </c>
      <c r="B20" s="45" t="str">
        <f t="shared" si="0"/>
        <v xml:space="preserve"> </v>
      </c>
      <c r="C20" s="45">
        <f>'Cost Sheet'!K29</f>
        <v>0</v>
      </c>
      <c r="D20" s="44">
        <f>'Cost Sheet'!L29</f>
        <v>0</v>
      </c>
      <c r="E20" s="43">
        <f>'Cost Sheet'!M29</f>
        <v>6.25</v>
      </c>
      <c r="F20" s="45" t="str">
        <f>'Cost Sheet'!R29&amp;" "&amp;'Cost Sheet'!S29&amp;" "&amp;'Cost Sheet'!T29&amp;" "&amp;'Cost Sheet'!U29&amp;" "&amp;'Cost Sheet'!V29</f>
        <v xml:space="preserve">    </v>
      </c>
      <c r="G20" s="45">
        <f>'Cost Sheet'!J29</f>
        <v>0</v>
      </c>
    </row>
    <row r="21" spans="1:7" x14ac:dyDescent="0.25">
      <c r="A21" s="45" t="str">
        <f>$A$4&amp;"-18"</f>
        <v>0-18</v>
      </c>
      <c r="B21" s="45" t="str">
        <f t="shared" si="0"/>
        <v xml:space="preserve"> </v>
      </c>
      <c r="C21" s="45">
        <f>'Cost Sheet'!K30</f>
        <v>0</v>
      </c>
      <c r="D21" s="44">
        <f>'Cost Sheet'!L30</f>
        <v>0</v>
      </c>
      <c r="E21" s="43">
        <f>'Cost Sheet'!M30</f>
        <v>1.875</v>
      </c>
      <c r="F21" s="45" t="str">
        <f>'Cost Sheet'!R30&amp;" "&amp;'Cost Sheet'!S30&amp;" "&amp;'Cost Sheet'!T30&amp;" "&amp;'Cost Sheet'!U30&amp;" "&amp;'Cost Sheet'!V30</f>
        <v xml:space="preserve">    </v>
      </c>
      <c r="G21" s="45">
        <f>'Cost Sheet'!J30</f>
        <v>0</v>
      </c>
    </row>
    <row r="22" spans="1:7" x14ac:dyDescent="0.25">
      <c r="A22" s="45" t="str">
        <f>$A$4&amp;"-19"</f>
        <v>0-19</v>
      </c>
      <c r="B22" s="45" t="str">
        <f t="shared" si="0"/>
        <v xml:space="preserve"> </v>
      </c>
      <c r="C22" s="45">
        <f>'Cost Sheet'!K32</f>
        <v>0</v>
      </c>
      <c r="D22" s="44">
        <f>'Cost Sheet'!L32</f>
        <v>0</v>
      </c>
      <c r="E22" s="43">
        <f>'Cost Sheet'!M32</f>
        <v>1.375</v>
      </c>
      <c r="F22" s="45" t="str">
        <f>'Cost Sheet'!R32&amp;" "&amp;'Cost Sheet'!S32&amp;" "&amp;'Cost Sheet'!T32&amp;" "&amp;'Cost Sheet'!U32&amp;" "&amp;'Cost Sheet'!V32</f>
        <v xml:space="preserve">    </v>
      </c>
      <c r="G22" s="45">
        <f>'Cost Sheet'!J32</f>
        <v>0</v>
      </c>
    </row>
    <row r="23" spans="1:7" x14ac:dyDescent="0.25">
      <c r="A23" s="45" t="str">
        <f>$A$4&amp;"-20"</f>
        <v>0-20</v>
      </c>
      <c r="B23" s="45" t="str">
        <f t="shared" si="0"/>
        <v xml:space="preserve"> </v>
      </c>
      <c r="C23" s="45">
        <f>'Cost Sheet'!K33</f>
        <v>0</v>
      </c>
      <c r="D23" s="44">
        <f>'Cost Sheet'!L33</f>
        <v>0</v>
      </c>
      <c r="E23" s="43">
        <f>'Cost Sheet'!M33</f>
        <v>1.375</v>
      </c>
      <c r="F23" s="45" t="str">
        <f>'Cost Sheet'!R33&amp;" "&amp;'Cost Sheet'!S33&amp;" "&amp;'Cost Sheet'!T33&amp;" "&amp;'Cost Sheet'!U33&amp;" "&amp;'Cost Sheet'!V33</f>
        <v xml:space="preserve">    </v>
      </c>
      <c r="G23" s="45">
        <f>'Cost Sheet'!J33</f>
        <v>0</v>
      </c>
    </row>
    <row r="24" spans="1:7" x14ac:dyDescent="0.25">
      <c r="A24" s="45" t="str">
        <f>$A$4&amp;"-21"</f>
        <v>0-21</v>
      </c>
      <c r="B24" s="45" t="str">
        <f t="shared" si="0"/>
        <v xml:space="preserve"> </v>
      </c>
      <c r="C24" s="45">
        <f>'Cost Sheet'!K34</f>
        <v>0</v>
      </c>
      <c r="D24" s="44">
        <f>'Cost Sheet'!L34</f>
        <v>0</v>
      </c>
      <c r="E24" s="43">
        <f>'Cost Sheet'!M34</f>
        <v>1.375</v>
      </c>
      <c r="F24" s="45" t="str">
        <f>'Cost Sheet'!R34&amp;" "&amp;'Cost Sheet'!S34&amp;" "&amp;'Cost Sheet'!T34&amp;" "&amp;'Cost Sheet'!U34&amp;" "&amp;'Cost Sheet'!V34</f>
        <v xml:space="preserve">    </v>
      </c>
      <c r="G24" s="45">
        <f>'Cost Sheet'!J34</f>
        <v>0</v>
      </c>
    </row>
    <row r="25" spans="1:7" x14ac:dyDescent="0.25">
      <c r="A25" s="45" t="str">
        <f>$A$4&amp;"-22"</f>
        <v>0-22</v>
      </c>
      <c r="B25" s="45" t="str">
        <f t="shared" si="0"/>
        <v xml:space="preserve"> </v>
      </c>
      <c r="C25" s="45">
        <f>'Cost Sheet'!K35</f>
        <v>0</v>
      </c>
      <c r="D25" s="44">
        <f>'Cost Sheet'!L35</f>
        <v>0</v>
      </c>
      <c r="E25" s="43">
        <f>'Cost Sheet'!M35</f>
        <v>1.375</v>
      </c>
      <c r="F25" s="45" t="str">
        <f>'Cost Sheet'!R35&amp;" "&amp;'Cost Sheet'!S35&amp;" "&amp;'Cost Sheet'!T35&amp;" "&amp;'Cost Sheet'!U35&amp;" "&amp;'Cost Sheet'!V35</f>
        <v xml:space="preserve">    </v>
      </c>
      <c r="G25" s="45">
        <f>'Cost Sheet'!J35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M55" sqref="M55"/>
    </sheetView>
  </sheetViews>
  <sheetFormatPr defaultRowHeight="15" x14ac:dyDescent="0.25"/>
  <cols>
    <col min="1" max="1" width="14.42578125" bestFit="1" customWidth="1"/>
    <col min="2" max="2" width="13.5703125" bestFit="1" customWidth="1"/>
    <col min="3" max="3" width="2" bestFit="1" customWidth="1"/>
    <col min="4" max="6" width="12" bestFit="1" customWidth="1"/>
    <col min="7" max="7" width="8.42578125" bestFit="1" customWidth="1"/>
  </cols>
  <sheetData>
    <row r="1" spans="1:7" x14ac:dyDescent="0.25">
      <c r="A1" s="10" t="s">
        <v>214</v>
      </c>
      <c r="B1" s="10" t="s">
        <v>215</v>
      </c>
      <c r="C1" s="10">
        <v>1</v>
      </c>
      <c r="D1" s="10">
        <v>5</v>
      </c>
      <c r="E1" s="10">
        <v>10</v>
      </c>
      <c r="F1" s="10" t="s">
        <v>20</v>
      </c>
      <c r="G1" s="10" t="s">
        <v>10</v>
      </c>
    </row>
    <row r="2" spans="1:7" x14ac:dyDescent="0.25">
      <c r="A2" s="10">
        <f>'Cost Sheet'!B2</f>
        <v>0</v>
      </c>
      <c r="B2" s="10" t="str">
        <f>'Cost Sheet'!B3&amp;" "&amp;'Cost Sheet'!B4</f>
        <v xml:space="preserve"> </v>
      </c>
      <c r="C2" s="10" t="str">
        <f>'Cost Sheet'!F34</f>
        <v/>
      </c>
      <c r="D2" s="10" t="str">
        <f>'Cost Sheet'!F35</f>
        <v/>
      </c>
      <c r="E2" s="10" t="str">
        <f>'Cost Sheet'!F36</f>
        <v/>
      </c>
      <c r="F2" s="10" t="e">
        <f>AVERAGE(C2:E2)</f>
        <v>#DIV/0!</v>
      </c>
      <c r="G2" s="10" t="str">
        <f>'Cost Sheet'!E11</f>
        <v>SMARTCORE 23/32"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B6" sqref="B6"/>
    </sheetView>
  </sheetViews>
  <sheetFormatPr defaultRowHeight="15" x14ac:dyDescent="0.25"/>
  <cols>
    <col min="1" max="1" width="14.42578125" bestFit="1" customWidth="1"/>
    <col min="2" max="3" width="12.28515625" bestFit="1" customWidth="1"/>
    <col min="4" max="4" width="22.42578125" bestFit="1" customWidth="1"/>
    <col min="5" max="5" width="4.140625" bestFit="1" customWidth="1"/>
  </cols>
  <sheetData>
    <row r="1" spans="1:5" x14ac:dyDescent="0.25">
      <c r="A1" s="10" t="s">
        <v>214</v>
      </c>
      <c r="B1" s="10" t="s">
        <v>215</v>
      </c>
      <c r="C1" s="10" t="s">
        <v>224</v>
      </c>
      <c r="D1" s="10" t="s">
        <v>23</v>
      </c>
      <c r="E1" s="10" t="s">
        <v>24</v>
      </c>
    </row>
    <row r="2" spans="1:5" x14ac:dyDescent="0.25">
      <c r="A2" s="10">
        <f>'Cost Sheet'!$B$2</f>
        <v>0</v>
      </c>
      <c r="B2" s="10">
        <f>'Cost Sheet'!$B$3</f>
        <v>0</v>
      </c>
      <c r="C2" s="10" t="str">
        <f>'Cost Sheet'!A19</f>
        <v>KU1001</v>
      </c>
      <c r="D2" s="10" t="str">
        <f>'Cost Sheet'!B19</f>
        <v>5/16 T NUT</v>
      </c>
      <c r="E2" s="10">
        <f>'Cost Sheet'!C19</f>
        <v>0</v>
      </c>
    </row>
    <row r="3" spans="1:5" x14ac:dyDescent="0.25">
      <c r="A3" s="10">
        <f>'Cost Sheet'!$B$2</f>
        <v>0</v>
      </c>
      <c r="B3" s="10">
        <f>'Cost Sheet'!$B$3</f>
        <v>0</v>
      </c>
      <c r="C3" s="10" t="str">
        <f>'Cost Sheet'!A20</f>
        <v>SU1048</v>
      </c>
      <c r="D3" s="10" t="str">
        <f>'Cost Sheet'!B20</f>
        <v>AK1 CLIPS</v>
      </c>
      <c r="E3" s="10">
        <f>'Cost Sheet'!C20</f>
        <v>0</v>
      </c>
    </row>
    <row r="4" spans="1:5" x14ac:dyDescent="0.25">
      <c r="A4" s="10">
        <f>'Cost Sheet'!$B$2</f>
        <v>0</v>
      </c>
      <c r="B4" s="10">
        <f>'Cost Sheet'!$B$3</f>
        <v>0</v>
      </c>
      <c r="C4" s="10" t="str">
        <f>'Cost Sheet'!A21</f>
        <v>SU1034</v>
      </c>
      <c r="D4" s="10" t="str">
        <f>'Cost Sheet'!B21</f>
        <v>CL 4 CLIPS</v>
      </c>
      <c r="E4" s="10">
        <f>'Cost Sheet'!C21</f>
        <v>0</v>
      </c>
    </row>
    <row r="5" spans="1:5" x14ac:dyDescent="0.25">
      <c r="A5" s="10" t="str">
        <f>IF($C$5=""," ",'Cost Sheet'!$B$2)</f>
        <v xml:space="preserve"> </v>
      </c>
      <c r="B5" s="10" t="str">
        <f>IF($C$5=""," ",'Cost Sheet'!$B$2)</f>
        <v xml:space="preserve"> </v>
      </c>
      <c r="C5" s="10" t="str">
        <f>IF('Cost Sheet'!$B$5="KD","",'Cost Sheet'!A22)</f>
        <v/>
      </c>
      <c r="D5" s="10" t="str">
        <f>IF('Cost Sheet'!$B$5="KD","",'Cost Sheet'!B22)</f>
        <v/>
      </c>
      <c r="E5" s="10" t="str">
        <f>IF('Cost Sheet'!$B$5="KD","",'Cost Sheet'!C22)</f>
        <v/>
      </c>
    </row>
    <row r="6" spans="1:5" x14ac:dyDescent="0.25">
      <c r="A6" s="10" t="str">
        <f>IF($C$5=""," ",'Cost Sheet'!$B$2)</f>
        <v xml:space="preserve"> </v>
      </c>
      <c r="B6" s="10" t="str">
        <f>IF($C$5=""," ",'Cost Sheet'!$B$2)</f>
        <v xml:space="preserve"> </v>
      </c>
      <c r="C6" s="10" t="str">
        <f>IF('Cost Sheet'!$B$5="KD","",'Cost Sheet'!A23)</f>
        <v/>
      </c>
      <c r="D6" s="10" t="str">
        <f>IF('Cost Sheet'!$B$5="KD","",'Cost Sheet'!B23)</f>
        <v/>
      </c>
      <c r="E6" s="10" t="str">
        <f>IF('Cost Sheet'!$B$5="KD","",'Cost Sheet'!C23)</f>
        <v/>
      </c>
    </row>
    <row r="7" spans="1:5" x14ac:dyDescent="0.25">
      <c r="A7" s="10" t="str">
        <f>IF($C$5=""," ",'Cost Sheet'!$B$2)</f>
        <v xml:space="preserve"> </v>
      </c>
      <c r="B7" s="10" t="str">
        <f>IF($C$5=""," ",'Cost Sheet'!$B$2)</f>
        <v xml:space="preserve"> </v>
      </c>
      <c r="C7" s="10" t="str">
        <f>IF('Cost Sheet'!$B$5="KD","",'Cost Sheet'!A24)</f>
        <v/>
      </c>
      <c r="D7" s="10" t="str">
        <f>IF('Cost Sheet'!$B$5="KD","",'Cost Sheet'!B24)</f>
        <v/>
      </c>
      <c r="E7" s="10" t="str">
        <f>IF('Cost Sheet'!$B$5="KD","",'Cost Sheet'!C24)</f>
        <v/>
      </c>
    </row>
    <row r="8" spans="1:5" x14ac:dyDescent="0.25">
      <c r="A8" s="10" t="str">
        <f>IF($C$5=""," ",'Cost Sheet'!$B$2)</f>
        <v xml:space="preserve"> </v>
      </c>
      <c r="B8" s="10" t="str">
        <f>IF($C$5=""," ",'Cost Sheet'!$B$2)</f>
        <v xml:space="preserve"> </v>
      </c>
      <c r="C8" s="10" t="str">
        <f>IF('Cost Sheet'!$B$5="KD","",'Cost Sheet'!A25)</f>
        <v/>
      </c>
      <c r="D8" s="10" t="str">
        <f>IF('Cost Sheet'!$B$5="KD","",'Cost Sheet'!B25)</f>
        <v/>
      </c>
      <c r="E8" s="10" t="str">
        <f>IF('Cost Sheet'!$B$5="KD","",'Cost Sheet'!C25)</f>
        <v/>
      </c>
    </row>
    <row r="9" spans="1:5" x14ac:dyDescent="0.25">
      <c r="A9" s="10" t="str">
        <f>IF($C$5=""," ",'Cost Sheet'!$B$2)</f>
        <v xml:space="preserve"> </v>
      </c>
      <c r="B9" s="10" t="str">
        <f>IF($C$5=""," ",'Cost Sheet'!$B$2)</f>
        <v xml:space="preserve"> </v>
      </c>
      <c r="C9" s="10" t="str">
        <f>IF('Cost Sheet'!$B$5="KD","",'Cost Sheet'!A26)</f>
        <v/>
      </c>
      <c r="D9" s="10" t="str">
        <f>IF('Cost Sheet'!$B$5="KD","",'Cost Sheet'!B26)</f>
        <v/>
      </c>
      <c r="E9" s="10" t="str">
        <f>IF('Cost Sheet'!$B$5="KD","",'Cost Sheet'!C26)</f>
        <v/>
      </c>
    </row>
    <row r="10" spans="1:5" x14ac:dyDescent="0.25">
      <c r="A10" s="10" t="str">
        <f>IF($C$5=""," ",'Cost Sheet'!$B$2)</f>
        <v xml:space="preserve"> </v>
      </c>
      <c r="B10" s="10" t="str">
        <f>IF($C$5=""," ",'Cost Sheet'!$B$2)</f>
        <v xml:space="preserve"> </v>
      </c>
      <c r="C10" s="10" t="str">
        <f>IF('Cost Sheet'!$B$5="KD","",'Cost Sheet'!A27)</f>
        <v/>
      </c>
      <c r="D10" s="10" t="str">
        <f>IF('Cost Sheet'!$B$5="KD","",'Cost Sheet'!B27)</f>
        <v/>
      </c>
      <c r="E10" s="10" t="str">
        <f>IF('Cost Sheet'!$B$5="KD","",'Cost Sheet'!C27)</f>
        <v/>
      </c>
    </row>
    <row r="11" spans="1:5" x14ac:dyDescent="0.25">
      <c r="A11" s="10" t="str">
        <f>IF($C$5=""," ",'Cost Sheet'!$B$2)</f>
        <v xml:space="preserve"> </v>
      </c>
      <c r="B11" s="10" t="str">
        <f>IF($C$5=""," ",'Cost Sheet'!$B$2)</f>
        <v xml:space="preserve"> </v>
      </c>
      <c r="C11" s="10" t="str">
        <f>IF('Cost Sheet'!$B$5="KD","",'Cost Sheet'!A28)</f>
        <v/>
      </c>
      <c r="D11" s="10" t="str">
        <f>IF('Cost Sheet'!$B$5="KD","",'Cost Sheet'!B28)</f>
        <v/>
      </c>
      <c r="E11" s="10" t="str">
        <f>IF('Cost Sheet'!$B$5="KD","",'Cost Sheet'!C28)</f>
        <v/>
      </c>
    </row>
    <row r="12" spans="1:5" x14ac:dyDescent="0.25">
      <c r="A12" s="10" t="str">
        <f>IF($C$5=""," ",'Cost Sheet'!$B$2)</f>
        <v xml:space="preserve"> </v>
      </c>
      <c r="B12" s="10" t="str">
        <f>IF($C$5=""," ",'Cost Sheet'!$B$2)</f>
        <v xml:space="preserve"> </v>
      </c>
      <c r="C12" s="10" t="str">
        <f>IF('Cost Sheet'!$B$5="KD","",'Cost Sheet'!A29)</f>
        <v/>
      </c>
      <c r="D12" s="10" t="str">
        <f>IF('Cost Sheet'!$B$5="KD","",'Cost Sheet'!B29)</f>
        <v/>
      </c>
      <c r="E12" s="10" t="str">
        <f>IF('Cost Sheet'!$B$5="KD","",'Cost Sheet'!C29)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G27" sqref="G27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4" width="7" bestFit="1" customWidth="1"/>
    <col min="5" max="5" width="19.7109375" bestFit="1" customWidth="1"/>
  </cols>
  <sheetData>
    <row r="1" spans="1:5" x14ac:dyDescent="0.25">
      <c r="A1" s="10" t="s">
        <v>214</v>
      </c>
      <c r="B1" s="10" t="s">
        <v>215</v>
      </c>
      <c r="C1" s="10" t="s">
        <v>39</v>
      </c>
      <c r="D1" s="10" t="s">
        <v>225</v>
      </c>
      <c r="E1" s="10" t="s">
        <v>47</v>
      </c>
    </row>
    <row r="2" spans="1:5" x14ac:dyDescent="0.25">
      <c r="A2" s="10">
        <f>'Cost Sheet'!B2</f>
        <v>0</v>
      </c>
      <c r="B2" s="10">
        <f>'Cost Sheet'!B3</f>
        <v>0</v>
      </c>
      <c r="C2" s="75">
        <f>'Cost Sheet'!B12</f>
        <v>0</v>
      </c>
      <c r="D2" s="75">
        <f>'Cost Sheet'!B13</f>
        <v>0</v>
      </c>
      <c r="E2" s="75">
        <f>'Cost Sheet'!C14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Cost Sheet</vt:lpstr>
      <vt:lpstr>Material Info</vt:lpstr>
      <vt:lpstr>Spring Sku's</vt:lpstr>
      <vt:lpstr>SPRING UP ITEMS</vt:lpstr>
      <vt:lpstr>HdWd Database</vt:lpstr>
      <vt:lpstr>Nesting Database</vt:lpstr>
      <vt:lpstr>SUp Database</vt:lpstr>
      <vt:lpstr>Labor Database</vt:lpstr>
      <vt:lpstr>'Cost Sheet'!Print_Area</vt:lpstr>
      <vt:lpstr>SPRINGUP</vt:lpstr>
      <vt:lpstr>SPRINGUP2</vt:lpstr>
      <vt:lpstr>SPRINGUP3</vt:lpstr>
      <vt:lpstr>SPRINGUP4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Parris</dc:creator>
  <cp:lastModifiedBy>Jacob Parris</cp:lastModifiedBy>
  <cp:lastPrinted>2016-09-21T17:10:50Z</cp:lastPrinted>
  <dcterms:created xsi:type="dcterms:W3CDTF">2016-05-11T16:57:56Z</dcterms:created>
  <dcterms:modified xsi:type="dcterms:W3CDTF">2023-04-17T17:02:33Z</dcterms:modified>
</cp:coreProperties>
</file>