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-philippe.barret\Documents\Projects\beer-brewing\recipes\american stout\"/>
    </mc:Choice>
  </mc:AlternateContent>
  <bookViews>
    <workbookView xWindow="0" yWindow="0" windowWidth="28800" windowHeight="12300"/>
  </bookViews>
  <sheets>
    <sheet name="EZ Water Adjustment" sheetId="1" r:id="rId1"/>
    <sheet name="Raw Text Format" sheetId="3" r:id="rId2"/>
    <sheet name="Version information" sheetId="4" r:id="rId3"/>
  </sheets>
  <calcPr calcId="162913" concurrentCalc="0"/>
</workbook>
</file>

<file path=xl/calcChain.xml><?xml version="1.0" encoding="utf-8"?>
<calcChain xmlns="http://schemas.openxmlformats.org/spreadsheetml/2006/main">
  <c r="D9" i="1" l="1"/>
  <c r="H38" i="1"/>
  <c r="D51" i="1"/>
  <c r="F39" i="1"/>
  <c r="D19" i="3"/>
  <c r="D39" i="1"/>
  <c r="E39" i="1"/>
  <c r="D18" i="3"/>
  <c r="E46" i="1"/>
  <c r="D20" i="3"/>
  <c r="D46" i="1"/>
  <c r="F46" i="1"/>
  <c r="D21" i="3"/>
  <c r="G51" i="1"/>
  <c r="F51" i="1"/>
  <c r="F52" i="1"/>
  <c r="D28" i="3"/>
  <c r="E24" i="1"/>
  <c r="H39" i="1"/>
  <c r="E25" i="1"/>
  <c r="E9" i="1"/>
  <c r="G15" i="1"/>
  <c r="G16" i="1"/>
  <c r="G17" i="1"/>
  <c r="G18" i="1"/>
  <c r="E26" i="1"/>
  <c r="G19" i="1"/>
  <c r="G20" i="1"/>
  <c r="G21" i="1"/>
  <c r="G22" i="1"/>
  <c r="G23" i="1"/>
  <c r="B23" i="3"/>
  <c r="D12" i="3"/>
  <c r="D17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B28" i="3"/>
  <c r="E27" i="1"/>
  <c r="H51" i="1"/>
  <c r="I51" i="1"/>
  <c r="B31" i="3"/>
  <c r="B26" i="3"/>
  <c r="D52" i="1"/>
  <c r="D26" i="3"/>
  <c r="E51" i="1"/>
  <c r="G52" i="1"/>
  <c r="B14" i="3"/>
  <c r="D32" i="1"/>
  <c r="B29" i="3"/>
  <c r="D29" i="3"/>
  <c r="H52" i="1"/>
  <c r="D30" i="3"/>
  <c r="B30" i="3"/>
  <c r="E52" i="1"/>
  <c r="D27" i="3"/>
  <c r="B27" i="3"/>
  <c r="E32" i="1"/>
  <c r="B33" i="3"/>
  <c r="I52" i="1"/>
  <c r="B34" i="3"/>
  <c r="F32" i="1"/>
  <c r="B35" i="3"/>
  <c r="I53" i="1"/>
  <c r="D31" i="3"/>
</calcChain>
</file>

<file path=xl/sharedStrings.xml><?xml version="1.0" encoding="utf-8"?>
<sst xmlns="http://schemas.openxmlformats.org/spreadsheetml/2006/main" count="192" uniqueCount="159">
  <si>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</si>
  <si>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</si>
  <si>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</si>
  <si>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</si>
  <si>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</si>
  <si>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</si>
  <si>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</si>
  <si>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</si>
  <si>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</si>
  <si>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</si>
  <si>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</si>
  <si>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</si>
  <si>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</si>
  <si>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</si>
  <si>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</si>
  <si>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</si>
  <si>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</si>
  <si>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</si>
  <si>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t>Created by: TH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</si>
  <si>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</si>
  <si>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</si>
  <si>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</si>
  <si>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</si>
  <si>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</si>
  <si>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</si>
  <si>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</si>
  <si>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</si>
  <si>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</si>
  <si>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</si>
  <si>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</si>
  <si>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</si>
  <si>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</si>
  <si>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</si>
  <si>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</si>
  <si>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</si>
  <si>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</si>
  <si>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</si>
  <si>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</si>
  <si>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</si>
  <si>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</si>
  <si>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</si>
  <si>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</si>
  <si>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</si>
  <si>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</si>
  <si>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</si>
  <si>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</si>
  <si>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</si>
  <si>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</si>
  <si>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</si>
  <si>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</si>
  <si>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</si>
  <si>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</si>
  <si>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</si>
  <si>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</si>
  <si>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</si>
  <si>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</si>
  <si>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</si>
  <si>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</si>
  <si>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t>References: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</si>
  <si>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</si>
  <si>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</si>
  <si>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</si>
  <si>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</si>
  <si>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</si>
  <si>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</si>
  <si>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</si>
  <si>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</si>
  <si>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</si>
  <si>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</si>
  <si>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</si>
  <si>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</si>
  <si>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</si>
  <si>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</si>
  <si>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</si>
  <si>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</si>
  <si>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</si>
  <si>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</si>
  <si>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</si>
  <si>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</si>
  <si>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</si>
  <si>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</si>
  <si>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</si>
  <si>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</si>
  <si>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</si>
  <si>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</si>
  <si>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</si>
  <si>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</si>
  <si>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</si>
  <si>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</si>
  <si>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</si>
  <si>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</si>
  <si>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</si>
  <si>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Check for Updates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</si>
  <si>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</si>
  <si>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</si>
  <si>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</si>
  <si>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</si>
  <si>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</si>
  <si>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</si>
  <si>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</si>
  <si>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</si>
  <si>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</si>
  <si>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</si>
  <si>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</si>
  <si>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</si>
  <si>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</si>
  <si>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</si>
  <si>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</si>
  <si>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</si>
  <si>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</si>
  <si>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</si>
  <si>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</si>
  <si>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</si>
  <si>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</si>
  <si>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</si>
  <si>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</si>
  <si>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</si>
  <si>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</si>
  <si>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</si>
  <si>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</si>
  <si>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</si>
  <si>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</si>
  <si>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</si>
  <si>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</si>
  <si>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Recommended mineral ranges are from:</t>
  </si>
  <si>
    <t>John Palmer, "How to Brew"</t>
  </si>
  <si>
    <t>Recommended Cl to SO4 ratio ranges are from:</t>
  </si>
  <si>
    <t>John Palmer's RA spreadsheet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</si>
  <si>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</si>
  <si>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</si>
  <si>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</si>
  <si>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</si>
  <si>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</si>
  <si>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</si>
  <si>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t>Portions of the Alkalinity, RA, and pH calculations are based on information and experiments from:</t>
  </si>
  <si>
    <t>Kai Troester, "The effect of brewing water and grist composition on the pH of the mash"  2009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</si>
  <si>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</si>
  <si>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</si>
  <si>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</si>
  <si>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</si>
  <si>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</si>
  <si>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</si>
  <si>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</si>
  <si>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</si>
  <si>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EZ Water Calculator Spreadsheet 3.0 - METRIC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</si>
  <si>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</si>
  <si>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</si>
  <si>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</si>
  <si>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</si>
  <si>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</si>
  <si>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</si>
  <si>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</si>
  <si>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</si>
  <si>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Version 3.0.2 (02-22-12)</t>
  </si>
  <si>
    <t>v3.0.2</t>
  </si>
  <si>
    <t>Added notes regarding when to add salts to mash and sparge water.  Revised donation button &amp; link.</t>
  </si>
  <si>
    <t>You can also help support EZwater by visiting the following advertiser's website:</t>
  </si>
  <si>
    <t>This spreadsheet is totally free for you to use however you would like. However, should you desire to show your appreciation, please consider making a donation. Thanks for your consideration!</t>
  </si>
  <si>
    <t>Note: By donating $5 or more you will be notified of any spreadsheet updates by email (unless of course you indicate not to be).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</si>
</sst>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%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u/>
      <sz val="8"/>
      <color indexed="12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10" fillId="2" borderId="8" xfId="0" applyFont="1" applyFill="1" applyBorder="1" applyAlignment="1" applyProtection="1">
      <alignment horizontal="center"/>
      <protection hidden="1"/>
    </xf>
    <xf numFmtId="0" fontId="7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1" applyAlignment="1" applyProtection="1">
      <alignment horizontal="left"/>
    </xf>
    <xf numFmtId="0" fontId="14" fillId="0" borderId="7" xfId="2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indent="1"/>
    </xf>
    <xf numFmtId="0" fontId="18" fillId="2" borderId="0" xfId="0" applyFont="1" applyFill="1" applyBorder="1" applyAlignment="1">
      <alignment vertical="top" wrapText="1"/>
    </xf>
    <xf numFmtId="0" fontId="18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1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3" fillId="0" borderId="0" xfId="1" applyFont="1" applyAlignment="1" applyProtection="1">
      <alignment horizontal="left" vertical="top" wrapText="1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8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 vertical="center"/>
    </xf>
    <xf numFmtId="1" fontId="12" fillId="2" borderId="12" xfId="0" quotePrefix="1" applyNumberFormat="1" applyFont="1" applyFill="1" applyBorder="1" applyAlignment="1">
      <alignment horizontal="center" vertical="center"/>
    </xf>
    <xf numFmtId="1" fontId="12" fillId="2" borderId="13" xfId="0" applyNumberFormat="1" applyFont="1" applyFill="1" applyBorder="1" applyAlignment="1">
      <alignment horizontal="center" vertical="center"/>
    </xf>
    <xf numFmtId="0" fontId="6" fillId="0" borderId="0" xfId="1" applyAlignment="1" applyProtection="1"/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8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3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3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2" applyNumberFormat="1" applyFont="1" applyFill="1" applyBorder="1" applyAlignment="1">
      <alignment horizontal="center" vertical="center"/>
    </xf>
    <xf numFmtId="164" fontId="14" fillId="4" borderId="0" xfId="0" applyNumberFormat="1" applyFont="1" applyFill="1" applyBorder="1" applyAlignment="1">
      <alignment horizontal="right" vertical="center"/>
    </xf>
    <xf numFmtId="9" fontId="1" fillId="4" borderId="7" xfId="2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164" fontId="18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1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1" fillId="5" borderId="3" xfId="0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wrapText="1"/>
    </xf>
    <xf numFmtId="0" fontId="18" fillId="5" borderId="5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4" fillId="5" borderId="15" xfId="0" applyNumberFormat="1" applyFont="1" applyFill="1" applyBorder="1" applyAlignment="1">
      <alignment horizontal="center" vertical="center"/>
    </xf>
    <xf numFmtId="1" fontId="14" fillId="5" borderId="16" xfId="0" applyNumberFormat="1" applyFont="1" applyFill="1" applyBorder="1" applyAlignment="1">
      <alignment horizontal="center" vertical="center"/>
    </xf>
    <xf numFmtId="2" fontId="25" fillId="5" borderId="17" xfId="0" applyNumberFormat="1" applyFont="1" applyFill="1" applyBorder="1" applyAlignment="1">
      <alignment horizontal="center" vertical="center"/>
    </xf>
    <xf numFmtId="1" fontId="22" fillId="5" borderId="18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top" wrapText="1"/>
    </xf>
    <xf numFmtId="0" fontId="18" fillId="3" borderId="5" xfId="0" applyFont="1" applyFill="1" applyBorder="1" applyAlignment="1">
      <alignment horizontal="left" vertical="top" wrapText="1"/>
    </xf>
    <xf numFmtId="0" fontId="24" fillId="3" borderId="0" xfId="0" applyFont="1" applyFill="1" applyBorder="1" applyAlignment="1">
      <alignment vertical="top" wrapText="1"/>
    </xf>
    <xf numFmtId="0" fontId="18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 wrapText="1"/>
    </xf>
    <xf numFmtId="0" fontId="27" fillId="3" borderId="3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right" vertical="center"/>
    </xf>
    <xf numFmtId="0" fontId="18" fillId="5" borderId="9" xfId="0" applyFont="1" applyFill="1" applyBorder="1" applyAlignment="1">
      <alignment vertical="center" wrapText="1"/>
    </xf>
    <xf numFmtId="164" fontId="11" fillId="4" borderId="0" xfId="0" applyNumberFormat="1" applyFont="1" applyFill="1" applyBorder="1" applyAlignment="1">
      <alignment vertical="top" wrapText="1"/>
    </xf>
    <xf numFmtId="164" fontId="11" fillId="4" borderId="9" xfId="0" applyNumberFormat="1" applyFont="1" applyFill="1" applyBorder="1" applyAlignment="1">
      <alignment vertical="top" wrapText="1"/>
    </xf>
    <xf numFmtId="164" fontId="11" fillId="4" borderId="5" xfId="0" applyNumberFormat="1" applyFont="1" applyFill="1" applyBorder="1" applyAlignment="1">
      <alignment vertical="top" wrapText="1"/>
    </xf>
    <xf numFmtId="164" fontId="11" fillId="4" borderId="14" xfId="0" applyNumberFormat="1" applyFont="1" applyFill="1" applyBorder="1" applyAlignment="1">
      <alignment vertical="top" wrapText="1"/>
    </xf>
    <xf numFmtId="164" fontId="11" fillId="4" borderId="0" xfId="0" applyNumberFormat="1" applyFont="1" applyFill="1" applyBorder="1" applyAlignment="1">
      <alignment horizontal="left" vertical="center" indent="3"/>
    </xf>
    <xf numFmtId="164" fontId="11" fillId="4" borderId="0" xfId="0" applyNumberFormat="1" applyFont="1" applyFill="1" applyBorder="1" applyAlignment="1">
      <alignment horizontal="left" vertical="center" indent="2"/>
    </xf>
    <xf numFmtId="166" fontId="11" fillId="4" borderId="0" xfId="0" applyNumberFormat="1" applyFont="1" applyFill="1" applyBorder="1" applyAlignment="1">
      <alignment horizontal="left" vertical="center"/>
    </xf>
    <xf numFmtId="0" fontId="18" fillId="5" borderId="9" xfId="0" applyFont="1" applyFill="1" applyBorder="1" applyAlignment="1">
      <alignment vertical="center"/>
    </xf>
    <xf numFmtId="0" fontId="26" fillId="3" borderId="19" xfId="0" applyFont="1" applyFill="1" applyBorder="1" applyAlignment="1">
      <alignment horizontal="center" vertical="center"/>
    </xf>
    <xf numFmtId="2" fontId="27" fillId="3" borderId="1" xfId="0" applyNumberFormat="1" applyFont="1" applyFill="1" applyBorder="1" applyAlignment="1" applyProtection="1">
      <alignment horizontal="center" vertical="center"/>
    </xf>
    <xf numFmtId="0" fontId="27" fillId="3" borderId="20" xfId="0" quotePrefix="1" applyFont="1" applyFill="1" applyBorder="1" applyAlignment="1">
      <alignment horizontal="left" vertical="center"/>
    </xf>
    <xf numFmtId="2" fontId="27" fillId="3" borderId="21" xfId="0" applyNumberFormat="1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/>
    </xf>
    <xf numFmtId="2" fontId="27" fillId="3" borderId="23" xfId="0" applyNumberFormat="1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left" vertical="center"/>
    </xf>
    <xf numFmtId="2" fontId="27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/>
    </xf>
    <xf numFmtId="164" fontId="27" fillId="3" borderId="0" xfId="0" applyNumberFormat="1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left" indent="1"/>
    </xf>
    <xf numFmtId="0" fontId="13" fillId="3" borderId="0" xfId="0" applyFont="1" applyFill="1" applyBorder="1" applyAlignment="1">
      <alignment horizontal="center" vertical="center"/>
    </xf>
    <xf numFmtId="164" fontId="27" fillId="4" borderId="0" xfId="0" applyNumberFormat="1" applyFont="1" applyFill="1" applyBorder="1" applyAlignment="1">
      <alignment horizontal="right" vertical="center"/>
    </xf>
    <xf numFmtId="164" fontId="27" fillId="4" borderId="7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right" vertical="center"/>
    </xf>
    <xf numFmtId="2" fontId="27" fillId="2" borderId="7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indent="3"/>
    </xf>
    <xf numFmtId="0" fontId="11" fillId="4" borderId="0" xfId="0" applyFont="1" applyFill="1" applyBorder="1" applyAlignment="1">
      <alignment horizontal="left" vertical="center" indent="1"/>
    </xf>
    <xf numFmtId="164" fontId="11" fillId="4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0" fillId="0" borderId="0" xfId="0" applyAlignment="1"/>
    <xf numFmtId="0" fontId="0" fillId="6" borderId="0" xfId="0" applyFill="1"/>
    <xf numFmtId="0" fontId="0" fillId="6" borderId="0" xfId="0" applyFill="1" applyBorder="1"/>
    <xf numFmtId="0" fontId="18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11" fillId="0" borderId="0" xfId="0" applyFont="1" applyBorder="1" applyAlignment="1">
      <alignment vertical="top" wrapText="1"/>
    </xf>
    <xf numFmtId="0" fontId="6" fillId="0" borderId="0" xfId="1" applyFont="1" applyAlignment="1" applyProtection="1"/>
    <xf numFmtId="0" fontId="24" fillId="3" borderId="26" xfId="0" applyFont="1" applyFill="1" applyBorder="1" applyAlignment="1">
      <alignment horizontal="left" vertical="top" wrapText="1"/>
    </xf>
    <xf numFmtId="0" fontId="18" fillId="5" borderId="0" xfId="0" applyFont="1" applyFill="1" applyBorder="1" applyAlignment="1">
      <alignment horizontal="left" vertical="top" wrapText="1" indent="3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7" fillId="3" borderId="0" xfId="0" applyFont="1" applyFill="1" applyAlignment="1">
      <alignment horizontal="left" vertical="center" wrapText="1" indent="4"/>
    </xf>
    <xf numFmtId="0" fontId="27" fillId="0" borderId="0" xfId="0" applyFont="1" applyAlignment="1">
      <alignment horizontal="left" vertical="center" wrapText="1" indent="4"/>
    </xf>
    <xf numFmtId="0" fontId="27" fillId="0" borderId="5" xfId="0" applyFont="1" applyBorder="1" applyAlignment="1">
      <alignment horizontal="left" vertical="center" wrapText="1" indent="4"/>
    </xf>
    <xf numFmtId="0" fontId="27" fillId="0" borderId="9" xfId="0" applyFont="1" applyBorder="1" applyAlignment="1">
      <alignment horizontal="left" vertical="center" wrapText="1" indent="4"/>
    </xf>
    <xf numFmtId="0" fontId="27" fillId="0" borderId="14" xfId="0" applyFont="1" applyBorder="1" applyAlignment="1">
      <alignment horizontal="left" vertical="center" wrapText="1" indent="4"/>
    </xf>
    <xf numFmtId="0" fontId="18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8" fillId="4" borderId="3" xfId="0" applyNumberFormat="1" applyFont="1" applyFill="1" applyBorder="1" applyAlignment="1">
      <alignment horizontal="left" vertical="center" wrapText="1"/>
    </xf>
    <xf numFmtId="164" fontId="18" fillId="4" borderId="8" xfId="0" applyNumberFormat="1" applyFont="1" applyFill="1" applyBorder="1" applyAlignment="1">
      <alignment horizontal="left" vertical="center" wrapText="1"/>
    </xf>
    <xf numFmtId="164" fontId="18" fillId="4" borderId="0" xfId="0" applyNumberFormat="1" applyFont="1" applyFill="1" applyBorder="1" applyAlignment="1">
      <alignment horizontal="left" vertical="center" wrapText="1"/>
    </xf>
    <xf numFmtId="164" fontId="18" fillId="4" borderId="5" xfId="0" applyNumberFormat="1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 indent="10"/>
    </xf>
    <xf numFmtId="0" fontId="18" fillId="2" borderId="5" xfId="0" applyFont="1" applyFill="1" applyBorder="1" applyAlignment="1">
      <alignment horizontal="left" vertical="center" wrapText="1" indent="10"/>
    </xf>
    <xf numFmtId="0" fontId="11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4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6" fillId="0" borderId="0" xfId="1" applyFont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1" fillId="6" borderId="0" xfId="0" applyFont="1" applyFill="1" applyBorder="1" applyAlignment="1">
      <alignment horizontal="left" vertical="center" wrapText="1"/>
    </xf>
    <xf numFmtId="0" fontId="28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6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left" vertical="top" wrapText="1"/>
    </xf>
    <xf numFmtId="0" fontId="18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7" fillId="5" borderId="0" xfId="0" applyFont="1" applyFill="1" applyBorder="1" applyAlignment="1">
      <alignment horizontal="center" wrapText="1"/>
    </xf>
    <xf numFmtId="0" fontId="17" fillId="5" borderId="35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5" borderId="34" xfId="0" applyFont="1" applyFill="1" applyBorder="1" applyAlignment="1">
      <alignment horizontal="center" wrapText="1"/>
    </xf>
    <xf numFmtId="0" fontId="18" fillId="5" borderId="3" xfId="0" applyFont="1" applyFill="1" applyBorder="1" applyAlignment="1">
      <alignment horizontal="left" vertical="top" wrapText="1" indent="3"/>
    </xf>
    <xf numFmtId="0" fontId="18" fillId="5" borderId="8" xfId="0" applyFont="1" applyFill="1" applyBorder="1" applyAlignment="1">
      <alignment horizontal="left" vertical="top" wrapText="1" indent="3"/>
    </xf>
    <xf numFmtId="0" fontId="18" fillId="5" borderId="5" xfId="0" applyFont="1" applyFill="1" applyBorder="1" applyAlignment="1">
      <alignment horizontal="left" vertical="top" wrapText="1" indent="3"/>
    </xf>
    <xf numFmtId="0" fontId="0" fillId="0" borderId="36" xfId="0" applyBorder="1" applyAlignment="1">
      <alignment horizontal="left" vertical="top"/>
    </xf>
  </cellXfs>
  <cellStyles count="3">
    <cellStyle name="Hyperlink" xfId="1" builtinId="8"/>
    <cellStyle name="Normal" xfId="0" builtinId="0"/>
    <cellStyle name="Percent" xfId="2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0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checked="Checked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F$45" lockText="1" noThreeD="1"/>
</file>

<file path=xl/ctrlProps/ctrlProp4.xml><?xml version="1.0" encoding="utf-8"?>
<formControlPr xmlns="http://schemas.microsoft.com/office/spreadsheetml/2009/9/main" objectType="CheckBox" checked="Checked" fmlaLink="$D$38" lockText="1" noThreeD="1"/>
</file>

<file path=xl/ctrlProps/ctrlProp5.xml><?xml version="1.0" encoding="utf-8"?>
<formControlPr xmlns="http://schemas.microsoft.com/office/spreadsheetml/2009/9/main" objectType="CheckBox" checked="Checked" fmlaLink="$E$38" lockText="1" noThreeD="1"/>
</file>

<file path=xl/ctrlProps/ctrlProp6.xml><?xml version="1.0" encoding="utf-8"?>
<formControlPr xmlns="http://schemas.microsoft.com/office/spreadsheetml/2009/9/main" objectType="CheckBox" checked="Checked" fmlaLink="$F$38" lockText="1" noThreeD="1"/>
</file>

<file path=xl/ctrlProps/ctrlProp7.xml><?xml version="1.0" encoding="utf-8"?>
<formControlPr xmlns="http://schemas.microsoft.com/office/spreadsheetml/2009/9/main" objectType="CheckBox" checked="Checked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2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homebrewsupply.com/?a_aid=toddhuizingh&amp;a_bid=70d8cb08#a_aid=toddhuizingh&amp;a_bid=70d8cb08&amp;chan=code2" TargetMode="External"/><Relationship Id="rId1" Type="http://schemas.openxmlformats.org/officeDocument/2006/relationships/hyperlink" Target="http://www.ezwatercalculator.com/donate_redirect.html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/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/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/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/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/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/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/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/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/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/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/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/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/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/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/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/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/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/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/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/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/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/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/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/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57</xdr:row>
          <xdr:rowOff>180975</xdr:rowOff>
        </xdr:from>
        <xdr:to>
          <xdr:col>2</xdr:col>
          <xdr:colOff>1600200</xdr:colOff>
          <xdr:row>61</xdr:row>
          <xdr:rowOff>47625</xdr:rowOff>
        </xdr:to>
        <xdr:sp macro="" textlink="">
          <xdr:nvSpPr>
            <xdr:cNvPr id="1104" name="Object 80" hidden="1">
              <a:hlinkClick xmlns:r="http://schemas.openxmlformats.org/officeDocument/2006/relationships" r:id="rId1"/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63</xdr:row>
      <xdr:rowOff>0</xdr:rowOff>
    </xdr:from>
    <xdr:to>
      <xdr:col>4</xdr:col>
      <xdr:colOff>628650</xdr:colOff>
      <xdr:row>64</xdr:row>
      <xdr:rowOff>0</xdr:rowOff>
    </xdr:to>
    <xdr:pic>
      <xdr:nvPicPr>
        <xdr:cNvPr id="1129" name="Picture 4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687300"/>
          <a:ext cx="35909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26" Type="http://schemas.openxmlformats.org/officeDocument/2006/relationships/ctrlProp" Target="../ctrlProps/ctrlProp16.xml"/><Relationship Id="rId3" Type="http://schemas.openxmlformats.org/officeDocument/2006/relationships/hyperlink" Target="http://www.howtobrew.com/section3/chapter15-1.html" TargetMode="External"/><Relationship Id="rId21" Type="http://schemas.openxmlformats.org/officeDocument/2006/relationships/ctrlProp" Target="../ctrlProps/ctrlProp11.xm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5" Type="http://schemas.openxmlformats.org/officeDocument/2006/relationships/ctrlProp" Target="../ctrlProps/ctrlProp15.xml"/><Relationship Id="rId2" Type="http://schemas.openxmlformats.org/officeDocument/2006/relationships/hyperlink" Target="http://braukaiser.com/documents/effect_of_water_and_grist_on_mash_pH.pdf" TargetMode="External"/><Relationship Id="rId16" Type="http://schemas.openxmlformats.org/officeDocument/2006/relationships/ctrlProp" Target="../ctrlProps/ctrlProp6.xml"/><Relationship Id="rId20" Type="http://schemas.openxmlformats.org/officeDocument/2006/relationships/ctrlProp" Target="../ctrlProps/ctrlProp10.xml"/><Relationship Id="rId1" Type="http://schemas.openxmlformats.org/officeDocument/2006/relationships/hyperlink" Target="http://iam.homebrewtalk.com/-TH-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1.xml"/><Relationship Id="rId24" Type="http://schemas.openxmlformats.org/officeDocument/2006/relationships/ctrlProp" Target="../ctrlProps/ctrlProp14.xml"/><Relationship Id="rId5" Type="http://schemas.openxmlformats.org/officeDocument/2006/relationships/hyperlink" Target="http://www.ezwatercalculator.com/" TargetMode="External"/><Relationship Id="rId15" Type="http://schemas.openxmlformats.org/officeDocument/2006/relationships/ctrlProp" Target="../ctrlProps/ctrlProp5.xml"/><Relationship Id="rId23" Type="http://schemas.openxmlformats.org/officeDocument/2006/relationships/ctrlProp" Target="../ctrlProps/ctrlProp13.xml"/><Relationship Id="rId10" Type="http://schemas.openxmlformats.org/officeDocument/2006/relationships/image" Target="../media/image1.emf"/><Relationship Id="rId19" Type="http://schemas.openxmlformats.org/officeDocument/2006/relationships/ctrlProp" Target="../ctrlProps/ctrlProp9.xml"/><Relationship Id="rId4" Type="http://schemas.openxmlformats.org/officeDocument/2006/relationships/hyperlink" Target="http://howtobrew.com/section3/Palmers_Mash_RA_ver2e.xls" TargetMode="External"/><Relationship Id="rId9" Type="http://schemas.openxmlformats.org/officeDocument/2006/relationships/oleObject" Target="../embeddings/oleObject1.bin"/><Relationship Id="rId14" Type="http://schemas.openxmlformats.org/officeDocument/2006/relationships/ctrlProp" Target="../ctrlProps/ctrlProp4.xml"/><Relationship Id="rId22" Type="http://schemas.openxmlformats.org/officeDocument/2006/relationships/ctrlProp" Target="../ctrlProps/ctrlProp12.xml"/><Relationship Id="rId27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showGridLines="0" tabSelected="1" topLeftCell="A13" zoomScale="85" workbookViewId="0">
      <selection activeCell="D8" sqref="D8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204" t="s">
        <v>144</v>
      </c>
      <c r="D1" s="204"/>
      <c r="E1" s="204"/>
      <c r="F1" s="204"/>
      <c r="G1" s="204"/>
      <c r="H1" s="204"/>
      <c r="I1" s="204"/>
      <c r="J1" s="204"/>
      <c r="K1" s="204"/>
      <c r="L1" s="1"/>
    </row>
    <row r="2" spans="2:12" ht="15" customHeight="1" x14ac:dyDescent="0.2">
      <c r="B2" s="4"/>
      <c r="C2" s="46" t="s">
        <v>104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7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206" t="s">
        <v>24</v>
      </c>
      <c r="J3" s="206"/>
      <c r="K3" s="207">
        <v>1</v>
      </c>
      <c r="L3" s="1"/>
    </row>
    <row r="4" spans="2:12" ht="15" customHeight="1" x14ac:dyDescent="0.3">
      <c r="B4" s="6"/>
      <c r="C4" s="30" t="s">
        <v>102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19</v>
      </c>
      <c r="I4" s="205" t="s">
        <v>25</v>
      </c>
      <c r="J4" s="205"/>
      <c r="K4" s="207"/>
      <c r="L4" s="1"/>
    </row>
    <row r="5" spans="2:12" s="2" customFormat="1" ht="18" customHeight="1" x14ac:dyDescent="0.2">
      <c r="B5" s="9"/>
      <c r="C5" s="15" t="s">
        <v>17</v>
      </c>
      <c r="D5" s="24">
        <v>50.6</v>
      </c>
      <c r="E5" s="24">
        <v>4</v>
      </c>
      <c r="F5" s="24">
        <v>2.7</v>
      </c>
      <c r="G5" s="24">
        <v>4</v>
      </c>
      <c r="H5" s="24">
        <v>6.5</v>
      </c>
      <c r="I5" s="24">
        <v>166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41"/>
      <c r="I6" s="41"/>
      <c r="J6" s="31"/>
      <c r="K6" s="32"/>
      <c r="L6" s="1"/>
    </row>
    <row r="7" spans="2:12" ht="15" customHeight="1" x14ac:dyDescent="0.2">
      <c r="B7" s="6"/>
      <c r="C7" s="30" t="s">
        <v>103</v>
      </c>
      <c r="D7" s="7" t="s">
        <v>15</v>
      </c>
      <c r="E7" s="7" t="s">
        <v>14</v>
      </c>
      <c r="F7" s="7"/>
      <c r="G7" s="10"/>
      <c r="H7" s="31"/>
      <c r="I7" s="212" t="s">
        <v>110</v>
      </c>
      <c r="J7" s="212"/>
      <c r="K7" s="213"/>
      <c r="L7" s="1"/>
    </row>
    <row r="8" spans="2:12" s="2" customFormat="1" ht="18" customHeight="1" x14ac:dyDescent="0.2">
      <c r="B8" s="9"/>
      <c r="C8" s="17" t="s">
        <v>143</v>
      </c>
      <c r="D8" s="13">
        <v>14.4</v>
      </c>
      <c r="E8" s="13">
        <v>0</v>
      </c>
      <c r="F8" s="10"/>
      <c r="G8" s="10"/>
      <c r="H8" s="31"/>
      <c r="I8" s="212"/>
      <c r="J8" s="212"/>
      <c r="K8" s="213"/>
    </row>
    <row r="9" spans="2:12" s="2" customFormat="1" ht="18" customHeight="1" x14ac:dyDescent="0.2">
      <c r="B9" s="9"/>
      <c r="C9" s="155" t="s">
        <v>148</v>
      </c>
      <c r="D9" s="156">
        <f>D8/3.785412</f>
        <v>3.8040773368922589</v>
      </c>
      <c r="E9" s="156">
        <f>E8/3.785412</f>
        <v>0</v>
      </c>
      <c r="F9" s="10"/>
      <c r="G9" s="10"/>
      <c r="H9" s="31"/>
      <c r="I9" s="212"/>
      <c r="J9" s="212"/>
      <c r="K9" s="213"/>
    </row>
    <row r="10" spans="2:12" s="2" customFormat="1" ht="18" customHeight="1" x14ac:dyDescent="0.2">
      <c r="B10" s="9"/>
      <c r="C10" s="17" t="s">
        <v>56</v>
      </c>
      <c r="D10" s="14">
        <v>0</v>
      </c>
      <c r="E10" s="14">
        <v>0</v>
      </c>
      <c r="F10" s="10"/>
      <c r="G10" s="10"/>
      <c r="H10" s="31"/>
      <c r="I10" s="212"/>
      <c r="J10" s="212"/>
      <c r="K10" s="213"/>
    </row>
    <row r="11" spans="2:12" s="2" customFormat="1" ht="15" customHeight="1" thickBot="1" x14ac:dyDescent="0.25">
      <c r="B11" s="42"/>
      <c r="C11" s="43"/>
      <c r="D11" s="44"/>
      <c r="E11" s="44"/>
      <c r="F11" s="44"/>
      <c r="G11" s="44"/>
      <c r="H11" s="45"/>
      <c r="I11" s="214"/>
      <c r="J11" s="214"/>
      <c r="K11" s="215"/>
    </row>
    <row r="12" spans="2:12" s="2" customFormat="1" ht="15" customHeight="1" x14ac:dyDescent="0.2">
      <c r="B12" s="59"/>
      <c r="C12" s="60" t="s">
        <v>112</v>
      </c>
      <c r="D12" s="61"/>
      <c r="E12" s="61"/>
      <c r="F12" s="61"/>
      <c r="G12" s="127" t="s">
        <v>107</v>
      </c>
      <c r="H12" s="128"/>
      <c r="I12" s="128" t="s">
        <v>83</v>
      </c>
      <c r="J12" s="128" t="s">
        <v>91</v>
      </c>
      <c r="K12" s="62"/>
    </row>
    <row r="13" spans="2:12" s="2" customFormat="1" ht="15" customHeight="1" x14ac:dyDescent="0.2">
      <c r="B13" s="63"/>
      <c r="C13" s="73"/>
      <c r="D13" s="64" t="s">
        <v>79</v>
      </c>
      <c r="E13" s="64" t="s">
        <v>78</v>
      </c>
      <c r="F13" s="64" t="s">
        <v>77</v>
      </c>
      <c r="G13" s="128" t="s">
        <v>108</v>
      </c>
      <c r="H13" s="129">
        <v>1</v>
      </c>
      <c r="I13" s="141" t="s">
        <v>82</v>
      </c>
      <c r="J13" s="142"/>
      <c r="K13" s="121"/>
    </row>
    <row r="14" spans="2:12" s="2" customFormat="1" ht="15" customHeight="1" x14ac:dyDescent="0.2">
      <c r="B14" s="63"/>
      <c r="C14" s="122"/>
      <c r="D14" s="124" t="s">
        <v>113</v>
      </c>
      <c r="E14" s="64" t="s">
        <v>145</v>
      </c>
      <c r="F14" s="125" t="s">
        <v>90</v>
      </c>
      <c r="G14" s="128" t="s">
        <v>109</v>
      </c>
      <c r="H14" s="129">
        <v>2</v>
      </c>
      <c r="I14" s="143" t="s">
        <v>84</v>
      </c>
      <c r="J14" s="144">
        <v>5.7</v>
      </c>
      <c r="K14" s="65"/>
    </row>
    <row r="15" spans="2:12" s="2" customFormat="1" ht="18" customHeight="1" x14ac:dyDescent="0.2">
      <c r="B15" s="63"/>
      <c r="C15" s="173" t="s">
        <v>118</v>
      </c>
      <c r="D15" s="66">
        <v>2</v>
      </c>
      <c r="E15" s="13">
        <v>2.11</v>
      </c>
      <c r="F15" s="139">
        <v>0</v>
      </c>
      <c r="G15" s="140">
        <f>IF(D15=10,5.22-0.00504*F15,VLOOKUP(D15,H$13:J$23,3,FALSE))</f>
        <v>5.7</v>
      </c>
      <c r="H15" s="129">
        <v>3</v>
      </c>
      <c r="I15" s="143" t="s">
        <v>85</v>
      </c>
      <c r="J15" s="144">
        <v>5.79</v>
      </c>
      <c r="K15" s="65"/>
    </row>
    <row r="16" spans="2:12" s="2" customFormat="1" ht="18" customHeight="1" x14ac:dyDescent="0.2">
      <c r="B16" s="63"/>
      <c r="C16" s="173"/>
      <c r="D16" s="66">
        <v>11</v>
      </c>
      <c r="E16" s="13">
        <v>0.14000000000000001</v>
      </c>
      <c r="F16" s="139">
        <v>0</v>
      </c>
      <c r="G16" s="140">
        <f t="shared" ref="G16:G23" si="0">IF(D16=10,5.22-0.00504*F16,VLOOKUP(D16,H$13:J$23,3,FALSE))</f>
        <v>4.71</v>
      </c>
      <c r="H16" s="129">
        <v>4</v>
      </c>
      <c r="I16" s="143" t="s">
        <v>86</v>
      </c>
      <c r="J16" s="144">
        <v>5.77</v>
      </c>
      <c r="K16" s="65"/>
    </row>
    <row r="17" spans="2:12" s="2" customFormat="1" ht="18" customHeight="1" x14ac:dyDescent="0.2">
      <c r="B17" s="63"/>
      <c r="C17" s="173"/>
      <c r="D17" s="66">
        <v>11</v>
      </c>
      <c r="E17" s="13">
        <v>0.1</v>
      </c>
      <c r="F17" s="139">
        <v>20</v>
      </c>
      <c r="G17" s="140">
        <f t="shared" si="0"/>
        <v>4.71</v>
      </c>
      <c r="H17" s="129">
        <v>5</v>
      </c>
      <c r="I17" s="143" t="s">
        <v>95</v>
      </c>
      <c r="J17" s="144">
        <v>5.43</v>
      </c>
      <c r="K17" s="65"/>
    </row>
    <row r="18" spans="2:12" s="2" customFormat="1" ht="18" customHeight="1" x14ac:dyDescent="0.2">
      <c r="B18" s="63"/>
      <c r="C18" s="173"/>
      <c r="D18" s="66">
        <v>10</v>
      </c>
      <c r="E18" s="13">
        <v>0.1</v>
      </c>
      <c r="F18" s="139">
        <v>45</v>
      </c>
      <c r="G18" s="140">
        <f t="shared" si="0"/>
        <v>4.9931999999999999</v>
      </c>
      <c r="H18" s="129">
        <v>6</v>
      </c>
      <c r="I18" s="143" t="s">
        <v>87</v>
      </c>
      <c r="J18" s="144">
        <v>5.75</v>
      </c>
      <c r="K18" s="65"/>
    </row>
    <row r="19" spans="2:12" s="2" customFormat="1" ht="18" customHeight="1" x14ac:dyDescent="0.2">
      <c r="B19" s="63"/>
      <c r="C19" s="173"/>
      <c r="D19" s="66">
        <v>11</v>
      </c>
      <c r="E19" s="13">
        <v>0.04</v>
      </c>
      <c r="F19" s="139">
        <v>0</v>
      </c>
      <c r="G19" s="140">
        <f t="shared" si="0"/>
        <v>4.71</v>
      </c>
      <c r="H19" s="129">
        <v>7</v>
      </c>
      <c r="I19" s="143" t="s">
        <v>88</v>
      </c>
      <c r="J19" s="144">
        <v>6.04</v>
      </c>
      <c r="K19" s="65"/>
    </row>
    <row r="20" spans="2:12" s="2" customFormat="1" ht="18" customHeight="1" x14ac:dyDescent="0.2">
      <c r="B20" s="63"/>
      <c r="C20" s="173"/>
      <c r="D20" s="66">
        <v>1</v>
      </c>
      <c r="E20" s="13">
        <v>0</v>
      </c>
      <c r="F20" s="139">
        <v>0</v>
      </c>
      <c r="G20" s="140">
        <f t="shared" si="0"/>
        <v>0</v>
      </c>
      <c r="H20" s="129">
        <v>8</v>
      </c>
      <c r="I20" s="143" t="s">
        <v>89</v>
      </c>
      <c r="J20" s="144">
        <v>5.56</v>
      </c>
      <c r="K20" s="65"/>
    </row>
    <row r="21" spans="2:12" s="2" customFormat="1" ht="18" customHeight="1" x14ac:dyDescent="0.2">
      <c r="B21" s="63"/>
      <c r="C21" s="173"/>
      <c r="D21" s="66">
        <v>1</v>
      </c>
      <c r="E21" s="13">
        <v>0</v>
      </c>
      <c r="F21" s="139">
        <v>0</v>
      </c>
      <c r="G21" s="140">
        <f t="shared" si="0"/>
        <v>0</v>
      </c>
      <c r="H21" s="129">
        <v>9</v>
      </c>
      <c r="I21" s="143" t="s">
        <v>100</v>
      </c>
      <c r="J21" s="144">
        <v>5.7</v>
      </c>
      <c r="K21" s="65"/>
    </row>
    <row r="22" spans="2:12" s="2" customFormat="1" ht="18" customHeight="1" x14ac:dyDescent="0.2">
      <c r="B22" s="63"/>
      <c r="C22" s="173"/>
      <c r="D22" s="66">
        <v>1</v>
      </c>
      <c r="E22" s="13">
        <v>0</v>
      </c>
      <c r="F22" s="139">
        <v>0</v>
      </c>
      <c r="G22" s="140">
        <f t="shared" si="0"/>
        <v>0</v>
      </c>
      <c r="H22" s="129">
        <v>10</v>
      </c>
      <c r="I22" s="143" t="s">
        <v>94</v>
      </c>
      <c r="J22" s="144" t="s">
        <v>96</v>
      </c>
      <c r="K22" s="65"/>
    </row>
    <row r="23" spans="2:12" s="2" customFormat="1" ht="18" customHeight="1" x14ac:dyDescent="0.2">
      <c r="B23" s="63"/>
      <c r="C23" s="173"/>
      <c r="D23" s="66">
        <v>1</v>
      </c>
      <c r="E23" s="13">
        <v>0</v>
      </c>
      <c r="F23" s="139">
        <v>0</v>
      </c>
      <c r="G23" s="140">
        <f t="shared" si="0"/>
        <v>0</v>
      </c>
      <c r="H23" s="129">
        <v>11</v>
      </c>
      <c r="I23" s="145" t="s">
        <v>97</v>
      </c>
      <c r="J23" s="146">
        <v>4.71</v>
      </c>
      <c r="K23" s="65"/>
    </row>
    <row r="24" spans="2:12" s="2" customFormat="1" ht="15" customHeight="1" x14ac:dyDescent="0.2">
      <c r="B24" s="63"/>
      <c r="C24" s="67"/>
      <c r="D24" s="68" t="s">
        <v>146</v>
      </c>
      <c r="E24" s="152">
        <f>SUM(E15:E23)</f>
        <v>2.4900000000000002</v>
      </c>
      <c r="F24" s="69"/>
      <c r="G24" s="70"/>
      <c r="H24" s="179" t="s">
        <v>133</v>
      </c>
      <c r="I24" s="180"/>
      <c r="J24" s="180"/>
      <c r="K24" s="181"/>
    </row>
    <row r="25" spans="2:12" s="2" customFormat="1" ht="15" customHeight="1" x14ac:dyDescent="0.2">
      <c r="B25" s="63"/>
      <c r="C25" s="67"/>
      <c r="D25" s="129" t="s">
        <v>149</v>
      </c>
      <c r="E25" s="150">
        <f>E24*2.20462</f>
        <v>5.4895037999999996</v>
      </c>
      <c r="F25" s="126"/>
      <c r="G25" s="70"/>
      <c r="H25" s="180"/>
      <c r="I25" s="180"/>
      <c r="J25" s="180"/>
      <c r="K25" s="181"/>
    </row>
    <row r="26" spans="2:12" s="2" customFormat="1" ht="15" customHeight="1" x14ac:dyDescent="0.2">
      <c r="B26" s="63"/>
      <c r="C26" s="67"/>
      <c r="D26" s="68" t="s">
        <v>80</v>
      </c>
      <c r="E26" s="152" t="str">
        <f>ROUND(D8/E24,2)&amp;" l/kg"</f>
        <v>5,78 l/kg</v>
      </c>
      <c r="F26" s="126"/>
      <c r="G26" s="70"/>
      <c r="H26" s="180"/>
      <c r="I26" s="180"/>
      <c r="J26" s="180"/>
      <c r="K26" s="181"/>
    </row>
    <row r="27" spans="2:12" ht="15" customHeight="1" thickBot="1" x14ac:dyDescent="0.25">
      <c r="B27" s="71"/>
      <c r="C27" s="72"/>
      <c r="D27" s="151"/>
      <c r="E27" s="128" t="str">
        <f>ROUND(D9*4/E25,2)&amp;" qt/lb"</f>
        <v>2,77 qt/lb</v>
      </c>
      <c r="F27" s="123"/>
      <c r="G27" s="123"/>
      <c r="H27" s="182"/>
      <c r="I27" s="182"/>
      <c r="J27" s="182"/>
      <c r="K27" s="183"/>
      <c r="L27" s="1"/>
    </row>
    <row r="28" spans="2:12" ht="14.25" customHeight="1" x14ac:dyDescent="0.2">
      <c r="B28" s="104"/>
      <c r="C28" s="105" t="s">
        <v>106</v>
      </c>
      <c r="D28" s="110"/>
      <c r="E28" s="111"/>
      <c r="F28" s="112"/>
      <c r="G28" s="112"/>
      <c r="H28" s="222" t="s">
        <v>139</v>
      </c>
      <c r="I28" s="222"/>
      <c r="J28" s="222"/>
      <c r="K28" s="223"/>
      <c r="L28" s="1"/>
    </row>
    <row r="29" spans="2:12" ht="15" customHeight="1" x14ac:dyDescent="0.2">
      <c r="B29" s="106"/>
      <c r="C29" s="108"/>
      <c r="D29" s="210" t="s">
        <v>136</v>
      </c>
      <c r="E29" s="197" t="s">
        <v>137</v>
      </c>
      <c r="F29" s="218" t="s">
        <v>128</v>
      </c>
      <c r="G29" s="220" t="s">
        <v>129</v>
      </c>
      <c r="H29" s="174"/>
      <c r="I29" s="174"/>
      <c r="J29" s="174"/>
      <c r="K29" s="224"/>
      <c r="L29" s="1"/>
    </row>
    <row r="30" spans="2:12" ht="15" customHeight="1" x14ac:dyDescent="0.2">
      <c r="B30" s="106"/>
      <c r="C30" s="114"/>
      <c r="D30" s="210"/>
      <c r="E30" s="198"/>
      <c r="F30" s="218"/>
      <c r="G30" s="220"/>
      <c r="H30" s="174"/>
      <c r="I30" s="174"/>
      <c r="J30" s="174"/>
      <c r="K30" s="224"/>
      <c r="L30" s="1"/>
    </row>
    <row r="31" spans="2:12" ht="15" customHeight="1" thickBot="1" x14ac:dyDescent="0.25">
      <c r="B31" s="106"/>
      <c r="C31" s="107"/>
      <c r="D31" s="211"/>
      <c r="E31" s="199"/>
      <c r="F31" s="219"/>
      <c r="G31" s="221"/>
      <c r="H31" s="120"/>
      <c r="I31" s="120"/>
      <c r="J31" s="120"/>
      <c r="K31" s="113"/>
      <c r="L31" s="1"/>
    </row>
    <row r="32" spans="2:12" ht="27.75" customHeight="1" thickTop="1" thickBot="1" x14ac:dyDescent="0.25">
      <c r="B32" s="106"/>
      <c r="C32" s="115"/>
      <c r="D32" s="116">
        <f>(1-D$10)*I$5*IF(K$3=1,50/61,IF(OR(K$3=0,K$3=2),1,"ERROR"))+(F$44*130+E$44*157-176.1*J37*J36*2-4160.4*H36*H38*2.5+D$44*357)/D$9</f>
        <v>-86.138110629508191</v>
      </c>
      <c r="E32" s="117">
        <f>D32-((D51/1.4)+(E51/1.7))</f>
        <v>-169.67182903286954</v>
      </c>
      <c r="F32" s="118">
        <f>(E15*G15+E16*G16+E17*G17+E18*G18+E19*G19+E20*G20+E21*G21+E22*G22+E23*G23)/E24+(0.1085*D9/E25+0.013)*E32/50</f>
        <v>5.2610302678274641</v>
      </c>
      <c r="G32" s="119" t="s">
        <v>93</v>
      </c>
      <c r="H32" s="174" t="s">
        <v>132</v>
      </c>
      <c r="I32" s="175"/>
      <c r="J32" s="175"/>
      <c r="K32" s="176"/>
      <c r="L32" s="1"/>
    </row>
    <row r="33" spans="2:12" ht="15" customHeight="1" thickTop="1" thickBot="1" x14ac:dyDescent="0.25">
      <c r="B33" s="109"/>
      <c r="C33" s="130"/>
      <c r="D33" s="130"/>
      <c r="E33" s="130"/>
      <c r="F33" s="130"/>
      <c r="G33" s="138"/>
      <c r="H33" s="177"/>
      <c r="I33" s="177"/>
      <c r="J33" s="177"/>
      <c r="K33" s="178"/>
      <c r="L33" s="1"/>
    </row>
    <row r="34" spans="2:12" ht="15" customHeight="1" x14ac:dyDescent="0.2">
      <c r="B34" s="74"/>
      <c r="C34" s="75" t="s">
        <v>121</v>
      </c>
      <c r="D34" s="76"/>
      <c r="E34" s="76"/>
      <c r="F34" s="76"/>
      <c r="G34" s="76"/>
      <c r="H34" s="76"/>
      <c r="I34" s="77"/>
      <c r="J34" s="78"/>
      <c r="K34" s="79"/>
      <c r="L34" s="1"/>
    </row>
    <row r="35" spans="2:12" ht="15" customHeight="1" x14ac:dyDescent="0.2">
      <c r="B35" s="80"/>
      <c r="C35" s="84"/>
      <c r="D35" s="81" t="s">
        <v>9</v>
      </c>
      <c r="E35" s="81" t="s">
        <v>12</v>
      </c>
      <c r="F35" s="81" t="s">
        <v>10</v>
      </c>
      <c r="G35" s="85"/>
      <c r="H35" s="85" t="s">
        <v>81</v>
      </c>
      <c r="I35" s="82"/>
      <c r="J35" s="85" t="s">
        <v>13</v>
      </c>
      <c r="K35" s="83"/>
      <c r="L35" s="1"/>
    </row>
    <row r="36" spans="2:12" ht="15" customHeight="1" x14ac:dyDescent="0.2">
      <c r="B36" s="80"/>
      <c r="C36" s="157" t="s">
        <v>150</v>
      </c>
      <c r="D36" s="85" t="s">
        <v>20</v>
      </c>
      <c r="E36" s="85" t="s">
        <v>21</v>
      </c>
      <c r="F36" s="85" t="s">
        <v>22</v>
      </c>
      <c r="G36" s="86" t="s">
        <v>60</v>
      </c>
      <c r="H36" s="87">
        <v>0.02</v>
      </c>
      <c r="I36" s="88" t="s">
        <v>60</v>
      </c>
      <c r="J36" s="89">
        <v>0.8</v>
      </c>
      <c r="K36" s="83"/>
      <c r="L36" s="1"/>
    </row>
    <row r="37" spans="2:12" s="2" customFormat="1" ht="18" customHeight="1" x14ac:dyDescent="0.2">
      <c r="B37" s="90"/>
      <c r="C37" s="86" t="s">
        <v>151</v>
      </c>
      <c r="D37" s="13">
        <v>1.5</v>
      </c>
      <c r="E37" s="13">
        <v>1.8</v>
      </c>
      <c r="F37" s="13">
        <v>1</v>
      </c>
      <c r="G37" s="88" t="s">
        <v>147</v>
      </c>
      <c r="H37" s="29">
        <v>0</v>
      </c>
      <c r="I37" s="88" t="s">
        <v>54</v>
      </c>
      <c r="J37" s="13">
        <v>3</v>
      </c>
      <c r="K37" s="91"/>
    </row>
    <row r="38" spans="2:12" ht="18" customHeight="1" x14ac:dyDescent="0.2">
      <c r="B38" s="80"/>
      <c r="C38" s="86" t="s">
        <v>116</v>
      </c>
      <c r="D38" s="92" t="b">
        <v>1</v>
      </c>
      <c r="E38" s="92" t="b">
        <v>1</v>
      </c>
      <c r="F38" s="92" t="b">
        <v>1</v>
      </c>
      <c r="G38" s="153" t="s">
        <v>55</v>
      </c>
      <c r="H38" s="154">
        <f>H37/28.34952</f>
        <v>0</v>
      </c>
      <c r="I38" s="136" t="s">
        <v>101</v>
      </c>
      <c r="J38" s="82"/>
      <c r="K38" s="83"/>
      <c r="L38" s="1"/>
    </row>
    <row r="39" spans="2:12" s="2" customFormat="1" ht="18" customHeight="1" x14ac:dyDescent="0.2">
      <c r="B39" s="90"/>
      <c r="C39" s="86" t="s">
        <v>123</v>
      </c>
      <c r="D39" s="94">
        <f>IF(D38,D37/$D8*$E8,0)</f>
        <v>0</v>
      </c>
      <c r="E39" s="94">
        <f>IF(E38,E37/$D8*$E8,0)</f>
        <v>0</v>
      </c>
      <c r="F39" s="94">
        <f>IF(F38,F37/$D8*$E8,0)</f>
        <v>0</v>
      </c>
      <c r="G39" s="93"/>
      <c r="H39" s="137" t="str">
        <f>"("&amp;ROUND(100*H37/E24/1000,1)&amp;"% of total wt)"</f>
        <v>(0% of total wt)</v>
      </c>
      <c r="I39" s="159" t="s">
        <v>115</v>
      </c>
      <c r="J39" s="131"/>
      <c r="K39" s="133"/>
    </row>
    <row r="40" spans="2:12" s="2" customFormat="1" ht="15" customHeight="1" thickBot="1" x14ac:dyDescent="0.25">
      <c r="B40" s="90"/>
      <c r="C40" s="158" t="s">
        <v>152</v>
      </c>
      <c r="D40" s="93"/>
      <c r="E40" s="93"/>
      <c r="F40" s="93"/>
      <c r="G40" s="93"/>
      <c r="H40" s="135"/>
      <c r="I40" s="131"/>
      <c r="J40" s="132"/>
      <c r="K40" s="134"/>
    </row>
    <row r="41" spans="2:12" s="2" customFormat="1" ht="15" customHeight="1" x14ac:dyDescent="0.2">
      <c r="B41" s="95"/>
      <c r="C41" s="75" t="s">
        <v>122</v>
      </c>
      <c r="D41" s="96"/>
      <c r="E41" s="96"/>
      <c r="F41" s="96"/>
      <c r="G41" s="187" t="s">
        <v>130</v>
      </c>
      <c r="H41" s="187"/>
      <c r="I41" s="187"/>
      <c r="J41" s="187"/>
      <c r="K41" s="188"/>
    </row>
    <row r="42" spans="2:12" s="2" customFormat="1" ht="15" customHeight="1" x14ac:dyDescent="0.2">
      <c r="B42" s="90"/>
      <c r="C42" s="86"/>
      <c r="D42" s="81" t="s">
        <v>98</v>
      </c>
      <c r="E42" s="81" t="s">
        <v>11</v>
      </c>
      <c r="F42" s="97" t="s">
        <v>111</v>
      </c>
      <c r="G42" s="189"/>
      <c r="H42" s="189"/>
      <c r="I42" s="189"/>
      <c r="J42" s="189"/>
      <c r="K42" s="190"/>
    </row>
    <row r="43" spans="2:12" s="2" customFormat="1" ht="15" customHeight="1" x14ac:dyDescent="0.2">
      <c r="B43" s="80"/>
      <c r="C43" s="157" t="s">
        <v>150</v>
      </c>
      <c r="D43" s="85" t="s">
        <v>99</v>
      </c>
      <c r="E43" s="85" t="s">
        <v>23</v>
      </c>
      <c r="F43" s="98" t="s">
        <v>59</v>
      </c>
      <c r="G43" s="189"/>
      <c r="H43" s="189"/>
      <c r="I43" s="189"/>
      <c r="J43" s="189"/>
      <c r="K43" s="190"/>
    </row>
    <row r="44" spans="2:12" s="2" customFormat="1" ht="18" customHeight="1" x14ac:dyDescent="0.2">
      <c r="B44" s="90"/>
      <c r="C44" s="86" t="s">
        <v>151</v>
      </c>
      <c r="D44" s="13">
        <v>0</v>
      </c>
      <c r="E44" s="13">
        <v>0</v>
      </c>
      <c r="F44" s="13">
        <v>0</v>
      </c>
      <c r="G44" s="99"/>
      <c r="H44" s="99"/>
      <c r="I44" s="99"/>
      <c r="J44" s="93"/>
      <c r="K44" s="91"/>
    </row>
    <row r="45" spans="2:12" s="2" customFormat="1" ht="18" customHeight="1" x14ac:dyDescent="0.2">
      <c r="B45" s="80"/>
      <c r="C45" s="86" t="s">
        <v>116</v>
      </c>
      <c r="D45" s="92" t="b">
        <v>1</v>
      </c>
      <c r="E45" s="92" t="b">
        <v>1</v>
      </c>
      <c r="F45" s="92" t="b">
        <v>1</v>
      </c>
      <c r="G45" s="99"/>
      <c r="H45" s="99"/>
      <c r="I45" s="99"/>
      <c r="J45" s="93"/>
      <c r="K45" s="91"/>
    </row>
    <row r="46" spans="2:12" s="2" customFormat="1" ht="18" customHeight="1" x14ac:dyDescent="0.2">
      <c r="B46" s="90"/>
      <c r="C46" s="86" t="s">
        <v>123</v>
      </c>
      <c r="D46" s="94">
        <f>IF(D45,D44/$D8*$E8,0)</f>
        <v>0</v>
      </c>
      <c r="E46" s="94">
        <f>IF(E45,E44/$D8*$E8,0)</f>
        <v>0</v>
      </c>
      <c r="F46" s="94">
        <f>IF(F45,F44/$D8*$E8,0)</f>
        <v>0</v>
      </c>
      <c r="G46" s="93"/>
      <c r="H46" s="85"/>
      <c r="I46" s="85"/>
      <c r="J46" s="93"/>
      <c r="K46" s="91"/>
    </row>
    <row r="47" spans="2:12" ht="15" customHeight="1" thickBot="1" x14ac:dyDescent="0.25">
      <c r="B47" s="90"/>
      <c r="C47" s="158" t="s">
        <v>152</v>
      </c>
      <c r="D47" s="100"/>
      <c r="E47" s="100"/>
      <c r="F47" s="101"/>
      <c r="G47" s="102"/>
      <c r="H47" s="100"/>
      <c r="I47" s="101"/>
      <c r="J47" s="101"/>
      <c r="K47" s="103"/>
      <c r="L47" s="1"/>
    </row>
    <row r="48" spans="2:12" ht="15" customHeight="1" x14ac:dyDescent="0.2">
      <c r="B48" s="4"/>
      <c r="C48" s="46" t="s">
        <v>105</v>
      </c>
      <c r="D48" s="5"/>
      <c r="E48" s="5"/>
      <c r="F48" s="5"/>
      <c r="G48" s="5"/>
      <c r="H48" s="5"/>
      <c r="I48" s="5"/>
      <c r="J48" s="5"/>
      <c r="K48" s="48"/>
      <c r="L48" s="1"/>
    </row>
    <row r="49" spans="1:14" ht="15" customHeight="1" x14ac:dyDescent="0.2">
      <c r="B49" s="6"/>
      <c r="C49" s="47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217" t="s">
        <v>138</v>
      </c>
      <c r="J49" s="217"/>
      <c r="K49" s="49"/>
      <c r="L49" s="1"/>
    </row>
    <row r="50" spans="1:14" s="20" customFormat="1" ht="15" customHeight="1" x14ac:dyDescent="0.3">
      <c r="B50" s="50"/>
      <c r="C50" s="51"/>
      <c r="D50" s="8" t="s">
        <v>5</v>
      </c>
      <c r="E50" s="8" t="s">
        <v>6</v>
      </c>
      <c r="F50" s="8" t="s">
        <v>7</v>
      </c>
      <c r="G50" s="8" t="s">
        <v>8</v>
      </c>
      <c r="H50" s="8" t="s">
        <v>19</v>
      </c>
      <c r="I50" s="216" t="s">
        <v>57</v>
      </c>
      <c r="J50" s="216"/>
      <c r="K50" s="52"/>
      <c r="L50" s="19"/>
      <c r="M50" s="2"/>
    </row>
    <row r="51" spans="1:14" s="2" customFormat="1" ht="18" customHeight="1" thickBot="1" x14ac:dyDescent="0.25">
      <c r="B51" s="9"/>
      <c r="C51" s="17" t="s">
        <v>37</v>
      </c>
      <c r="D51" s="53">
        <f>(1-D$10)*D$5+(F$44*105.89+D$37*60+E$37*72+D$44*143)/D$9</f>
        <v>108.327533</v>
      </c>
      <c r="E51" s="53">
        <f>(1-D$10)*E$5+F$37*24.6/D$9</f>
        <v>10.466745500000002</v>
      </c>
      <c r="F51" s="53">
        <f>(1-D$10)*F$5+E$44*72.3/D$9</f>
        <v>2.7</v>
      </c>
      <c r="G51" s="53">
        <f>(1-D$10)*G$5+E$37*127.47/D$9</f>
        <v>64.315808454999996</v>
      </c>
      <c r="H51" s="53">
        <f>(1-D$10)*H$5+(D$37*147.4+F$37*103)/D$9</f>
        <v>91.698057583333338</v>
      </c>
      <c r="I51" s="195">
        <f>G51/H51</f>
        <v>0.70138681396332836</v>
      </c>
      <c r="J51" s="196"/>
      <c r="K51" s="11"/>
    </row>
    <row r="52" spans="1:14" s="2" customFormat="1" ht="18" customHeight="1" thickBot="1" x14ac:dyDescent="0.25">
      <c r="B52" s="9"/>
      <c r="C52" s="17" t="s">
        <v>38</v>
      </c>
      <c r="D52" s="54">
        <f>IF(E8=0,D51,(1-(((D$10*D$9)+(E$10*E$9))/(D$9+E$9)))*D$5+((F$44+F$46)*105.89+(D$37+D$39)*60+(E$37+E$39)*72+(D$44+D$46)*143)/(D$9+E$9))</f>
        <v>108.327533</v>
      </c>
      <c r="E52" s="54">
        <f>IF(E8=0,E51,(1-(((D$10*D$9)+(E$10*E$9))/(D$9+E$9)))*E$5+(F$37+F$39)*24.6/(D$9+E$9))</f>
        <v>10.466745500000002</v>
      </c>
      <c r="F52" s="54">
        <f>IF(E8=0,F51,(1-(((D$10*D$9)+(E$10*E$9))/(D$9+E$9)))*F$5+(E$44+E$46)*72.3/(D$9+E$9))</f>
        <v>2.7</v>
      </c>
      <c r="G52" s="54">
        <f>IF(E8=0,G51,(1-(((D$10*D$9)+(E$10*E$9))/(D$9+E$9)))*G$5+(E$37+E$39)*127.47/(D$9+E$9))</f>
        <v>64.315808454999996</v>
      </c>
      <c r="H52" s="54">
        <f>IF(E8=0,H51,(1-(((D$10*D$9)+(E$10*E$9))/(D$9+E$9)))*H$5+((D$37+D$39)*147.4+(F$37+F$39)*103)/(D$9+E$9))</f>
        <v>91.698057583333338</v>
      </c>
      <c r="I52" s="208">
        <f>G52/H52</f>
        <v>0.70138681396332836</v>
      </c>
      <c r="J52" s="209"/>
      <c r="K52" s="11"/>
      <c r="M52" s="1"/>
    </row>
    <row r="53" spans="1:14" ht="18" customHeight="1" x14ac:dyDescent="0.2">
      <c r="B53" s="6"/>
      <c r="C53" s="36" t="s">
        <v>114</v>
      </c>
      <c r="D53" s="55" t="s">
        <v>39</v>
      </c>
      <c r="E53" s="56" t="s">
        <v>40</v>
      </c>
      <c r="F53" s="55" t="s">
        <v>41</v>
      </c>
      <c r="G53" s="55" t="s">
        <v>42</v>
      </c>
      <c r="H53" s="57" t="s">
        <v>43</v>
      </c>
      <c r="I53" s="193" t="str">
        <f>IF(I52&lt;0.77,"Below .77, May enhance bitterness", IF(I52&lt;1.3,".77 to 1.3 = Balanced","Above 1.3 may enhance maltiness"))</f>
        <v>Below .77, May enhance bitterness</v>
      </c>
      <c r="J53" s="194"/>
      <c r="K53" s="49"/>
      <c r="L53" s="1"/>
    </row>
    <row r="54" spans="1:14" ht="15" customHeight="1" x14ac:dyDescent="0.2">
      <c r="B54" s="6"/>
      <c r="C54" s="191" t="s">
        <v>131</v>
      </c>
      <c r="D54" s="191"/>
      <c r="E54" s="191"/>
      <c r="F54" s="191"/>
      <c r="G54" s="191"/>
      <c r="H54" s="191"/>
      <c r="I54" s="191"/>
      <c r="J54" s="191"/>
      <c r="K54" s="192"/>
      <c r="L54" s="1"/>
      <c r="M54" s="2"/>
      <c r="N54" s="19"/>
    </row>
    <row r="55" spans="1:14" ht="15" customHeight="1" thickBot="1" x14ac:dyDescent="0.25">
      <c r="B55" s="12"/>
      <c r="C55" s="184"/>
      <c r="D55" s="184"/>
      <c r="E55" s="184"/>
      <c r="F55" s="184"/>
      <c r="G55" s="184"/>
      <c r="H55" s="184"/>
      <c r="I55" s="185"/>
      <c r="J55" s="185"/>
      <c r="K55" s="186"/>
    </row>
    <row r="56" spans="1:14" s="167" customFormat="1" ht="15" customHeight="1" x14ac:dyDescent="0.2">
      <c r="B56" s="168"/>
      <c r="C56" s="169"/>
      <c r="D56" s="169"/>
      <c r="E56" s="169"/>
      <c r="F56" s="169"/>
      <c r="G56" s="169"/>
      <c r="H56" s="169"/>
      <c r="I56" s="170"/>
      <c r="J56" s="170"/>
      <c r="K56" s="170"/>
    </row>
    <row r="57" spans="1:14" s="167" customFormat="1" ht="23.25" customHeight="1" x14ac:dyDescent="0.2">
      <c r="B57" s="168"/>
      <c r="C57" s="203" t="s">
        <v>157</v>
      </c>
      <c r="D57" s="203"/>
      <c r="E57" s="203"/>
      <c r="F57" s="203"/>
      <c r="G57" s="203"/>
      <c r="H57" s="203"/>
      <c r="I57" s="203"/>
      <c r="J57" s="203"/>
      <c r="K57" s="203"/>
    </row>
    <row r="58" spans="1:14" ht="15" customHeight="1" x14ac:dyDescent="0.2">
      <c r="A58" s="160"/>
      <c r="B58" s="161"/>
      <c r="C58" s="162"/>
      <c r="D58" s="162"/>
      <c r="E58" s="162"/>
      <c r="F58" s="162"/>
      <c r="G58" s="162"/>
      <c r="H58" s="162"/>
      <c r="I58" s="163"/>
      <c r="J58" s="163"/>
      <c r="K58" s="163"/>
    </row>
    <row r="59" spans="1:14" ht="15" customHeight="1" x14ac:dyDescent="0.2">
      <c r="A59" s="160"/>
      <c r="B59" s="161"/>
      <c r="C59" s="162"/>
      <c r="D59" s="165" t="s">
        <v>158</v>
      </c>
      <c r="E59" s="171"/>
      <c r="F59" s="171"/>
      <c r="G59" s="162"/>
      <c r="H59" s="162"/>
      <c r="I59" s="163"/>
      <c r="J59" s="163"/>
      <c r="K59" s="163"/>
    </row>
    <row r="60" spans="1:14" ht="15" customHeight="1" x14ac:dyDescent="0.2">
      <c r="A60" s="160"/>
      <c r="B60" s="161"/>
      <c r="C60" s="162"/>
      <c r="D60" s="171"/>
      <c r="E60" s="171"/>
      <c r="F60" s="171"/>
      <c r="G60" s="162"/>
      <c r="H60" s="162"/>
      <c r="I60" s="163"/>
      <c r="J60" s="163"/>
      <c r="K60" s="163"/>
    </row>
    <row r="61" spans="1:14" ht="15" customHeight="1" x14ac:dyDescent="0.2">
      <c r="A61" s="160"/>
      <c r="B61" s="161"/>
      <c r="C61" s="162"/>
      <c r="D61" s="171"/>
      <c r="E61" s="171"/>
      <c r="F61" s="171"/>
      <c r="G61" s="162"/>
      <c r="H61" s="162"/>
      <c r="I61" s="163"/>
      <c r="J61" s="163"/>
      <c r="K61" s="163"/>
    </row>
    <row r="62" spans="1:14" ht="15" customHeight="1" x14ac:dyDescent="0.2">
      <c r="A62" s="160"/>
      <c r="B62" s="161"/>
      <c r="C62" s="162"/>
      <c r="D62" s="164"/>
      <c r="E62" s="164"/>
      <c r="F62" s="162"/>
      <c r="G62" s="162"/>
      <c r="H62" s="162"/>
      <c r="I62" s="163"/>
      <c r="J62" s="163"/>
      <c r="K62" s="163"/>
    </row>
    <row r="63" spans="1:14" ht="15" customHeight="1" x14ac:dyDescent="0.2">
      <c r="A63" s="160"/>
      <c r="B63" s="161"/>
      <c r="C63" s="165" t="s">
        <v>156</v>
      </c>
      <c r="D63" s="164"/>
      <c r="E63" s="164"/>
      <c r="F63" s="162"/>
      <c r="G63" s="162"/>
      <c r="H63" s="162"/>
      <c r="I63" s="163"/>
      <c r="J63" s="163"/>
      <c r="K63" s="163"/>
    </row>
    <row r="64" spans="1:14" ht="41.25" customHeight="1" x14ac:dyDescent="0.2">
      <c r="A64" s="160"/>
      <c r="B64" s="161"/>
      <c r="C64" s="162"/>
      <c r="D64" s="164"/>
      <c r="E64" s="164"/>
      <c r="F64" s="162"/>
      <c r="G64" s="162"/>
      <c r="H64" s="162"/>
      <c r="I64" s="163"/>
      <c r="J64" s="163"/>
      <c r="K64" s="163"/>
    </row>
    <row r="65" spans="1:11" s="166" customFormat="1" ht="21.75" customHeight="1" x14ac:dyDescent="0.25">
      <c r="C65" s="202" t="s">
        <v>58</v>
      </c>
      <c r="D65" s="202"/>
      <c r="E65" s="202"/>
      <c r="F65" s="202"/>
      <c r="G65" s="202"/>
      <c r="H65" s="202"/>
      <c r="I65" s="202"/>
      <c r="J65" s="202"/>
    </row>
    <row r="66" spans="1:11" ht="12" customHeight="1" x14ac:dyDescent="0.2">
      <c r="C66" s="201" t="s">
        <v>134</v>
      </c>
      <c r="D66" s="201"/>
      <c r="E66" s="201"/>
      <c r="F66" s="201"/>
      <c r="G66" s="201"/>
      <c r="H66" s="201"/>
      <c r="I66" s="201"/>
      <c r="J66" s="201"/>
      <c r="K66" s="201"/>
    </row>
    <row r="67" spans="1:11" ht="12" customHeight="1" x14ac:dyDescent="0.2">
      <c r="C67" s="200" t="s">
        <v>135</v>
      </c>
      <c r="D67" s="200"/>
      <c r="E67" s="200"/>
      <c r="F67" s="200"/>
      <c r="G67" s="200"/>
      <c r="H67" s="200"/>
      <c r="I67" s="200"/>
      <c r="J67" s="200"/>
      <c r="K67" s="200"/>
    </row>
    <row r="68" spans="1:11" x14ac:dyDescent="0.2">
      <c r="A68" s="38"/>
      <c r="B68" s="38"/>
      <c r="C68" s="149" t="s">
        <v>124</v>
      </c>
      <c r="D68" s="40"/>
      <c r="E68" s="40"/>
      <c r="F68" s="40"/>
      <c r="G68" s="39"/>
      <c r="H68" s="39"/>
      <c r="I68" s="39"/>
      <c r="J68" s="39"/>
      <c r="K68" s="39"/>
    </row>
    <row r="69" spans="1:11" x14ac:dyDescent="0.2">
      <c r="C69" s="172" t="s">
        <v>125</v>
      </c>
      <c r="D69" s="172"/>
      <c r="E69" s="172"/>
      <c r="F69" s="172"/>
      <c r="G69" s="172"/>
      <c r="H69" s="172"/>
      <c r="I69" s="172"/>
      <c r="J69" s="172"/>
    </row>
    <row r="70" spans="1:11" x14ac:dyDescent="0.2">
      <c r="C70" s="3" t="s">
        <v>126</v>
      </c>
      <c r="D70" s="58"/>
      <c r="E70" s="58"/>
      <c r="F70" s="58"/>
      <c r="G70" s="58"/>
      <c r="H70" s="58"/>
      <c r="I70" s="58"/>
      <c r="J70" s="58"/>
    </row>
    <row r="71" spans="1:11" x14ac:dyDescent="0.2">
      <c r="C71" s="172" t="s">
        <v>127</v>
      </c>
      <c r="D71" s="172"/>
      <c r="E71" s="172"/>
      <c r="F71" s="172"/>
      <c r="G71" s="172"/>
      <c r="H71" s="172"/>
      <c r="I71" s="172"/>
      <c r="J71" s="172"/>
    </row>
    <row r="73" spans="1:11" x14ac:dyDescent="0.2">
      <c r="C73" s="28" t="s">
        <v>18</v>
      </c>
    </row>
    <row r="74" spans="1:11" ht="12.75" customHeight="1" x14ac:dyDescent="0.2">
      <c r="C74" s="3" t="s">
        <v>153</v>
      </c>
    </row>
    <row r="75" spans="1:11" x14ac:dyDescent="0.2">
      <c r="C75" s="28" t="s">
        <v>92</v>
      </c>
    </row>
  </sheetData>
  <mergeCells count="27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69:J69"/>
    <mergeCell ref="C71:J71"/>
    <mergeCell ref="C15:C23"/>
    <mergeCell ref="H32:K33"/>
    <mergeCell ref="H24:K27"/>
    <mergeCell ref="C55:K55"/>
    <mergeCell ref="G41:K43"/>
    <mergeCell ref="C54:K54"/>
    <mergeCell ref="I53:J53"/>
    <mergeCell ref="I51:J51"/>
    <mergeCell ref="E29:E31"/>
    <mergeCell ref="C67:K67"/>
    <mergeCell ref="C66:K66"/>
    <mergeCell ref="C65:J65"/>
    <mergeCell ref="C57:K57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hyperlinks>
    <hyperlink ref="C73" r:id="rId1"/>
    <hyperlink ref="C67:J67" r:id="rId2" display="Calculations for Alkalinity, RA, and pH were based on Kai Troester's paper: &quot;The effect of brewing water and grist composition on the pH of the mash&quot;  2009"/>
    <hyperlink ref="C69:J69" r:id="rId3" display="Recommended mineral ranges are from John Palmer's &quot;How to Brew&quot;"/>
    <hyperlink ref="C71:J71" r:id="rId4" display="Recommended Cl to SO4 ratio ranges are from John Palmer's RA spreadsheet"/>
    <hyperlink ref="C75" r:id="rId5"/>
  </hyperlinks>
  <pageMargins left="0.75" right="0.75" top="0.5" bottom="0.5" header="0.5" footer="0.5"/>
  <pageSetup scale="64" orientation="portrait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Photoshop.Image.9" shapeId="1104" r:id="rId9">
          <objectPr defaultSize="0" r:id="rId10">
            <anchor moveWithCells="1">
              <from>
                <xdr:col>2</xdr:col>
                <xdr:colOff>361950</xdr:colOff>
                <xdr:row>57</xdr:row>
                <xdr:rowOff>180975</xdr:rowOff>
              </from>
              <to>
                <xdr:col>2</xdr:col>
                <xdr:colOff>1600200</xdr:colOff>
                <xdr:row>61</xdr:row>
                <xdr:rowOff>47625</xdr:rowOff>
              </to>
            </anchor>
          </objectPr>
        </oleObject>
      </mc:Choice>
      <mc:Fallback>
        <oleObject progId="Photoshop.Image.9" shapeId="1104" r:id="rId9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11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activeCell="B18" sqref="B18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36</v>
      </c>
    </row>
    <row r="3" spans="1:4" x14ac:dyDescent="0.2">
      <c r="A3" t="s">
        <v>44</v>
      </c>
    </row>
    <row r="4" spans="1:4" x14ac:dyDescent="0.2">
      <c r="A4" t="s">
        <v>26</v>
      </c>
      <c r="B4" s="1">
        <f>'EZ Water Adjustment'!D5</f>
        <v>50.6</v>
      </c>
    </row>
    <row r="5" spans="1:4" x14ac:dyDescent="0.2">
      <c r="A5" t="s">
        <v>27</v>
      </c>
      <c r="B5" s="1">
        <f>'EZ Water Adjustment'!E5</f>
        <v>4</v>
      </c>
    </row>
    <row r="6" spans="1:4" x14ac:dyDescent="0.2">
      <c r="A6" t="s">
        <v>28</v>
      </c>
      <c r="B6" s="1">
        <f>'EZ Water Adjustment'!F5</f>
        <v>2.7</v>
      </c>
    </row>
    <row r="7" spans="1:4" x14ac:dyDescent="0.2">
      <c r="A7" t="s">
        <v>29</v>
      </c>
      <c r="B7" s="1">
        <f>'EZ Water Adjustment'!G5</f>
        <v>4</v>
      </c>
    </row>
    <row r="8" spans="1:4" x14ac:dyDescent="0.2">
      <c r="A8" t="s">
        <v>30</v>
      </c>
      <c r="B8" s="1">
        <f>'EZ Water Adjustment'!H5</f>
        <v>6.5</v>
      </c>
    </row>
    <row r="9" spans="1:4" x14ac:dyDescent="0.2">
      <c r="A9" t="str">
        <f>IF('EZ Water Adjustment'!K3=2,"CaCO3:","HCO3:")</f>
        <v>HCO3:</v>
      </c>
      <c r="B9" s="1">
        <f>'EZ Water Adjustment'!I5</f>
        <v>166</v>
      </c>
    </row>
    <row r="11" spans="1:4" x14ac:dyDescent="0.2">
      <c r="A11" t="s">
        <v>45</v>
      </c>
      <c r="B11" s="1">
        <f>'EZ Water Adjustment'!D8</f>
        <v>14.4</v>
      </c>
      <c r="C11" s="1" t="s">
        <v>48</v>
      </c>
      <c r="D11" s="1">
        <f>'EZ Water Adjustment'!E8</f>
        <v>0</v>
      </c>
    </row>
    <row r="12" spans="1:4" x14ac:dyDescent="0.2">
      <c r="A12" t="s">
        <v>67</v>
      </c>
      <c r="B12" s="25">
        <f>'EZ Water Adjustment'!D10</f>
        <v>0</v>
      </c>
      <c r="C12" s="1" t="s">
        <v>48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65</v>
      </c>
      <c r="B14" s="147">
        <f>'EZ Water Adjustment'!E24</f>
        <v>2.4900000000000002</v>
      </c>
      <c r="D14" s="25"/>
    </row>
    <row r="16" spans="1:4" x14ac:dyDescent="0.2">
      <c r="A16" t="s">
        <v>46</v>
      </c>
    </row>
    <row r="17" spans="1:9" x14ac:dyDescent="0.2">
      <c r="A17" t="s">
        <v>32</v>
      </c>
      <c r="B17" s="1">
        <f>'EZ Water Adjustment'!D37</f>
        <v>1.5</v>
      </c>
      <c r="C17" s="1" t="s">
        <v>48</v>
      </c>
      <c r="D17" s="1">
        <f>'EZ Water Adjustment'!D39</f>
        <v>0</v>
      </c>
    </row>
    <row r="18" spans="1:9" x14ac:dyDescent="0.2">
      <c r="A18" t="s">
        <v>33</v>
      </c>
      <c r="B18" s="1">
        <f>'EZ Water Adjustment'!E37</f>
        <v>1.8</v>
      </c>
      <c r="C18" s="1" t="s">
        <v>48</v>
      </c>
      <c r="D18" s="1">
        <f>'EZ Water Adjustment'!E39</f>
        <v>0</v>
      </c>
    </row>
    <row r="19" spans="1:9" x14ac:dyDescent="0.2">
      <c r="A19" t="s">
        <v>34</v>
      </c>
      <c r="B19" s="1">
        <f>'EZ Water Adjustment'!F37</f>
        <v>1</v>
      </c>
      <c r="C19" s="1" t="s">
        <v>48</v>
      </c>
      <c r="D19" s="1">
        <f>'EZ Water Adjustment'!F39</f>
        <v>0</v>
      </c>
    </row>
    <row r="20" spans="1:9" x14ac:dyDescent="0.2">
      <c r="A20" t="s">
        <v>35</v>
      </c>
      <c r="B20" s="1">
        <f>'EZ Water Adjustment'!E44</f>
        <v>0</v>
      </c>
      <c r="C20" s="1" t="s">
        <v>48</v>
      </c>
      <c r="D20" s="1">
        <f>'EZ Water Adjustment'!E46</f>
        <v>0</v>
      </c>
    </row>
    <row r="21" spans="1:9" x14ac:dyDescent="0.2">
      <c r="A21" t="s">
        <v>31</v>
      </c>
      <c r="B21" s="1">
        <f>'EZ Water Adjustment'!F44</f>
        <v>0</v>
      </c>
      <c r="C21" s="1" t="s">
        <v>48</v>
      </c>
      <c r="D21" s="1">
        <f>'EZ Water Adjustment'!F46</f>
        <v>0</v>
      </c>
    </row>
    <row r="22" spans="1:9" x14ac:dyDescent="0.2">
      <c r="A22" t="s">
        <v>61</v>
      </c>
      <c r="B22" s="1">
        <f>'EZ Water Adjustment'!J37</f>
        <v>3</v>
      </c>
    </row>
    <row r="23" spans="1:9" x14ac:dyDescent="0.2">
      <c r="A23" t="s">
        <v>62</v>
      </c>
      <c r="B23" s="1">
        <f>'EZ Water Adjustment'!H37</f>
        <v>0</v>
      </c>
    </row>
    <row r="25" spans="1:9" x14ac:dyDescent="0.2">
      <c r="A25" t="s">
        <v>47</v>
      </c>
    </row>
    <row r="26" spans="1:9" x14ac:dyDescent="0.2">
      <c r="A26" t="s">
        <v>26</v>
      </c>
      <c r="B26" s="26">
        <f>'EZ Water Adjustment'!D51</f>
        <v>108.327533</v>
      </c>
      <c r="C26" s="1" t="s">
        <v>48</v>
      </c>
      <c r="D26" s="26">
        <f>'EZ Water Adjustment'!D52</f>
        <v>108.327533</v>
      </c>
      <c r="I26" s="26"/>
    </row>
    <row r="27" spans="1:9" x14ac:dyDescent="0.2">
      <c r="A27" t="s">
        <v>27</v>
      </c>
      <c r="B27" s="26">
        <f>'EZ Water Adjustment'!E51</f>
        <v>10.466745500000002</v>
      </c>
      <c r="C27" s="1" t="s">
        <v>48</v>
      </c>
      <c r="D27" s="26">
        <f>'EZ Water Adjustment'!E52</f>
        <v>10.466745500000002</v>
      </c>
    </row>
    <row r="28" spans="1:9" x14ac:dyDescent="0.2">
      <c r="A28" t="s">
        <v>28</v>
      </c>
      <c r="B28" s="26">
        <f>'EZ Water Adjustment'!F51</f>
        <v>2.7</v>
      </c>
      <c r="C28" s="1" t="s">
        <v>48</v>
      </c>
      <c r="D28" s="26">
        <f>'EZ Water Adjustment'!F52</f>
        <v>2.7</v>
      </c>
    </row>
    <row r="29" spans="1:9" x14ac:dyDescent="0.2">
      <c r="A29" t="s">
        <v>29</v>
      </c>
      <c r="B29" s="26">
        <f>'EZ Water Adjustment'!G51</f>
        <v>64.315808454999996</v>
      </c>
      <c r="C29" s="1" t="s">
        <v>48</v>
      </c>
      <c r="D29" s="26">
        <f>'EZ Water Adjustment'!G52</f>
        <v>64.315808454999996</v>
      </c>
    </row>
    <row r="30" spans="1:9" x14ac:dyDescent="0.2">
      <c r="A30" t="s">
        <v>30</v>
      </c>
      <c r="B30" s="26">
        <f>'EZ Water Adjustment'!H51</f>
        <v>91.698057583333338</v>
      </c>
      <c r="C30" s="1" t="s">
        <v>48</v>
      </c>
      <c r="D30" s="26">
        <f>'EZ Water Adjustment'!H52</f>
        <v>91.698057583333338</v>
      </c>
    </row>
    <row r="31" spans="1:9" x14ac:dyDescent="0.2">
      <c r="A31" t="s">
        <v>63</v>
      </c>
      <c r="B31" s="27">
        <f>'EZ Water Adjustment'!I51</f>
        <v>0.70138681396332836</v>
      </c>
      <c r="C31" s="1" t="s">
        <v>48</v>
      </c>
      <c r="D31" s="27">
        <f>'EZ Water Adjustment'!I52</f>
        <v>0.70138681396332836</v>
      </c>
    </row>
    <row r="32" spans="1:9" x14ac:dyDescent="0.2">
      <c r="B32" s="27"/>
      <c r="C32" s="3"/>
    </row>
    <row r="33" spans="1:3" x14ac:dyDescent="0.2">
      <c r="A33" t="s">
        <v>66</v>
      </c>
      <c r="B33" s="26">
        <f>'EZ Water Adjustment'!D32</f>
        <v>-86.138110629508191</v>
      </c>
      <c r="C33" s="3"/>
    </row>
    <row r="34" spans="1:3" x14ac:dyDescent="0.2">
      <c r="A34" t="s">
        <v>64</v>
      </c>
      <c r="B34" s="26">
        <f>'EZ Water Adjustment'!E32</f>
        <v>-169.67182903286954</v>
      </c>
      <c r="C34" s="3"/>
    </row>
    <row r="35" spans="1:3" x14ac:dyDescent="0.2">
      <c r="A35" t="s">
        <v>120</v>
      </c>
      <c r="B35" s="27">
        <f>'EZ Water Adjustment'!F32</f>
        <v>5.2610302678274641</v>
      </c>
    </row>
    <row r="36" spans="1:3" x14ac:dyDescent="0.2">
      <c r="A36" s="148" t="s">
        <v>119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25" t="s">
        <v>74</v>
      </c>
      <c r="B1" s="225"/>
      <c r="C1" s="225"/>
    </row>
    <row r="2" spans="1:3" x14ac:dyDescent="0.2">
      <c r="A2" s="33" t="s">
        <v>52</v>
      </c>
      <c r="B2" s="34"/>
      <c r="C2" s="35" t="s">
        <v>70</v>
      </c>
    </row>
    <row r="3" spans="1:3" x14ac:dyDescent="0.2">
      <c r="A3" s="33" t="s">
        <v>53</v>
      </c>
      <c r="B3" s="34"/>
      <c r="C3" s="35"/>
    </row>
    <row r="4" spans="1:3" ht="25.5" x14ac:dyDescent="0.2">
      <c r="A4" s="33" t="s">
        <v>51</v>
      </c>
      <c r="B4" s="34">
        <v>40114</v>
      </c>
      <c r="C4" s="35" t="s">
        <v>71</v>
      </c>
    </row>
    <row r="5" spans="1:3" x14ac:dyDescent="0.2">
      <c r="A5" s="33" t="s">
        <v>49</v>
      </c>
      <c r="B5" s="34">
        <v>40198</v>
      </c>
      <c r="C5" s="35" t="s">
        <v>72</v>
      </c>
    </row>
    <row r="6" spans="1:3" x14ac:dyDescent="0.2">
      <c r="A6" s="33" t="s">
        <v>50</v>
      </c>
      <c r="B6" s="34">
        <v>40235</v>
      </c>
      <c r="C6" s="35" t="s">
        <v>73</v>
      </c>
    </row>
    <row r="7" spans="1:3" ht="39" customHeight="1" x14ac:dyDescent="0.2">
      <c r="A7" s="33" t="s">
        <v>68</v>
      </c>
      <c r="B7" s="34">
        <v>40434</v>
      </c>
      <c r="C7" s="35" t="s">
        <v>69</v>
      </c>
    </row>
    <row r="8" spans="1:3" x14ac:dyDescent="0.2">
      <c r="A8" s="1" t="s">
        <v>76</v>
      </c>
      <c r="B8" s="37">
        <v>40638</v>
      </c>
      <c r="C8" s="35" t="s">
        <v>75</v>
      </c>
    </row>
    <row r="9" spans="1:3" ht="25.5" x14ac:dyDescent="0.2">
      <c r="A9" s="33" t="s">
        <v>141</v>
      </c>
      <c r="B9" s="34">
        <v>40759</v>
      </c>
      <c r="C9" s="35" t="s">
        <v>117</v>
      </c>
    </row>
    <row r="10" spans="1:3" ht="25.5" x14ac:dyDescent="0.2">
      <c r="A10" s="33" t="s">
        <v>140</v>
      </c>
      <c r="B10" s="34">
        <v>40788</v>
      </c>
      <c r="C10" s="35" t="s">
        <v>142</v>
      </c>
    </row>
    <row r="11" spans="1:3" x14ac:dyDescent="0.2">
      <c r="A11" s="33" t="s">
        <v>154</v>
      </c>
      <c r="B11" s="34">
        <v>40961</v>
      </c>
      <c r="C11" s="35" t="s">
        <v>155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EZ Water Adjustment</vt:lpstr>
      <vt:lpstr>Raw Text Format</vt:lpstr>
      <vt:lpstr>Version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Barrette</dc:creator>
  <cp:lastModifiedBy>Jean-Philippe Barrette</cp:lastModifiedBy>
  <cp:lastPrinted>2011-08-05T12:56:36Z</cp:lastPrinted>
  <dcterms:created xsi:type="dcterms:W3CDTF">1996-10-14T23:33:28Z</dcterms:created>
  <dcterms:modified xsi:type="dcterms:W3CDTF">2018-05-31T11:57:24Z</dcterms:modified>
</cp:coreProperties>
</file>