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YU BACKUP\Capstone\Scores\"/>
    </mc:Choice>
  </mc:AlternateContent>
  <xr:revisionPtr revIDLastSave="0" documentId="13_ncr:1_{379FDCC9-F3C5-4461-B03E-BB5B4D04D9CF}" xr6:coauthVersionLast="36" xr6:coauthVersionMax="36" xr10:uidLastSave="{00000000-0000-0000-0000-000000000000}"/>
  <bookViews>
    <workbookView xWindow="0" yWindow="0" windowWidth="14400" windowHeight="5063" activeTab="5" xr2:uid="{FB89F3E3-5814-452F-A448-6CD37F5CE521}"/>
  </bookViews>
  <sheets>
    <sheet name="Talent" sheetId="1" r:id="rId1"/>
    <sheet name="Connect" sheetId="2" r:id="rId2"/>
    <sheet name="Cost" sheetId="3" r:id="rId3"/>
    <sheet name="Quality" sheetId="4" r:id="rId4"/>
    <sheet name="Overall" sheetId="5" r:id="rId5"/>
    <sheet name="Mapping" sheetId="6" r:id="rId6"/>
    <sheet name="copypas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A8" i="7" l="1"/>
  <c r="A9" i="7"/>
  <c r="A7" i="7"/>
  <c r="A6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L2" i="6"/>
  <c r="J2" i="6"/>
  <c r="H2" i="6"/>
  <c r="F2" i="6"/>
  <c r="J7" i="2"/>
  <c r="J8" i="2"/>
  <c r="J9" i="2"/>
  <c r="L3" i="4"/>
  <c r="L4" i="4"/>
  <c r="L5" i="4"/>
  <c r="L6" i="4"/>
  <c r="L7" i="4"/>
  <c r="L8" i="4"/>
  <c r="L9" i="4"/>
  <c r="L10" i="4"/>
  <c r="L11" i="4"/>
  <c r="L12" i="4"/>
  <c r="L2" i="4"/>
  <c r="K3" i="4"/>
  <c r="K4" i="4"/>
  <c r="K5" i="4"/>
  <c r="K6" i="4"/>
  <c r="K7" i="4"/>
  <c r="K8" i="4"/>
  <c r="K9" i="4"/>
  <c r="K10" i="4"/>
  <c r="K11" i="4"/>
  <c r="K2" i="4"/>
  <c r="J19" i="4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2" i="3"/>
  <c r="L2" i="3" s="1"/>
  <c r="H9" i="2"/>
  <c r="H6" i="2"/>
  <c r="I6" i="2" s="1"/>
  <c r="J6" i="2" s="1"/>
  <c r="K5" i="5"/>
  <c r="J5" i="5"/>
  <c r="K2" i="5"/>
  <c r="K4" i="5"/>
  <c r="H3" i="5"/>
  <c r="H4" i="5"/>
  <c r="H5" i="5"/>
  <c r="I5" i="5" s="1"/>
  <c r="H2" i="5"/>
  <c r="I4" i="5"/>
  <c r="K3" i="5"/>
  <c r="I3" i="5"/>
  <c r="I2" i="5"/>
  <c r="H12" i="4"/>
  <c r="H3" i="4"/>
  <c r="H4" i="4"/>
  <c r="H5" i="4"/>
  <c r="H6" i="4"/>
  <c r="I6" i="4" s="1"/>
  <c r="H7" i="4"/>
  <c r="H8" i="4"/>
  <c r="H9" i="4"/>
  <c r="H10" i="4"/>
  <c r="I10" i="4" s="1"/>
  <c r="H11" i="4"/>
  <c r="H2" i="4"/>
  <c r="I2" i="4" s="1"/>
  <c r="I12" i="4"/>
  <c r="I11" i="4"/>
  <c r="I9" i="4"/>
  <c r="I8" i="4"/>
  <c r="I7" i="4"/>
  <c r="I5" i="4"/>
  <c r="I4" i="4"/>
  <c r="I3" i="4"/>
  <c r="J7" i="3"/>
  <c r="H3" i="3"/>
  <c r="H4" i="3"/>
  <c r="H5" i="3"/>
  <c r="I5" i="3" s="1"/>
  <c r="H6" i="3"/>
  <c r="I6" i="3" s="1"/>
  <c r="H7" i="3"/>
  <c r="H8" i="3"/>
  <c r="H9" i="3"/>
  <c r="H10" i="3"/>
  <c r="I10" i="3" s="1"/>
  <c r="H11" i="3"/>
  <c r="H12" i="3"/>
  <c r="I12" i="3" s="1"/>
  <c r="H13" i="3"/>
  <c r="I13" i="3" s="1"/>
  <c r="H14" i="3"/>
  <c r="I14" i="3" s="1"/>
  <c r="H2" i="3"/>
  <c r="I2" i="3"/>
  <c r="I11" i="3"/>
  <c r="I3" i="3"/>
  <c r="I4" i="3"/>
  <c r="I7" i="3"/>
  <c r="I8" i="3"/>
  <c r="I9" i="3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G7" i="2"/>
  <c r="H7" i="2" s="1"/>
  <c r="I10" i="2" s="1"/>
  <c r="G8" i="2"/>
  <c r="G9" i="2"/>
  <c r="G2" i="2"/>
  <c r="H2" i="2" s="1"/>
  <c r="I2" i="2" s="1"/>
  <c r="J2" i="2" s="1"/>
  <c r="G3" i="1"/>
  <c r="G4" i="1"/>
  <c r="G5" i="1"/>
  <c r="G6" i="1"/>
  <c r="H6" i="1" s="1"/>
  <c r="G7" i="1"/>
  <c r="G8" i="1"/>
  <c r="G9" i="1"/>
  <c r="G10" i="1"/>
  <c r="H10" i="1" s="1"/>
  <c r="H3" i="1"/>
  <c r="H4" i="1"/>
  <c r="J4" i="1" s="1"/>
  <c r="H5" i="1"/>
  <c r="J5" i="1" s="1"/>
  <c r="H7" i="1"/>
  <c r="J7" i="1" s="1"/>
  <c r="H8" i="1"/>
  <c r="H9" i="1"/>
  <c r="J9" i="1" s="1"/>
  <c r="H2" i="1"/>
  <c r="J2" i="1" s="1"/>
  <c r="J3" i="1"/>
  <c r="J8" i="1"/>
  <c r="I11" i="2" l="1"/>
  <c r="J11" i="2" s="1"/>
  <c r="J10" i="2"/>
  <c r="K1" i="2" s="1"/>
  <c r="M1" i="3"/>
  <c r="M1" i="4"/>
  <c r="J5" i="4"/>
  <c r="J7" i="4"/>
  <c r="J8" i="4"/>
  <c r="J11" i="4"/>
  <c r="J17" i="4"/>
  <c r="J12" i="3"/>
  <c r="L1" i="5"/>
  <c r="J10" i="1"/>
  <c r="J6" i="1"/>
  <c r="K1" i="1" s="1"/>
  <c r="J6" i="4" l="1"/>
  <c r="J10" i="4"/>
  <c r="J9" i="4"/>
  <c r="J13" i="3"/>
  <c r="J14" i="3"/>
</calcChain>
</file>

<file path=xl/sharedStrings.xml><?xml version="1.0" encoding="utf-8"?>
<sst xmlns="http://schemas.openxmlformats.org/spreadsheetml/2006/main" count="356" uniqueCount="103">
  <si>
    <t>#lmg</t>
  </si>
  <si>
    <t>last</t>
  </si>
  <si>
    <t>first</t>
  </si>
  <si>
    <t>pratt</t>
  </si>
  <si>
    <t>#Amazon</t>
  </si>
  <si>
    <t>#PopDensity</t>
  </si>
  <si>
    <t>RF</t>
  </si>
  <si>
    <t>Average</t>
  </si>
  <si>
    <t>TechHub</t>
  </si>
  <si>
    <t>Amazon</t>
  </si>
  <si>
    <t>TopGrad</t>
  </si>
  <si>
    <t>PopDensity</t>
  </si>
  <si>
    <t>PercentBach</t>
  </si>
  <si>
    <t>AvgTuition</t>
  </si>
  <si>
    <t>MaleFemaleRatio</t>
  </si>
  <si>
    <t>Labor</t>
  </si>
  <si>
    <t>VCFirms</t>
  </si>
  <si>
    <t>combo$</t>
  </si>
  <si>
    <t>#PC1_rev</t>
  </si>
  <si>
    <t>#PC2_rev</t>
  </si>
  <si>
    <t>#PC3_rev</t>
  </si>
  <si>
    <t>asai</t>
  </si>
  <si>
    <t>densityscore</t>
  </si>
  <si>
    <t>PC1_rev</t>
  </si>
  <si>
    <t>PC2_rev</t>
  </si>
  <si>
    <t>PC3_rev</t>
  </si>
  <si>
    <t>#GDP</t>
  </si>
  <si>
    <t>#AvgPropTaxPerCap</t>
  </si>
  <si>
    <t>#MedianIncome</t>
  </si>
  <si>
    <t>#PropPricetoIncomeRatio</t>
  </si>
  <si>
    <t>#AvgSchoolRep</t>
  </si>
  <si>
    <t>#CorpTaxMax</t>
  </si>
  <si>
    <t>#GDP5Year</t>
  </si>
  <si>
    <t>#GDPperCap</t>
  </si>
  <si>
    <t>GDP</t>
  </si>
  <si>
    <t>AvgPropTaxPerCap</t>
  </si>
  <si>
    <t>MedianIncome</t>
  </si>
  <si>
    <t>PropPricetoIncomeRatio</t>
  </si>
  <si>
    <t>AvgSchoolRep</t>
  </si>
  <si>
    <t>CorpTaxMax</t>
  </si>
  <si>
    <t>GDP5Year</t>
  </si>
  <si>
    <t>GDPperCap</t>
  </si>
  <si>
    <t>#IncNodePurity</t>
  </si>
  <si>
    <t>-1*</t>
  </si>
  <si>
    <t>Selection</t>
  </si>
  <si>
    <t>#PovertyRate</t>
  </si>
  <si>
    <t>#HealthCareIndex</t>
  </si>
  <si>
    <t>#CostLivingComposit</t>
  </si>
  <si>
    <t>#landusescore</t>
  </si>
  <si>
    <t>#activityscore</t>
  </si>
  <si>
    <t>#streetscore</t>
  </si>
  <si>
    <t>PovertyRate</t>
  </si>
  <si>
    <t>HealthCareIndex</t>
  </si>
  <si>
    <t>CostLivingComposit</t>
  </si>
  <si>
    <t>landusescore</t>
  </si>
  <si>
    <t>activityscore</t>
  </si>
  <si>
    <t>streetscore</t>
  </si>
  <si>
    <t>#talent_score</t>
  </si>
  <si>
    <t>#connect_score</t>
  </si>
  <si>
    <t>#cost_score</t>
  </si>
  <si>
    <t>#quality_score</t>
  </si>
  <si>
    <t>talent_score</t>
  </si>
  <si>
    <t>connect_score</t>
  </si>
  <si>
    <t>cost_score</t>
  </si>
  <si>
    <t>quality_score</t>
  </si>
  <si>
    <t>scoretable$</t>
  </si>
  <si>
    <t>Adjustment</t>
  </si>
  <si>
    <t>NumAirline</t>
  </si>
  <si>
    <t>numairport</t>
  </si>
  <si>
    <t>State</t>
  </si>
  <si>
    <t>MSA</t>
  </si>
  <si>
    <t>AvgStateTax</t>
  </si>
  <si>
    <t>LandArea</t>
  </si>
  <si>
    <t>Age2534</t>
  </si>
  <si>
    <t>CrimeIndex</t>
  </si>
  <si>
    <t>PollutionIndex</t>
  </si>
  <si>
    <t>TrafficIndex</t>
  </si>
  <si>
    <t>RentIndex</t>
  </si>
  <si>
    <t>Co2Index</t>
  </si>
  <si>
    <t>NumTechConf</t>
  </si>
  <si>
    <t>TotEnrollment</t>
  </si>
  <si>
    <t>NatGas</t>
  </si>
  <si>
    <t>CorpTaxMin</t>
  </si>
  <si>
    <t>CoprTaxMax</t>
  </si>
  <si>
    <t>WCIndex</t>
  </si>
  <si>
    <t>TaxableWageBase</t>
  </si>
  <si>
    <t>SinEmpCost</t>
  </si>
  <si>
    <t>FamilyEmpCost</t>
  </si>
  <si>
    <t>Population</t>
  </si>
  <si>
    <t>MedianAge</t>
  </si>
  <si>
    <t>LaborForceAnnGrowth</t>
  </si>
  <si>
    <t>GDPperap</t>
  </si>
  <si>
    <t>RevPerCap0</t>
  </si>
  <si>
    <t>Patents</t>
  </si>
  <si>
    <t>VCInvPer</t>
  </si>
  <si>
    <t>TecRev</t>
  </si>
  <si>
    <t>Region</t>
  </si>
  <si>
    <t>SubRegion</t>
  </si>
  <si>
    <t>pca_age</t>
  </si>
  <si>
    <t>talent</t>
  </si>
  <si>
    <t>connect</t>
  </si>
  <si>
    <t>cost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</si>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</sst>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8F51-81BF-4EDB-B2D5-C0E49E703193}">
  <dimension ref="A1:K22"/>
  <sheetViews>
    <sheetView topLeftCell="B1" zoomScale="115" zoomScaleNormal="115" workbookViewId="0">
      <selection activeCell="D28" sqref="D28"/>
    </sheetView>
  </sheetViews>
  <sheetFormatPr defaultRowHeight="14.25" x14ac:dyDescent="0.45"/>
  <cols>
    <col min="1" max="1" width="0" hidden="1" customWidth="1"/>
    <col min="2" max="2" width="14.59765625" bestFit="1" customWidth="1"/>
    <col min="8" max="8" width="9.265625" customWidth="1"/>
    <col min="9" max="9" width="0" hidden="1" customWidth="1"/>
    <col min="10" max="10" width="40.6640625" hidden="1" customWidth="1"/>
    <col min="11" max="11" width="0" hidden="1" customWidth="1"/>
  </cols>
  <sheetData>
    <row r="1" spans="1:11" x14ac:dyDescent="0.45"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t="str">
        <f>CONCATENATE(J2,J3,J4,J5,J6,J7,J8,J9,J10)</f>
        <v>combo$TechHub*0.0309840920743382+combo$Amazon*0.173870938967328+combo$TopGrad*0.0156406264139591+combo$PopDensity*0.135881198935275+combo$PercentBach*0.233009369708521+combo$AvgTuition*0.125138763520472+combo$MaleFemaleRatio*0.0377688365350526+combo$Labor*0.165515571382341+combo$VCFirms*0.0821905999627124+</v>
      </c>
    </row>
    <row r="2" spans="1:11" x14ac:dyDescent="0.45">
      <c r="A2" t="s">
        <v>17</v>
      </c>
      <c r="B2" t="s">
        <v>8</v>
      </c>
      <c r="C2">
        <v>5.9946579999999999E-2</v>
      </c>
      <c r="D2">
        <v>6.6756999999999997E-3</v>
      </c>
      <c r="E2">
        <v>8.8042490000000001E-2</v>
      </c>
      <c r="F2">
        <v>2.780908E-2</v>
      </c>
      <c r="G2">
        <f>B14/SUM(B$14:B$22)</f>
        <v>1.6349721648676461E-2</v>
      </c>
      <c r="H2">
        <f>AVERAGE(AVERAGE(C2:F2),G2)</f>
        <v>3.0984092074338228E-2</v>
      </c>
      <c r="J2" t="str">
        <f>CONCATENATE(A2,B2,"*",H2,"+")</f>
        <v>combo$TechHub*0.0309840920743382+</v>
      </c>
    </row>
    <row r="3" spans="1:11" x14ac:dyDescent="0.45">
      <c r="A3" t="s">
        <v>17</v>
      </c>
      <c r="B3" t="s">
        <v>9</v>
      </c>
      <c r="C3">
        <v>0.21552669999999999</v>
      </c>
      <c r="D3">
        <v>0.31652325999999997</v>
      </c>
      <c r="E3">
        <v>0.18214936000000001</v>
      </c>
      <c r="F3">
        <v>0.29486856</v>
      </c>
      <c r="G3">
        <f t="shared" ref="G3:G10" si="0">B15/SUM(B$14:B$22)</f>
        <v>9.5474907934656184E-2</v>
      </c>
      <c r="H3">
        <f t="shared" ref="H3:H10" si="1">AVERAGE(AVERAGE(C3:F3),G3)</f>
        <v>0.17387093896732808</v>
      </c>
      <c r="J3" t="str">
        <f t="shared" ref="J3:J10" si="2">CONCATENATE(A3,B3,"*",H3,"+")</f>
        <v>combo$Amazon*0.173870938967328+</v>
      </c>
    </row>
    <row r="4" spans="1:11" x14ac:dyDescent="0.45">
      <c r="A4" t="s">
        <v>17</v>
      </c>
      <c r="B4" t="s">
        <v>10</v>
      </c>
      <c r="C4">
        <v>2.633075E-2</v>
      </c>
      <c r="D4">
        <v>3.9578910000000002E-2</v>
      </c>
      <c r="E4">
        <v>3.3810960000000001E-2</v>
      </c>
      <c r="F4">
        <v>-4.5231880000000002E-2</v>
      </c>
      <c r="G4">
        <f t="shared" si="0"/>
        <v>1.7659067827918273E-2</v>
      </c>
      <c r="H4">
        <f t="shared" si="1"/>
        <v>1.5640626413959136E-2</v>
      </c>
      <c r="J4" t="str">
        <f t="shared" si="2"/>
        <v>combo$TopGrad*0.0156406264139591+</v>
      </c>
    </row>
    <row r="5" spans="1:11" x14ac:dyDescent="0.45">
      <c r="A5" t="s">
        <v>17</v>
      </c>
      <c r="B5" t="s">
        <v>11</v>
      </c>
      <c r="C5">
        <v>8.0832609999999999E-2</v>
      </c>
      <c r="D5">
        <v>2.4449240000000001E-2</v>
      </c>
      <c r="E5">
        <v>9.4319970000000003E-2</v>
      </c>
      <c r="F5">
        <v>5.9828630000000001E-2</v>
      </c>
      <c r="G5">
        <f t="shared" si="0"/>
        <v>0.20690478537055018</v>
      </c>
      <c r="H5">
        <f t="shared" si="1"/>
        <v>0.13588119893527509</v>
      </c>
      <c r="J5" t="str">
        <f t="shared" si="2"/>
        <v>combo$PopDensity*0.135881198935275+</v>
      </c>
    </row>
    <row r="6" spans="1:11" x14ac:dyDescent="0.45">
      <c r="A6" t="s">
        <v>17</v>
      </c>
      <c r="B6" t="s">
        <v>12</v>
      </c>
      <c r="C6">
        <v>0.22263237</v>
      </c>
      <c r="D6">
        <v>0.38285539000000002</v>
      </c>
      <c r="E6">
        <v>0.16839361</v>
      </c>
      <c r="F6">
        <v>0.29908975999999998</v>
      </c>
      <c r="G6">
        <f t="shared" si="0"/>
        <v>0.19777595691704219</v>
      </c>
      <c r="H6">
        <f t="shared" si="1"/>
        <v>0.2330093697085211</v>
      </c>
      <c r="J6" t="str">
        <f t="shared" si="2"/>
        <v>combo$PercentBach*0.233009369708521+</v>
      </c>
    </row>
    <row r="7" spans="1:11" x14ac:dyDescent="0.45">
      <c r="A7" t="s">
        <v>17</v>
      </c>
      <c r="B7" t="s">
        <v>13</v>
      </c>
      <c r="C7">
        <v>0.15724536</v>
      </c>
      <c r="D7">
        <v>4.6900049999999999E-2</v>
      </c>
      <c r="E7">
        <v>0.18971363999999999</v>
      </c>
      <c r="F7">
        <v>0.142156</v>
      </c>
      <c r="G7">
        <f t="shared" si="0"/>
        <v>0.11627376454094489</v>
      </c>
      <c r="H7">
        <f t="shared" si="1"/>
        <v>0.12513876352047246</v>
      </c>
      <c r="J7" t="str">
        <f t="shared" si="2"/>
        <v>combo$AvgTuition*0.125138763520472+</v>
      </c>
    </row>
    <row r="8" spans="1:11" x14ac:dyDescent="0.45">
      <c r="A8" t="s">
        <v>17</v>
      </c>
      <c r="B8" t="s">
        <v>14</v>
      </c>
      <c r="C8">
        <v>1.9424830000000001E-2</v>
      </c>
      <c r="D8">
        <v>2.3757319999999998E-2</v>
      </c>
      <c r="E8">
        <v>1.7848099999999999E-2</v>
      </c>
      <c r="F8">
        <v>2.0482520000000001E-2</v>
      </c>
      <c r="G8">
        <f t="shared" si="0"/>
        <v>5.5159480570105106E-2</v>
      </c>
      <c r="H8">
        <f t="shared" si="1"/>
        <v>3.7768836535052551E-2</v>
      </c>
      <c r="J8" t="str">
        <f t="shared" si="2"/>
        <v>combo$MaleFemaleRatio*0.0377688365350526+</v>
      </c>
    </row>
    <row r="9" spans="1:11" x14ac:dyDescent="0.45">
      <c r="A9" t="s">
        <v>17</v>
      </c>
      <c r="B9" t="s">
        <v>15</v>
      </c>
      <c r="C9">
        <v>0.13003717000000001</v>
      </c>
      <c r="D9">
        <v>4.1074859999999998E-2</v>
      </c>
      <c r="E9">
        <v>0.15412476</v>
      </c>
      <c r="F9">
        <v>0.10135478000000001</v>
      </c>
      <c r="G9">
        <f t="shared" si="0"/>
        <v>0.22438325026468192</v>
      </c>
      <c r="H9">
        <f t="shared" si="1"/>
        <v>0.16551557138234096</v>
      </c>
      <c r="J9" t="str">
        <f t="shared" si="2"/>
        <v>combo$Labor*0.165515571382341+</v>
      </c>
    </row>
    <row r="10" spans="1:11" x14ac:dyDescent="0.45">
      <c r="A10" t="s">
        <v>17</v>
      </c>
      <c r="B10" t="s">
        <v>16</v>
      </c>
      <c r="C10">
        <v>8.8023619999999997E-2</v>
      </c>
      <c r="D10">
        <v>0.11818527</v>
      </c>
      <c r="E10">
        <v>7.1597099999999997E-2</v>
      </c>
      <c r="F10">
        <v>9.9642549999999996E-2</v>
      </c>
      <c r="G10">
        <f t="shared" si="0"/>
        <v>7.0019064925424895E-2</v>
      </c>
      <c r="H10">
        <f t="shared" si="1"/>
        <v>8.2190599962712441E-2</v>
      </c>
      <c r="J10" t="str">
        <f t="shared" si="2"/>
        <v>combo$VCFirms*0.0821905999627124+</v>
      </c>
    </row>
    <row r="13" spans="1:11" hidden="1" x14ac:dyDescent="0.45">
      <c r="B13" t="s">
        <v>6</v>
      </c>
    </row>
    <row r="14" spans="1:11" hidden="1" x14ac:dyDescent="0.45">
      <c r="B14">
        <v>0.13032489999999999</v>
      </c>
    </row>
    <row r="15" spans="1:11" hidden="1" x14ac:dyDescent="0.45">
      <c r="B15">
        <v>0.76103790000000004</v>
      </c>
    </row>
    <row r="16" spans="1:11" hidden="1" x14ac:dyDescent="0.45">
      <c r="B16">
        <v>0.14076179999999999</v>
      </c>
    </row>
    <row r="17" spans="2:2" hidden="1" x14ac:dyDescent="0.45">
      <c r="B17">
        <v>1.6492541000000001</v>
      </c>
    </row>
    <row r="18" spans="2:2" hidden="1" x14ac:dyDescent="0.45">
      <c r="B18">
        <v>1.5764875</v>
      </c>
    </row>
    <row r="19" spans="2:2" hidden="1" x14ac:dyDescent="0.45">
      <c r="B19">
        <v>0.92682719999999996</v>
      </c>
    </row>
    <row r="20" spans="2:2" hidden="1" x14ac:dyDescent="0.45">
      <c r="B20">
        <v>0.43968049999999997</v>
      </c>
    </row>
    <row r="21" spans="2:2" hidden="1" x14ac:dyDescent="0.45">
      <c r="B21">
        <v>1.7885762999999999</v>
      </c>
    </row>
    <row r="22" spans="2:2" hidden="1" x14ac:dyDescent="0.45">
      <c r="B22">
        <v>0.55812740000000005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9A02-7DF3-4146-86A2-29D0E819A163}">
  <dimension ref="A1:K21"/>
  <sheetViews>
    <sheetView workbookViewId="0">
      <selection activeCell="I1" sqref="I1"/>
    </sheetView>
  </sheetViews>
  <sheetFormatPr defaultRowHeight="14.25" x14ac:dyDescent="0.45"/>
  <cols>
    <col min="2" max="2" width="10.53125" bestFit="1" customWidth="1"/>
    <col min="10" max="10" width="35.59765625" hidden="1" customWidth="1"/>
    <col min="11" max="11" width="0" hidden="1" customWidth="1"/>
  </cols>
  <sheetData>
    <row r="1" spans="1:11" x14ac:dyDescent="0.45"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44</v>
      </c>
      <c r="K1" t="str">
        <f>CONCATENATE(J2,J3,J4,J5,J6,J7,J8,J9,J10,J11)</f>
        <v>combo$Amazon*0.146811771652994+combo$PopDensity*0.156135133819905+combo$VCFirms*0.122068723256437+combo$asai*0.197222040150124+combo$densityscore*0.120289250722363+combo$PC1_rev*+combo$PC2_rev*+combo$PC3_rev*+combo$NumAirline*0.128736540199088+combo$numairport*0.128736540199088</v>
      </c>
    </row>
    <row r="2" spans="1:11" x14ac:dyDescent="0.45">
      <c r="A2" t="s">
        <v>17</v>
      </c>
      <c r="B2" t="s">
        <v>9</v>
      </c>
      <c r="C2">
        <v>0.134575111</v>
      </c>
      <c r="D2">
        <v>2.3865355000000001E-2</v>
      </c>
      <c r="E2">
        <v>0.16477272200000001</v>
      </c>
      <c r="F2">
        <v>7.5944441000000001E-2</v>
      </c>
      <c r="G2">
        <f>A14/SUM(A$14:A$21)</f>
        <v>6.3214802285506591E-2</v>
      </c>
      <c r="H2">
        <f t="shared" ref="H2:H7" si="0">AVERAGE(AVERAGE(C2:F2),G2)+H$13/7</f>
        <v>0.14681177165299361</v>
      </c>
      <c r="I2">
        <f>H2</f>
        <v>0.14681177165299361</v>
      </c>
      <c r="J2" t="str">
        <f>CONCATENATE(A2,B2,"*",I2,"+")</f>
        <v>combo$Amazon*0.146811771652994+</v>
      </c>
    </row>
    <row r="3" spans="1:11" x14ac:dyDescent="0.45">
      <c r="A3" t="s">
        <v>17</v>
      </c>
      <c r="B3" t="s">
        <v>11</v>
      </c>
      <c r="C3">
        <v>6.0011149E-2</v>
      </c>
      <c r="D3">
        <v>1.8239914999999999E-2</v>
      </c>
      <c r="E3">
        <v>8.5322060000000005E-2</v>
      </c>
      <c r="F3">
        <v>4.3937001000000003E-2</v>
      </c>
      <c r="G3">
        <f t="shared" ref="G3:G9" si="1">A15/SUM(A$14:A$21)</f>
        <v>0.12977340261933032</v>
      </c>
      <c r="H3">
        <f t="shared" si="0"/>
        <v>0.15613513381990546</v>
      </c>
      <c r="I3">
        <f t="shared" ref="I3:I6" si="2">H3</f>
        <v>0.15613513381990546</v>
      </c>
      <c r="J3" t="str">
        <f t="shared" ref="J3:J10" si="3">CONCATENATE(A3,B3,"*",I3,"+")</f>
        <v>combo$PopDensity*0.156135133819905+</v>
      </c>
    </row>
    <row r="4" spans="1:11" x14ac:dyDescent="0.45">
      <c r="A4" t="s">
        <v>17</v>
      </c>
      <c r="B4" t="s">
        <v>16</v>
      </c>
      <c r="C4">
        <v>5.3960858E-2</v>
      </c>
      <c r="D4">
        <v>2.7296573000000001E-2</v>
      </c>
      <c r="E4">
        <v>6.4766900000000002E-2</v>
      </c>
      <c r="F4">
        <v>4.5061423000000003E-2</v>
      </c>
      <c r="G4">
        <f t="shared" si="1"/>
        <v>6.5746674242392403E-2</v>
      </c>
      <c r="H4">
        <f t="shared" si="0"/>
        <v>0.12206872325643651</v>
      </c>
      <c r="I4">
        <f t="shared" si="2"/>
        <v>0.12206872325643651</v>
      </c>
      <c r="J4" t="str">
        <f t="shared" si="3"/>
        <v>combo$VCFirms*0.122068723256437+</v>
      </c>
    </row>
    <row r="5" spans="1:11" x14ac:dyDescent="0.45">
      <c r="A5" t="s">
        <v>17</v>
      </c>
      <c r="B5" t="s">
        <v>21</v>
      </c>
      <c r="C5">
        <v>0.13942569399999999</v>
      </c>
      <c r="D5">
        <v>3.827773E-3</v>
      </c>
      <c r="E5">
        <v>0.195557288</v>
      </c>
      <c r="F5">
        <v>4.1556759999999998E-2</v>
      </c>
      <c r="G5">
        <f t="shared" si="1"/>
        <v>0.16873286777976818</v>
      </c>
      <c r="H5">
        <f t="shared" si="0"/>
        <v>0.1972220401501244</v>
      </c>
      <c r="I5">
        <f t="shared" si="2"/>
        <v>0.1972220401501244</v>
      </c>
      <c r="J5" t="str">
        <f t="shared" si="3"/>
        <v>combo$asai*0.197222040150124+</v>
      </c>
    </row>
    <row r="6" spans="1:11" x14ac:dyDescent="0.45">
      <c r="A6" t="s">
        <v>17</v>
      </c>
      <c r="B6" t="s">
        <v>22</v>
      </c>
      <c r="C6">
        <v>5.1887997999999998E-2</v>
      </c>
      <c r="D6">
        <v>1.2977290000000001E-3</v>
      </c>
      <c r="E6">
        <v>8.9579456000000002E-2</v>
      </c>
      <c r="F6">
        <v>1.3261919E-2</v>
      </c>
      <c r="G6">
        <f t="shared" si="1"/>
        <v>7.0952392174245718E-2</v>
      </c>
      <c r="H6">
        <f t="shared" si="0"/>
        <v>0.12028925072236317</v>
      </c>
      <c r="I6">
        <f t="shared" si="2"/>
        <v>0.12028925072236317</v>
      </c>
      <c r="J6" t="str">
        <f t="shared" si="3"/>
        <v>combo$densityscore*0.120289250722363+</v>
      </c>
    </row>
    <row r="7" spans="1:11" hidden="1" x14ac:dyDescent="0.45">
      <c r="A7" t="s">
        <v>17</v>
      </c>
      <c r="B7" t="s">
        <v>23</v>
      </c>
      <c r="C7">
        <v>7.4542050000000002E-3</v>
      </c>
      <c r="D7">
        <v>1.7414144999999999E-2</v>
      </c>
      <c r="E7">
        <v>1.567298E-3</v>
      </c>
      <c r="F7">
        <v>4.9545090000000002E-3</v>
      </c>
      <c r="G7">
        <f t="shared" si="1"/>
        <v>5.9865525988175766E-2</v>
      </c>
      <c r="H7">
        <f t="shared" si="0"/>
        <v>9.9166199504328201E-2</v>
      </c>
      <c r="J7" t="str">
        <f t="shared" si="3"/>
        <v>combo$PC1_rev*+</v>
      </c>
    </row>
    <row r="8" spans="1:11" hidden="1" x14ac:dyDescent="0.45">
      <c r="A8" t="s">
        <v>17</v>
      </c>
      <c r="B8" t="s">
        <v>24</v>
      </c>
      <c r="C8">
        <v>0.530956227</v>
      </c>
      <c r="D8">
        <v>0.85413358399999995</v>
      </c>
      <c r="E8">
        <v>0.38931650099999998</v>
      </c>
      <c r="F8">
        <v>0.754248158</v>
      </c>
      <c r="G8">
        <f t="shared" si="1"/>
        <v>0.38217171864336458</v>
      </c>
      <c r="H8">
        <v>0.05</v>
      </c>
      <c r="J8" t="str">
        <f t="shared" si="3"/>
        <v>combo$PC2_rev*+</v>
      </c>
    </row>
    <row r="9" spans="1:11" hidden="1" x14ac:dyDescent="0.45">
      <c r="A9" t="s">
        <v>17</v>
      </c>
      <c r="B9" t="s">
        <v>25</v>
      </c>
      <c r="C9">
        <v>2.1728759E-2</v>
      </c>
      <c r="D9">
        <v>5.3924924999999999E-2</v>
      </c>
      <c r="E9">
        <v>9.1177729999999992E-3</v>
      </c>
      <c r="F9">
        <v>2.1035789999999999E-2</v>
      </c>
      <c r="G9">
        <f t="shared" si="1"/>
        <v>5.9542616267216526E-2</v>
      </c>
      <c r="H9">
        <f>AVERAGE(AVERAGE(C9:F9),G9)+H$13/7</f>
        <v>0.10830688089384857</v>
      </c>
      <c r="J9" t="str">
        <f t="shared" si="3"/>
        <v>combo$PC3_rev*+</v>
      </c>
    </row>
    <row r="10" spans="1:11" x14ac:dyDescent="0.45">
      <c r="A10" t="s">
        <v>17</v>
      </c>
      <c r="B10" t="s">
        <v>67</v>
      </c>
      <c r="I10">
        <f>SUM(H7:H9)/2</f>
        <v>0.12873654019908837</v>
      </c>
      <c r="J10" t="str">
        <f t="shared" si="3"/>
        <v>combo$NumAirline*0.128736540199088+</v>
      </c>
    </row>
    <row r="11" spans="1:11" x14ac:dyDescent="0.45">
      <c r="A11" t="s">
        <v>17</v>
      </c>
      <c r="B11" t="s">
        <v>68</v>
      </c>
      <c r="I11">
        <f>I10</f>
        <v>0.12873654019908837</v>
      </c>
      <c r="J11" t="str">
        <f>CONCATENATE(A11,B11,"*",I11)</f>
        <v>combo$numairport*0.128736540199088</v>
      </c>
    </row>
    <row r="13" spans="1:11" hidden="1" x14ac:dyDescent="0.45">
      <c r="A13" t="s">
        <v>6</v>
      </c>
      <c r="H13">
        <v>0.4571676681966822</v>
      </c>
    </row>
    <row r="14" spans="1:11" hidden="1" x14ac:dyDescent="0.45">
      <c r="A14">
        <v>0.53542049999999997</v>
      </c>
    </row>
    <row r="15" spans="1:11" hidden="1" x14ac:dyDescent="0.45">
      <c r="A15">
        <v>1.0991625</v>
      </c>
    </row>
    <row r="16" spans="1:11" hidden="1" x14ac:dyDescent="0.45">
      <c r="A16">
        <v>0.5568651</v>
      </c>
    </row>
    <row r="17" spans="1:1" hidden="1" x14ac:dyDescent="0.45">
      <c r="A17">
        <v>1.4291437</v>
      </c>
    </row>
    <row r="18" spans="1:1" hidden="1" x14ac:dyDescent="0.45">
      <c r="A18">
        <v>0.60095679999999996</v>
      </c>
    </row>
    <row r="19" spans="1:1" hidden="1" x14ac:dyDescent="0.45">
      <c r="A19">
        <v>0.50705259999999996</v>
      </c>
    </row>
    <row r="20" spans="1:1" hidden="1" x14ac:dyDescent="0.45">
      <c r="A20">
        <v>3.2369408000000002</v>
      </c>
    </row>
    <row r="21" spans="1:1" hidden="1" x14ac:dyDescent="0.45">
      <c r="A21">
        <v>0.50431760000000003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CF2-4C02-451E-AB6D-2B541103A6AF}">
  <dimension ref="A1:M34"/>
  <sheetViews>
    <sheetView workbookViewId="0">
      <selection activeCell="I19" sqref="I19"/>
    </sheetView>
  </sheetViews>
  <sheetFormatPr defaultRowHeight="14.25" x14ac:dyDescent="0.45"/>
  <cols>
    <col min="3" max="3" width="19.9296875" bestFit="1" customWidth="1"/>
    <col min="12" max="12" width="43" bestFit="1" customWidth="1"/>
  </cols>
  <sheetData>
    <row r="1" spans="1:13" x14ac:dyDescent="0.45"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  <c r="J1" t="s">
        <v>44</v>
      </c>
      <c r="K1" t="s">
        <v>66</v>
      </c>
      <c r="M1" t="str">
        <f>CONCATENATE(L2,L3,L4,L5,L6,L7,L8,L9,L10,L11)</f>
        <v>-1*combo$Amazon*0.0879120879120879+-1*combo$GDP*0.021978021978022+-1*combo$AvgPropTaxPerCap*0.164835164835165+-1*combo$PopDensity*0.131868131868132+-1*combo$MedianIncome*0.0879120879120879+-1*combo$PropPricetoIncomeRatio*0.21978021978022+-1*combo$AvgSchoolRep*0.010989010989011+-1*combo$CorpTaxMax*0.164835164835165+-1*combo$GDP5Year*0.0549450549450549+-1*combo$GDPperCap*0.0549450549450549</v>
      </c>
    </row>
    <row r="2" spans="1:13" x14ac:dyDescent="0.45">
      <c r="A2" s="3" t="s">
        <v>43</v>
      </c>
      <c r="B2" t="s">
        <v>17</v>
      </c>
      <c r="C2" t="s">
        <v>9</v>
      </c>
      <c r="D2">
        <v>9.3078426000000006E-2</v>
      </c>
      <c r="E2">
        <v>1.9257020199999999E-2</v>
      </c>
      <c r="F2" s="1">
        <v>0.1188068</v>
      </c>
      <c r="G2">
        <v>5.5036970999999997E-2</v>
      </c>
      <c r="H2">
        <f>C20/SUM(C$19:C$31)</f>
        <v>0.14068827106339363</v>
      </c>
      <c r="I2">
        <f>AVERAGE(AVERAGE(D2:G2),H2)</f>
        <v>0.10611653768169682</v>
      </c>
      <c r="J2">
        <v>0.08</v>
      </c>
      <c r="K2">
        <f>J2/SUM(J$2:J$11)</f>
        <v>8.7912087912087905E-2</v>
      </c>
      <c r="L2" t="str">
        <f>CONCATENATE(A2,B2,C2,"*",K2,"+")</f>
        <v>-1*combo$Amazon*0.0879120879120879+</v>
      </c>
    </row>
    <row r="3" spans="1:13" x14ac:dyDescent="0.45">
      <c r="A3" s="3" t="s">
        <v>43</v>
      </c>
      <c r="B3" t="s">
        <v>17</v>
      </c>
      <c r="C3" t="s">
        <v>34</v>
      </c>
      <c r="D3">
        <v>8.7328081000000002E-2</v>
      </c>
      <c r="E3">
        <v>1.37333387E-2</v>
      </c>
      <c r="F3" s="1">
        <v>0.118047</v>
      </c>
      <c r="G3">
        <v>6.0022933000000001E-2</v>
      </c>
      <c r="H3">
        <f t="shared" ref="H3:H14" si="0">C21/SUM(C$19:C$31)</f>
        <v>2.1128998104245927E-2</v>
      </c>
      <c r="I3">
        <f t="shared" ref="I3:I14" si="1">AVERAGE(AVERAGE(D3:G3),H3)</f>
        <v>4.5455918139622964E-2</v>
      </c>
      <c r="J3">
        <v>0.02</v>
      </c>
      <c r="K3">
        <f t="shared" ref="K3:K11" si="2">J3/SUM(J$2:J$11)</f>
        <v>2.1978021978021976E-2</v>
      </c>
      <c r="L3" t="str">
        <f t="shared" ref="L3:L10" si="3">CONCATENATE(A3,B3,C3,"*",K3,"+")</f>
        <v>-1*combo$GDP*0.021978021978022+</v>
      </c>
    </row>
    <row r="4" spans="1:13" x14ac:dyDescent="0.45">
      <c r="A4" s="3" t="s">
        <v>43</v>
      </c>
      <c r="B4" t="s">
        <v>17</v>
      </c>
      <c r="C4" t="s">
        <v>35</v>
      </c>
      <c r="D4">
        <v>1.9232677E-2</v>
      </c>
      <c r="E4">
        <v>7.5207530000000005E-4</v>
      </c>
      <c r="F4" s="1">
        <v>3.052086E-2</v>
      </c>
      <c r="G4">
        <v>5.0652989999999997E-3</v>
      </c>
      <c r="H4">
        <f t="shared" si="0"/>
        <v>6.2249917074844376E-2</v>
      </c>
      <c r="I4">
        <f t="shared" si="1"/>
        <v>3.8071322449922188E-2</v>
      </c>
      <c r="J4">
        <v>0.15</v>
      </c>
      <c r="K4">
        <f t="shared" si="2"/>
        <v>0.1648351648351648</v>
      </c>
      <c r="L4" t="str">
        <f t="shared" si="3"/>
        <v>-1*combo$AvgPropTaxPerCap*0.164835164835165+</v>
      </c>
    </row>
    <row r="5" spans="1:13" x14ac:dyDescent="0.45">
      <c r="A5" s="3" t="s">
        <v>43</v>
      </c>
      <c r="B5" t="s">
        <v>17</v>
      </c>
      <c r="C5" t="s">
        <v>11</v>
      </c>
      <c r="D5">
        <v>4.4688711999999998E-2</v>
      </c>
      <c r="E5">
        <v>5.3785072999999999E-3</v>
      </c>
      <c r="F5" s="1">
        <v>6.1520150000000003E-2</v>
      </c>
      <c r="G5">
        <v>2.4199815999999999E-2</v>
      </c>
      <c r="H5">
        <f t="shared" si="0"/>
        <v>6.5018973646088801E-2</v>
      </c>
      <c r="I5">
        <f t="shared" si="1"/>
        <v>4.9482884985544401E-2</v>
      </c>
      <c r="J5">
        <v>0.12</v>
      </c>
      <c r="K5">
        <f t="shared" si="2"/>
        <v>0.13186813186813184</v>
      </c>
      <c r="L5" t="str">
        <f t="shared" si="3"/>
        <v>-1*combo$PopDensity*0.131868131868132+</v>
      </c>
    </row>
    <row r="6" spans="1:13" x14ac:dyDescent="0.45">
      <c r="A6" s="3" t="s">
        <v>43</v>
      </c>
      <c r="B6" t="s">
        <v>17</v>
      </c>
      <c r="C6" t="s">
        <v>36</v>
      </c>
      <c r="D6">
        <v>0.13387128000000001</v>
      </c>
      <c r="E6">
        <v>1.9731990099999999E-2</v>
      </c>
      <c r="F6" s="1">
        <v>0.15040990000000001</v>
      </c>
      <c r="G6">
        <v>8.1086126999999994E-2</v>
      </c>
      <c r="H6">
        <f t="shared" si="0"/>
        <v>1.7585442466365977E-2</v>
      </c>
      <c r="I6">
        <f t="shared" si="1"/>
        <v>5.6930133370682999E-2</v>
      </c>
      <c r="J6">
        <v>0.08</v>
      </c>
      <c r="K6">
        <f t="shared" si="2"/>
        <v>8.7912087912087905E-2</v>
      </c>
      <c r="L6" t="str">
        <f t="shared" si="3"/>
        <v>-1*combo$MedianIncome*0.0879120879120879+</v>
      </c>
    </row>
    <row r="7" spans="1:13" x14ac:dyDescent="0.45">
      <c r="A7" s="3" t="s">
        <v>43</v>
      </c>
      <c r="B7" t="s">
        <v>17</v>
      </c>
      <c r="C7" t="s">
        <v>37</v>
      </c>
      <c r="D7">
        <v>5.7457660000000002E-3</v>
      </c>
      <c r="E7">
        <v>1.2177147100000001E-2</v>
      </c>
      <c r="F7" s="1">
        <v>3.6471479999999998E-3</v>
      </c>
      <c r="G7">
        <v>-6.8807759999999999E-3</v>
      </c>
      <c r="H7">
        <f t="shared" si="0"/>
        <v>2.0533628936602821E-2</v>
      </c>
      <c r="I7">
        <f t="shared" si="1"/>
        <v>1.2102975105801411E-2</v>
      </c>
      <c r="J7">
        <f>0.2</f>
        <v>0.2</v>
      </c>
      <c r="K7">
        <f t="shared" si="2"/>
        <v>0.21978021978021975</v>
      </c>
      <c r="L7" t="str">
        <f t="shared" si="3"/>
        <v>-1*combo$PropPricetoIncomeRatio*0.21978021978022+</v>
      </c>
    </row>
    <row r="8" spans="1:13" x14ac:dyDescent="0.45">
      <c r="A8" s="3" t="s">
        <v>43</v>
      </c>
      <c r="B8" t="s">
        <v>17</v>
      </c>
      <c r="C8" t="s">
        <v>38</v>
      </c>
      <c r="D8">
        <v>4.5309513000000003E-2</v>
      </c>
      <c r="E8">
        <v>2.45358265E-2</v>
      </c>
      <c r="F8" s="1">
        <v>6.6009680000000001E-2</v>
      </c>
      <c r="G8">
        <v>-4.5189646999999999E-2</v>
      </c>
      <c r="H8">
        <f t="shared" si="0"/>
        <v>1.5636015502110533E-2</v>
      </c>
      <c r="I8">
        <f t="shared" si="1"/>
        <v>1.9151179313555269E-2</v>
      </c>
      <c r="J8">
        <v>0.01</v>
      </c>
      <c r="K8">
        <f t="shared" si="2"/>
        <v>1.0989010989010988E-2</v>
      </c>
      <c r="L8" t="str">
        <f t="shared" si="3"/>
        <v>-1*combo$AvgSchoolRep*0.010989010989011+</v>
      </c>
    </row>
    <row r="9" spans="1:13" x14ac:dyDescent="0.45">
      <c r="A9" s="3" t="s">
        <v>43</v>
      </c>
      <c r="B9" t="s">
        <v>17</v>
      </c>
      <c r="C9" t="s">
        <v>39</v>
      </c>
      <c r="D9">
        <v>3.0801470000000001E-3</v>
      </c>
      <c r="E9">
        <v>8.3420678999999998E-3</v>
      </c>
      <c r="F9" s="1">
        <v>7.6033939999999993E-5</v>
      </c>
      <c r="G9">
        <v>7.5703599999999999E-4</v>
      </c>
      <c r="H9">
        <f t="shared" si="0"/>
        <v>1.6925533676308918E-2</v>
      </c>
      <c r="I9">
        <f t="shared" si="1"/>
        <v>9.994677443154458E-3</v>
      </c>
      <c r="J9">
        <v>0.15</v>
      </c>
      <c r="K9">
        <f t="shared" si="2"/>
        <v>0.1648351648351648</v>
      </c>
      <c r="L9" t="str">
        <f t="shared" si="3"/>
        <v>-1*combo$CorpTaxMax*0.164835164835165+</v>
      </c>
    </row>
    <row r="10" spans="1:13" x14ac:dyDescent="0.45">
      <c r="A10" s="3" t="s">
        <v>43</v>
      </c>
      <c r="B10" t="s">
        <v>17</v>
      </c>
      <c r="C10" t="s">
        <v>40</v>
      </c>
      <c r="D10">
        <v>6.5426670000000003E-3</v>
      </c>
      <c r="E10">
        <v>8.4129374000000007E-3</v>
      </c>
      <c r="F10" s="1">
        <v>1.047154E-2</v>
      </c>
      <c r="G10">
        <v>-9.5107070000000002E-3</v>
      </c>
      <c r="H10">
        <f t="shared" si="0"/>
        <v>0.18607419718048687</v>
      </c>
      <c r="I10">
        <f>AVERAGE(AVERAGE(D10:G10),H10)</f>
        <v>9.5026653265243441E-2</v>
      </c>
      <c r="J10">
        <v>0.05</v>
      </c>
      <c r="K10">
        <f t="shared" si="2"/>
        <v>5.4945054945054937E-2</v>
      </c>
      <c r="L10" t="str">
        <f t="shared" si="3"/>
        <v>-1*combo$GDP5Year*0.0549450549450549+</v>
      </c>
    </row>
    <row r="11" spans="1:13" x14ac:dyDescent="0.45">
      <c r="A11" s="3" t="s">
        <v>43</v>
      </c>
      <c r="B11" t="s">
        <v>17</v>
      </c>
      <c r="C11" t="s">
        <v>41</v>
      </c>
      <c r="D11">
        <v>0.140110018</v>
      </c>
      <c r="E11">
        <v>8.9001027199999999E-2</v>
      </c>
      <c r="F11" s="1">
        <v>0.15207590000000001</v>
      </c>
      <c r="G11">
        <v>0.15366086500000001</v>
      </c>
      <c r="H11">
        <f t="shared" si="0"/>
        <v>2.8399345273257867E-2</v>
      </c>
      <c r="I11">
        <f t="shared" si="1"/>
        <v>8.1055648911628947E-2</v>
      </c>
      <c r="J11">
        <v>0.05</v>
      </c>
      <c r="K11">
        <f t="shared" si="2"/>
        <v>5.4945054945054937E-2</v>
      </c>
      <c r="L11" t="str">
        <f>CONCATENATE(A11,B11,C11,"*",K11)</f>
        <v>-1*combo$GDPperCap*0.0549450549450549</v>
      </c>
    </row>
    <row r="12" spans="1:13" x14ac:dyDescent="0.45">
      <c r="A12" s="3"/>
      <c r="B12" t="s">
        <v>17</v>
      </c>
      <c r="C12" t="s">
        <v>23</v>
      </c>
      <c r="D12">
        <v>6.623449E-3</v>
      </c>
      <c r="E12">
        <v>3.9562536000000001E-3</v>
      </c>
      <c r="F12" s="1">
        <v>1.130076E-3</v>
      </c>
      <c r="G12">
        <v>2.1257189999999999E-3</v>
      </c>
      <c r="H12">
        <f t="shared" si="0"/>
        <v>0.352812618456607</v>
      </c>
      <c r="I12">
        <f t="shared" si="1"/>
        <v>0.17813574642830349</v>
      </c>
      <c r="J12">
        <f>(1-SUM(J2:J11))/3</f>
        <v>2.9999999999999954E-2</v>
      </c>
    </row>
    <row r="13" spans="1:13" x14ac:dyDescent="0.45">
      <c r="A13" s="3" t="s">
        <v>43</v>
      </c>
      <c r="B13" t="s">
        <v>17</v>
      </c>
      <c r="C13" t="s">
        <v>24</v>
      </c>
      <c r="D13">
        <v>0.38578443400000001</v>
      </c>
      <c r="E13">
        <v>0.66913802619999996</v>
      </c>
      <c r="F13" s="1">
        <v>0.28071059999999998</v>
      </c>
      <c r="G13">
        <v>0.65156123899999996</v>
      </c>
      <c r="H13">
        <f t="shared" si="0"/>
        <v>3.5267422993169054E-2</v>
      </c>
      <c r="I13">
        <f t="shared" si="1"/>
        <v>0.26603299889658455</v>
      </c>
      <c r="J13">
        <f>J12</f>
        <v>2.9999999999999954E-2</v>
      </c>
    </row>
    <row r="14" spans="1:13" x14ac:dyDescent="0.45">
      <c r="A14" s="3" t="s">
        <v>43</v>
      </c>
      <c r="B14" t="s">
        <v>17</v>
      </c>
      <c r="C14" t="s">
        <v>25</v>
      </c>
      <c r="D14">
        <v>2.8604830000000001E-2</v>
      </c>
      <c r="E14">
        <v>0.12558378249999999</v>
      </c>
      <c r="F14" s="1">
        <v>6.574229E-3</v>
      </c>
      <c r="G14">
        <v>2.8065125E-2</v>
      </c>
      <c r="H14">
        <f t="shared" si="0"/>
        <v>0</v>
      </c>
      <c r="I14">
        <f t="shared" si="1"/>
        <v>2.3603495812499996E-2</v>
      </c>
      <c r="J14">
        <f>J12</f>
        <v>2.9999999999999954E-2</v>
      </c>
    </row>
    <row r="18" spans="2:5" x14ac:dyDescent="0.45">
      <c r="B18" t="s">
        <v>6</v>
      </c>
    </row>
    <row r="19" spans="2:5" x14ac:dyDescent="0.45">
      <c r="B19" t="s">
        <v>4</v>
      </c>
      <c r="C19">
        <v>0.31935049999999998</v>
      </c>
    </row>
    <row r="20" spans="2:5" x14ac:dyDescent="0.45">
      <c r="B20" t="s">
        <v>26</v>
      </c>
      <c r="C20">
        <v>1.1923912999999999</v>
      </c>
    </row>
    <row r="21" spans="2:5" x14ac:dyDescent="0.45">
      <c r="B21" t="s">
        <v>27</v>
      </c>
      <c r="C21">
        <v>0.17907699999999999</v>
      </c>
    </row>
    <row r="22" spans="2:5" x14ac:dyDescent="0.45">
      <c r="B22" t="s">
        <v>5</v>
      </c>
      <c r="C22">
        <v>0.5275938</v>
      </c>
      <c r="E22" s="1"/>
    </row>
    <row r="23" spans="2:5" x14ac:dyDescent="0.45">
      <c r="B23" t="s">
        <v>28</v>
      </c>
      <c r="C23">
        <v>0.55106270000000002</v>
      </c>
      <c r="E23" s="1"/>
    </row>
    <row r="24" spans="2:5" x14ac:dyDescent="0.45">
      <c r="B24" t="s">
        <v>29</v>
      </c>
      <c r="C24">
        <v>0.14904390000000001</v>
      </c>
      <c r="E24" s="1"/>
    </row>
    <row r="25" spans="2:5" x14ac:dyDescent="0.45">
      <c r="B25" t="s">
        <v>30</v>
      </c>
      <c r="C25">
        <v>0.17403099999999999</v>
      </c>
      <c r="E25" s="1"/>
    </row>
    <row r="26" spans="2:5" x14ac:dyDescent="0.45">
      <c r="B26" t="s">
        <v>31</v>
      </c>
      <c r="C26">
        <v>0.13252169999999999</v>
      </c>
      <c r="E26" s="1"/>
    </row>
    <row r="27" spans="2:5" x14ac:dyDescent="0.45">
      <c r="B27" t="s">
        <v>32</v>
      </c>
      <c r="C27">
        <v>0.14345089999999999</v>
      </c>
      <c r="E27" s="1"/>
    </row>
    <row r="28" spans="2:5" x14ac:dyDescent="0.45">
      <c r="B28" t="s">
        <v>33</v>
      </c>
      <c r="C28">
        <v>1.5770557999999999</v>
      </c>
      <c r="E28" s="1"/>
    </row>
    <row r="29" spans="2:5" x14ac:dyDescent="0.45">
      <c r="B29" t="s">
        <v>18</v>
      </c>
      <c r="C29">
        <v>0.2406962</v>
      </c>
      <c r="E29" s="1"/>
    </row>
    <row r="30" spans="2:5" x14ac:dyDescent="0.45">
      <c r="B30" t="s">
        <v>19</v>
      </c>
      <c r="C30">
        <v>2.9902329000000001</v>
      </c>
      <c r="E30" s="1"/>
    </row>
    <row r="31" spans="2:5" x14ac:dyDescent="0.45">
      <c r="B31" t="s">
        <v>20</v>
      </c>
      <c r="C31">
        <v>0.29890600000000001</v>
      </c>
      <c r="E31" s="1"/>
    </row>
    <row r="32" spans="2:5" x14ac:dyDescent="0.45">
      <c r="E32" s="1"/>
    </row>
    <row r="33" spans="5:5" x14ac:dyDescent="0.45">
      <c r="E33" s="1"/>
    </row>
    <row r="34" spans="5:5" x14ac:dyDescent="0.45">
      <c r="E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80D6-982B-4A3A-B2E8-BBCB185B02F3}">
  <dimension ref="A1:M26"/>
  <sheetViews>
    <sheetView workbookViewId="0">
      <selection activeCell="F19" sqref="F19"/>
    </sheetView>
  </sheetViews>
  <sheetFormatPr defaultRowHeight="14.25" x14ac:dyDescent="0.45"/>
  <cols>
    <col min="3" max="3" width="19.9296875" bestFit="1" customWidth="1"/>
    <col min="4" max="8" width="9.06640625" customWidth="1"/>
    <col min="9" max="9" width="11.73046875" customWidth="1"/>
    <col min="10" max="11" width="12.33203125" customWidth="1"/>
    <col min="12" max="12" width="43" bestFit="1" customWidth="1"/>
  </cols>
  <sheetData>
    <row r="1" spans="1:13" x14ac:dyDescent="0.45"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  <c r="J1" t="s">
        <v>44</v>
      </c>
      <c r="K1" t="s">
        <v>66</v>
      </c>
      <c r="M1" t="str">
        <f>CONCATENATE(L2,L3,L4,L5,L6,L7,L8,L9,L10,L11)</f>
        <v>combo$Amazon*0.109392755155441+combo$PopDensity*0.109392755155441+combo$MedianIncome*0.109392755155441+-1*combo$PropPricetoIncomeRatio*0.0801613363828234+-1*combo$PovertyRate*0.141398306146358+-1*combo$HealthCareIndex*0.0836061463608224+-1*combo$CostLivingComposit*0.0711374892832017+combo$landusescore*0.100268695226161+combo$activityscore*0.091627989100963+combo$streetscore*0.103621772033348+</v>
      </c>
    </row>
    <row r="2" spans="1:13" x14ac:dyDescent="0.45">
      <c r="A2" s="3"/>
      <c r="B2" t="s">
        <v>17</v>
      </c>
      <c r="C2" t="s">
        <v>9</v>
      </c>
      <c r="D2">
        <v>0.24212175899999999</v>
      </c>
      <c r="E2">
        <v>0.22035054800000001</v>
      </c>
      <c r="F2">
        <v>0.23751444560000001</v>
      </c>
      <c r="G2">
        <v>0.25741390600000003</v>
      </c>
      <c r="H2">
        <f>C16/SUM(C$16:C$26)</f>
        <v>0.13609184129962218</v>
      </c>
      <c r="I2">
        <f>AVERAGE(AVERAGE(D2:G2),H2)</f>
        <v>0.18772100297481109</v>
      </c>
      <c r="J2">
        <v>0.1</v>
      </c>
      <c r="K2">
        <f>J2+(J$19/COUNT(J$2:J$11))</f>
        <v>0.1093927551554407</v>
      </c>
      <c r="L2" t="str">
        <f>CONCATENATE(A2,B2,C2,"*",K2,"+")</f>
        <v>combo$Amazon*0.109392755155441+</v>
      </c>
    </row>
    <row r="3" spans="1:13" x14ac:dyDescent="0.45">
      <c r="A3" s="3"/>
      <c r="B3" t="s">
        <v>17</v>
      </c>
      <c r="C3" t="s">
        <v>11</v>
      </c>
      <c r="D3">
        <v>0.15844798299999999</v>
      </c>
      <c r="E3">
        <v>0.2379703316</v>
      </c>
      <c r="F3">
        <v>0.12298893599999999</v>
      </c>
      <c r="G3">
        <v>0.17525073899999999</v>
      </c>
      <c r="H3">
        <f t="shared" ref="H3:H11" si="0">C17/SUM(C$16:C$26)</f>
        <v>0.18529584115916919</v>
      </c>
      <c r="I3">
        <f t="shared" ref="I3:I12" si="1">AVERAGE(AVERAGE(D3:G3),H3)</f>
        <v>0.1794801692795846</v>
      </c>
      <c r="J3">
        <v>0.1</v>
      </c>
      <c r="K3">
        <f t="shared" ref="K3:K11" si="2">J3+(J$19/COUNT(J$2:J$11))</f>
        <v>0.1093927551554407</v>
      </c>
      <c r="L3" t="str">
        <f t="shared" ref="L3:L12" si="3">CONCATENATE(A3,B3,C3,"*",K3,"+")</f>
        <v>combo$PopDensity*0.109392755155441+</v>
      </c>
    </row>
    <row r="4" spans="1:13" x14ac:dyDescent="0.45">
      <c r="A4" s="3"/>
      <c r="B4" t="s">
        <v>17</v>
      </c>
      <c r="C4" t="s">
        <v>36</v>
      </c>
      <c r="D4">
        <v>0.34639730000000002</v>
      </c>
      <c r="E4">
        <v>0.41701271109999999</v>
      </c>
      <c r="F4">
        <v>0.30069427240000002</v>
      </c>
      <c r="G4">
        <v>0.527643062</v>
      </c>
      <c r="H4">
        <f t="shared" si="0"/>
        <v>0.21957157194807647</v>
      </c>
      <c r="I4">
        <f t="shared" si="1"/>
        <v>0.3087542041615382</v>
      </c>
      <c r="J4">
        <v>0.1</v>
      </c>
      <c r="K4">
        <f t="shared" si="2"/>
        <v>0.1093927551554407</v>
      </c>
      <c r="L4" t="str">
        <f t="shared" si="3"/>
        <v>combo$MedianIncome*0.109392755155441+</v>
      </c>
    </row>
    <row r="5" spans="1:13" x14ac:dyDescent="0.45">
      <c r="A5" s="3" t="s">
        <v>43</v>
      </c>
      <c r="B5" t="s">
        <v>17</v>
      </c>
      <c r="C5" t="s">
        <v>37</v>
      </c>
      <c r="D5">
        <v>1.2196317999999999E-2</v>
      </c>
      <c r="E5">
        <v>3.30288595E-2</v>
      </c>
      <c r="F5">
        <v>7.2912510000000003E-3</v>
      </c>
      <c r="G5">
        <v>-1.6400681E-2</v>
      </c>
      <c r="H5">
        <f t="shared" si="0"/>
        <v>3.8519381475781857E-2</v>
      </c>
      <c r="I5">
        <f t="shared" si="1"/>
        <v>2.3774159175390927E-2</v>
      </c>
      <c r="J5">
        <f>I5+J$17/8</f>
        <v>7.0768581227382665E-2</v>
      </c>
      <c r="K5">
        <f t="shared" si="2"/>
        <v>8.0161336382823356E-2</v>
      </c>
      <c r="L5" t="str">
        <f t="shared" si="3"/>
        <v>-1*combo$PropPricetoIncomeRatio*0.0801613363828234+</v>
      </c>
    </row>
    <row r="6" spans="1:13" x14ac:dyDescent="0.45">
      <c r="A6" s="3" t="s">
        <v>43</v>
      </c>
      <c r="B6" t="s">
        <v>17</v>
      </c>
      <c r="C6" t="s">
        <v>51</v>
      </c>
      <c r="D6">
        <v>9.0832777000000003E-2</v>
      </c>
      <c r="E6">
        <v>1.1366246999999999E-3</v>
      </c>
      <c r="F6">
        <v>0.1110100888</v>
      </c>
      <c r="G6">
        <v>1.4286536000000001E-2</v>
      </c>
      <c r="H6">
        <f t="shared" si="0"/>
        <v>0.11570575125285135</v>
      </c>
      <c r="I6">
        <f t="shared" si="1"/>
        <v>8.5011128938925679E-2</v>
      </c>
      <c r="J6">
        <f t="shared" ref="J6:J11" si="4">I6+J$17/8</f>
        <v>0.1320055509909174</v>
      </c>
      <c r="K6">
        <f t="shared" si="2"/>
        <v>0.14139830614635809</v>
      </c>
      <c r="L6" t="str">
        <f t="shared" si="3"/>
        <v>-1*combo$PovertyRate*0.141398306146358+</v>
      </c>
    </row>
    <row r="7" spans="1:13" x14ac:dyDescent="0.45">
      <c r="A7" s="3" t="s">
        <v>43</v>
      </c>
      <c r="B7" t="s">
        <v>17</v>
      </c>
      <c r="C7" t="s">
        <v>52</v>
      </c>
      <c r="D7">
        <v>1.4303779000000001E-2</v>
      </c>
      <c r="E7">
        <v>4.45053E-4</v>
      </c>
      <c r="F7">
        <v>2.44165189E-2</v>
      </c>
      <c r="G7">
        <v>3.2420280000000001E-3</v>
      </c>
      <c r="H7">
        <f t="shared" si="0"/>
        <v>4.3836093581780013E-2</v>
      </c>
      <c r="I7">
        <f t="shared" si="1"/>
        <v>2.7218969153390005E-2</v>
      </c>
      <c r="J7">
        <f t="shared" si="4"/>
        <v>7.4213391205381729E-2</v>
      </c>
      <c r="K7">
        <f t="shared" si="2"/>
        <v>8.360614636082242E-2</v>
      </c>
      <c r="L7" t="str">
        <f t="shared" si="3"/>
        <v>-1*combo$HealthCareIndex*0.0836061463608224+</v>
      </c>
    </row>
    <row r="8" spans="1:13" x14ac:dyDescent="0.45">
      <c r="A8" s="3" t="s">
        <v>43</v>
      </c>
      <c r="B8" t="s">
        <v>17</v>
      </c>
      <c r="C8" t="s">
        <v>53</v>
      </c>
      <c r="D8">
        <v>1.723664E-3</v>
      </c>
      <c r="E8">
        <v>1.0770248E-3</v>
      </c>
      <c r="F8">
        <v>6.5133159999999999E-4</v>
      </c>
      <c r="G8">
        <v>8.1298600000000003E-4</v>
      </c>
      <c r="H8">
        <f t="shared" si="0"/>
        <v>2.8434372551538533E-2</v>
      </c>
      <c r="I8">
        <f t="shared" si="1"/>
        <v>1.4750312075769267E-2</v>
      </c>
      <c r="J8">
        <f t="shared" si="4"/>
        <v>6.1744734127760999E-2</v>
      </c>
      <c r="K8">
        <f t="shared" si="2"/>
        <v>7.1137489283201683E-2</v>
      </c>
      <c r="L8" t="str">
        <f t="shared" si="3"/>
        <v>-1*combo$CostLivingComposit*0.0711374892832017+</v>
      </c>
    </row>
    <row r="9" spans="1:13" x14ac:dyDescent="0.45">
      <c r="A9" s="3"/>
      <c r="B9" t="s">
        <v>17</v>
      </c>
      <c r="C9" t="s">
        <v>54</v>
      </c>
      <c r="D9">
        <v>3.9710236000000003E-2</v>
      </c>
      <c r="E9">
        <v>4.0247679999999997E-4</v>
      </c>
      <c r="F9">
        <v>7.3716617600000006E-2</v>
      </c>
      <c r="G9">
        <v>-6.3823509999999996E-3</v>
      </c>
      <c r="H9">
        <f t="shared" si="0"/>
        <v>6.0901291187457143E-2</v>
      </c>
      <c r="I9">
        <f t="shared" si="1"/>
        <v>4.3881518018728576E-2</v>
      </c>
      <c r="J9">
        <f t="shared" si="4"/>
        <v>9.0875940070720307E-2</v>
      </c>
      <c r="K9">
        <f t="shared" si="2"/>
        <v>0.100268695226161</v>
      </c>
      <c r="L9" t="str">
        <f t="shared" si="3"/>
        <v>combo$landusescore*0.100268695226161+</v>
      </c>
    </row>
    <row r="10" spans="1:13" x14ac:dyDescent="0.45">
      <c r="A10" s="3"/>
      <c r="B10" t="s">
        <v>17</v>
      </c>
      <c r="C10" t="s">
        <v>55</v>
      </c>
      <c r="D10">
        <v>2.2033849000000001E-2</v>
      </c>
      <c r="E10">
        <v>1.2911036000000001E-2</v>
      </c>
      <c r="F10">
        <v>3.4569219700000001E-2</v>
      </c>
      <c r="G10">
        <v>2.0982528E-2</v>
      </c>
      <c r="H10">
        <f t="shared" si="0"/>
        <v>4.7857465612061063E-2</v>
      </c>
      <c r="I10">
        <f>AVERAGE(AVERAGE(D10:G10),H10)</f>
        <v>3.5240811893530531E-2</v>
      </c>
      <c r="J10">
        <f t="shared" si="4"/>
        <v>8.2235233945522263E-2</v>
      </c>
      <c r="K10">
        <f t="shared" si="2"/>
        <v>9.1627989100962953E-2</v>
      </c>
      <c r="L10" t="str">
        <f t="shared" si="3"/>
        <v>combo$activityscore*0.091627989100963+</v>
      </c>
    </row>
    <row r="11" spans="1:13" x14ac:dyDescent="0.45">
      <c r="A11" s="3"/>
      <c r="B11" t="s">
        <v>17</v>
      </c>
      <c r="C11" t="s">
        <v>56</v>
      </c>
      <c r="D11">
        <v>4.7239269E-2</v>
      </c>
      <c r="E11">
        <v>8.2686140000000005E-4</v>
      </c>
      <c r="F11">
        <v>8.4888110000000003E-2</v>
      </c>
      <c r="G11">
        <v>9.9822980000000006E-3</v>
      </c>
      <c r="H11">
        <f t="shared" si="0"/>
        <v>5.8735055051831762E-2</v>
      </c>
      <c r="I11">
        <f t="shared" si="1"/>
        <v>4.7234594825915882E-2</v>
      </c>
      <c r="J11">
        <f t="shared" si="4"/>
        <v>9.4229016877907606E-2</v>
      </c>
      <c r="K11">
        <f t="shared" si="2"/>
        <v>0.1036217720333483</v>
      </c>
      <c r="L11" t="str">
        <f t="shared" si="3"/>
        <v>combo$streetscore*0.103621772033348+</v>
      </c>
    </row>
    <row r="12" spans="1:13" hidden="1" x14ac:dyDescent="0.45">
      <c r="A12" s="3"/>
      <c r="B12" t="s">
        <v>17</v>
      </c>
      <c r="C12" t="s">
        <v>23</v>
      </c>
      <c r="D12">
        <v>2.4993066000000001E-2</v>
      </c>
      <c r="E12">
        <v>7.4838473200000005E-2</v>
      </c>
      <c r="F12">
        <v>2.2592086000000002E-3</v>
      </c>
      <c r="G12">
        <v>1.3168948999999999E-2</v>
      </c>
      <c r="H12">
        <f>C26/SUM(C$16:C$26)</f>
        <v>6.505133487983053E-2</v>
      </c>
      <c r="I12">
        <f t="shared" si="1"/>
        <v>4.6933129539915269E-2</v>
      </c>
      <c r="J12">
        <v>0</v>
      </c>
      <c r="K12">
        <v>0</v>
      </c>
      <c r="L12" t="str">
        <f t="shared" si="3"/>
        <v>combo$PC1_rev*0+</v>
      </c>
    </row>
    <row r="15" spans="1:13" x14ac:dyDescent="0.45">
      <c r="B15" t="s">
        <v>42</v>
      </c>
    </row>
    <row r="16" spans="1:13" x14ac:dyDescent="0.45">
      <c r="B16" t="s">
        <v>4</v>
      </c>
      <c r="C16">
        <v>1.120493</v>
      </c>
    </row>
    <row r="17" spans="2:10" x14ac:dyDescent="0.45">
      <c r="B17" t="s">
        <v>5</v>
      </c>
      <c r="C17">
        <v>1.5256072000000001</v>
      </c>
      <c r="J17">
        <f>SUM(I2:I4)-0.3</f>
        <v>0.37595537641593385</v>
      </c>
    </row>
    <row r="18" spans="2:10" x14ac:dyDescent="0.45">
      <c r="B18" t="s">
        <v>28</v>
      </c>
      <c r="C18">
        <v>1.8078116</v>
      </c>
    </row>
    <row r="19" spans="2:10" x14ac:dyDescent="0.45">
      <c r="B19" t="s">
        <v>29</v>
      </c>
      <c r="C19">
        <v>0.31714389999999998</v>
      </c>
      <c r="J19">
        <f>1-SUM(J2:J11)</f>
        <v>9.3927551554406907E-2</v>
      </c>
    </row>
    <row r="20" spans="2:10" x14ac:dyDescent="0.45">
      <c r="B20" t="s">
        <v>45</v>
      </c>
      <c r="C20">
        <v>0.95264700000000002</v>
      </c>
    </row>
    <row r="21" spans="2:10" x14ac:dyDescent="0.45">
      <c r="B21" t="s">
        <v>46</v>
      </c>
      <c r="C21">
        <v>0.36091830000000003</v>
      </c>
    </row>
    <row r="22" spans="2:10" x14ac:dyDescent="0.45">
      <c r="B22" t="s">
        <v>47</v>
      </c>
      <c r="C22">
        <v>0.2341104</v>
      </c>
    </row>
    <row r="23" spans="2:10" x14ac:dyDescent="0.45">
      <c r="B23" t="s">
        <v>48</v>
      </c>
      <c r="C23">
        <v>0.50142220000000004</v>
      </c>
    </row>
    <row r="24" spans="2:10" x14ac:dyDescent="0.45">
      <c r="B24" t="s">
        <v>49</v>
      </c>
      <c r="C24">
        <v>0.39402769999999998</v>
      </c>
    </row>
    <row r="25" spans="2:10" x14ac:dyDescent="0.45">
      <c r="B25" t="s">
        <v>50</v>
      </c>
      <c r="C25">
        <v>0.48358679999999998</v>
      </c>
    </row>
    <row r="26" spans="2:10" x14ac:dyDescent="0.45">
      <c r="B26" t="s">
        <v>18</v>
      </c>
      <c r="C26">
        <v>0.53559100000000004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8546-C28A-49D8-A665-EA882B4FF817}">
  <dimension ref="A1:L15"/>
  <sheetViews>
    <sheetView workbookViewId="0">
      <selection activeCell="I2" sqref="I2:I5"/>
    </sheetView>
  </sheetViews>
  <sheetFormatPr defaultRowHeight="14.25" x14ac:dyDescent="0.45"/>
  <cols>
    <col min="3" max="3" width="19.9296875" bestFit="1" customWidth="1"/>
    <col min="9" max="9" width="11.73046875" bestFit="1" customWidth="1"/>
    <col min="10" max="10" width="12.33203125" bestFit="1" customWidth="1"/>
    <col min="11" max="11" width="43" bestFit="1" customWidth="1"/>
  </cols>
  <sheetData>
    <row r="1" spans="1:12" x14ac:dyDescent="0.45"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  <c r="J1" t="s">
        <v>44</v>
      </c>
      <c r="L1" t="str">
        <f>CONCATENATE(K2,K3,K4,K5)</f>
        <v>scoretable$talent_score*0.25+scoretable$connect_score*0.25+scoretable$cost_score*0.35+scoretable$quality_score*0.15</v>
      </c>
    </row>
    <row r="2" spans="1:12" x14ac:dyDescent="0.45">
      <c r="A2" s="3"/>
      <c r="B2" t="s">
        <v>65</v>
      </c>
      <c r="C2" t="s">
        <v>61</v>
      </c>
      <c r="D2">
        <v>0.22960705000000001</v>
      </c>
      <c r="E2">
        <v>7.8381779999999995E-3</v>
      </c>
      <c r="F2">
        <v>0.28495332000000001</v>
      </c>
      <c r="G2">
        <v>4.8552199999999997E-2</v>
      </c>
      <c r="H2">
        <f>C12/SUM(C$12:C$15)</f>
        <v>0.24720273653307073</v>
      </c>
      <c r="I2">
        <f>AVERAGE(AVERAGE(D2:G2),H2)</f>
        <v>0.19497021176653537</v>
      </c>
      <c r="J2">
        <v>0.25</v>
      </c>
      <c r="K2" t="str">
        <f>CONCATENATE(A2,B2,C2,"*",J2,"+")</f>
        <v>scoretable$talent_score*0.25+</v>
      </c>
    </row>
    <row r="3" spans="1:12" x14ac:dyDescent="0.45">
      <c r="A3" s="3"/>
      <c r="B3" t="s">
        <v>65</v>
      </c>
      <c r="C3" t="s">
        <v>62</v>
      </c>
      <c r="D3">
        <v>0.40208846999999998</v>
      </c>
      <c r="E3">
        <v>0.40851040300000002</v>
      </c>
      <c r="F3">
        <v>0.40170844999999999</v>
      </c>
      <c r="G3">
        <v>0.45472952</v>
      </c>
      <c r="H3">
        <f t="shared" ref="H3:H5" si="0">C13/SUM(C$12:C$15)</f>
        <v>0.32111815440130526</v>
      </c>
      <c r="I3">
        <f t="shared" ref="I3:I5" si="1">AVERAGE(AVERAGE(D3:G3),H3)</f>
        <v>0.36893868257565265</v>
      </c>
      <c r="J3">
        <v>0.25</v>
      </c>
      <c r="K3" t="str">
        <f t="shared" ref="K3:K4" si="2">CONCATENATE(A3,B3,C3,"*",J3,"+")</f>
        <v>scoretable$connect_score*0.25+</v>
      </c>
    </row>
    <row r="4" spans="1:12" x14ac:dyDescent="0.45">
      <c r="A4" s="3"/>
      <c r="B4" t="s">
        <v>65</v>
      </c>
      <c r="C4" t="s">
        <v>63</v>
      </c>
      <c r="D4">
        <v>0.31200085</v>
      </c>
      <c r="E4">
        <v>0.45990772899999999</v>
      </c>
      <c r="F4">
        <v>0.28659413</v>
      </c>
      <c r="G4">
        <v>0.43737672</v>
      </c>
      <c r="H4">
        <f t="shared" si="0"/>
        <v>0.33555540453485699</v>
      </c>
      <c r="I4">
        <f t="shared" si="1"/>
        <v>0.35476263089242849</v>
      </c>
      <c r="J4">
        <v>0.35</v>
      </c>
      <c r="K4" t="str">
        <f t="shared" si="2"/>
        <v>scoretable$cost_score*0.35+</v>
      </c>
    </row>
    <row r="5" spans="1:12" x14ac:dyDescent="0.45">
      <c r="A5" s="3"/>
      <c r="B5" t="s">
        <v>65</v>
      </c>
      <c r="C5" t="s">
        <v>64</v>
      </c>
      <c r="D5">
        <v>5.630363E-2</v>
      </c>
      <c r="E5">
        <v>0.123743689</v>
      </c>
      <c r="F5">
        <v>2.6744110000000001E-2</v>
      </c>
      <c r="G5">
        <v>5.9341560000000002E-2</v>
      </c>
      <c r="H5">
        <f t="shared" si="0"/>
        <v>9.6123704530767073E-2</v>
      </c>
      <c r="I5">
        <f t="shared" si="1"/>
        <v>8.1328475890383542E-2</v>
      </c>
      <c r="J5">
        <f>0.15</f>
        <v>0.15</v>
      </c>
      <c r="K5" t="str">
        <f>CONCATENATE(A5,B5,C5,"*",J5)</f>
        <v>scoretable$quality_score*0.15</v>
      </c>
    </row>
    <row r="12" spans="1:12" x14ac:dyDescent="0.45">
      <c r="B12" t="s">
        <v>57</v>
      </c>
      <c r="C12">
        <v>2.0810198999999998</v>
      </c>
    </row>
    <row r="13" spans="1:12" x14ac:dyDescent="0.45">
      <c r="B13" t="s">
        <v>58</v>
      </c>
      <c r="C13">
        <v>2.7032600000000002</v>
      </c>
    </row>
    <row r="14" spans="1:12" x14ac:dyDescent="0.45">
      <c r="B14" t="s">
        <v>59</v>
      </c>
      <c r="C14">
        <v>2.8247966999999998</v>
      </c>
    </row>
    <row r="15" spans="1:12" x14ac:dyDescent="0.45">
      <c r="B15" t="s">
        <v>60</v>
      </c>
      <c r="C15">
        <v>0.80919549999999996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51CE-E651-4BC6-8307-F936E648C118}">
  <dimension ref="A1:L58"/>
  <sheetViews>
    <sheetView tabSelected="1" workbookViewId="0">
      <selection activeCell="V14" sqref="V14"/>
    </sheetView>
  </sheetViews>
  <sheetFormatPr defaultRowHeight="14.25" x14ac:dyDescent="0.45"/>
  <cols>
    <col min="1" max="1" width="22.9296875" bestFit="1" customWidth="1"/>
    <col min="2" max="2" width="19.9296875" bestFit="1" customWidth="1"/>
    <col min="6" max="6" width="18.59765625" bestFit="1" customWidth="1"/>
  </cols>
  <sheetData>
    <row r="1" spans="1:12" x14ac:dyDescent="0.45">
      <c r="A1" s="2">
        <v>1</v>
      </c>
      <c r="B1" t="s">
        <v>69</v>
      </c>
      <c r="E1" s="2" t="s">
        <v>99</v>
      </c>
      <c r="F1" s="2"/>
      <c r="G1" s="2" t="s">
        <v>100</v>
      </c>
      <c r="H1" s="2"/>
      <c r="I1" s="2" t="s">
        <v>101</v>
      </c>
      <c r="J1" s="2"/>
      <c r="K1" s="2" t="s">
        <v>102</v>
      </c>
    </row>
    <row r="2" spans="1:12" x14ac:dyDescent="0.45">
      <c r="A2" s="2">
        <v>2</v>
      </c>
      <c r="B2" t="s">
        <v>70</v>
      </c>
      <c r="E2">
        <v>1</v>
      </c>
      <c r="F2" t="str">
        <f>VLOOKUP(E2,$A:$B,2,FALSE)</f>
        <v>State</v>
      </c>
      <c r="G2">
        <v>1</v>
      </c>
      <c r="H2" t="str">
        <f>VLOOKUP(G2,$A:$B,2,FALSE)</f>
        <v>State</v>
      </c>
      <c r="I2">
        <v>1</v>
      </c>
      <c r="J2" t="str">
        <f>VLOOKUP(I2,$A:$B,2,FALSE)</f>
        <v>State</v>
      </c>
      <c r="K2">
        <v>1</v>
      </c>
      <c r="L2" t="str">
        <f>VLOOKUP(K2,$A:$B,2,FALSE)</f>
        <v>State</v>
      </c>
    </row>
    <row r="3" spans="1:12" x14ac:dyDescent="0.45">
      <c r="A3" s="2">
        <v>3</v>
      </c>
      <c r="B3" t="s">
        <v>8</v>
      </c>
      <c r="E3">
        <v>2</v>
      </c>
      <c r="F3" t="str">
        <f t="shared" ref="F3:F26" si="0">VLOOKUP(E3,$A:$B,2,FALSE)</f>
        <v>MSA</v>
      </c>
      <c r="G3">
        <v>2</v>
      </c>
      <c r="H3" t="str">
        <f t="shared" ref="H3:H29" si="1">VLOOKUP(G3,$A:$B,2,FALSE)</f>
        <v>MSA</v>
      </c>
      <c r="I3">
        <v>2</v>
      </c>
      <c r="J3" t="str">
        <f t="shared" ref="J3:J40" si="2">VLOOKUP(I3,$A:$B,2,FALSE)</f>
        <v>MSA</v>
      </c>
      <c r="K3">
        <v>2</v>
      </c>
      <c r="L3" t="str">
        <f t="shared" ref="L3:L33" si="3">VLOOKUP(K3,$A:$B,2,FALSE)</f>
        <v>MSA</v>
      </c>
    </row>
    <row r="4" spans="1:12" x14ac:dyDescent="0.45">
      <c r="A4" s="2">
        <v>4</v>
      </c>
      <c r="B4" t="s">
        <v>9</v>
      </c>
      <c r="E4">
        <v>3</v>
      </c>
      <c r="F4" t="str">
        <f t="shared" si="0"/>
        <v>TechHub</v>
      </c>
      <c r="G4">
        <v>3</v>
      </c>
      <c r="H4" t="str">
        <f t="shared" si="1"/>
        <v>TechHub</v>
      </c>
      <c r="I4">
        <v>3</v>
      </c>
      <c r="J4" t="str">
        <f t="shared" si="2"/>
        <v>TechHub</v>
      </c>
      <c r="K4">
        <v>3</v>
      </c>
      <c r="L4" t="str">
        <f t="shared" si="3"/>
        <v>TechHub</v>
      </c>
    </row>
    <row r="5" spans="1:12" x14ac:dyDescent="0.45">
      <c r="A5" s="2">
        <v>5</v>
      </c>
      <c r="B5" t="s">
        <v>10</v>
      </c>
      <c r="E5">
        <v>4</v>
      </c>
      <c r="F5" t="str">
        <f t="shared" si="0"/>
        <v>Amazon</v>
      </c>
      <c r="G5">
        <v>4</v>
      </c>
      <c r="H5" t="str">
        <f t="shared" si="1"/>
        <v>Amazon</v>
      </c>
      <c r="I5">
        <v>4</v>
      </c>
      <c r="J5" t="str">
        <f t="shared" si="2"/>
        <v>Amazon</v>
      </c>
      <c r="K5">
        <v>4</v>
      </c>
      <c r="L5" t="str">
        <f t="shared" si="3"/>
        <v>Amazon</v>
      </c>
    </row>
    <row r="6" spans="1:12" x14ac:dyDescent="0.45">
      <c r="A6" s="2">
        <v>6</v>
      </c>
      <c r="B6" t="s">
        <v>67</v>
      </c>
      <c r="E6">
        <v>5</v>
      </c>
      <c r="F6" t="str">
        <f t="shared" si="0"/>
        <v>TopGrad</v>
      </c>
      <c r="G6">
        <v>6</v>
      </c>
      <c r="H6" t="str">
        <f t="shared" si="1"/>
        <v>NumAirline</v>
      </c>
      <c r="I6">
        <v>5</v>
      </c>
      <c r="J6" t="str">
        <f t="shared" si="2"/>
        <v>TopGrad</v>
      </c>
      <c r="K6">
        <v>5</v>
      </c>
      <c r="L6" t="str">
        <f t="shared" si="3"/>
        <v>TopGrad</v>
      </c>
    </row>
    <row r="7" spans="1:12" x14ac:dyDescent="0.45">
      <c r="A7" s="2">
        <v>7</v>
      </c>
      <c r="B7" t="s">
        <v>34</v>
      </c>
      <c r="E7">
        <v>11</v>
      </c>
      <c r="F7" t="str">
        <f t="shared" si="0"/>
        <v>PopDensity</v>
      </c>
      <c r="G7">
        <v>11</v>
      </c>
      <c r="H7" t="str">
        <f t="shared" si="1"/>
        <v>PopDensity</v>
      </c>
      <c r="I7">
        <v>6</v>
      </c>
      <c r="J7" t="str">
        <f t="shared" si="2"/>
        <v>NumAirline</v>
      </c>
      <c r="K7">
        <v>6</v>
      </c>
      <c r="L7" t="str">
        <f t="shared" si="3"/>
        <v>NumAirline</v>
      </c>
    </row>
    <row r="8" spans="1:12" x14ac:dyDescent="0.45">
      <c r="A8" s="2">
        <v>8</v>
      </c>
      <c r="B8" t="s">
        <v>71</v>
      </c>
      <c r="E8">
        <v>12</v>
      </c>
      <c r="F8" t="str">
        <f t="shared" si="0"/>
        <v>Age2534</v>
      </c>
      <c r="G8">
        <v>16</v>
      </c>
      <c r="H8" t="str">
        <f t="shared" si="1"/>
        <v>HealthCareIndex</v>
      </c>
      <c r="I8">
        <v>7</v>
      </c>
      <c r="J8" t="str">
        <f t="shared" si="2"/>
        <v>GDP</v>
      </c>
      <c r="K8">
        <v>11</v>
      </c>
      <c r="L8" t="str">
        <f t="shared" si="3"/>
        <v>PopDensity</v>
      </c>
    </row>
    <row r="9" spans="1:12" x14ac:dyDescent="0.45">
      <c r="A9" s="2">
        <v>9</v>
      </c>
      <c r="B9" t="s">
        <v>35</v>
      </c>
      <c r="E9">
        <v>14</v>
      </c>
      <c r="F9" t="str">
        <f t="shared" si="0"/>
        <v>PercentBach</v>
      </c>
      <c r="G9">
        <v>17</v>
      </c>
      <c r="H9" t="str">
        <f t="shared" si="1"/>
        <v>CrimeIndex</v>
      </c>
      <c r="I9">
        <v>8</v>
      </c>
      <c r="J9" t="str">
        <f t="shared" si="2"/>
        <v>AvgStateTax</v>
      </c>
      <c r="K9">
        <v>13</v>
      </c>
      <c r="L9" t="str">
        <f t="shared" si="3"/>
        <v>MedianIncome</v>
      </c>
    </row>
    <row r="10" spans="1:12" x14ac:dyDescent="0.45">
      <c r="A10" s="2">
        <v>10</v>
      </c>
      <c r="B10" t="s">
        <v>72</v>
      </c>
      <c r="E10">
        <v>23</v>
      </c>
      <c r="F10" t="str">
        <f t="shared" si="0"/>
        <v>NumTechConf</v>
      </c>
      <c r="G10">
        <v>18</v>
      </c>
      <c r="H10" t="str">
        <f t="shared" si="1"/>
        <v>PollutionIndex</v>
      </c>
      <c r="I10">
        <v>9</v>
      </c>
      <c r="J10" t="str">
        <f t="shared" si="2"/>
        <v>AvgPropTaxPerCap</v>
      </c>
      <c r="K10">
        <v>15</v>
      </c>
      <c r="L10" t="str">
        <f t="shared" si="3"/>
        <v>PovertyRate</v>
      </c>
    </row>
    <row r="11" spans="1:12" x14ac:dyDescent="0.45">
      <c r="A11" s="2">
        <v>11</v>
      </c>
      <c r="B11" t="s">
        <v>11</v>
      </c>
      <c r="E11">
        <v>24</v>
      </c>
      <c r="F11" t="str">
        <f t="shared" si="0"/>
        <v>TotEnrollment</v>
      </c>
      <c r="G11">
        <v>19</v>
      </c>
      <c r="H11" t="str">
        <f t="shared" si="1"/>
        <v>TrafficIndex</v>
      </c>
      <c r="I11">
        <v>11</v>
      </c>
      <c r="J11" t="str">
        <f t="shared" si="2"/>
        <v>PopDensity</v>
      </c>
      <c r="K11">
        <v>16</v>
      </c>
      <c r="L11" t="str">
        <f t="shared" si="3"/>
        <v>HealthCareIndex</v>
      </c>
    </row>
    <row r="12" spans="1:12" x14ac:dyDescent="0.45">
      <c r="A12" s="2">
        <v>12</v>
      </c>
      <c r="B12" t="s">
        <v>73</v>
      </c>
      <c r="E12">
        <v>25</v>
      </c>
      <c r="F12" t="str">
        <f t="shared" si="0"/>
        <v>AvgSchoolRep</v>
      </c>
      <c r="G12">
        <v>20</v>
      </c>
      <c r="H12" t="str">
        <f t="shared" si="1"/>
        <v>RentIndex</v>
      </c>
      <c r="I12">
        <v>13</v>
      </c>
      <c r="J12" t="str">
        <f t="shared" si="2"/>
        <v>MedianIncome</v>
      </c>
      <c r="K12">
        <v>17</v>
      </c>
      <c r="L12" t="str">
        <f t="shared" si="3"/>
        <v>CrimeIndex</v>
      </c>
    </row>
    <row r="13" spans="1:12" x14ac:dyDescent="0.45">
      <c r="A13" s="2">
        <v>13</v>
      </c>
      <c r="B13" t="s">
        <v>36</v>
      </c>
      <c r="E13">
        <v>26</v>
      </c>
      <c r="F13" t="str">
        <f t="shared" si="0"/>
        <v>AvgTuition</v>
      </c>
      <c r="G13">
        <v>22</v>
      </c>
      <c r="H13" t="str">
        <f t="shared" si="1"/>
        <v>Co2Index</v>
      </c>
      <c r="I13">
        <v>15</v>
      </c>
      <c r="J13" t="str">
        <f t="shared" si="2"/>
        <v>PovertyRate</v>
      </c>
      <c r="K13">
        <v>18</v>
      </c>
      <c r="L13" t="str">
        <f t="shared" si="3"/>
        <v>PollutionIndex</v>
      </c>
    </row>
    <row r="14" spans="1:12" x14ac:dyDescent="0.45">
      <c r="A14" s="2">
        <v>14</v>
      </c>
      <c r="B14" t="s">
        <v>12</v>
      </c>
      <c r="E14">
        <v>36</v>
      </c>
      <c r="F14" t="str">
        <f t="shared" si="0"/>
        <v>Population</v>
      </c>
      <c r="G14">
        <v>23</v>
      </c>
      <c r="H14" t="str">
        <f t="shared" si="1"/>
        <v>NumTechConf</v>
      </c>
      <c r="I14">
        <v>16</v>
      </c>
      <c r="J14" t="str">
        <f t="shared" si="2"/>
        <v>HealthCareIndex</v>
      </c>
      <c r="K14">
        <v>19</v>
      </c>
      <c r="L14" t="str">
        <f t="shared" si="3"/>
        <v>TrafficIndex</v>
      </c>
    </row>
    <row r="15" spans="1:12" x14ac:dyDescent="0.45">
      <c r="A15" s="2">
        <v>15</v>
      </c>
      <c r="B15" t="s">
        <v>51</v>
      </c>
      <c r="E15">
        <v>37</v>
      </c>
      <c r="F15" t="str">
        <f t="shared" si="0"/>
        <v>MaleFemaleRatio</v>
      </c>
      <c r="G15">
        <v>42</v>
      </c>
      <c r="H15" t="str">
        <f t="shared" si="1"/>
        <v>RevPerCap0</v>
      </c>
      <c r="I15">
        <v>20</v>
      </c>
      <c r="J15" t="str">
        <f t="shared" si="2"/>
        <v>RentIndex</v>
      </c>
      <c r="K15">
        <v>20</v>
      </c>
      <c r="L15" t="str">
        <f t="shared" si="3"/>
        <v>RentIndex</v>
      </c>
    </row>
    <row r="16" spans="1:12" x14ac:dyDescent="0.45">
      <c r="A16" s="2">
        <v>16</v>
      </c>
      <c r="B16" t="s">
        <v>52</v>
      </c>
      <c r="E16">
        <v>38</v>
      </c>
      <c r="F16" t="str">
        <f t="shared" si="0"/>
        <v>MedianAge</v>
      </c>
      <c r="G16">
        <v>43</v>
      </c>
      <c r="H16" t="str">
        <f t="shared" si="1"/>
        <v>Patents</v>
      </c>
      <c r="I16">
        <v>21</v>
      </c>
      <c r="J16" t="str">
        <f t="shared" si="2"/>
        <v>PropPricetoIncomeRatio</v>
      </c>
      <c r="K16">
        <v>21</v>
      </c>
      <c r="L16" t="str">
        <f t="shared" si="3"/>
        <v>PropPricetoIncomeRatio</v>
      </c>
    </row>
    <row r="17" spans="1:12" x14ac:dyDescent="0.45">
      <c r="A17" s="2">
        <v>17</v>
      </c>
      <c r="B17" t="s">
        <v>74</v>
      </c>
      <c r="E17">
        <v>39</v>
      </c>
      <c r="F17" t="str">
        <f t="shared" si="0"/>
        <v>Labor</v>
      </c>
      <c r="G17">
        <v>44</v>
      </c>
      <c r="H17" t="str">
        <f t="shared" si="1"/>
        <v>VCInvPer</v>
      </c>
      <c r="I17">
        <v>25</v>
      </c>
      <c r="J17" t="str">
        <f t="shared" si="2"/>
        <v>AvgSchoolRep</v>
      </c>
      <c r="K17">
        <v>22</v>
      </c>
      <c r="L17" t="str">
        <f t="shared" si="3"/>
        <v>Co2Index</v>
      </c>
    </row>
    <row r="18" spans="1:12" x14ac:dyDescent="0.45">
      <c r="A18" s="2">
        <v>18</v>
      </c>
      <c r="B18" t="s">
        <v>75</v>
      </c>
      <c r="E18">
        <v>40</v>
      </c>
      <c r="F18" t="str">
        <f t="shared" si="0"/>
        <v>LaborForceAnnGrowth</v>
      </c>
      <c r="G18">
        <v>45</v>
      </c>
      <c r="H18" t="str">
        <f t="shared" si="1"/>
        <v>VCFirms</v>
      </c>
      <c r="I18">
        <v>26</v>
      </c>
      <c r="J18" t="str">
        <f t="shared" si="2"/>
        <v>AvgTuition</v>
      </c>
      <c r="K18">
        <v>30</v>
      </c>
      <c r="L18" t="str">
        <f t="shared" si="3"/>
        <v>CostLivingComposit</v>
      </c>
    </row>
    <row r="19" spans="1:12" x14ac:dyDescent="0.45">
      <c r="A19" s="2">
        <v>19</v>
      </c>
      <c r="B19" t="s">
        <v>76</v>
      </c>
      <c r="E19">
        <v>42</v>
      </c>
      <c r="F19" t="str">
        <f t="shared" si="0"/>
        <v>RevPerCap0</v>
      </c>
      <c r="G19">
        <v>46</v>
      </c>
      <c r="H19" t="str">
        <f t="shared" si="1"/>
        <v>numairport</v>
      </c>
      <c r="I19">
        <v>27</v>
      </c>
      <c r="J19" t="str">
        <f t="shared" si="2"/>
        <v>NatGas</v>
      </c>
      <c r="K19">
        <v>37</v>
      </c>
      <c r="L19" t="str">
        <f t="shared" si="3"/>
        <v>MaleFemaleRatio</v>
      </c>
    </row>
    <row r="20" spans="1:12" x14ac:dyDescent="0.45">
      <c r="A20" s="2">
        <v>20</v>
      </c>
      <c r="B20" t="s">
        <v>77</v>
      </c>
      <c r="E20">
        <v>43</v>
      </c>
      <c r="F20" t="str">
        <f t="shared" si="0"/>
        <v>Patents</v>
      </c>
      <c r="G20">
        <v>47</v>
      </c>
      <c r="H20" t="str">
        <f t="shared" si="1"/>
        <v>asai</v>
      </c>
      <c r="I20">
        <v>28</v>
      </c>
      <c r="J20" t="str">
        <f t="shared" si="2"/>
        <v>CorpTaxMin</v>
      </c>
      <c r="K20">
        <v>38</v>
      </c>
      <c r="L20" t="str">
        <f t="shared" si="3"/>
        <v>MedianAge</v>
      </c>
    </row>
    <row r="21" spans="1:12" x14ac:dyDescent="0.45">
      <c r="A21" s="2">
        <v>21</v>
      </c>
      <c r="B21" t="s">
        <v>37</v>
      </c>
      <c r="E21">
        <v>44</v>
      </c>
      <c r="F21" t="str">
        <f t="shared" si="0"/>
        <v>VCInvPer</v>
      </c>
      <c r="G21">
        <v>48</v>
      </c>
      <c r="H21" t="str">
        <f t="shared" si="1"/>
        <v>densityscore</v>
      </c>
      <c r="I21">
        <v>29</v>
      </c>
      <c r="J21" t="str">
        <f t="shared" si="2"/>
        <v>CoprTaxMax</v>
      </c>
      <c r="K21">
        <v>42</v>
      </c>
      <c r="L21" t="str">
        <f t="shared" si="3"/>
        <v>RevPerCap0</v>
      </c>
    </row>
    <row r="22" spans="1:12" x14ac:dyDescent="0.45">
      <c r="A22" s="2">
        <v>22</v>
      </c>
      <c r="B22" t="s">
        <v>78</v>
      </c>
      <c r="E22">
        <v>45</v>
      </c>
      <c r="F22" t="str">
        <f t="shared" si="0"/>
        <v>VCFirms</v>
      </c>
      <c r="G22">
        <v>49</v>
      </c>
      <c r="H22" t="str">
        <f t="shared" si="1"/>
        <v>landusescore</v>
      </c>
      <c r="I22">
        <v>30</v>
      </c>
      <c r="J22" t="str">
        <f t="shared" si="2"/>
        <v>CostLivingComposit</v>
      </c>
      <c r="K22">
        <v>46</v>
      </c>
      <c r="L22" t="str">
        <f t="shared" si="3"/>
        <v>numairport</v>
      </c>
    </row>
    <row r="23" spans="1:12" x14ac:dyDescent="0.45">
      <c r="A23" s="2">
        <v>23</v>
      </c>
      <c r="B23" t="s">
        <v>79</v>
      </c>
      <c r="E23">
        <v>52</v>
      </c>
      <c r="F23" t="str">
        <f t="shared" si="0"/>
        <v>TecRev</v>
      </c>
      <c r="G23">
        <v>52</v>
      </c>
      <c r="H23" t="str">
        <f t="shared" si="1"/>
        <v>TecRev</v>
      </c>
      <c r="I23">
        <v>31</v>
      </c>
      <c r="J23" t="str">
        <f t="shared" si="2"/>
        <v>WCIndex</v>
      </c>
      <c r="K23">
        <v>47</v>
      </c>
      <c r="L23" t="str">
        <f t="shared" si="3"/>
        <v>asai</v>
      </c>
    </row>
    <row r="24" spans="1:12" x14ac:dyDescent="0.45">
      <c r="A24" s="2">
        <v>24</v>
      </c>
      <c r="B24" t="s">
        <v>80</v>
      </c>
      <c r="E24">
        <v>53</v>
      </c>
      <c r="F24" t="str">
        <f t="shared" si="0"/>
        <v>Region</v>
      </c>
      <c r="G24">
        <v>53</v>
      </c>
      <c r="H24" t="str">
        <f t="shared" si="1"/>
        <v>Region</v>
      </c>
      <c r="I24">
        <v>32</v>
      </c>
      <c r="J24" t="str">
        <f t="shared" si="2"/>
        <v>TaxableWageBase</v>
      </c>
      <c r="K24">
        <v>49</v>
      </c>
      <c r="L24" t="str">
        <f t="shared" si="3"/>
        <v>landusescore</v>
      </c>
    </row>
    <row r="25" spans="1:12" x14ac:dyDescent="0.45">
      <c r="A25" s="2">
        <v>25</v>
      </c>
      <c r="B25" t="s">
        <v>38</v>
      </c>
      <c r="E25">
        <v>54</v>
      </c>
      <c r="F25" t="str">
        <f t="shared" si="0"/>
        <v>SubRegion</v>
      </c>
      <c r="G25">
        <v>54</v>
      </c>
      <c r="H25" t="str">
        <f t="shared" si="1"/>
        <v>SubRegion</v>
      </c>
      <c r="I25">
        <v>33</v>
      </c>
      <c r="J25" t="str">
        <f t="shared" si="2"/>
        <v>SinEmpCost</v>
      </c>
      <c r="K25">
        <v>50</v>
      </c>
      <c r="L25" t="str">
        <f t="shared" si="3"/>
        <v>activityscore</v>
      </c>
    </row>
    <row r="26" spans="1:12" x14ac:dyDescent="0.45">
      <c r="A26" s="2">
        <v>26</v>
      </c>
      <c r="B26" t="s">
        <v>13</v>
      </c>
      <c r="E26">
        <v>55</v>
      </c>
      <c r="F26" t="str">
        <f t="shared" si="0"/>
        <v>pca_age</v>
      </c>
      <c r="G26">
        <v>55</v>
      </c>
      <c r="H26" t="str">
        <f t="shared" si="1"/>
        <v>pca_age</v>
      </c>
      <c r="I26">
        <v>34</v>
      </c>
      <c r="J26" t="str">
        <f t="shared" si="2"/>
        <v>FamilyEmpCost</v>
      </c>
      <c r="K26">
        <v>51</v>
      </c>
      <c r="L26" t="str">
        <f t="shared" si="3"/>
        <v>streetscore</v>
      </c>
    </row>
    <row r="27" spans="1:12" x14ac:dyDescent="0.45">
      <c r="A27" s="2">
        <v>27</v>
      </c>
      <c r="B27" t="s">
        <v>81</v>
      </c>
      <c r="G27">
        <v>56</v>
      </c>
      <c r="H27" t="str">
        <f t="shared" si="1"/>
        <v>PC1_rev</v>
      </c>
      <c r="I27">
        <v>35</v>
      </c>
      <c r="J27" t="str">
        <f t="shared" si="2"/>
        <v>GDP5Year</v>
      </c>
      <c r="K27">
        <v>52</v>
      </c>
      <c r="L27" t="str">
        <f t="shared" si="3"/>
        <v>TecRev</v>
      </c>
    </row>
    <row r="28" spans="1:12" x14ac:dyDescent="0.45">
      <c r="A28" s="2">
        <v>28</v>
      </c>
      <c r="B28" t="s">
        <v>82</v>
      </c>
      <c r="G28">
        <v>57</v>
      </c>
      <c r="H28" t="str">
        <f t="shared" si="1"/>
        <v>PC2_rev</v>
      </c>
      <c r="I28">
        <v>41</v>
      </c>
      <c r="J28" t="str">
        <f t="shared" si="2"/>
        <v>GDPperap</v>
      </c>
      <c r="K28">
        <v>53</v>
      </c>
      <c r="L28" t="str">
        <f t="shared" si="3"/>
        <v>Region</v>
      </c>
    </row>
    <row r="29" spans="1:12" x14ac:dyDescent="0.45">
      <c r="A29" s="2">
        <v>29</v>
      </c>
      <c r="B29" t="s">
        <v>83</v>
      </c>
      <c r="G29">
        <v>58</v>
      </c>
      <c r="H29" t="str">
        <f t="shared" si="1"/>
        <v>PC3_rev</v>
      </c>
      <c r="I29">
        <v>42</v>
      </c>
      <c r="J29" t="str">
        <f t="shared" si="2"/>
        <v>RevPerCap0</v>
      </c>
      <c r="K29">
        <v>54</v>
      </c>
      <c r="L29" t="str">
        <f t="shared" si="3"/>
        <v>SubRegion</v>
      </c>
    </row>
    <row r="30" spans="1:12" x14ac:dyDescent="0.45">
      <c r="A30" s="2">
        <v>30</v>
      </c>
      <c r="B30" t="s">
        <v>53</v>
      </c>
      <c r="I30">
        <v>48</v>
      </c>
      <c r="J30" t="str">
        <f t="shared" si="2"/>
        <v>densityscore</v>
      </c>
      <c r="K30">
        <v>55</v>
      </c>
      <c r="L30" t="str">
        <f t="shared" si="3"/>
        <v>pca_age</v>
      </c>
    </row>
    <row r="31" spans="1:12" x14ac:dyDescent="0.45">
      <c r="A31" s="2">
        <v>31</v>
      </c>
      <c r="B31" t="s">
        <v>84</v>
      </c>
      <c r="I31">
        <v>49</v>
      </c>
      <c r="J31" t="str">
        <f t="shared" si="2"/>
        <v>landusescore</v>
      </c>
      <c r="K31">
        <v>56</v>
      </c>
      <c r="L31" t="str">
        <f t="shared" si="3"/>
        <v>PC1_rev</v>
      </c>
    </row>
    <row r="32" spans="1:12" x14ac:dyDescent="0.45">
      <c r="A32" s="2">
        <v>32</v>
      </c>
      <c r="B32" t="s">
        <v>85</v>
      </c>
      <c r="I32">
        <v>50</v>
      </c>
      <c r="J32" t="str">
        <f t="shared" si="2"/>
        <v>activityscore</v>
      </c>
      <c r="K32">
        <v>57</v>
      </c>
      <c r="L32" t="str">
        <f t="shared" si="3"/>
        <v>PC2_rev</v>
      </c>
    </row>
    <row r="33" spans="1:12" x14ac:dyDescent="0.45">
      <c r="A33" s="2">
        <v>33</v>
      </c>
      <c r="B33" t="s">
        <v>86</v>
      </c>
      <c r="I33">
        <v>51</v>
      </c>
      <c r="J33" t="str">
        <f t="shared" si="2"/>
        <v>streetscore</v>
      </c>
      <c r="K33">
        <v>58</v>
      </c>
      <c r="L33" t="str">
        <f t="shared" si="3"/>
        <v>PC3_rev</v>
      </c>
    </row>
    <row r="34" spans="1:12" x14ac:dyDescent="0.45">
      <c r="A34" s="2">
        <v>34</v>
      </c>
      <c r="B34" t="s">
        <v>87</v>
      </c>
      <c r="I34">
        <v>52</v>
      </c>
      <c r="J34" t="str">
        <f t="shared" si="2"/>
        <v>TecRev</v>
      </c>
    </row>
    <row r="35" spans="1:12" x14ac:dyDescent="0.45">
      <c r="A35" s="2">
        <v>35</v>
      </c>
      <c r="B35" t="s">
        <v>40</v>
      </c>
      <c r="I35">
        <v>53</v>
      </c>
      <c r="J35" t="str">
        <f t="shared" si="2"/>
        <v>Region</v>
      </c>
    </row>
    <row r="36" spans="1:12" x14ac:dyDescent="0.45">
      <c r="A36" s="2">
        <v>36</v>
      </c>
      <c r="B36" t="s">
        <v>88</v>
      </c>
      <c r="I36">
        <v>54</v>
      </c>
      <c r="J36" t="str">
        <f t="shared" si="2"/>
        <v>SubRegion</v>
      </c>
    </row>
    <row r="37" spans="1:12" x14ac:dyDescent="0.45">
      <c r="A37" s="2">
        <v>37</v>
      </c>
      <c r="B37" t="s">
        <v>14</v>
      </c>
      <c r="I37">
        <v>55</v>
      </c>
      <c r="J37" t="str">
        <f t="shared" si="2"/>
        <v>pca_age</v>
      </c>
    </row>
    <row r="38" spans="1:12" x14ac:dyDescent="0.45">
      <c r="A38" s="2">
        <v>38</v>
      </c>
      <c r="B38" t="s">
        <v>89</v>
      </c>
      <c r="I38">
        <v>56</v>
      </c>
      <c r="J38" t="str">
        <f t="shared" si="2"/>
        <v>PC1_rev</v>
      </c>
    </row>
    <row r="39" spans="1:12" x14ac:dyDescent="0.45">
      <c r="A39" s="2">
        <v>39</v>
      </c>
      <c r="B39" t="s">
        <v>15</v>
      </c>
      <c r="I39">
        <v>57</v>
      </c>
      <c r="J39" t="str">
        <f t="shared" si="2"/>
        <v>PC2_rev</v>
      </c>
    </row>
    <row r="40" spans="1:12" x14ac:dyDescent="0.45">
      <c r="A40" s="2">
        <v>40</v>
      </c>
      <c r="B40" t="s">
        <v>90</v>
      </c>
      <c r="I40">
        <v>58</v>
      </c>
      <c r="J40" t="str">
        <f t="shared" si="2"/>
        <v>PC3_rev</v>
      </c>
    </row>
    <row r="41" spans="1:12" x14ac:dyDescent="0.45">
      <c r="A41" s="2">
        <v>41</v>
      </c>
      <c r="B41" t="s">
        <v>91</v>
      </c>
    </row>
    <row r="42" spans="1:12" x14ac:dyDescent="0.45">
      <c r="A42" s="2">
        <v>42</v>
      </c>
      <c r="B42" t="s">
        <v>92</v>
      </c>
    </row>
    <row r="43" spans="1:12" x14ac:dyDescent="0.45">
      <c r="A43" s="2">
        <v>43</v>
      </c>
      <c r="B43" t="s">
        <v>93</v>
      </c>
    </row>
    <row r="44" spans="1:12" x14ac:dyDescent="0.45">
      <c r="A44" s="2">
        <v>44</v>
      </c>
      <c r="B44" t="s">
        <v>94</v>
      </c>
    </row>
    <row r="45" spans="1:12" x14ac:dyDescent="0.45">
      <c r="A45" s="2">
        <v>45</v>
      </c>
      <c r="B45" t="s">
        <v>16</v>
      </c>
    </row>
    <row r="46" spans="1:12" x14ac:dyDescent="0.45">
      <c r="A46" s="2">
        <v>46</v>
      </c>
      <c r="B46" t="s">
        <v>68</v>
      </c>
    </row>
    <row r="47" spans="1:12" x14ac:dyDescent="0.45">
      <c r="A47" s="2">
        <v>47</v>
      </c>
      <c r="B47" t="s">
        <v>21</v>
      </c>
    </row>
    <row r="48" spans="1:12" x14ac:dyDescent="0.45">
      <c r="A48" s="2">
        <v>48</v>
      </c>
      <c r="B48" t="s">
        <v>22</v>
      </c>
    </row>
    <row r="49" spans="1:2" x14ac:dyDescent="0.45">
      <c r="A49" s="2">
        <v>49</v>
      </c>
      <c r="B49" t="s">
        <v>54</v>
      </c>
    </row>
    <row r="50" spans="1:2" x14ac:dyDescent="0.45">
      <c r="A50" s="2">
        <v>50</v>
      </c>
      <c r="B50" t="s">
        <v>55</v>
      </c>
    </row>
    <row r="51" spans="1:2" x14ac:dyDescent="0.45">
      <c r="A51" s="2">
        <v>51</v>
      </c>
      <c r="B51" t="s">
        <v>56</v>
      </c>
    </row>
    <row r="52" spans="1:2" x14ac:dyDescent="0.45">
      <c r="A52" s="2">
        <v>52</v>
      </c>
      <c r="B52" t="s">
        <v>95</v>
      </c>
    </row>
    <row r="53" spans="1:2" x14ac:dyDescent="0.45">
      <c r="A53" s="2">
        <v>53</v>
      </c>
      <c r="B53" t="s">
        <v>96</v>
      </c>
    </row>
    <row r="54" spans="1:2" x14ac:dyDescent="0.45">
      <c r="A54" s="2">
        <v>54</v>
      </c>
      <c r="B54" t="s">
        <v>97</v>
      </c>
    </row>
    <row r="55" spans="1:2" x14ac:dyDescent="0.45">
      <c r="A55" s="2">
        <v>55</v>
      </c>
      <c r="B55" t="s">
        <v>98</v>
      </c>
    </row>
    <row r="56" spans="1:2" x14ac:dyDescent="0.45">
      <c r="A56" s="2">
        <v>56</v>
      </c>
      <c r="B56" t="s">
        <v>23</v>
      </c>
    </row>
    <row r="57" spans="1:2" x14ac:dyDescent="0.45">
      <c r="A57" s="2">
        <v>57</v>
      </c>
      <c r="B57" t="s">
        <v>24</v>
      </c>
    </row>
    <row r="58" spans="1:2" x14ac:dyDescent="0.45">
      <c r="A58" s="2">
        <v>58</v>
      </c>
      <c r="B58" t="s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ECDD-30DD-4DA5-A8B7-61AAB3E4E10F}">
  <dimension ref="A1:AK9"/>
  <sheetViews>
    <sheetView workbookViewId="0">
      <selection activeCell="H22" sqref="H22"/>
    </sheetView>
  </sheetViews>
  <sheetFormatPr defaultRowHeight="14.25" x14ac:dyDescent="0.45"/>
  <sheetData>
    <row r="1" spans="1:37" x14ac:dyDescent="0.45">
      <c r="A1" t="s">
        <v>8</v>
      </c>
      <c r="B1" t="s">
        <v>9</v>
      </c>
      <c r="C1" t="s">
        <v>10</v>
      </c>
      <c r="D1" t="s">
        <v>11</v>
      </c>
      <c r="E1" t="s">
        <v>73</v>
      </c>
      <c r="F1" t="s">
        <v>12</v>
      </c>
      <c r="G1" t="s">
        <v>79</v>
      </c>
      <c r="H1" t="s">
        <v>80</v>
      </c>
      <c r="I1" t="s">
        <v>38</v>
      </c>
      <c r="J1" t="s">
        <v>13</v>
      </c>
      <c r="K1" t="s">
        <v>88</v>
      </c>
      <c r="L1" t="s">
        <v>14</v>
      </c>
      <c r="M1" t="s">
        <v>89</v>
      </c>
      <c r="N1" t="s">
        <v>15</v>
      </c>
      <c r="O1" t="s">
        <v>90</v>
      </c>
      <c r="P1" t="s">
        <v>92</v>
      </c>
      <c r="Q1" t="s">
        <v>93</v>
      </c>
      <c r="R1" t="s">
        <v>94</v>
      </c>
      <c r="S1" t="s">
        <v>16</v>
      </c>
      <c r="T1" t="s">
        <v>95</v>
      </c>
      <c r="U1" t="s">
        <v>96</v>
      </c>
      <c r="V1" t="s">
        <v>97</v>
      </c>
      <c r="W1" t="s">
        <v>98</v>
      </c>
    </row>
    <row r="2" spans="1:37" x14ac:dyDescent="0.45">
      <c r="A2" t="s">
        <v>8</v>
      </c>
      <c r="B2" t="s">
        <v>9</v>
      </c>
      <c r="C2" t="s">
        <v>67</v>
      </c>
      <c r="D2" t="s">
        <v>11</v>
      </c>
      <c r="E2" t="s">
        <v>52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92</v>
      </c>
      <c r="M2" t="s">
        <v>93</v>
      </c>
      <c r="N2" t="s">
        <v>94</v>
      </c>
      <c r="O2" t="s">
        <v>16</v>
      </c>
      <c r="P2" t="s">
        <v>68</v>
      </c>
      <c r="Q2" t="s">
        <v>21</v>
      </c>
      <c r="R2" t="s">
        <v>22</v>
      </c>
      <c r="S2" t="s">
        <v>54</v>
      </c>
      <c r="T2" t="s">
        <v>95</v>
      </c>
      <c r="U2" t="s">
        <v>96</v>
      </c>
      <c r="V2" t="s">
        <v>97</v>
      </c>
      <c r="W2" t="s">
        <v>98</v>
      </c>
      <c r="X2" t="s">
        <v>23</v>
      </c>
      <c r="Y2" t="s">
        <v>24</v>
      </c>
      <c r="Z2" t="s">
        <v>25</v>
      </c>
    </row>
    <row r="3" spans="1:37" x14ac:dyDescent="0.45">
      <c r="A3" t="s">
        <v>8</v>
      </c>
      <c r="B3" t="s">
        <v>9</v>
      </c>
      <c r="C3" t="s">
        <v>10</v>
      </c>
      <c r="D3" t="s">
        <v>67</v>
      </c>
      <c r="E3" t="s">
        <v>34</v>
      </c>
      <c r="F3" t="s">
        <v>71</v>
      </c>
      <c r="G3" t="s">
        <v>35</v>
      </c>
      <c r="H3" t="s">
        <v>11</v>
      </c>
      <c r="I3" t="s">
        <v>36</v>
      </c>
      <c r="J3" t="s">
        <v>51</v>
      </c>
      <c r="K3" t="s">
        <v>52</v>
      </c>
      <c r="L3" t="s">
        <v>77</v>
      </c>
      <c r="M3" t="s">
        <v>37</v>
      </c>
      <c r="N3" t="s">
        <v>38</v>
      </c>
      <c r="O3" t="s">
        <v>13</v>
      </c>
      <c r="P3" t="s">
        <v>81</v>
      </c>
      <c r="Q3" t="s">
        <v>82</v>
      </c>
      <c r="R3" t="s">
        <v>83</v>
      </c>
      <c r="S3" t="s">
        <v>53</v>
      </c>
      <c r="T3" t="s">
        <v>84</v>
      </c>
      <c r="U3" t="s">
        <v>85</v>
      </c>
      <c r="V3" t="s">
        <v>86</v>
      </c>
      <c r="W3" t="s">
        <v>87</v>
      </c>
      <c r="X3" t="s">
        <v>40</v>
      </c>
      <c r="Y3" t="s">
        <v>91</v>
      </c>
      <c r="Z3" t="s">
        <v>92</v>
      </c>
      <c r="AA3" t="s">
        <v>22</v>
      </c>
      <c r="AB3" t="s">
        <v>54</v>
      </c>
      <c r="AC3" t="s">
        <v>55</v>
      </c>
      <c r="AD3" t="s">
        <v>56</v>
      </c>
      <c r="AE3" t="s">
        <v>95</v>
      </c>
      <c r="AF3" t="s">
        <v>96</v>
      </c>
      <c r="AG3" t="s">
        <v>97</v>
      </c>
      <c r="AH3" t="s">
        <v>98</v>
      </c>
      <c r="AI3" t="s">
        <v>23</v>
      </c>
      <c r="AJ3" t="s">
        <v>24</v>
      </c>
      <c r="AK3" t="s">
        <v>25</v>
      </c>
    </row>
    <row r="4" spans="1:37" x14ac:dyDescent="0.45">
      <c r="A4" t="s">
        <v>8</v>
      </c>
      <c r="B4" t="s">
        <v>9</v>
      </c>
      <c r="C4" t="s">
        <v>10</v>
      </c>
      <c r="D4" t="s">
        <v>67</v>
      </c>
      <c r="E4" t="s">
        <v>11</v>
      </c>
      <c r="F4" t="s">
        <v>36</v>
      </c>
      <c r="G4" t="s">
        <v>51</v>
      </c>
      <c r="H4" t="s">
        <v>52</v>
      </c>
      <c r="I4" t="s">
        <v>74</v>
      </c>
      <c r="J4" t="s">
        <v>75</v>
      </c>
      <c r="K4" t="s">
        <v>76</v>
      </c>
      <c r="L4" t="s">
        <v>77</v>
      </c>
      <c r="M4" t="s">
        <v>37</v>
      </c>
      <c r="N4" t="s">
        <v>78</v>
      </c>
      <c r="O4" t="s">
        <v>53</v>
      </c>
      <c r="P4" t="s">
        <v>14</v>
      </c>
      <c r="Q4" t="s">
        <v>89</v>
      </c>
      <c r="R4" t="s">
        <v>92</v>
      </c>
      <c r="S4" t="s">
        <v>68</v>
      </c>
      <c r="T4" t="s">
        <v>21</v>
      </c>
      <c r="U4" t="s">
        <v>54</v>
      </c>
      <c r="V4" t="s">
        <v>55</v>
      </c>
      <c r="W4" t="s">
        <v>56</v>
      </c>
      <c r="X4" t="s">
        <v>95</v>
      </c>
      <c r="Y4" t="s">
        <v>96</v>
      </c>
      <c r="Z4" t="s">
        <v>97</v>
      </c>
      <c r="AA4" t="s">
        <v>98</v>
      </c>
      <c r="AB4" t="s">
        <v>23</v>
      </c>
      <c r="AC4" t="s">
        <v>24</v>
      </c>
      <c r="AD4" t="s">
        <v>25</v>
      </c>
    </row>
    <row r="6" spans="1:37" x14ac:dyDescent="0.45">
      <c r="A6" t="str">
        <f>CONCATENATE(A1,",",B1,",",C1,",",D1,",",E1,",",F1,",",G1,",",H1,",",I1,",",J1,",",K1,",",L1,",",M1,",",N1,",",O1,",",P1,",",Q1,",",R1,",",S1,",",T1,",",U1,",",V1,",",W1,",",)</f>
        <v>TechHub,Amazon,TopGrad,PopDensity,Age2534,PercentBach,NumTechConf,TotEnrollment,AvgSchoolRep,AvgTuition,Population,MaleFemaleRatio,MedianAge,Labor,LaborForceAnnGrowth,RevPerCap0,Patents,VCInvPer,VCFirms,TecRev,Region,SubRegion,pca_age,</v>
      </c>
    </row>
    <row r="7" spans="1:37" x14ac:dyDescent="0.45">
      <c r="A7" t="str">
        <f>CONCATENATE(A2,",",B2,",",C2,",",D2,",",E2,",",F2,",",G2,",",H2,",",I2,",",J2,",",K2,",",L2,",",M2,",",N2,",",O2,",",P2,",",Q2,",",R2,",",S2,",",T2,",",U2,",",V2,",",W2,",",X2,",",Y2,",",Z2)</f>
        <v>TechHub,Amazon,NumAirline,PopDensity,HealthCareIndex,CrimeIndex,PollutionIndex,TrafficIndex,RentIndex,Co2Index,NumTechConf,RevPerCap0,Patents,VCInvPer,VCFirms,numairport,asai,densityscore,landusescore,TecRev,Region,SubRegion,pca_age,PC1_rev,PC2_rev,PC3_rev</v>
      </c>
    </row>
    <row r="8" spans="1:37" x14ac:dyDescent="0.45">
      <c r="A8" t="str">
        <f>CONCATENATE(A3,",",B3,",",C3,",",D3,",",E3,",",F3,",",G3,",",H3,",",I3,",",J3,",",K3,",",L3,",",M3,",",N3,",",O3,",",P3,",",Q3,",",R3,",",S3,",",T3,",",U3,",",V3,",",W3,",",X3,",",Y3,",",Z3,",",AA3,",",AB3,",",AC3,",",AD3)</f>
        <v>TechHub,Amazon,TopGrad,NumAirline,GDP,AvgStateTax,AvgPropTaxPerCap,PopDensity,MedianIncome,PovertyRate,HealthCareIndex,RentIndex,PropPricetoIncomeRatio,AvgSchoolRep,AvgTuition,NatGas,CorpTaxMin,CoprTaxMax,CostLivingComposit,WCIndex,TaxableWageBase,SinEmpCost,FamilyEmpCost,GDP5Year,GDPperap,RevPerCap0,densityscore,landusescore,activityscore,streetscore</v>
      </c>
    </row>
    <row r="9" spans="1:37" x14ac:dyDescent="0.45">
      <c r="A9" t="str">
        <f>CONCATENATE(A4,",",B4,",",C4,",",D4,",",E4,",",F4,",",G4,",",H4,",",I4,",",J4,",",K4,",",L4,",",M4,",",N4,",",O4,",",P4,",",Q4,",",R4,",",S4,",",T4,",",U4,",",V4,",",W4,",",X4,",",Y4,",",Z4,",",AA4,",",AB4,",",AC4,",",AD4,",",AE4,",",AF4,",",AG4,",",AH4,",",AI4,",",AJ4,",",AK4)</f>
        <v>TechHub,Amazon,TopGrad,NumAirline,PopDensity,MedianIncome,PovertyRate,HealthCareIndex,CrimeIndex,PollutionIndex,TrafficIndex,RentIndex,PropPricetoIncomeRatio,Co2Index,CostLivingComposit,MaleFemaleRatio,MedianAge,RevPerCap0,numairport,asai,landusescore,activityscore,streetscore,TecRev,Region,SubRegion,pca_age,PC1_rev,PC2_rev,PC3_rev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Talent</vt:lpstr>
      <vt:lpstr>Connect</vt:lpstr>
      <vt:lpstr>Cost</vt:lpstr>
      <vt:lpstr>Quality</vt:lpstr>
      <vt:lpstr>Overall</vt:lpstr>
      <vt:lpstr>Mapping</vt:lpstr>
      <vt:lpstr>copypaste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Dardia, Kristen</dc:creator>
  <cp:lastModifiedBy>Dardia, Kristen</cp:lastModifiedBy>
  <dcterms:created xsi:type="dcterms:W3CDTF">2019-04-12T13:54:56Z</dcterms:created>
  <dcterms:modified xsi:type="dcterms:W3CDTF">2019-04-15T20:05:14Z</dcterms:modified>
</cp:coreProperties>
</file>