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ICH\Desktop\"/>
    </mc:Choice>
  </mc:AlternateContent>
  <bookViews>
    <workbookView xWindow="0" yWindow="0" windowWidth="25600" windowHeight="10240"/>
  </bookViews>
  <sheets>
    <sheet name="ProposedBudget" sheetId="1" r:id="rId1"/>
  </sheets>
  <externalReferences>
    <externalReference r:id="rId2"/>
  </externalReferences>
  <definedNames>
    <definedName name="_xlnm.Print_Area" localSheetId="0">ProposedBudget!$AF$2:$AU$108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7" i="1" l="1"/>
  <c r="E107" i="1"/>
  <c r="AI104" i="1"/>
  <c r="AI103" i="1"/>
  <c r="AJ102" i="1"/>
  <c r="AI102" i="1"/>
  <c r="AG102" i="1"/>
  <c r="AC102" i="1"/>
  <c r="AI101" i="1"/>
  <c r="AI100" i="1"/>
  <c r="AU99" i="1"/>
  <c r="AW99" i="1" s="1"/>
  <c r="AQ99" i="1"/>
  <c r="AP99" i="1"/>
  <c r="AL99" i="1"/>
  <c r="AM99" i="1" s="1"/>
  <c r="AI99" i="1"/>
  <c r="AG99" i="1"/>
  <c r="AC99" i="1"/>
  <c r="V99" i="1"/>
  <c r="Y99" i="1" s="1"/>
  <c r="S99" i="1"/>
  <c r="N99" i="1"/>
  <c r="J99" i="1"/>
  <c r="F99" i="1"/>
  <c r="E99" i="1"/>
  <c r="AU98" i="1"/>
  <c r="AW98" i="1" s="1"/>
  <c r="AQ98" i="1"/>
  <c r="AP98" i="1"/>
  <c r="AM98" i="1"/>
  <c r="AI98" i="1"/>
  <c r="AG98" i="1"/>
  <c r="AC98" i="1"/>
  <c r="V98" i="1"/>
  <c r="Y98" i="1" s="1"/>
  <c r="S98" i="1"/>
  <c r="N98" i="1"/>
  <c r="J98" i="1"/>
  <c r="E98" i="1"/>
  <c r="AU97" i="1"/>
  <c r="AY97" i="1" s="1"/>
  <c r="AQ97" i="1"/>
  <c r="AP97" i="1"/>
  <c r="AM97" i="1"/>
  <c r="AI97" i="1"/>
  <c r="AG97" i="1"/>
  <c r="AC97" i="1"/>
  <c r="V97" i="1"/>
  <c r="W97" i="1" s="1"/>
  <c r="S97" i="1"/>
  <c r="N97" i="1"/>
  <c r="J97" i="1"/>
  <c r="E97" i="1"/>
  <c r="AU96" i="1"/>
  <c r="AW96" i="1" s="1"/>
  <c r="AQ96" i="1"/>
  <c r="AP96" i="1"/>
  <c r="AL96" i="1"/>
  <c r="AM96" i="1" s="1"/>
  <c r="AI96" i="1"/>
  <c r="AG96" i="1"/>
  <c r="AC96" i="1"/>
  <c r="V96" i="1"/>
  <c r="S96" i="1"/>
  <c r="N96" i="1"/>
  <c r="J96" i="1"/>
  <c r="F96" i="1"/>
  <c r="E96" i="1"/>
  <c r="AW95" i="1"/>
  <c r="AU95" i="1"/>
  <c r="AQ95" i="1"/>
  <c r="AY95" i="1" s="1"/>
  <c r="AP95" i="1"/>
  <c r="AM95" i="1"/>
  <c r="AJ95" i="1"/>
  <c r="AI95" i="1"/>
  <c r="AG95" i="1"/>
  <c r="AC95" i="1"/>
  <c r="V95" i="1"/>
  <c r="Y95" i="1" s="1"/>
  <c r="S95" i="1"/>
  <c r="C95" i="1"/>
  <c r="AW94" i="1"/>
  <c r="AU94" i="1"/>
  <c r="AS94" i="1"/>
  <c r="AQ94" i="1"/>
  <c r="AP94" i="1"/>
  <c r="AI94" i="1"/>
  <c r="AH94" i="1"/>
  <c r="AG94" i="1"/>
  <c r="AC94" i="1"/>
  <c r="V94" i="1"/>
  <c r="S94" i="1"/>
  <c r="N94" i="1"/>
  <c r="J94" i="1"/>
  <c r="F94" i="1"/>
  <c r="E94" i="1"/>
  <c r="C94" i="1"/>
  <c r="AW93" i="1"/>
  <c r="AU93" i="1"/>
  <c r="AQ93" i="1"/>
  <c r="AP93" i="1"/>
  <c r="AM93" i="1"/>
  <c r="AI93" i="1"/>
  <c r="AG93" i="1"/>
  <c r="AC93" i="1"/>
  <c r="Y93" i="1"/>
  <c r="V93" i="1"/>
  <c r="W93" i="1" s="1"/>
  <c r="S93" i="1"/>
  <c r="N93" i="1"/>
  <c r="J93" i="1"/>
  <c r="E93" i="1"/>
  <c r="C93" i="1"/>
  <c r="AS92" i="1"/>
  <c r="T92" i="1"/>
  <c r="Q92" i="1"/>
  <c r="AI91" i="1"/>
  <c r="N91" i="1"/>
  <c r="G91" i="1"/>
  <c r="E91" i="1"/>
  <c r="C91" i="1"/>
  <c r="AJ90" i="1"/>
  <c r="AI90" i="1"/>
  <c r="AH90" i="1"/>
  <c r="AH92" i="1" s="1"/>
  <c r="AG90" i="1"/>
  <c r="AC90" i="1"/>
  <c r="Y90" i="1"/>
  <c r="X90" i="1"/>
  <c r="X92" i="1" s="1"/>
  <c r="W90" i="1"/>
  <c r="V90" i="1"/>
  <c r="S90" i="1"/>
  <c r="N90" i="1"/>
  <c r="J90" i="1"/>
  <c r="E90" i="1"/>
  <c r="E92" i="1" s="1"/>
  <c r="C90" i="1"/>
  <c r="AI89" i="1"/>
  <c r="X88" i="1"/>
  <c r="Y88" i="1" s="1"/>
  <c r="W88" i="1"/>
  <c r="N88" i="1"/>
  <c r="AY87" i="1"/>
  <c r="AU87" i="1"/>
  <c r="AU92" i="1" s="1"/>
  <c r="AQ87" i="1"/>
  <c r="AP87" i="1"/>
  <c r="AP92" i="1" s="1"/>
  <c r="AN87" i="1"/>
  <c r="AL87" i="1"/>
  <c r="AM87" i="1" s="1"/>
  <c r="AJ87" i="1"/>
  <c r="AG87" i="1"/>
  <c r="AG92" i="1" s="1"/>
  <c r="AD87" i="1"/>
  <c r="AD92" i="1" s="1"/>
  <c r="AI92" i="1" s="1"/>
  <c r="AC87" i="1"/>
  <c r="X87" i="1"/>
  <c r="V87" i="1"/>
  <c r="S87" i="1"/>
  <c r="S92" i="1" s="1"/>
  <c r="P87" i="1"/>
  <c r="P92" i="1" s="1"/>
  <c r="N87" i="1"/>
  <c r="K87" i="1"/>
  <c r="K92" i="1" s="1"/>
  <c r="J87" i="1"/>
  <c r="G87" i="1"/>
  <c r="G92" i="1" s="1"/>
  <c r="F87" i="1"/>
  <c r="F92" i="1" s="1"/>
  <c r="E87" i="1"/>
  <c r="C87" i="1"/>
  <c r="AI86" i="1"/>
  <c r="AL85" i="1"/>
  <c r="AJ85" i="1"/>
  <c r="AH85" i="1"/>
  <c r="AD85" i="1"/>
  <c r="AI85" i="1" s="1"/>
  <c r="T85" i="1"/>
  <c r="G85" i="1"/>
  <c r="C85" i="1"/>
  <c r="AZ84" i="1"/>
  <c r="AU84" i="1"/>
  <c r="AW84" i="1" s="1"/>
  <c r="AS84" i="1"/>
  <c r="AQ84" i="1"/>
  <c r="AI84" i="1"/>
  <c r="AH84" i="1"/>
  <c r="X84" i="1"/>
  <c r="X85" i="1" s="1"/>
  <c r="N84" i="1"/>
  <c r="E84" i="1"/>
  <c r="AU83" i="1"/>
  <c r="AW83" i="1" s="1"/>
  <c r="AQ83" i="1"/>
  <c r="AP83" i="1"/>
  <c r="AM83" i="1"/>
  <c r="AI83" i="1"/>
  <c r="AG83" i="1"/>
  <c r="AC83" i="1"/>
  <c r="AC85" i="1" s="1"/>
  <c r="V83" i="1"/>
  <c r="W83" i="1" s="1"/>
  <c r="S83" i="1"/>
  <c r="N83" i="1"/>
  <c r="J83" i="1"/>
  <c r="E83" i="1"/>
  <c r="AZ82" i="1"/>
  <c r="AY82" i="1"/>
  <c r="AW82" i="1"/>
  <c r="AS82" i="1"/>
  <c r="AZ81" i="1"/>
  <c r="AU81" i="1"/>
  <c r="AW81" i="1" s="1"/>
  <c r="AQ81" i="1"/>
  <c r="AN81" i="1"/>
  <c r="AM81" i="1"/>
  <c r="AU80" i="1"/>
  <c r="AW80" i="1" s="1"/>
  <c r="AQ80" i="1"/>
  <c r="AP80" i="1"/>
  <c r="AN80" i="1"/>
  <c r="AN85" i="1" s="1"/>
  <c r="AL80" i="1"/>
  <c r="AM80" i="1" s="1"/>
  <c r="AI80" i="1"/>
  <c r="AG80" i="1"/>
  <c r="AC80" i="1"/>
  <c r="W80" i="1"/>
  <c r="V80" i="1"/>
  <c r="Y80" i="1" s="1"/>
  <c r="S80" i="1"/>
  <c r="S85" i="1" s="1"/>
  <c r="Q80" i="1"/>
  <c r="Q85" i="1" s="1"/>
  <c r="P80" i="1"/>
  <c r="P85" i="1" s="1"/>
  <c r="N80" i="1"/>
  <c r="K80" i="1"/>
  <c r="K85" i="1" s="1"/>
  <c r="J80" i="1"/>
  <c r="F80" i="1"/>
  <c r="F85" i="1" s="1"/>
  <c r="F105" i="1" s="1"/>
  <c r="E80" i="1"/>
  <c r="AI78" i="1"/>
  <c r="AI77" i="1"/>
  <c r="AI76" i="1"/>
  <c r="AI75" i="1"/>
  <c r="AZ74" i="1"/>
  <c r="AS74" i="1"/>
  <c r="G74" i="1"/>
  <c r="G105" i="1" s="1"/>
  <c r="C74" i="1"/>
  <c r="AJ73" i="1"/>
  <c r="AI73" i="1"/>
  <c r="AG73" i="1"/>
  <c r="AC73" i="1"/>
  <c r="V73" i="1"/>
  <c r="S73" i="1"/>
  <c r="N73" i="1"/>
  <c r="E73" i="1"/>
  <c r="AU72" i="1"/>
  <c r="AW72" i="1" s="1"/>
  <c r="AY72" i="1"/>
  <c r="AQ72" i="1"/>
  <c r="AP72" i="1"/>
  <c r="AM72" i="1"/>
  <c r="AI72" i="1"/>
  <c r="AG72" i="1"/>
  <c r="AC72" i="1"/>
  <c r="V72" i="1"/>
  <c r="Y72" i="1" s="1"/>
  <c r="S72" i="1"/>
  <c r="N72" i="1"/>
  <c r="J72" i="1"/>
  <c r="E72" i="1"/>
  <c r="AW71" i="1"/>
  <c r="AU71" i="1"/>
  <c r="AQ71" i="1"/>
  <c r="AY71" i="1" s="1"/>
  <c r="AP71" i="1"/>
  <c r="AM71" i="1"/>
  <c r="AL71" i="1"/>
  <c r="AI71" i="1"/>
  <c r="AG71" i="1"/>
  <c r="AC71" i="1"/>
  <c r="V71" i="1"/>
  <c r="Y71" i="1" s="1"/>
  <c r="S71" i="1"/>
  <c r="Q71" i="1"/>
  <c r="P71" i="1"/>
  <c r="N71" i="1"/>
  <c r="K71" i="1"/>
  <c r="J71" i="1"/>
  <c r="E71" i="1"/>
  <c r="AU70" i="1"/>
  <c r="AW70" i="1" s="1"/>
  <c r="AQ70" i="1"/>
  <c r="AG70" i="1"/>
  <c r="AC70" i="1"/>
  <c r="V70" i="1"/>
  <c r="W70" i="1" s="1"/>
  <c r="X70" i="1" s="1"/>
  <c r="S70" i="1"/>
  <c r="N70" i="1"/>
  <c r="E70" i="1"/>
  <c r="AU69" i="1"/>
  <c r="AQ69" i="1"/>
  <c r="AP69" i="1"/>
  <c r="AM69" i="1"/>
  <c r="AI69" i="1"/>
  <c r="AG69" i="1"/>
  <c r="AC69" i="1"/>
  <c r="V69" i="1"/>
  <c r="Y69" i="1" s="1"/>
  <c r="S69" i="1"/>
  <c r="N69" i="1"/>
  <c r="J69" i="1"/>
  <c r="E69" i="1"/>
  <c r="AU68" i="1"/>
  <c r="AQ68" i="1"/>
  <c r="AP68" i="1"/>
  <c r="AN68" i="1"/>
  <c r="AM68" i="1"/>
  <c r="AJ68" i="1"/>
  <c r="AH68" i="1"/>
  <c r="AG68" i="1"/>
  <c r="AD68" i="1"/>
  <c r="AD74" i="1" s="1"/>
  <c r="AC68" i="1"/>
  <c r="X68" i="1"/>
  <c r="V68" i="1"/>
  <c r="T68" i="1"/>
  <c r="Q68" i="1"/>
  <c r="AU67" i="1"/>
  <c r="AW67" i="1" s="1"/>
  <c r="AQ67" i="1"/>
  <c r="AP67" i="1"/>
  <c r="AN67" i="1"/>
  <c r="AL67" i="1"/>
  <c r="AM67" i="1" s="1"/>
  <c r="AJ67" i="1"/>
  <c r="AI67" i="1"/>
  <c r="AH67" i="1"/>
  <c r="AG67" i="1"/>
  <c r="AD67" i="1"/>
  <c r="AC67" i="1"/>
  <c r="X67" i="1"/>
  <c r="V67" i="1"/>
  <c r="T67" i="1"/>
  <c r="Q67" i="1"/>
  <c r="AU66" i="1"/>
  <c r="AQ66" i="1"/>
  <c r="AP66" i="1"/>
  <c r="AN66" i="1"/>
  <c r="AN74" i="1" s="1"/>
  <c r="AN105" i="1" s="1"/>
  <c r="AL66" i="1"/>
  <c r="AM66" i="1" s="1"/>
  <c r="AJ66" i="1"/>
  <c r="AH66" i="1"/>
  <c r="AG66" i="1"/>
  <c r="AD66" i="1"/>
  <c r="AI66" i="1" s="1"/>
  <c r="AC66" i="1"/>
  <c r="X66" i="1"/>
  <c r="V66" i="1"/>
  <c r="T66" i="1"/>
  <c r="Q66" i="1"/>
  <c r="Q74" i="1" s="1"/>
  <c r="Q105" i="1" s="1"/>
  <c r="AJ65" i="1"/>
  <c r="AI65" i="1"/>
  <c r="AG65" i="1"/>
  <c r="Y65" i="1"/>
  <c r="W65" i="1"/>
  <c r="S65" i="1"/>
  <c r="P65" i="1"/>
  <c r="N65" i="1"/>
  <c r="K65" i="1"/>
  <c r="J65" i="1"/>
  <c r="F65" i="1"/>
  <c r="F74" i="1" s="1"/>
  <c r="E65" i="1"/>
  <c r="E74" i="1" s="1"/>
  <c r="AI64" i="1"/>
  <c r="AJ61" i="1"/>
  <c r="AU60" i="1"/>
  <c r="AW60" i="1" s="1"/>
  <c r="AQ60" i="1"/>
  <c r="AP60" i="1"/>
  <c r="AM60" i="1"/>
  <c r="AI60" i="1"/>
  <c r="AG60" i="1"/>
  <c r="AC60" i="1"/>
  <c r="V60" i="1"/>
  <c r="W60" i="1" s="1"/>
  <c r="S60" i="1"/>
  <c r="N60" i="1"/>
  <c r="J60" i="1"/>
  <c r="E60" i="1"/>
  <c r="AU59" i="1"/>
  <c r="AQ59" i="1"/>
  <c r="AU58" i="1"/>
  <c r="AW58" i="1" s="1"/>
  <c r="AY58" i="1"/>
  <c r="AQ58" i="1"/>
  <c r="AW57" i="1"/>
  <c r="AU57" i="1"/>
  <c r="AQ57" i="1"/>
  <c r="AY57" i="1" s="1"/>
  <c r="AP57" i="1"/>
  <c r="AM57" i="1"/>
  <c r="AI57" i="1"/>
  <c r="AG57" i="1"/>
  <c r="AC57" i="1"/>
  <c r="Y57" i="1"/>
  <c r="V57" i="1"/>
  <c r="W57" i="1" s="1"/>
  <c r="S57" i="1"/>
  <c r="N57" i="1"/>
  <c r="J57" i="1"/>
  <c r="E57" i="1"/>
  <c r="AW56" i="1"/>
  <c r="AU56" i="1"/>
  <c r="AQ56" i="1"/>
  <c r="AP56" i="1"/>
  <c r="AM56" i="1"/>
  <c r="AI56" i="1"/>
  <c r="AG56" i="1"/>
  <c r="AC56" i="1"/>
  <c r="Y56" i="1"/>
  <c r="V56" i="1"/>
  <c r="W56" i="1" s="1"/>
  <c r="S56" i="1"/>
  <c r="N56" i="1"/>
  <c r="J56" i="1"/>
  <c r="E56" i="1"/>
  <c r="AU55" i="1"/>
  <c r="AW55" i="1" s="1"/>
  <c r="AQ55" i="1"/>
  <c r="AP55" i="1"/>
  <c r="AM55" i="1"/>
  <c r="AN55" i="1" s="1"/>
  <c r="AI55" i="1"/>
  <c r="AG55" i="1"/>
  <c r="AC55" i="1"/>
  <c r="X55" i="1"/>
  <c r="Y55" i="1" s="1"/>
  <c r="V55" i="1"/>
  <c r="W55" i="1" s="1"/>
  <c r="S55" i="1"/>
  <c r="N55" i="1"/>
  <c r="J55" i="1"/>
  <c r="E55" i="1"/>
  <c r="AZ54" i="1"/>
  <c r="AY54" i="1"/>
  <c r="AW54" i="1"/>
  <c r="AU54" i="1"/>
  <c r="AS54" i="1"/>
  <c r="AQ54" i="1"/>
  <c r="AP54" i="1"/>
  <c r="AI54" i="1"/>
  <c r="AG54" i="1"/>
  <c r="AC54" i="1"/>
  <c r="V54" i="1"/>
  <c r="Y54" i="1" s="1"/>
  <c r="S54" i="1"/>
  <c r="N54" i="1"/>
  <c r="J54" i="1"/>
  <c r="E54" i="1"/>
  <c r="AU53" i="1"/>
  <c r="AW53" i="1" s="1"/>
  <c r="AQ53" i="1"/>
  <c r="AP53" i="1"/>
  <c r="AM53" i="1"/>
  <c r="AI53" i="1"/>
  <c r="AG53" i="1"/>
  <c r="AC53" i="1"/>
  <c r="V53" i="1"/>
  <c r="W53" i="1" s="1"/>
  <c r="S53" i="1"/>
  <c r="Q53" i="1"/>
  <c r="N53" i="1"/>
  <c r="J53" i="1"/>
  <c r="E53" i="1"/>
  <c r="AW52" i="1"/>
  <c r="AU52" i="1"/>
  <c r="AQ52" i="1"/>
  <c r="AY52" i="1" s="1"/>
  <c r="AP52" i="1"/>
  <c r="AL52" i="1"/>
  <c r="AM52" i="1" s="1"/>
  <c r="AI52" i="1"/>
  <c r="AG52" i="1"/>
  <c r="AC52" i="1"/>
  <c r="V52" i="1"/>
  <c r="S52" i="1"/>
  <c r="N52" i="1"/>
  <c r="J52" i="1"/>
  <c r="E52" i="1"/>
  <c r="X51" i="1"/>
  <c r="Y51" i="1" s="1"/>
  <c r="AZ49" i="1"/>
  <c r="AU49" i="1"/>
  <c r="AY49" i="1" s="1"/>
  <c r="AS49" i="1"/>
  <c r="AQ49" i="1"/>
  <c r="AN49" i="1"/>
  <c r="AN48" i="1" s="1"/>
  <c r="AM49" i="1"/>
  <c r="AU48" i="1"/>
  <c r="AQ48" i="1"/>
  <c r="AP48" i="1"/>
  <c r="AM48" i="1"/>
  <c r="AI48" i="1"/>
  <c r="AG48" i="1"/>
  <c r="AC48" i="1"/>
  <c r="Y48" i="1"/>
  <c r="V48" i="1"/>
  <c r="W48" i="1" s="1"/>
  <c r="S48" i="1"/>
  <c r="N48" i="1"/>
  <c r="J48" i="1"/>
  <c r="E48" i="1"/>
  <c r="C48" i="1"/>
  <c r="AU47" i="1"/>
  <c r="AW47" i="1" s="1"/>
  <c r="AQ47" i="1"/>
  <c r="AP47" i="1"/>
  <c r="AM47" i="1"/>
  <c r="AI47" i="1"/>
  <c r="AG47" i="1"/>
  <c r="AC47" i="1"/>
  <c r="Y47" i="1"/>
  <c r="V47" i="1"/>
  <c r="W47" i="1" s="1"/>
  <c r="S47" i="1"/>
  <c r="N47" i="1"/>
  <c r="J47" i="1"/>
  <c r="E47" i="1"/>
  <c r="AI46" i="1"/>
  <c r="AI44" i="1"/>
  <c r="Y44" i="1"/>
  <c r="W44" i="1"/>
  <c r="S44" i="1"/>
  <c r="N44" i="1"/>
  <c r="J44" i="1"/>
  <c r="E44" i="1"/>
  <c r="AI43" i="1"/>
  <c r="Y43" i="1"/>
  <c r="W43" i="1"/>
  <c r="S43" i="1"/>
  <c r="P43" i="1"/>
  <c r="N43" i="1"/>
  <c r="K43" i="1"/>
  <c r="J43" i="1"/>
  <c r="G43" i="1"/>
  <c r="F43" i="1"/>
  <c r="E43" i="1"/>
  <c r="C43" i="1"/>
  <c r="AI42" i="1"/>
  <c r="AU41" i="1"/>
  <c r="AW41" i="1" s="1"/>
  <c r="AY41" i="1"/>
  <c r="AQ41" i="1"/>
  <c r="AP41" i="1"/>
  <c r="AL41" i="1"/>
  <c r="AM41" i="1" s="1"/>
  <c r="AI41" i="1"/>
  <c r="AG41" i="1"/>
  <c r="AC41" i="1"/>
  <c r="Y41" i="1"/>
  <c r="V41" i="1"/>
  <c r="W41" i="1" s="1"/>
  <c r="S41" i="1"/>
  <c r="N41" i="1"/>
  <c r="J41" i="1"/>
  <c r="F41" i="1"/>
  <c r="E41" i="1"/>
  <c r="AU40" i="1"/>
  <c r="AQ40" i="1"/>
  <c r="AP40" i="1"/>
  <c r="AN40" i="1"/>
  <c r="AL40" i="1"/>
  <c r="AM40" i="1" s="1"/>
  <c r="AJ40" i="1"/>
  <c r="AH40" i="1"/>
  <c r="AG40" i="1"/>
  <c r="AD40" i="1"/>
  <c r="AI40" i="1" s="1"/>
  <c r="AC40" i="1"/>
  <c r="X40" i="1"/>
  <c r="V40" i="1"/>
  <c r="W40" i="1" s="1"/>
  <c r="T40" i="1"/>
  <c r="S40" i="1"/>
  <c r="Q40" i="1"/>
  <c r="N40" i="1"/>
  <c r="J40" i="1"/>
  <c r="G40" i="1"/>
  <c r="F40" i="1"/>
  <c r="E40" i="1"/>
  <c r="C40" i="1"/>
  <c r="AU39" i="1"/>
  <c r="AW39" i="1" s="1"/>
  <c r="AQ39" i="1"/>
  <c r="AP39" i="1"/>
  <c r="AN39" i="1"/>
  <c r="AM39" i="1"/>
  <c r="AL39" i="1"/>
  <c r="AJ39" i="1"/>
  <c r="AH39" i="1"/>
  <c r="AG39" i="1"/>
  <c r="AD39" i="1"/>
  <c r="AI39" i="1" s="1"/>
  <c r="AC39" i="1"/>
  <c r="X39" i="1"/>
  <c r="V39" i="1"/>
  <c r="W39" i="1" s="1"/>
  <c r="T39" i="1"/>
  <c r="S39" i="1"/>
  <c r="Q39" i="1"/>
  <c r="N39" i="1"/>
  <c r="J39" i="1"/>
  <c r="G39" i="1"/>
  <c r="E39" i="1"/>
  <c r="C39" i="1"/>
  <c r="AS38" i="1"/>
  <c r="AS45" i="1" s="1"/>
  <c r="P38" i="1"/>
  <c r="P42" i="1" s="1"/>
  <c r="G38" i="1"/>
  <c r="G42" i="1" s="1"/>
  <c r="G45" i="1" s="1"/>
  <c r="G61" i="1" s="1"/>
  <c r="AU37" i="1"/>
  <c r="AY37" i="1" s="1"/>
  <c r="AQ37" i="1"/>
  <c r="AP37" i="1"/>
  <c r="AL37" i="1"/>
  <c r="AM37" i="1" s="1"/>
  <c r="AI37" i="1"/>
  <c r="AG37" i="1"/>
  <c r="AC37" i="1"/>
  <c r="V37" i="1"/>
  <c r="W37" i="1" s="1"/>
  <c r="S37" i="1"/>
  <c r="N37" i="1"/>
  <c r="J37" i="1"/>
  <c r="E37" i="1"/>
  <c r="AU36" i="1"/>
  <c r="AW36" i="1" s="1"/>
  <c r="AQ36" i="1"/>
  <c r="AP36" i="1"/>
  <c r="AM36" i="1"/>
  <c r="AI36" i="1"/>
  <c r="AG36" i="1"/>
  <c r="AC36" i="1"/>
  <c r="W36" i="1"/>
  <c r="V36" i="1"/>
  <c r="Y36" i="1" s="1"/>
  <c r="S36" i="1"/>
  <c r="N36" i="1"/>
  <c r="J36" i="1"/>
  <c r="E36" i="1"/>
  <c r="C36" i="1"/>
  <c r="AW35" i="1"/>
  <c r="AY35" i="1"/>
  <c r="AQ35" i="1"/>
  <c r="AP35" i="1"/>
  <c r="AN35" i="1"/>
  <c r="AM35" i="1"/>
  <c r="AI35" i="1"/>
  <c r="AG35" i="1"/>
  <c r="AU34" i="1"/>
  <c r="AQ34" i="1"/>
  <c r="AP34" i="1"/>
  <c r="AN34" i="1"/>
  <c r="AN11" i="1" s="1"/>
  <c r="AM34" i="1"/>
  <c r="AJ34" i="1"/>
  <c r="AI34" i="1"/>
  <c r="AG34" i="1"/>
  <c r="AC34" i="1"/>
  <c r="V34" i="1"/>
  <c r="S34" i="1"/>
  <c r="N34" i="1"/>
  <c r="J34" i="1"/>
  <c r="F34" i="1"/>
  <c r="E34" i="1"/>
  <c r="C34" i="1"/>
  <c r="AZ33" i="1"/>
  <c r="AY33" i="1"/>
  <c r="AG33" i="1"/>
  <c r="AD33" i="1"/>
  <c r="AZ32" i="1"/>
  <c r="AU32" i="1"/>
  <c r="AW32" i="1" s="1"/>
  <c r="AQ32" i="1"/>
  <c r="AP32" i="1"/>
  <c r="AN32" i="1"/>
  <c r="AN19" i="1" s="1"/>
  <c r="AL32" i="1"/>
  <c r="AM32" i="1" s="1"/>
  <c r="AJ32" i="1"/>
  <c r="AJ19" i="1" s="1"/>
  <c r="AH32" i="1"/>
  <c r="AH19" i="1" s="1"/>
  <c r="AG32" i="1"/>
  <c r="AD32" i="1"/>
  <c r="AD26" i="1" s="1"/>
  <c r="AD30" i="1" s="1"/>
  <c r="AI30" i="1" s="1"/>
  <c r="AC32" i="1"/>
  <c r="Y32" i="1"/>
  <c r="X32" i="1"/>
  <c r="V32" i="1"/>
  <c r="W32" i="1" s="1"/>
  <c r="S32" i="1"/>
  <c r="Q32" i="1"/>
  <c r="N32" i="1"/>
  <c r="K32" i="1"/>
  <c r="J32" i="1"/>
  <c r="F32" i="1"/>
  <c r="E32" i="1"/>
  <c r="C32" i="1"/>
  <c r="AI31" i="1"/>
  <c r="AZ30" i="1"/>
  <c r="AZ38" i="1" s="1"/>
  <c r="AZ45" i="1" s="1"/>
  <c r="AZ61" i="1" s="1"/>
  <c r="AS30" i="1"/>
  <c r="AJ30" i="1"/>
  <c r="AJ38" i="1" s="1"/>
  <c r="AJ45" i="1" s="1"/>
  <c r="T30" i="1"/>
  <c r="T38" i="1" s="1"/>
  <c r="T45" i="1" s="1"/>
  <c r="T61" i="1" s="1"/>
  <c r="Q30" i="1"/>
  <c r="AW29" i="1"/>
  <c r="AU29" i="1"/>
  <c r="AQ29" i="1"/>
  <c r="AP29" i="1"/>
  <c r="AM29" i="1"/>
  <c r="AI29" i="1"/>
  <c r="AG29" i="1"/>
  <c r="AC29" i="1"/>
  <c r="V29" i="1"/>
  <c r="AU28" i="1"/>
  <c r="AQ28" i="1"/>
  <c r="AP28" i="1"/>
  <c r="AM28" i="1"/>
  <c r="AL28" i="1"/>
  <c r="AI28" i="1"/>
  <c r="AH28" i="1"/>
  <c r="AH30" i="1" s="1"/>
  <c r="AG28" i="1"/>
  <c r="AC28" i="1"/>
  <c r="X28" i="1"/>
  <c r="V28" i="1"/>
  <c r="AI27" i="1"/>
  <c r="AU26" i="1"/>
  <c r="AY26" i="1" s="1"/>
  <c r="AQ26" i="1"/>
  <c r="AP26" i="1"/>
  <c r="AP30" i="1" s="1"/>
  <c r="AN26" i="1"/>
  <c r="AN30" i="1" s="1"/>
  <c r="AL26" i="1"/>
  <c r="AM26" i="1" s="1"/>
  <c r="AM30" i="1" s="1"/>
  <c r="AM38" i="1" s="1"/>
  <c r="AH26" i="1"/>
  <c r="AG26" i="1"/>
  <c r="AC26" i="1"/>
  <c r="AC30" i="1" s="1"/>
  <c r="X26" i="1"/>
  <c r="X30" i="1" s="1"/>
  <c r="X38" i="1" s="1"/>
  <c r="X45" i="1" s="1"/>
  <c r="V26" i="1"/>
  <c r="S26" i="1"/>
  <c r="S38" i="1" s="1"/>
  <c r="S42" i="1" s="1"/>
  <c r="S45" i="1" s="1"/>
  <c r="S61" i="1" s="1"/>
  <c r="N26" i="1"/>
  <c r="K26" i="1"/>
  <c r="K38" i="1" s="1"/>
  <c r="K42" i="1" s="1"/>
  <c r="J26" i="1"/>
  <c r="G26" i="1"/>
  <c r="F26" i="1"/>
  <c r="E26" i="1"/>
  <c r="C26" i="1"/>
  <c r="C38" i="1" s="1"/>
  <c r="C42" i="1" s="1"/>
  <c r="C45" i="1" s="1"/>
  <c r="C61" i="1" s="1"/>
  <c r="AI25" i="1"/>
  <c r="AI24" i="1"/>
  <c r="AI23" i="1"/>
  <c r="AJ22" i="1"/>
  <c r="AI22" i="1"/>
  <c r="AH22" i="1"/>
  <c r="AG22" i="1"/>
  <c r="AC22" i="1"/>
  <c r="X22" i="1"/>
  <c r="V22" i="1"/>
  <c r="T22" i="1"/>
  <c r="S22" i="1"/>
  <c r="N22" i="1"/>
  <c r="J22" i="1"/>
  <c r="E22" i="1"/>
  <c r="AI21" i="1"/>
  <c r="AC21" i="1"/>
  <c r="V21" i="1"/>
  <c r="Y21" i="1" s="1"/>
  <c r="S21" i="1"/>
  <c r="N21" i="1"/>
  <c r="J21" i="1"/>
  <c r="E21" i="1"/>
  <c r="AP20" i="1"/>
  <c r="AJ20" i="1"/>
  <c r="AI20" i="1"/>
  <c r="AG20" i="1"/>
  <c r="AH20" i="1" s="1"/>
  <c r="AC20" i="1"/>
  <c r="V20" i="1"/>
  <c r="W20" i="1" s="1"/>
  <c r="X20" i="1" s="1"/>
  <c r="Y20" i="1" s="1"/>
  <c r="S20" i="1"/>
  <c r="N20" i="1"/>
  <c r="J20" i="1"/>
  <c r="E20" i="1"/>
  <c r="AU19" i="1"/>
  <c r="AY19" i="1" s="1"/>
  <c r="AQ19" i="1"/>
  <c r="AP19" i="1"/>
  <c r="AD19" i="1"/>
  <c r="AI19" i="1" s="1"/>
  <c r="AC19" i="1"/>
  <c r="X19" i="1"/>
  <c r="V19" i="1"/>
  <c r="T19" i="1"/>
  <c r="S19" i="1"/>
  <c r="Q19" i="1"/>
  <c r="N19" i="1"/>
  <c r="K19" i="1"/>
  <c r="J19" i="1"/>
  <c r="G19" i="1"/>
  <c r="F19" i="1"/>
  <c r="E19" i="1"/>
  <c r="C19" i="1"/>
  <c r="AZ18" i="1"/>
  <c r="AU18" i="1"/>
  <c r="AY18" i="1" s="1"/>
  <c r="AQ18" i="1"/>
  <c r="AP18" i="1"/>
  <c r="AJ18" i="1"/>
  <c r="AI18" i="1"/>
  <c r="AG18" i="1"/>
  <c r="AH18" i="1" s="1"/>
  <c r="AC18" i="1"/>
  <c r="V18" i="1"/>
  <c r="W18" i="1" s="1"/>
  <c r="X18" i="1" s="1"/>
  <c r="Y18" i="1" s="1"/>
  <c r="C18" i="1"/>
  <c r="AZ17" i="1"/>
  <c r="AU17" i="1"/>
  <c r="AS17" i="1" s="1"/>
  <c r="AQ17" i="1"/>
  <c r="AP17" i="1"/>
  <c r="AJ17" i="1"/>
  <c r="AI17" i="1"/>
  <c r="AG17" i="1"/>
  <c r="AH17" i="1" s="1"/>
  <c r="AC17" i="1"/>
  <c r="V17" i="1"/>
  <c r="W17" i="1" s="1"/>
  <c r="X17" i="1" s="1"/>
  <c r="Y17" i="1" s="1"/>
  <c r="S17" i="1"/>
  <c r="N17" i="1"/>
  <c r="J17" i="1"/>
  <c r="E17" i="1"/>
  <c r="C17" i="1"/>
  <c r="AZ16" i="1"/>
  <c r="AU16" i="1"/>
  <c r="AY16" i="1" s="1"/>
  <c r="AS16" i="1"/>
  <c r="AQ16" i="1"/>
  <c r="AP16" i="1"/>
  <c r="AJ16" i="1"/>
  <c r="AI16" i="1"/>
  <c r="AG16" i="1"/>
  <c r="AH16" i="1" s="1"/>
  <c r="AC16" i="1"/>
  <c r="V16" i="1"/>
  <c r="W16" i="1" s="1"/>
  <c r="X16" i="1" s="1"/>
  <c r="Y16" i="1" s="1"/>
  <c r="S16" i="1"/>
  <c r="N16" i="1"/>
  <c r="J16" i="1"/>
  <c r="E16" i="1"/>
  <c r="AZ15" i="1"/>
  <c r="AU15" i="1"/>
  <c r="AY15" i="1" s="1"/>
  <c r="AS15" i="1"/>
  <c r="AQ15" i="1"/>
  <c r="AP15" i="1"/>
  <c r="AJ15" i="1"/>
  <c r="AI15" i="1"/>
  <c r="AG15" i="1"/>
  <c r="AH15" i="1" s="1"/>
  <c r="AC15" i="1"/>
  <c r="V15" i="1"/>
  <c r="W15" i="1" s="1"/>
  <c r="X15" i="1" s="1"/>
  <c r="Y15" i="1" s="1"/>
  <c r="S15" i="1"/>
  <c r="N15" i="1"/>
  <c r="J15" i="1"/>
  <c r="E15" i="1"/>
  <c r="AZ14" i="1"/>
  <c r="AU14" i="1"/>
  <c r="AY14" i="1" s="1"/>
  <c r="AQ14" i="1"/>
  <c r="AP14" i="1"/>
  <c r="AJ14" i="1"/>
  <c r="AI14" i="1"/>
  <c r="AH14" i="1"/>
  <c r="AG14" i="1"/>
  <c r="AC14" i="1"/>
  <c r="V14" i="1"/>
  <c r="W14" i="1" s="1"/>
  <c r="X14" i="1" s="1"/>
  <c r="Y14" i="1" s="1"/>
  <c r="S14" i="1"/>
  <c r="N14" i="1"/>
  <c r="N18" i="1" s="1"/>
  <c r="J14" i="1"/>
  <c r="E14" i="1"/>
  <c r="E18" i="1" s="1"/>
  <c r="AU13" i="1"/>
  <c r="AS13" i="1" s="1"/>
  <c r="AQ13" i="1"/>
  <c r="AP13" i="1"/>
  <c r="AI13" i="1"/>
  <c r="AG13" i="1"/>
  <c r="AC13" i="1"/>
  <c r="V13" i="1"/>
  <c r="AU12" i="1"/>
  <c r="AS12" i="1" s="1"/>
  <c r="AQ12" i="1"/>
  <c r="AP12" i="1"/>
  <c r="AI12" i="1"/>
  <c r="AC12" i="1"/>
  <c r="V12" i="1"/>
  <c r="AW11" i="1"/>
  <c r="AU11" i="1"/>
  <c r="AY11" i="1" s="1"/>
  <c r="AS11" i="1"/>
  <c r="AJ11" i="1"/>
  <c r="AH11" i="1"/>
  <c r="AG11" i="1"/>
  <c r="AZ10" i="1"/>
  <c r="AY10" i="1"/>
  <c r="AU10" i="1"/>
  <c r="AS10" i="1"/>
  <c r="AQ10" i="1"/>
  <c r="AP10" i="1"/>
  <c r="AJ10" i="1"/>
  <c r="AH10" i="1"/>
  <c r="AG10" i="1"/>
  <c r="AC10" i="1"/>
  <c r="AD10" i="1" s="1"/>
  <c r="AI10" i="1" s="1"/>
  <c r="V10" i="1"/>
  <c r="X10" i="1" s="1"/>
  <c r="AU9" i="1"/>
  <c r="AW9" i="1" s="1"/>
  <c r="AW26" i="1" s="1"/>
  <c r="AQ9" i="1"/>
  <c r="AP9" i="1"/>
  <c r="AI9" i="1"/>
  <c r="AG9" i="1"/>
  <c r="AH9" i="1" s="1"/>
  <c r="AC9" i="1"/>
  <c r="V9" i="1"/>
  <c r="W9" i="1" s="1"/>
  <c r="X9" i="1" s="1"/>
  <c r="Y9" i="1" s="1"/>
  <c r="T9" i="1"/>
  <c r="S9" i="1"/>
  <c r="N9" i="1"/>
  <c r="J9" i="1"/>
  <c r="E9" i="1"/>
  <c r="AJ8" i="1"/>
  <c r="AI8" i="1"/>
  <c r="AG8" i="1"/>
  <c r="AC8" i="1"/>
  <c r="V8" i="1"/>
  <c r="S8" i="1"/>
  <c r="N8" i="1"/>
  <c r="AU7" i="1"/>
  <c r="AY7" i="1" s="1"/>
  <c r="AQ7" i="1"/>
  <c r="AP7" i="1"/>
  <c r="AI7" i="1"/>
  <c r="AC7" i="1"/>
  <c r="V7" i="1"/>
  <c r="Y7" i="1" s="1"/>
  <c r="S7" i="1"/>
  <c r="N7" i="1"/>
  <c r="J7" i="1"/>
  <c r="E7" i="1"/>
  <c r="C7" i="1"/>
  <c r="AI6" i="1"/>
  <c r="AW4" i="1"/>
  <c r="AI4" i="1"/>
  <c r="AH4" i="1"/>
  <c r="T107" i="1" l="1"/>
  <c r="T113" i="1" s="1"/>
  <c r="AM45" i="1"/>
  <c r="AM61" i="1" s="1"/>
  <c r="AM107" i="1" s="1"/>
  <c r="Y19" i="1"/>
  <c r="AN38" i="1"/>
  <c r="AN45" i="1" s="1"/>
  <c r="AN61" i="1" s="1"/>
  <c r="AW49" i="1"/>
  <c r="AM85" i="1"/>
  <c r="Y84" i="1"/>
  <c r="AU85" i="1"/>
  <c r="AP11" i="1"/>
  <c r="AP38" i="1"/>
  <c r="AP45" i="1" s="1"/>
  <c r="AP61" i="1" s="1"/>
  <c r="F38" i="1"/>
  <c r="Y26" i="1"/>
  <c r="AH38" i="1"/>
  <c r="AH45" i="1" s="1"/>
  <c r="AH61" i="1" s="1"/>
  <c r="Q38" i="1"/>
  <c r="Q45" i="1" s="1"/>
  <c r="Q61" i="1" s="1"/>
  <c r="Q107" i="1" s="1"/>
  <c r="Q113" i="1" s="1"/>
  <c r="F42" i="1"/>
  <c r="F45" i="1" s="1"/>
  <c r="F61" i="1" s="1"/>
  <c r="F107" i="1" s="1"/>
  <c r="AI68" i="1"/>
  <c r="AY83" i="1"/>
  <c r="AC38" i="1"/>
  <c r="AC45" i="1" s="1"/>
  <c r="AC61" i="1" s="1"/>
  <c r="N74" i="1"/>
  <c r="AZ85" i="1"/>
  <c r="AY84" i="1"/>
  <c r="S18" i="1"/>
  <c r="AH74" i="1"/>
  <c r="AH105" i="1" s="1"/>
  <c r="AH107" i="1" s="1"/>
  <c r="AP85" i="1"/>
  <c r="AY98" i="1"/>
  <c r="K45" i="1"/>
  <c r="K61" i="1" s="1"/>
  <c r="AI32" i="1"/>
  <c r="AG30" i="1"/>
  <c r="Y40" i="1"/>
  <c r="Y22" i="1"/>
  <c r="P74" i="1"/>
  <c r="P105" i="1" s="1"/>
  <c r="T74" i="1"/>
  <c r="T105" i="1" s="1"/>
  <c r="AM74" i="1"/>
  <c r="AM105" i="1" s="1"/>
  <c r="AC74" i="1"/>
  <c r="AC105" i="1" s="1"/>
  <c r="AC107" i="1" s="1"/>
  <c r="J85" i="1"/>
  <c r="AS18" i="1"/>
  <c r="AQ30" i="1"/>
  <c r="AQ38" i="1" s="1"/>
  <c r="AQ45" i="1" s="1"/>
  <c r="AQ61" i="1" s="1"/>
  <c r="AS61" i="1"/>
  <c r="Y53" i="1"/>
  <c r="AY53" i="1"/>
  <c r="Y60" i="1"/>
  <c r="S74" i="1"/>
  <c r="N85" i="1"/>
  <c r="AC92" i="1"/>
  <c r="J92" i="1"/>
  <c r="AQ92" i="1"/>
  <c r="AW97" i="1"/>
  <c r="AG38" i="1"/>
  <c r="AG45" i="1" s="1"/>
  <c r="W85" i="1"/>
  <c r="E38" i="1"/>
  <c r="E42" i="1" s="1"/>
  <c r="E45" i="1" s="1"/>
  <c r="E61" i="1" s="1"/>
  <c r="AY17" i="1"/>
  <c r="AS19" i="1"/>
  <c r="AY39" i="1"/>
  <c r="W69" i="1"/>
  <c r="W74" i="1" s="1"/>
  <c r="J74" i="1"/>
  <c r="E85" i="1"/>
  <c r="E105" i="1" s="1"/>
  <c r="AG85" i="1"/>
  <c r="AS81" i="1"/>
  <c r="AS85" i="1" s="1"/>
  <c r="AS105" i="1" s="1"/>
  <c r="AY99" i="1"/>
  <c r="N38" i="1"/>
  <c r="N42" i="1" s="1"/>
  <c r="N45" i="1" s="1"/>
  <c r="N61" i="1" s="1"/>
  <c r="AJ92" i="1"/>
  <c r="AY9" i="1"/>
  <c r="AS9" i="1"/>
  <c r="AQ11" i="1"/>
  <c r="AY13" i="1"/>
  <c r="J38" i="1"/>
  <c r="J42" i="1" s="1"/>
  <c r="AW37" i="1"/>
  <c r="AY56" i="1"/>
  <c r="AP74" i="1"/>
  <c r="AP105" i="1" s="1"/>
  <c r="AW87" i="1"/>
  <c r="AW68" i="1"/>
  <c r="AY68" i="1"/>
  <c r="W71" i="1"/>
  <c r="AD105" i="1"/>
  <c r="AI105" i="1" s="1"/>
  <c r="AI74" i="1"/>
  <c r="W87" i="1"/>
  <c r="W92" i="1" s="1"/>
  <c r="V92" i="1"/>
  <c r="Y87" i="1"/>
  <c r="Y92" i="1" s="1"/>
  <c r="W96" i="1"/>
  <c r="Y96" i="1"/>
  <c r="J18" i="1"/>
  <c r="AS14" i="1"/>
  <c r="AG61" i="1"/>
  <c r="AL30" i="1"/>
  <c r="AL38" i="1" s="1"/>
  <c r="AL45" i="1" s="1"/>
  <c r="AL61" i="1" s="1"/>
  <c r="AY60" i="1"/>
  <c r="AJ74" i="1"/>
  <c r="S107" i="1"/>
  <c r="AW12" i="1"/>
  <c r="AY12" i="1"/>
  <c r="Q42" i="1"/>
  <c r="AU74" i="1"/>
  <c r="AU105" i="1" s="1"/>
  <c r="W94" i="1"/>
  <c r="X94" i="1" s="1"/>
  <c r="Y94" i="1" s="1"/>
  <c r="AI11" i="1"/>
  <c r="G107" i="1"/>
  <c r="G113" i="1" s="1"/>
  <c r="S105" i="1"/>
  <c r="W98" i="1"/>
  <c r="AW13" i="1"/>
  <c r="J45" i="1"/>
  <c r="J61" i="1" s="1"/>
  <c r="AN107" i="1"/>
  <c r="AW28" i="1"/>
  <c r="AW30" i="1" s="1"/>
  <c r="AY28" i="1"/>
  <c r="X61" i="1"/>
  <c r="AY32" i="1"/>
  <c r="Y34" i="1"/>
  <c r="W34" i="1"/>
  <c r="W19" i="1"/>
  <c r="V74" i="1"/>
  <c r="AY66" i="1"/>
  <c r="AY69" i="1"/>
  <c r="AY70" i="1"/>
  <c r="W95" i="1"/>
  <c r="AW19" i="1"/>
  <c r="W26" i="1"/>
  <c r="V30" i="1"/>
  <c r="V38" i="1" s="1"/>
  <c r="V45" i="1" s="1"/>
  <c r="V61" i="1" s="1"/>
  <c r="AY29" i="1"/>
  <c r="AY34" i="1"/>
  <c r="AW34" i="1"/>
  <c r="Y37" i="1"/>
  <c r="AD38" i="1"/>
  <c r="AY40" i="1"/>
  <c r="AW40" i="1"/>
  <c r="AY55" i="1"/>
  <c r="AY59" i="1"/>
  <c r="AW59" i="1"/>
  <c r="K74" i="1"/>
  <c r="K105" i="1" s="1"/>
  <c r="AG74" i="1"/>
  <c r="AG105" i="1" s="1"/>
  <c r="X74" i="1"/>
  <c r="X105" i="1" s="1"/>
  <c r="AW66" i="1"/>
  <c r="AW69" i="1"/>
  <c r="Y70" i="1"/>
  <c r="Y74" i="1" s="1"/>
  <c r="V85" i="1"/>
  <c r="AW85" i="1"/>
  <c r="Y83" i="1"/>
  <c r="Y97" i="1"/>
  <c r="AY47" i="1"/>
  <c r="Y52" i="1"/>
  <c r="W52" i="1"/>
  <c r="AQ85" i="1"/>
  <c r="AY36" i="1"/>
  <c r="Y39" i="1"/>
  <c r="AY67" i="1"/>
  <c r="AL74" i="1"/>
  <c r="AL105" i="1" s="1"/>
  <c r="AZ105" i="1"/>
  <c r="AZ107" i="1" s="1"/>
  <c r="C92" i="1"/>
  <c r="C105" i="1" s="1"/>
  <c r="C107" i="1" s="1"/>
  <c r="C113" i="1" s="1"/>
  <c r="N92" i="1"/>
  <c r="AY96" i="1"/>
  <c r="AI26" i="1"/>
  <c r="AU30" i="1"/>
  <c r="AU38" i="1" s="1"/>
  <c r="AU45" i="1" s="1"/>
  <c r="AU61" i="1" s="1"/>
  <c r="P45" i="1"/>
  <c r="P61" i="1" s="1"/>
  <c r="AY48" i="1"/>
  <c r="AW48" i="1"/>
  <c r="W72" i="1"/>
  <c r="AY81" i="1"/>
  <c r="AY93" i="1"/>
  <c r="W99" i="1"/>
  <c r="AQ74" i="1"/>
  <c r="AJ105" i="1" l="1"/>
  <c r="AJ107" i="1" s="1"/>
  <c r="N105" i="1"/>
  <c r="N107" i="1" s="1"/>
  <c r="AP107" i="1"/>
  <c r="P107" i="1"/>
  <c r="Y85" i="1"/>
  <c r="K107" i="1"/>
  <c r="K113" i="1" s="1"/>
  <c r="AS107" i="1"/>
  <c r="Y38" i="1"/>
  <c r="Y42" i="1" s="1"/>
  <c r="Y45" i="1" s="1"/>
  <c r="Y61" i="1" s="1"/>
  <c r="J105" i="1"/>
  <c r="W105" i="1"/>
  <c r="W38" i="1"/>
  <c r="W42" i="1" s="1"/>
  <c r="W45" i="1" s="1"/>
  <c r="AG107" i="1"/>
  <c r="AQ105" i="1"/>
  <c r="AQ107" i="1" s="1"/>
  <c r="AY30" i="1"/>
  <c r="AY38" i="1" s="1"/>
  <c r="AY45" i="1" s="1"/>
  <c r="AY61" i="1" s="1"/>
  <c r="Y105" i="1"/>
  <c r="Y107" i="1" s="1"/>
  <c r="AW74" i="1"/>
  <c r="AW105" i="1" s="1"/>
  <c r="X107" i="1"/>
  <c r="X113" i="1" s="1"/>
  <c r="AU107" i="1"/>
  <c r="AY80" i="1"/>
  <c r="AY85" i="1" s="1"/>
  <c r="AL107" i="1"/>
  <c r="AY74" i="1"/>
  <c r="AW38" i="1"/>
  <c r="AW45" i="1" s="1"/>
  <c r="AW61" i="1" s="1"/>
  <c r="AW107" i="1" s="1"/>
  <c r="AI38" i="1"/>
  <c r="AD45" i="1"/>
  <c r="W61" i="1"/>
  <c r="V105" i="1"/>
  <c r="V107" i="1" s="1"/>
  <c r="W107" i="1" l="1"/>
  <c r="AY105" i="1"/>
  <c r="AY107" i="1" s="1"/>
  <c r="AI45" i="1"/>
  <c r="AD61" i="1"/>
  <c r="AD107" i="1" l="1"/>
  <c r="AI61" i="1"/>
  <c r="AD113" i="1" l="1"/>
  <c r="AI107" i="1"/>
</calcChain>
</file>

<file path=xl/sharedStrings.xml><?xml version="1.0" encoding="utf-8"?>
<sst xmlns="http://schemas.openxmlformats.org/spreadsheetml/2006/main" count="317" uniqueCount="152">
  <si>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</si>
  <si>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</si>
  <si>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</si>
  <si>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</si>
  <si>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</si>
  <si>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</si>
  <si>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</si>
  <si>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</si>
  <si>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</si>
  <si>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</si>
  <si>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</si>
  <si>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Increase/</t>
  </si>
  <si>
    <t>Adopted</t>
  </si>
  <si>
    <t>Projected</t>
  </si>
  <si>
    <t>Proposed</t>
  </si>
  <si>
    <t>Approved</t>
  </si>
  <si>
    <t xml:space="preserve">Difference </t>
  </si>
  <si>
    <t>Jun 2nd BOT</t>
  </si>
  <si>
    <t xml:space="preserve">Draft Actual </t>
  </si>
  <si>
    <t xml:space="preserve">February </t>
  </si>
  <si>
    <t>Budget</t>
  </si>
  <si>
    <t>(Decrease)</t>
  </si>
  <si>
    <t>Forecasted</t>
  </si>
  <si>
    <t>Actual</t>
  </si>
  <si>
    <t>Budget to Actual</t>
  </si>
  <si>
    <t>Approved Budget</t>
  </si>
  <si>
    <t>as of 8/17/21</t>
  </si>
  <si>
    <t>Budget Shell</t>
  </si>
  <si>
    <t>Shell (B)</t>
  </si>
  <si>
    <t>Projected to 22-23</t>
  </si>
  <si>
    <t>Average Full Time Undergraduate Paying Enrollment</t>
  </si>
  <si>
    <t>Average Full Time Graduate Paying Enrollment</t>
  </si>
  <si>
    <t>FT Tuition &amp; Mandatory Fees - Undergraduate Students</t>
  </si>
  <si>
    <t>Master Program Per Credit Hour Rate</t>
  </si>
  <si>
    <t>Average Master Programs Credit Hours</t>
  </si>
  <si>
    <t>Resident Students/Capacity</t>
  </si>
  <si>
    <t>2330/2454</t>
  </si>
  <si>
    <t>2315/2454</t>
  </si>
  <si>
    <t>Board Participants</t>
  </si>
  <si>
    <t>Full Time Tuition - New Freshmen</t>
  </si>
  <si>
    <t>Full Time Tuition - Master's Program</t>
  </si>
  <si>
    <t>Mandatory Fees</t>
  </si>
  <si>
    <t xml:space="preserve">    Total Tuition and Mandatory Fees- Students</t>
  </si>
  <si>
    <t xml:space="preserve">    Total Tuition and Mandatory Fees- New Freshman</t>
  </si>
  <si>
    <t>Average Part Time Credit Hours</t>
  </si>
  <si>
    <t>Part Time Tuition / Credit Hour</t>
  </si>
  <si>
    <t>2340/2446</t>
  </si>
  <si>
    <t>2254/2454</t>
  </si>
  <si>
    <t>Operating Revenues</t>
  </si>
  <si>
    <t>Tuition</t>
  </si>
  <si>
    <t>Blended Tuition Full-time</t>
  </si>
  <si>
    <t xml:space="preserve">  Full-time - New Freshmen</t>
  </si>
  <si>
    <t>Less:  Student Aid-Unrestricted Resources</t>
  </si>
  <si>
    <t>1)</t>
  </si>
  <si>
    <t xml:space="preserve">                                 Supported by Endowed Scholarships</t>
  </si>
  <si>
    <t xml:space="preserve">                            Net Undergraduate Tuition Revenue</t>
  </si>
  <si>
    <t xml:space="preserve">                            Net FT Undergraduate Tuition Revenue</t>
  </si>
  <si>
    <t xml:space="preserve">  Part-time &amp; Summer</t>
  </si>
  <si>
    <t>2)</t>
  </si>
  <si>
    <t xml:space="preserve">  Part-time Nursing Program</t>
  </si>
  <si>
    <t xml:space="preserve">  Masters in Accounting Program</t>
  </si>
  <si>
    <t>3)</t>
  </si>
  <si>
    <t xml:space="preserve">  MBA Program</t>
  </si>
  <si>
    <t xml:space="preserve">       Masters Program Financial Aid</t>
  </si>
  <si>
    <t xml:space="preserve">  Foreign Study Abroad-Net</t>
  </si>
  <si>
    <t>4)</t>
  </si>
  <si>
    <t xml:space="preserve">      Total Tuition</t>
  </si>
  <si>
    <t>Fees</t>
  </si>
  <si>
    <t>Room</t>
  </si>
  <si>
    <t>Board</t>
  </si>
  <si>
    <t>Gross Student Revenue</t>
  </si>
  <si>
    <t>Net Student Revenue</t>
  </si>
  <si>
    <t>Government Grants</t>
  </si>
  <si>
    <t xml:space="preserve">  N.Y.S. Bundy Aid</t>
  </si>
  <si>
    <t xml:space="preserve">  Sponsored Research &amp; Other Government Grants</t>
  </si>
  <si>
    <t>5)</t>
  </si>
  <si>
    <t xml:space="preserve">  COVID - Discretionary</t>
  </si>
  <si>
    <t xml:space="preserve">  COVID - Student Support</t>
  </si>
  <si>
    <t>Private Gifts &amp; Grants</t>
  </si>
  <si>
    <t xml:space="preserve">  Annual Fund</t>
  </si>
  <si>
    <t xml:space="preserve">  Gifts &amp; Grants Designated for Specific Purposes</t>
  </si>
  <si>
    <t xml:space="preserve">  Other</t>
  </si>
  <si>
    <t xml:space="preserve">  Other (e.g. unanticipated Bequests &amp; Gifts in Kind)</t>
  </si>
  <si>
    <t>Investment Returns-Unrestricted Resources</t>
  </si>
  <si>
    <t xml:space="preserve">                                  Supported by Endowed Gifts</t>
  </si>
  <si>
    <t>Other Resources</t>
  </si>
  <si>
    <t>6)</t>
  </si>
  <si>
    <t>Athletic Revenue</t>
  </si>
  <si>
    <t>Siena College Research Institute</t>
  </si>
  <si>
    <t>Net Release of Temporarily Restricted Net Assets</t>
  </si>
  <si>
    <t xml:space="preserve">  Total Operating Revenues</t>
  </si>
  <si>
    <t>Operating Expenditures</t>
  </si>
  <si>
    <t>Compensation</t>
  </si>
  <si>
    <t xml:space="preserve">  Salaries</t>
  </si>
  <si>
    <t xml:space="preserve">  Salaries- Full Time &amp; Part Time Faculty</t>
  </si>
  <si>
    <t>7)</t>
  </si>
  <si>
    <t xml:space="preserve">  Salaries- Staff &amp; Administration</t>
  </si>
  <si>
    <t xml:space="preserve">  Salaries- Other</t>
  </si>
  <si>
    <t xml:space="preserve">  Salaries - Designated</t>
  </si>
  <si>
    <t xml:space="preserve">  Salaries - Strategic Plan</t>
  </si>
  <si>
    <t>8)</t>
  </si>
  <si>
    <t xml:space="preserve">  Salaries - First Year Class/COVID Effects</t>
  </si>
  <si>
    <t xml:space="preserve">  Fringes</t>
  </si>
  <si>
    <t xml:space="preserve">  Fringes - Designated</t>
  </si>
  <si>
    <t xml:space="preserve">  Fringes - Strategic Plan</t>
  </si>
  <si>
    <t xml:space="preserve">      Total Compensation</t>
  </si>
  <si>
    <t>Administrative &amp; Program Costs</t>
  </si>
  <si>
    <t xml:space="preserve">  General College Operations</t>
  </si>
  <si>
    <t xml:space="preserve">  Academic Excellence Initiatives </t>
  </si>
  <si>
    <t xml:space="preserve">  COVID Non-Student Support</t>
  </si>
  <si>
    <t xml:space="preserve">  COVID Student Support</t>
  </si>
  <si>
    <t xml:space="preserve">   Program Costs- Designated</t>
  </si>
  <si>
    <t xml:space="preserve">  Program Costs- Designated</t>
  </si>
  <si>
    <t xml:space="preserve">   Program Costs -Strategic Plan</t>
  </si>
  <si>
    <t xml:space="preserve">  Program- First Year Class/COVID Effects</t>
  </si>
  <si>
    <t xml:space="preserve">      Total Administrative &amp; Program Costs</t>
  </si>
  <si>
    <t>Operation of Physical Plant</t>
  </si>
  <si>
    <t xml:space="preserve">  General Operation &amp; Maintenance of Plant</t>
  </si>
  <si>
    <t>General Operation &amp; Maintenance of Plant</t>
  </si>
  <si>
    <t xml:space="preserve">  Replacements</t>
  </si>
  <si>
    <t>Capital Budget</t>
  </si>
  <si>
    <t>-</t>
  </si>
  <si>
    <t xml:space="preserve">  General Administrative &amp; Allocated Costs</t>
  </si>
  <si>
    <t xml:space="preserve">  Allocated Maintainence Chargebacks to Administrative</t>
  </si>
  <si>
    <t xml:space="preserve">      Total Operation of Physical Plant</t>
  </si>
  <si>
    <t>Utilities</t>
  </si>
  <si>
    <t>Utilities Contingency</t>
  </si>
  <si>
    <t>Deferred/Critical Maintenance</t>
  </si>
  <si>
    <t>Food</t>
  </si>
  <si>
    <t>Interest Expense</t>
  </si>
  <si>
    <t>Asset Retirement Obligation</t>
  </si>
  <si>
    <t>Depreciation</t>
  </si>
  <si>
    <t>9)</t>
  </si>
  <si>
    <t>Contingency/Targeted Surplus</t>
  </si>
  <si>
    <t>Strategic Plan</t>
  </si>
  <si>
    <t>Targeted Surplus</t>
  </si>
  <si>
    <t>Total Operating Expenses</t>
  </si>
  <si>
    <t>Contingency/Targeted Surplus(Deficit)</t>
  </si>
  <si>
    <t>Increase (Decrease) in Temporarily Restricted Net</t>
  </si>
  <si>
    <t xml:space="preserve">  Assets from Operating Activities</t>
  </si>
  <si>
    <t xml:space="preserve">Increase (Decrease) in Total Net Assets from </t>
  </si>
  <si>
    <t xml:space="preserve">  Operating Activities</t>
  </si>
  <si>
    <t xml:space="preserve"> </t>
  </si>
  <si>
    <t>(1-</t>
  </si>
  <si>
    <t>(2-</t>
  </si>
  <si>
    <t>(3-</t>
  </si>
  <si>
    <t>(4-</t>
  </si>
  <si>
    <t>(5-</t>
  </si>
  <si>
    <t>(6-</t>
  </si>
  <si>
    <t>(7-</t>
  </si>
  <si>
    <t>(8-</t>
  </si>
  <si>
    <t>(9-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</si>
</sst>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3" x14ac:knownFonts="1">
    <font>
      <sz val="10"/>
      <name val="Arial"/>
    </font>
    <font>
      <sz val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u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sz val="10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u/>
      <sz val="12"/>
      <color indexed="8"/>
      <name val="Arial"/>
      <family val="2"/>
    </font>
    <font>
      <u val="singleAccounting"/>
      <sz val="12"/>
      <name val="Arial"/>
      <family val="2"/>
    </font>
    <font>
      <u val="singleAccounting"/>
      <sz val="10"/>
      <name val="Arial"/>
      <family val="2"/>
    </font>
    <font>
      <u val="doubleAccounting"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0">
    <xf numFmtId="0" fontId="0" fillId="0" borderId="0" xfId="0"/>
    <xf numFmtId="0" fontId="2" fillId="0" borderId="0" xfId="1" applyFont="1" applyAlignment="1"/>
    <xf numFmtId="0" fontId="2" fillId="0" borderId="0" xfId="1" applyFont="1" applyAlignment="1">
      <alignment horizontal="center"/>
    </xf>
    <xf numFmtId="0" fontId="1" fillId="0" borderId="0" xfId="1"/>
    <xf numFmtId="0" fontId="2" fillId="0" borderId="0" xfId="1" applyFont="1" applyFill="1" applyAlignment="1"/>
    <xf numFmtId="0" fontId="2" fillId="0" borderId="0" xfId="1" applyFont="1" applyFill="1" applyBorder="1" applyAlignment="1"/>
    <xf numFmtId="0" fontId="2" fillId="0" borderId="0" xfId="1" applyFont="1" applyBorder="1" applyAlignment="1"/>
    <xf numFmtId="0" fontId="2" fillId="0" borderId="1" xfId="1" applyFont="1" applyFill="1" applyBorder="1" applyAlignment="1"/>
    <xf numFmtId="0" fontId="3" fillId="0" borderId="0" xfId="1" applyFont="1" applyBorder="1"/>
    <xf numFmtId="41" fontId="2" fillId="0" borderId="2" xfId="1" applyNumberFormat="1" applyFont="1" applyFill="1" applyBorder="1" applyAlignment="1">
      <alignment horizontal="center"/>
    </xf>
    <xf numFmtId="41" fontId="2" fillId="2" borderId="3" xfId="1" applyNumberFormat="1" applyFont="1" applyFill="1" applyBorder="1" applyAlignment="1">
      <alignment horizontal="center"/>
    </xf>
    <xf numFmtId="41" fontId="2" fillId="0" borderId="4" xfId="1" applyNumberFormat="1" applyFont="1" applyFill="1" applyBorder="1" applyAlignment="1">
      <alignment horizontal="center"/>
    </xf>
    <xf numFmtId="41" fontId="2" fillId="2" borderId="5" xfId="1" applyNumberFormat="1" applyFont="1" applyFill="1" applyBorder="1" applyAlignment="1">
      <alignment horizontal="center"/>
    </xf>
    <xf numFmtId="41" fontId="2" fillId="0" borderId="0" xfId="1" applyNumberFormat="1" applyFont="1" applyFill="1" applyBorder="1" applyAlignment="1">
      <alignment horizontal="center"/>
    </xf>
    <xf numFmtId="41" fontId="2" fillId="3" borderId="3" xfId="1" applyNumberFormat="1" applyFont="1" applyFill="1" applyBorder="1" applyAlignment="1">
      <alignment horizontal="center"/>
    </xf>
    <xf numFmtId="41" fontId="2" fillId="4" borderId="3" xfId="1" applyNumberFormat="1" applyFont="1" applyFill="1" applyBorder="1" applyAlignment="1">
      <alignment horizontal="center"/>
    </xf>
    <xf numFmtId="41" fontId="2" fillId="4" borderId="8" xfId="1" applyNumberFormat="1" applyFont="1" applyFill="1" applyBorder="1" applyAlignment="1">
      <alignment horizontal="center"/>
    </xf>
    <xf numFmtId="41" fontId="2" fillId="0" borderId="7" xfId="1" applyNumberFormat="1" applyFont="1" applyFill="1" applyBorder="1" applyAlignment="1">
      <alignment horizontal="center"/>
    </xf>
    <xf numFmtId="41" fontId="2" fillId="4" borderId="7" xfId="1" applyNumberFormat="1" applyFont="1" applyFill="1" applyBorder="1" applyAlignment="1">
      <alignment horizontal="center"/>
    </xf>
    <xf numFmtId="41" fontId="2" fillId="0" borderId="6" xfId="1" applyNumberFormat="1" applyFont="1" applyFill="1" applyBorder="1" applyAlignment="1">
      <alignment horizontal="center"/>
    </xf>
    <xf numFmtId="41" fontId="2" fillId="2" borderId="4" xfId="1" applyNumberFormat="1" applyFont="1" applyFill="1" applyBorder="1" applyAlignment="1">
      <alignment horizontal="center"/>
    </xf>
    <xf numFmtId="41" fontId="2" fillId="2" borderId="8" xfId="1" applyNumberFormat="1" applyFont="1" applyFill="1" applyBorder="1" applyAlignment="1">
      <alignment horizontal="center"/>
    </xf>
    <xf numFmtId="41" fontId="2" fillId="3" borderId="4" xfId="1" applyNumberFormat="1" applyFont="1" applyFill="1" applyBorder="1" applyAlignment="1">
      <alignment horizontal="center"/>
    </xf>
    <xf numFmtId="41" fontId="2" fillId="4" borderId="4" xfId="1" applyNumberFormat="1" applyFont="1" applyFill="1" applyBorder="1" applyAlignment="1">
      <alignment horizontal="center"/>
    </xf>
    <xf numFmtId="41" fontId="2" fillId="4" borderId="2" xfId="1" applyNumberFormat="1" applyFont="1" applyFill="1" applyBorder="1" applyAlignment="1">
      <alignment horizontal="center"/>
    </xf>
    <xf numFmtId="15" fontId="2" fillId="4" borderId="2" xfId="1" applyNumberFormat="1" applyFont="1" applyFill="1" applyBorder="1" applyAlignment="1">
      <alignment horizontal="center"/>
    </xf>
    <xf numFmtId="41" fontId="4" fillId="0" borderId="2" xfId="1" applyNumberFormat="1" applyFont="1" applyFill="1" applyBorder="1" applyAlignment="1">
      <alignment horizontal="center"/>
    </xf>
    <xf numFmtId="41" fontId="4" fillId="2" borderId="4" xfId="1" applyNumberFormat="1" applyFont="1" applyFill="1" applyBorder="1" applyAlignment="1">
      <alignment horizontal="center"/>
    </xf>
    <xf numFmtId="41" fontId="4" fillId="0" borderId="4" xfId="1" applyNumberFormat="1" applyFont="1" applyFill="1" applyBorder="1" applyAlignment="1">
      <alignment horizontal="center"/>
    </xf>
    <xf numFmtId="41" fontId="4" fillId="2" borderId="8" xfId="1" applyNumberFormat="1" applyFont="1" applyFill="1" applyBorder="1" applyAlignment="1">
      <alignment horizontal="center"/>
    </xf>
    <xf numFmtId="41" fontId="4" fillId="0" borderId="0" xfId="1" applyNumberFormat="1" applyFont="1" applyFill="1" applyBorder="1" applyAlignment="1">
      <alignment horizontal="center"/>
    </xf>
    <xf numFmtId="41" fontId="4" fillId="3" borderId="4" xfId="1" applyNumberFormat="1" applyFont="1" applyFill="1" applyBorder="1" applyAlignment="1">
      <alignment horizontal="center"/>
    </xf>
    <xf numFmtId="41" fontId="4" fillId="4" borderId="4" xfId="1" applyNumberFormat="1" applyFont="1" applyFill="1" applyBorder="1" applyAlignment="1">
      <alignment horizontal="center"/>
    </xf>
    <xf numFmtId="41" fontId="4" fillId="4" borderId="8" xfId="1" applyNumberFormat="1" applyFont="1" applyFill="1" applyBorder="1" applyAlignment="1">
      <alignment horizontal="center"/>
    </xf>
    <xf numFmtId="41" fontId="4" fillId="4" borderId="2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left" vertical="center"/>
    </xf>
    <xf numFmtId="41" fontId="6" fillId="0" borderId="2" xfId="1" quotePrefix="1" applyNumberFormat="1" applyFont="1" applyFill="1" applyBorder="1"/>
    <xf numFmtId="41" fontId="2" fillId="3" borderId="4" xfId="1" quotePrefix="1" applyNumberFormat="1" applyFont="1" applyFill="1" applyBorder="1"/>
    <xf numFmtId="41" fontId="2" fillId="0" borderId="4" xfId="1" quotePrefix="1" applyNumberFormat="1" applyFont="1" applyFill="1" applyBorder="1"/>
    <xf numFmtId="41" fontId="2" fillId="2" borderId="8" xfId="1" quotePrefix="1" applyNumberFormat="1" applyFont="1" applyFill="1" applyBorder="1"/>
    <xf numFmtId="41" fontId="2" fillId="2" borderId="4" xfId="1" quotePrefix="1" applyNumberFormat="1" applyFont="1" applyFill="1" applyBorder="1"/>
    <xf numFmtId="41" fontId="2" fillId="0" borderId="0" xfId="1" quotePrefix="1" applyNumberFormat="1" applyFont="1" applyFill="1" applyBorder="1"/>
    <xf numFmtId="41" fontId="2" fillId="4" borderId="4" xfId="1" quotePrefix="1" applyNumberFormat="1" applyFont="1" applyFill="1" applyBorder="1"/>
    <xf numFmtId="41" fontId="2" fillId="5" borderId="4" xfId="1" quotePrefix="1" applyNumberFormat="1" applyFont="1" applyFill="1" applyBorder="1"/>
    <xf numFmtId="41" fontId="2" fillId="4" borderId="8" xfId="1" quotePrefix="1" applyNumberFormat="1" applyFont="1" applyFill="1" applyBorder="1"/>
    <xf numFmtId="41" fontId="2" fillId="0" borderId="2" xfId="1" quotePrefix="1" applyNumberFormat="1" applyFont="1" applyFill="1" applyBorder="1"/>
    <xf numFmtId="41" fontId="2" fillId="4" borderId="2" xfId="1" quotePrefix="1" applyNumberFormat="1" applyFont="1" applyFill="1" applyBorder="1"/>
    <xf numFmtId="41" fontId="2" fillId="2" borderId="8" xfId="1" quotePrefix="1" applyNumberFormat="1" applyFont="1" applyFill="1" applyBorder="1" applyAlignment="1">
      <alignment horizontal="right"/>
    </xf>
    <xf numFmtId="41" fontId="2" fillId="0" borderId="0" xfId="1" quotePrefix="1" applyNumberFormat="1" applyFont="1" applyFill="1" applyBorder="1" applyAlignment="1">
      <alignment horizontal="right"/>
    </xf>
    <xf numFmtId="41" fontId="2" fillId="2" borderId="4" xfId="1" quotePrefix="1" applyNumberFormat="1" applyFont="1" applyFill="1" applyBorder="1" applyAlignment="1">
      <alignment horizontal="right"/>
    </xf>
    <xf numFmtId="41" fontId="2" fillId="4" borderId="4" xfId="1" quotePrefix="1" applyNumberFormat="1" applyFont="1" applyFill="1" applyBorder="1" applyAlignment="1">
      <alignment horizontal="right"/>
    </xf>
    <xf numFmtId="41" fontId="2" fillId="0" borderId="4" xfId="1" quotePrefix="1" applyNumberFormat="1" applyFont="1" applyFill="1" applyBorder="1" applyAlignment="1">
      <alignment horizontal="right"/>
    </xf>
    <xf numFmtId="41" fontId="2" fillId="4" borderId="8" xfId="1" quotePrefix="1" applyNumberFormat="1" applyFont="1" applyFill="1" applyBorder="1" applyAlignment="1">
      <alignment horizontal="right"/>
    </xf>
    <xf numFmtId="41" fontId="2" fillId="0" borderId="2" xfId="1" quotePrefix="1" applyNumberFormat="1" applyFont="1" applyFill="1" applyBorder="1" applyAlignment="1">
      <alignment horizontal="right"/>
    </xf>
    <xf numFmtId="41" fontId="2" fillId="4" borderId="2" xfId="1" quotePrefix="1" applyNumberFormat="1" applyFont="1" applyFill="1" applyBorder="1" applyAlignment="1">
      <alignment horizontal="right"/>
    </xf>
    <xf numFmtId="41" fontId="2" fillId="2" borderId="9" xfId="1" quotePrefix="1" applyNumberFormat="1" applyFont="1" applyFill="1" applyBorder="1"/>
    <xf numFmtId="41" fontId="2" fillId="2" borderId="10" xfId="1" quotePrefix="1" applyNumberFormat="1" applyFont="1" applyFill="1" applyBorder="1"/>
    <xf numFmtId="41" fontId="2" fillId="3" borderId="9" xfId="1" quotePrefix="1" applyNumberFormat="1" applyFont="1" applyFill="1" applyBorder="1"/>
    <xf numFmtId="41" fontId="7" fillId="3" borderId="9" xfId="1" quotePrefix="1" applyNumberFormat="1" applyFont="1" applyFill="1" applyBorder="1"/>
    <xf numFmtId="41" fontId="7" fillId="0" borderId="0" xfId="1" quotePrefix="1" applyNumberFormat="1" applyFont="1" applyFill="1" applyBorder="1"/>
    <xf numFmtId="41" fontId="2" fillId="4" borderId="9" xfId="1" quotePrefix="1" applyNumberFormat="1" applyFont="1" applyFill="1" applyBorder="1"/>
    <xf numFmtId="41" fontId="8" fillId="0" borderId="11" xfId="1" applyNumberFormat="1" applyFont="1" applyFill="1" applyBorder="1"/>
    <xf numFmtId="41" fontId="2" fillId="4" borderId="10" xfId="1" quotePrefix="1" applyNumberFormat="1" applyFont="1" applyFill="1" applyBorder="1"/>
    <xf numFmtId="41" fontId="2" fillId="0" borderId="12" xfId="1" quotePrefix="1" applyNumberFormat="1" applyFont="1" applyFill="1" applyBorder="1"/>
    <xf numFmtId="41" fontId="2" fillId="4" borderId="12" xfId="1" quotePrefix="1" applyNumberFormat="1" applyFont="1" applyFill="1" applyBorder="1"/>
    <xf numFmtId="41" fontId="2" fillId="0" borderId="13" xfId="1" quotePrefix="1" applyNumberFormat="1" applyFont="1" applyFill="1" applyBorder="1"/>
    <xf numFmtId="0" fontId="9" fillId="0" borderId="0" xfId="1" applyFont="1" applyBorder="1" applyAlignment="1">
      <alignment vertical="center"/>
    </xf>
    <xf numFmtId="0" fontId="1" fillId="0" borderId="2" xfId="1" applyFill="1" applyBorder="1"/>
    <xf numFmtId="41" fontId="1" fillId="0" borderId="4" xfId="1" applyNumberFormat="1" applyBorder="1"/>
    <xf numFmtId="41" fontId="1" fillId="0" borderId="8" xfId="1" applyNumberFormat="1" applyBorder="1"/>
    <xf numFmtId="41" fontId="1" fillId="0" borderId="0" xfId="1" applyNumberFormat="1" applyFill="1" applyBorder="1"/>
    <xf numFmtId="41" fontId="1" fillId="0" borderId="4" xfId="1" applyNumberFormat="1" applyFill="1" applyBorder="1"/>
    <xf numFmtId="41" fontId="1" fillId="0" borderId="14" xfId="1" applyNumberFormat="1" applyBorder="1"/>
    <xf numFmtId="41" fontId="1" fillId="0" borderId="8" xfId="1" applyNumberFormat="1" applyFill="1" applyBorder="1"/>
    <xf numFmtId="41" fontId="1" fillId="0" borderId="2" xfId="1" applyNumberFormat="1" applyFill="1" applyBorder="1"/>
    <xf numFmtId="0" fontId="7" fillId="0" borderId="0" xfId="1" applyFont="1" applyBorder="1" applyAlignment="1">
      <alignment vertical="center"/>
    </xf>
    <xf numFmtId="41" fontId="8" fillId="0" borderId="4" xfId="1" applyNumberFormat="1" applyFont="1" applyBorder="1"/>
    <xf numFmtId="41" fontId="8" fillId="0" borderId="8" xfId="1" applyNumberFormat="1" applyFont="1" applyBorder="1"/>
    <xf numFmtId="41" fontId="8" fillId="0" borderId="0" xfId="1" applyNumberFormat="1" applyFont="1" applyFill="1" applyBorder="1"/>
    <xf numFmtId="41" fontId="8" fillId="0" borderId="4" xfId="1" applyNumberFormat="1" applyFont="1" applyFill="1" applyBorder="1"/>
    <xf numFmtId="41" fontId="8" fillId="6" borderId="0" xfId="1" applyNumberFormat="1" applyFont="1" applyFill="1" applyBorder="1"/>
    <xf numFmtId="0" fontId="7" fillId="6" borderId="0" xfId="1" applyFont="1" applyFill="1" applyBorder="1" applyAlignment="1">
      <alignment vertical="center"/>
    </xf>
    <xf numFmtId="41" fontId="8" fillId="6" borderId="4" xfId="1" applyNumberFormat="1" applyFont="1" applyFill="1" applyBorder="1"/>
    <xf numFmtId="41" fontId="8" fillId="6" borderId="8" xfId="1" applyNumberFormat="1" applyFont="1" applyFill="1" applyBorder="1"/>
    <xf numFmtId="41" fontId="8" fillId="0" borderId="2" xfId="1" applyNumberFormat="1" applyFont="1" applyFill="1" applyBorder="1"/>
    <xf numFmtId="41" fontId="8" fillId="6" borderId="2" xfId="1" applyNumberFormat="1" applyFont="1" applyFill="1" applyBorder="1"/>
    <xf numFmtId="41" fontId="8" fillId="5" borderId="4" xfId="1" applyNumberFormat="1" applyFont="1" applyFill="1" applyBorder="1"/>
    <xf numFmtId="41" fontId="8" fillId="0" borderId="8" xfId="1" applyNumberFormat="1" applyFont="1" applyFill="1" applyBorder="1"/>
    <xf numFmtId="41" fontId="8" fillId="5" borderId="2" xfId="1" applyNumberFormat="1" applyFont="1" applyFill="1" applyBorder="1"/>
    <xf numFmtId="0" fontId="7" fillId="0" borderId="0" xfId="1" applyFont="1" applyBorder="1"/>
    <xf numFmtId="41" fontId="8" fillId="0" borderId="0" xfId="1" quotePrefix="1" applyNumberFormat="1" applyFont="1" applyFill="1" applyBorder="1"/>
    <xf numFmtId="0" fontId="7" fillId="0" borderId="0" xfId="1" applyFont="1" applyFill="1" applyBorder="1"/>
    <xf numFmtId="41" fontId="10" fillId="0" borderId="4" xfId="1" applyNumberFormat="1" applyFont="1" applyFill="1" applyBorder="1"/>
    <xf numFmtId="41" fontId="10" fillId="0" borderId="4" xfId="1" applyNumberFormat="1" applyFont="1" applyBorder="1"/>
    <xf numFmtId="41" fontId="10" fillId="0" borderId="8" xfId="1" applyNumberFormat="1" applyFont="1" applyBorder="1"/>
    <xf numFmtId="41" fontId="10" fillId="6" borderId="0" xfId="1" applyNumberFormat="1" applyFont="1" applyFill="1" applyBorder="1"/>
    <xf numFmtId="0" fontId="7" fillId="6" borderId="0" xfId="1" applyFont="1" applyFill="1" applyBorder="1"/>
    <xf numFmtId="41" fontId="10" fillId="6" borderId="4" xfId="1" applyNumberFormat="1" applyFont="1" applyFill="1" applyBorder="1"/>
    <xf numFmtId="41" fontId="10" fillId="6" borderId="8" xfId="1" applyNumberFormat="1" applyFont="1" applyFill="1" applyBorder="1"/>
    <xf numFmtId="41" fontId="10" fillId="0" borderId="2" xfId="1" applyNumberFormat="1" applyFont="1" applyFill="1" applyBorder="1"/>
    <xf numFmtId="41" fontId="10" fillId="6" borderId="2" xfId="1" applyNumberFormat="1" applyFont="1" applyFill="1" applyBorder="1"/>
    <xf numFmtId="41" fontId="10" fillId="0" borderId="0" xfId="1" applyNumberFormat="1" applyFont="1" applyFill="1" applyBorder="1"/>
    <xf numFmtId="41" fontId="1" fillId="0" borderId="0" xfId="1" applyNumberFormat="1"/>
    <xf numFmtId="0" fontId="5" fillId="0" borderId="0" xfId="1" applyFont="1" applyFill="1" applyBorder="1"/>
    <xf numFmtId="41" fontId="8" fillId="6" borderId="0" xfId="1" quotePrefix="1" applyNumberFormat="1" applyFont="1" applyFill="1" applyBorder="1"/>
    <xf numFmtId="41" fontId="8" fillId="7" borderId="4" xfId="1" applyNumberFormat="1" applyFont="1" applyFill="1" applyBorder="1"/>
    <xf numFmtId="41" fontId="11" fillId="0" borderId="2" xfId="1" applyNumberFormat="1" applyFont="1" applyFill="1" applyBorder="1"/>
    <xf numFmtId="41" fontId="10" fillId="5" borderId="4" xfId="1" applyNumberFormat="1" applyFont="1" applyFill="1" applyBorder="1"/>
    <xf numFmtId="41" fontId="10" fillId="0" borderId="8" xfId="1" applyNumberFormat="1" applyFont="1" applyFill="1" applyBorder="1"/>
    <xf numFmtId="41" fontId="10" fillId="5" borderId="2" xfId="1" applyNumberFormat="1" applyFont="1" applyFill="1" applyBorder="1"/>
    <xf numFmtId="0" fontId="1" fillId="0" borderId="15" xfId="1" applyBorder="1"/>
    <xf numFmtId="0" fontId="7" fillId="0" borderId="0" xfId="1" applyFont="1" applyBorder="1" applyAlignment="1">
      <alignment horizontal="left" vertical="center"/>
    </xf>
    <xf numFmtId="0" fontId="7" fillId="6" borderId="0" xfId="1" applyFont="1" applyFill="1" applyBorder="1" applyAlignment="1">
      <alignment horizontal="left" vertical="center"/>
    </xf>
    <xf numFmtId="0" fontId="7" fillId="0" borderId="0" xfId="1" applyFont="1"/>
    <xf numFmtId="0" fontId="1" fillId="6" borderId="0" xfId="1" applyFill="1"/>
    <xf numFmtId="0" fontId="5" fillId="6" borderId="0" xfId="1" applyFont="1" applyFill="1" applyBorder="1"/>
    <xf numFmtId="0" fontId="1" fillId="0" borderId="0" xfId="1" applyFill="1"/>
    <xf numFmtId="0" fontId="7" fillId="0" borderId="0" xfId="1" applyFont="1" applyFill="1" applyBorder="1" applyAlignment="1">
      <alignment horizontal="left" vertical="center"/>
    </xf>
    <xf numFmtId="41" fontId="10" fillId="0" borderId="16" xfId="1" applyNumberFormat="1" applyFont="1" applyFill="1" applyBorder="1"/>
    <xf numFmtId="0" fontId="8" fillId="0" borderId="4" xfId="1" applyFont="1" applyFill="1" applyBorder="1"/>
    <xf numFmtId="0" fontId="8" fillId="0" borderId="8" xfId="1" applyFont="1" applyBorder="1"/>
    <xf numFmtId="0" fontId="8" fillId="0" borderId="4" xfId="1" applyFont="1" applyBorder="1"/>
    <xf numFmtId="0" fontId="8" fillId="0" borderId="0" xfId="1" applyFont="1" applyFill="1" applyBorder="1"/>
    <xf numFmtId="0" fontId="8" fillId="0" borderId="8" xfId="1" applyFont="1" applyFill="1" applyBorder="1"/>
    <xf numFmtId="0" fontId="8" fillId="0" borderId="2" xfId="1" applyFont="1" applyFill="1" applyBorder="1"/>
    <xf numFmtId="0" fontId="9" fillId="0" borderId="0" xfId="1" applyFont="1" applyFill="1" applyBorder="1"/>
    <xf numFmtId="41" fontId="8" fillId="5" borderId="8" xfId="1" applyNumberFormat="1" applyFont="1" applyFill="1" applyBorder="1"/>
    <xf numFmtId="41" fontId="10" fillId="6" borderId="16" xfId="1" applyNumberFormat="1" applyFont="1" applyFill="1" applyBorder="1"/>
    <xf numFmtId="41" fontId="8" fillId="0" borderId="8" xfId="1" applyNumberFormat="1" applyFont="1" applyBorder="1" applyAlignment="1">
      <alignment horizontal="center"/>
    </xf>
    <xf numFmtId="41" fontId="8" fillId="0" borderId="4" xfId="1" applyNumberFormat="1" applyFont="1" applyBorder="1" applyAlignment="1">
      <alignment horizontal="center"/>
    </xf>
    <xf numFmtId="41" fontId="10" fillId="0" borderId="4" xfId="1" applyNumberFormat="1" applyFont="1" applyBorder="1" applyAlignment="1">
      <alignment horizontal="center"/>
    </xf>
    <xf numFmtId="41" fontId="10" fillId="0" borderId="8" xfId="1" applyNumberFormat="1" applyFont="1" applyBorder="1" applyAlignment="1">
      <alignment horizontal="center"/>
    </xf>
    <xf numFmtId="41" fontId="10" fillId="0" borderId="4" xfId="1" quotePrefix="1" applyNumberFormat="1" applyFont="1" applyFill="1" applyBorder="1" applyAlignment="1">
      <alignment horizontal="center"/>
    </xf>
    <xf numFmtId="41" fontId="10" fillId="0" borderId="8" xfId="1" quotePrefix="1" applyNumberFormat="1" applyFont="1" applyFill="1" applyBorder="1" applyAlignment="1">
      <alignment horizontal="center"/>
    </xf>
    <xf numFmtId="41" fontId="10" fillId="0" borderId="2" xfId="1" quotePrefix="1" applyNumberFormat="1" applyFont="1" applyFill="1" applyBorder="1" applyAlignment="1">
      <alignment horizontal="center"/>
    </xf>
    <xf numFmtId="41" fontId="10" fillId="0" borderId="0" xfId="1" quotePrefix="1" applyNumberFormat="1" applyFont="1" applyFill="1" applyBorder="1" applyAlignment="1">
      <alignment horizontal="center"/>
    </xf>
    <xf numFmtId="41" fontId="1" fillId="0" borderId="2" xfId="1" applyNumberFormat="1" applyFont="1" applyFill="1" applyBorder="1"/>
    <xf numFmtId="0" fontId="8" fillId="0" borderId="2" xfId="1" applyFont="1" applyBorder="1"/>
    <xf numFmtId="41" fontId="12" fillId="0" borderId="4" xfId="1" applyNumberFormat="1" applyFont="1" applyFill="1" applyBorder="1"/>
    <xf numFmtId="41" fontId="12" fillId="0" borderId="8" xfId="1" applyNumberFormat="1" applyFont="1" applyBorder="1"/>
    <xf numFmtId="41" fontId="12" fillId="0" borderId="4" xfId="1" applyNumberFormat="1" applyFont="1" applyBorder="1"/>
    <xf numFmtId="41" fontId="12" fillId="6" borderId="0" xfId="1" applyNumberFormat="1" applyFont="1" applyFill="1" applyBorder="1"/>
    <xf numFmtId="41" fontId="12" fillId="6" borderId="4" xfId="1" applyNumberFormat="1" applyFont="1" applyFill="1" applyBorder="1"/>
    <xf numFmtId="41" fontId="12" fillId="5" borderId="4" xfId="1" applyNumberFormat="1" applyFont="1" applyFill="1" applyBorder="1"/>
    <xf numFmtId="41" fontId="12" fillId="6" borderId="8" xfId="1" applyNumberFormat="1" applyFont="1" applyFill="1" applyBorder="1"/>
    <xf numFmtId="41" fontId="12" fillId="6" borderId="16" xfId="1" applyNumberFormat="1" applyFont="1" applyFill="1" applyBorder="1"/>
    <xf numFmtId="41" fontId="12" fillId="0" borderId="0" xfId="1" applyNumberFormat="1" applyFont="1" applyFill="1" applyBorder="1"/>
    <xf numFmtId="41" fontId="12" fillId="5" borderId="2" xfId="1" applyNumberFormat="1" applyFont="1" applyFill="1" applyBorder="1"/>
    <xf numFmtId="41" fontId="12" fillId="0" borderId="2" xfId="1" applyNumberFormat="1" applyFont="1" applyBorder="1"/>
    <xf numFmtId="41" fontId="12" fillId="0" borderId="2" xfId="1" applyNumberFormat="1" applyFont="1" applyFill="1" applyBorder="1"/>
    <xf numFmtId="0" fontId="8" fillId="0" borderId="0" xfId="0" applyFont="1" applyFill="1"/>
    <xf numFmtId="0" fontId="8" fillId="6" borderId="0" xfId="1" applyFont="1" applyFill="1" applyBorder="1"/>
    <xf numFmtId="41" fontId="8" fillId="0" borderId="17" xfId="1" applyNumberFormat="1" applyFont="1" applyFill="1" applyBorder="1"/>
    <xf numFmtId="41" fontId="8" fillId="0" borderId="18" xfId="1" applyNumberFormat="1" applyFont="1" applyFill="1" applyBorder="1"/>
    <xf numFmtId="41" fontId="12" fillId="0" borderId="17" xfId="1" applyNumberFormat="1" applyFont="1" applyBorder="1"/>
    <xf numFmtId="41" fontId="12" fillId="0" borderId="19" xfId="1" applyNumberFormat="1" applyFont="1" applyBorder="1"/>
    <xf numFmtId="41" fontId="12" fillId="0" borderId="19" xfId="1" applyNumberFormat="1" applyFont="1" applyFill="1" applyBorder="1"/>
    <xf numFmtId="41" fontId="12" fillId="0" borderId="1" xfId="1" applyNumberFormat="1" applyFont="1" applyFill="1" applyBorder="1"/>
    <xf numFmtId="0" fontId="1" fillId="0" borderId="0" xfId="1" applyFill="1" applyBorder="1"/>
    <xf numFmtId="0" fontId="8" fillId="0" borderId="0" xfId="1" applyFont="1" applyBorder="1"/>
    <xf numFmtId="0" fontId="8" fillId="0" borderId="0" xfId="1" applyFont="1" applyBorder="1" applyAlignment="1">
      <alignment horizontal="left"/>
    </xf>
    <xf numFmtId="0" fontId="8" fillId="0" borderId="0" xfId="1" applyFont="1" applyAlignment="1">
      <alignment horizontal="left"/>
    </xf>
    <xf numFmtId="0" fontId="1" fillId="0" borderId="15" xfId="1" applyFill="1" applyBorder="1"/>
    <xf numFmtId="0" fontId="8" fillId="0" borderId="0" xfId="1" applyFont="1"/>
    <xf numFmtId="41" fontId="2" fillId="2" borderId="5" xfId="1" applyNumberFormat="1" applyFont="1" applyFill="1" applyBorder="1" applyAlignment="1">
      <alignment horizontal="center"/>
    </xf>
    <xf numFmtId="41" fontId="2" fillId="2" borderId="6" xfId="1" applyNumberFormat="1" applyFont="1" applyFill="1" applyBorder="1" applyAlignment="1">
      <alignment horizontal="center"/>
    </xf>
    <xf numFmtId="41" fontId="2" fillId="2" borderId="7" xfId="1" applyNumberFormat="1" applyFont="1" applyFill="1" applyBorder="1" applyAlignment="1">
      <alignment horizontal="center"/>
    </xf>
    <xf numFmtId="41" fontId="2" fillId="5" borderId="2" xfId="1" quotePrefix="1" applyNumberFormat="1" applyFont="1" applyFill="1" applyBorder="1"/>
    <xf numFmtId="41" fontId="10" fillId="5" borderId="16" xfId="1" applyNumberFormat="1" applyFont="1" applyFill="1" applyBorder="1"/>
    <xf numFmtId="41" fontId="12" fillId="5" borderId="16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22-23%20Budget\2223BudgetPro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Format"/>
      <sheetName val="% of Revenue"/>
      <sheetName val="Chart1"/>
      <sheetName val="200304"/>
      <sheetName val="200405"/>
      <sheetName val="200506"/>
      <sheetName val="200607"/>
      <sheetName val="2007-08"/>
      <sheetName val="2008-09"/>
      <sheetName val="2009-10"/>
      <sheetName val="2010-11"/>
      <sheetName val="2011-12"/>
      <sheetName val="2012-13"/>
      <sheetName val="2013-14"/>
      <sheetName val="2014-15"/>
      <sheetName val="2015-16"/>
      <sheetName val="2016-17"/>
      <sheetName val="2017-18"/>
      <sheetName val="ProposedBudget"/>
      <sheetName val="2018-19"/>
      <sheetName val="2019-20"/>
      <sheetName val="2020-21"/>
      <sheetName val="2021-22"/>
      <sheetName val="2022-23"/>
      <sheetName val="StudentRevenues"/>
      <sheetName val="OtherUndesRev"/>
      <sheetName val="OtherRes"/>
      <sheetName val="DesigPermRest"/>
      <sheetName val="Compensation"/>
      <sheetName val="Programs"/>
      <sheetName val="Plant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E7">
            <v>2931</v>
          </cell>
        </row>
        <row r="8">
          <cell r="E8">
            <v>29783</v>
          </cell>
        </row>
        <row r="9">
          <cell r="E9">
            <v>31118</v>
          </cell>
        </row>
        <row r="10">
          <cell r="E10">
            <v>30450.5</v>
          </cell>
        </row>
        <row r="11">
          <cell r="E11">
            <v>250</v>
          </cell>
        </row>
        <row r="13">
          <cell r="E13">
            <v>3752.9540000000002</v>
          </cell>
        </row>
        <row r="14">
          <cell r="E14">
            <v>500</v>
          </cell>
        </row>
        <row r="15">
          <cell r="E15">
            <v>2435</v>
          </cell>
        </row>
        <row r="16">
          <cell r="E16">
            <v>2435</v>
          </cell>
        </row>
        <row r="22">
          <cell r="E22">
            <v>20907666</v>
          </cell>
        </row>
        <row r="23">
          <cell r="E23">
            <v>69362022</v>
          </cell>
        </row>
        <row r="24">
          <cell r="E24">
            <v>1793000</v>
          </cell>
        </row>
        <row r="25">
          <cell r="E25">
            <v>1522525</v>
          </cell>
        </row>
        <row r="26">
          <cell r="E26">
            <v>-35000</v>
          </cell>
        </row>
        <row r="27">
          <cell r="E27">
            <v>525000</v>
          </cell>
        </row>
        <row r="29">
          <cell r="E29">
            <v>2549700</v>
          </cell>
        </row>
        <row r="30">
          <cell r="E30">
            <v>19785214</v>
          </cell>
        </row>
        <row r="31">
          <cell r="E31">
            <v>10983461</v>
          </cell>
        </row>
        <row r="33">
          <cell r="E33">
            <v>-41629806</v>
          </cell>
        </row>
        <row r="35">
          <cell r="E35">
            <v>-2220554.0499999998</v>
          </cell>
        </row>
        <row r="38">
          <cell r="E38">
            <v>250000</v>
          </cell>
        </row>
        <row r="39">
          <cell r="E39">
            <v>1764874.4300000004</v>
          </cell>
        </row>
        <row r="41">
          <cell r="E41">
            <v>1985000</v>
          </cell>
        </row>
        <row r="42">
          <cell r="E42">
            <v>1208527</v>
          </cell>
        </row>
        <row r="43">
          <cell r="E43"/>
        </row>
        <row r="44">
          <cell r="E44">
            <v>3530195</v>
          </cell>
        </row>
        <row r="45">
          <cell r="E45">
            <v>2702149</v>
          </cell>
        </row>
        <row r="46">
          <cell r="E46">
            <v>2625821.2999999998</v>
          </cell>
        </row>
        <row r="47">
          <cell r="E47">
            <v>175000</v>
          </cell>
        </row>
        <row r="52">
          <cell r="E52">
            <v>42599567.960000001</v>
          </cell>
        </row>
        <row r="53">
          <cell r="E53">
            <v>504001.24</v>
          </cell>
        </row>
        <row r="54">
          <cell r="E54">
            <v>700446.6</v>
          </cell>
        </row>
        <row r="55">
          <cell r="E55">
            <v>16019280.850000001</v>
          </cell>
        </row>
        <row r="56">
          <cell r="E56">
            <v>36759.31</v>
          </cell>
        </row>
        <row r="57">
          <cell r="E57">
            <v>219752</v>
          </cell>
        </row>
        <row r="60">
          <cell r="E60">
            <v>11325084.41</v>
          </cell>
        </row>
        <row r="61">
          <cell r="E61">
            <v>2774235.92</v>
          </cell>
        </row>
        <row r="62">
          <cell r="E62">
            <v>242500</v>
          </cell>
        </row>
        <row r="65">
          <cell r="E65">
            <v>1611086</v>
          </cell>
        </row>
        <row r="67">
          <cell r="E67">
            <v>1081168</v>
          </cell>
        </row>
        <row r="68">
          <cell r="E68">
            <v>0</v>
          </cell>
        </row>
        <row r="69">
          <cell r="E69">
            <v>-173823</v>
          </cell>
        </row>
        <row r="71">
          <cell r="E71">
            <v>2250000</v>
          </cell>
        </row>
        <row r="72">
          <cell r="E72">
            <v>350000</v>
          </cell>
        </row>
        <row r="74">
          <cell r="E74">
            <v>7091460</v>
          </cell>
        </row>
        <row r="75">
          <cell r="E75">
            <v>2523348</v>
          </cell>
        </row>
        <row r="76">
          <cell r="E76">
            <v>150071.48999999996</v>
          </cell>
        </row>
        <row r="77">
          <cell r="E77">
            <v>7107641</v>
          </cell>
        </row>
        <row r="82">
          <cell r="E82">
            <v>1199999.9000000106</v>
          </cell>
        </row>
      </sheetData>
      <sheetData sheetId="14">
        <row r="7">
          <cell r="E7">
            <v>2830</v>
          </cell>
        </row>
        <row r="8">
          <cell r="E8">
            <v>32043</v>
          </cell>
        </row>
        <row r="9">
          <cell r="E9">
            <v>32043</v>
          </cell>
        </row>
        <row r="10">
          <cell r="E10">
            <v>32043</v>
          </cell>
        </row>
        <row r="11">
          <cell r="E11">
            <v>250</v>
          </cell>
        </row>
        <row r="12">
          <cell r="E12">
            <v>32293</v>
          </cell>
        </row>
        <row r="13">
          <cell r="E13">
            <v>3752.9540000000002</v>
          </cell>
        </row>
        <row r="14">
          <cell r="E14">
            <v>500</v>
          </cell>
        </row>
        <row r="15">
          <cell r="E15">
            <v>2369</v>
          </cell>
        </row>
        <row r="16">
          <cell r="E16">
            <v>2369</v>
          </cell>
        </row>
        <row r="22">
          <cell r="E22">
            <v>0</v>
          </cell>
        </row>
        <row r="23">
          <cell r="E23">
            <v>90681690</v>
          </cell>
        </row>
        <row r="24">
          <cell r="E24">
            <v>1793000</v>
          </cell>
        </row>
        <row r="25">
          <cell r="E25">
            <v>1922580</v>
          </cell>
        </row>
        <row r="26">
          <cell r="E26">
            <v>-35000</v>
          </cell>
        </row>
        <row r="27">
          <cell r="E27">
            <v>525000</v>
          </cell>
        </row>
        <row r="29">
          <cell r="E29">
            <v>2530600</v>
          </cell>
        </row>
        <row r="30">
          <cell r="E30">
            <v>20153134</v>
          </cell>
        </row>
        <row r="31">
          <cell r="E31">
            <v>11185847</v>
          </cell>
        </row>
        <row r="33">
          <cell r="E33">
            <v>-46290791.020000003</v>
          </cell>
        </row>
        <row r="35">
          <cell r="E35">
            <v>-2391869.56</v>
          </cell>
        </row>
        <row r="38">
          <cell r="E38">
            <v>250000</v>
          </cell>
        </row>
        <row r="39">
          <cell r="E39">
            <v>1064819.3500000006</v>
          </cell>
        </row>
        <row r="41">
          <cell r="E41">
            <v>2160000</v>
          </cell>
        </row>
        <row r="42">
          <cell r="E42">
            <v>1458981</v>
          </cell>
        </row>
        <row r="43">
          <cell r="E43"/>
        </row>
        <row r="44">
          <cell r="E44">
            <v>4281504</v>
          </cell>
        </row>
        <row r="45">
          <cell r="E45">
            <v>2968572</v>
          </cell>
        </row>
        <row r="46">
          <cell r="E46">
            <v>2753230.27</v>
          </cell>
        </row>
        <row r="47">
          <cell r="E47">
            <v>175000</v>
          </cell>
        </row>
        <row r="52">
          <cell r="E52">
            <v>41540224.350000001</v>
          </cell>
        </row>
        <row r="53">
          <cell r="E53">
            <v>501513.99</v>
          </cell>
        </row>
        <row r="55">
          <cell r="E55">
            <v>16670577.620000003</v>
          </cell>
        </row>
        <row r="56">
          <cell r="E56">
            <v>38713.910000000003</v>
          </cell>
        </row>
        <row r="60">
          <cell r="E60">
            <v>10282662.509999998</v>
          </cell>
        </row>
        <row r="61">
          <cell r="E61">
            <v>2543274.81</v>
          </cell>
        </row>
        <row r="65">
          <cell r="E65">
            <v>1261086</v>
          </cell>
        </row>
        <row r="71">
          <cell r="E71">
            <v>2250000</v>
          </cell>
        </row>
        <row r="72">
          <cell r="E72">
            <v>0</v>
          </cell>
        </row>
        <row r="74">
          <cell r="E74">
            <v>7012094</v>
          </cell>
        </row>
        <row r="75">
          <cell r="E75">
            <v>2404438</v>
          </cell>
        </row>
        <row r="76">
          <cell r="E76">
            <v>144372.99999999997</v>
          </cell>
        </row>
        <row r="77">
          <cell r="E77">
            <v>7645080</v>
          </cell>
        </row>
        <row r="82">
          <cell r="E82">
            <v>650000.24999997288</v>
          </cell>
        </row>
      </sheetData>
      <sheetData sheetId="15">
        <row r="7">
          <cell r="E7">
            <v>2810</v>
          </cell>
        </row>
        <row r="8">
          <cell r="E8">
            <v>48</v>
          </cell>
        </row>
        <row r="9">
          <cell r="E9">
            <v>33165</v>
          </cell>
        </row>
        <row r="10">
          <cell r="E10">
            <v>33165</v>
          </cell>
        </row>
        <row r="11">
          <cell r="E11">
            <v>33165</v>
          </cell>
        </row>
        <row r="12">
          <cell r="E12">
            <v>250</v>
          </cell>
        </row>
        <row r="13">
          <cell r="E13">
            <v>33415</v>
          </cell>
        </row>
        <row r="14">
          <cell r="E14">
            <v>3752.9540000000002</v>
          </cell>
        </row>
        <row r="15">
          <cell r="E15">
            <v>500</v>
          </cell>
        </row>
        <row r="16">
          <cell r="E16">
            <v>2377</v>
          </cell>
        </row>
        <row r="17">
          <cell r="E17">
            <v>2377</v>
          </cell>
        </row>
        <row r="23">
          <cell r="E23">
            <v>0</v>
          </cell>
        </row>
        <row r="24">
          <cell r="E24">
            <v>93193650</v>
          </cell>
        </row>
        <row r="25">
          <cell r="E25">
            <v>1793000</v>
          </cell>
        </row>
        <row r="26">
          <cell r="E26">
            <v>1591920</v>
          </cell>
        </row>
        <row r="27">
          <cell r="E27">
            <v>-35000</v>
          </cell>
        </row>
        <row r="28">
          <cell r="E28">
            <v>650000</v>
          </cell>
        </row>
        <row r="30">
          <cell r="E30">
            <v>3145669.84</v>
          </cell>
        </row>
        <row r="31">
          <cell r="E31">
            <v>21141690</v>
          </cell>
        </row>
        <row r="32">
          <cell r="E32">
            <v>11628286</v>
          </cell>
        </row>
        <row r="34">
          <cell r="E34">
            <v>-53276969</v>
          </cell>
        </row>
        <row r="36">
          <cell r="E36">
            <v>-2530413.63</v>
          </cell>
        </row>
        <row r="39">
          <cell r="E39">
            <v>225000</v>
          </cell>
        </row>
        <row r="40">
          <cell r="E40">
            <v>1561531.5600000005</v>
          </cell>
        </row>
        <row r="42">
          <cell r="E42">
            <v>2075000</v>
          </cell>
        </row>
        <row r="43">
          <cell r="E43">
            <v>1541263</v>
          </cell>
        </row>
        <row r="44">
          <cell r="E44"/>
        </row>
        <row r="45">
          <cell r="E45">
            <v>4103368</v>
          </cell>
        </row>
        <row r="46">
          <cell r="E46">
            <v>3221637</v>
          </cell>
        </row>
        <row r="47">
          <cell r="E47">
            <v>3481070.6</v>
          </cell>
        </row>
        <row r="48">
          <cell r="E48">
            <v>175000</v>
          </cell>
        </row>
        <row r="53">
          <cell r="E53">
            <v>40910153.240000002</v>
          </cell>
        </row>
        <row r="54">
          <cell r="E54">
            <v>585000.28</v>
          </cell>
        </row>
        <row r="55">
          <cell r="E55">
            <v>700446.6</v>
          </cell>
        </row>
        <row r="56">
          <cell r="E56">
            <v>16448779.210000005</v>
          </cell>
        </row>
        <row r="57">
          <cell r="E57">
            <v>81625.929999999993</v>
          </cell>
        </row>
        <row r="58">
          <cell r="E58">
            <v>219752</v>
          </cell>
        </row>
        <row r="61">
          <cell r="E61">
            <v>9784420.7699999996</v>
          </cell>
        </row>
        <row r="62">
          <cell r="E62">
            <v>3117391.76</v>
          </cell>
        </row>
        <row r="63">
          <cell r="E63">
            <v>242500</v>
          </cell>
        </row>
        <row r="66">
          <cell r="E66">
            <v>1261086</v>
          </cell>
        </row>
        <row r="68">
          <cell r="E68">
            <v>1098531</v>
          </cell>
        </row>
        <row r="70">
          <cell r="E70">
            <v>-173823</v>
          </cell>
        </row>
        <row r="72">
          <cell r="E72">
            <v>2250000</v>
          </cell>
        </row>
        <row r="73">
          <cell r="E73">
            <v>0</v>
          </cell>
        </row>
        <row r="75">
          <cell r="E75">
            <v>6908916</v>
          </cell>
        </row>
        <row r="76">
          <cell r="E76">
            <v>1827721.46</v>
          </cell>
        </row>
        <row r="77">
          <cell r="E77">
            <v>139196.91999999998</v>
          </cell>
        </row>
        <row r="78">
          <cell r="E78">
            <v>7562957</v>
          </cell>
        </row>
      </sheetData>
      <sheetData sheetId="16">
        <row r="7">
          <cell r="E7">
            <v>2860</v>
          </cell>
        </row>
        <row r="8">
          <cell r="E8">
            <v>51</v>
          </cell>
        </row>
        <row r="9">
          <cell r="E9">
            <v>34326</v>
          </cell>
        </row>
        <row r="10">
          <cell r="E10">
            <v>34326</v>
          </cell>
        </row>
        <row r="11">
          <cell r="E11">
            <v>34326</v>
          </cell>
        </row>
        <row r="12">
          <cell r="E12">
            <v>285</v>
          </cell>
        </row>
        <row r="13">
          <cell r="E13">
            <v>34611</v>
          </cell>
        </row>
        <row r="14">
          <cell r="E14">
            <v>3300.3040000000001</v>
          </cell>
        </row>
        <row r="15">
          <cell r="E15">
            <v>675</v>
          </cell>
        </row>
        <row r="16">
          <cell r="E16">
            <v>2377</v>
          </cell>
        </row>
        <row r="17">
          <cell r="E17">
            <v>2377</v>
          </cell>
        </row>
        <row r="23">
          <cell r="E23">
            <v>0</v>
          </cell>
        </row>
        <row r="24">
          <cell r="E24">
            <v>98172360</v>
          </cell>
        </row>
        <row r="25">
          <cell r="E25">
            <v>2227705.2000000002</v>
          </cell>
        </row>
        <row r="26">
          <cell r="E26">
            <v>1750626</v>
          </cell>
        </row>
        <row r="27">
          <cell r="E27">
            <v>-35000</v>
          </cell>
        </row>
        <row r="28">
          <cell r="E28">
            <v>750000</v>
          </cell>
        </row>
        <row r="30">
          <cell r="E30">
            <v>3355832.18</v>
          </cell>
        </row>
        <row r="31">
          <cell r="E31">
            <v>21994918</v>
          </cell>
        </row>
        <row r="32">
          <cell r="E32">
            <v>11983428</v>
          </cell>
        </row>
        <row r="34">
          <cell r="E34">
            <v>-58221265.390000001</v>
          </cell>
        </row>
        <row r="36">
          <cell r="E36">
            <v>-2763276.61</v>
          </cell>
        </row>
        <row r="39">
          <cell r="E39">
            <v>225000</v>
          </cell>
        </row>
        <row r="40">
          <cell r="E40">
            <v>1481413.0700000005</v>
          </cell>
        </row>
        <row r="42">
          <cell r="E42">
            <v>2025000</v>
          </cell>
        </row>
        <row r="43">
          <cell r="E43">
            <v>1630968</v>
          </cell>
        </row>
        <row r="44">
          <cell r="E44"/>
        </row>
        <row r="45">
          <cell r="E45">
            <v>3856098</v>
          </cell>
        </row>
        <row r="46">
          <cell r="E46">
            <v>3589201</v>
          </cell>
        </row>
        <row r="47">
          <cell r="E47">
            <v>3515539.6399999997</v>
          </cell>
        </row>
        <row r="48">
          <cell r="E48">
            <v>250000</v>
          </cell>
        </row>
        <row r="53">
          <cell r="E53">
            <v>43200716.990000002</v>
          </cell>
        </row>
        <row r="54">
          <cell r="E54">
            <v>575066.9</v>
          </cell>
        </row>
        <row r="55">
          <cell r="E55">
            <v>0</v>
          </cell>
        </row>
        <row r="56">
          <cell r="E56">
            <v>17439537.140000004</v>
          </cell>
        </row>
        <row r="57">
          <cell r="E57">
            <v>85103.23</v>
          </cell>
        </row>
        <row r="58">
          <cell r="E58">
            <v>0</v>
          </cell>
        </row>
        <row r="61">
          <cell r="E61">
            <v>10319773.609999999</v>
          </cell>
        </row>
        <row r="62">
          <cell r="E62">
            <v>3278134.9299999997</v>
          </cell>
        </row>
        <row r="66">
          <cell r="E66">
            <v>1261086</v>
          </cell>
        </row>
        <row r="68">
          <cell r="E68">
            <v>1098531</v>
          </cell>
        </row>
        <row r="69">
          <cell r="E69">
            <v>0</v>
          </cell>
        </row>
        <row r="70">
          <cell r="E70">
            <v>-173823</v>
          </cell>
        </row>
        <row r="72">
          <cell r="E72">
            <v>2100000</v>
          </cell>
        </row>
        <row r="74">
          <cell r="E74">
            <v>150000</v>
          </cell>
        </row>
        <row r="75">
          <cell r="E75">
            <v>6967126</v>
          </cell>
        </row>
        <row r="76">
          <cell r="E76">
            <v>1724749.58</v>
          </cell>
        </row>
        <row r="77">
          <cell r="E77">
            <v>139196.91999999998</v>
          </cell>
        </row>
        <row r="78">
          <cell r="E78">
            <v>7618919</v>
          </cell>
        </row>
      </sheetData>
      <sheetData sheetId="17">
        <row r="7">
          <cell r="E7">
            <v>2910</v>
          </cell>
        </row>
        <row r="9">
          <cell r="E9">
            <v>35435</v>
          </cell>
        </row>
        <row r="10">
          <cell r="E10">
            <v>0</v>
          </cell>
        </row>
        <row r="11">
          <cell r="E11">
            <v>35435</v>
          </cell>
        </row>
        <row r="12">
          <cell r="E12">
            <v>300</v>
          </cell>
        </row>
        <row r="13">
          <cell r="E13">
            <v>35735</v>
          </cell>
        </row>
        <row r="14">
          <cell r="E14">
            <v>2814.8148148148148</v>
          </cell>
        </row>
        <row r="15">
          <cell r="E15">
            <v>675</v>
          </cell>
        </row>
        <row r="16">
          <cell r="E16">
            <v>2410</v>
          </cell>
        </row>
        <row r="17">
          <cell r="E17">
            <v>2410</v>
          </cell>
        </row>
        <row r="23">
          <cell r="E23">
            <v>0</v>
          </cell>
        </row>
        <row r="24">
          <cell r="E24">
            <v>103115850</v>
          </cell>
        </row>
        <row r="25">
          <cell r="E25">
            <v>1900000</v>
          </cell>
        </row>
        <row r="26">
          <cell r="E26">
            <v>1807185</v>
          </cell>
        </row>
        <row r="27">
          <cell r="E27">
            <v>-35000</v>
          </cell>
        </row>
        <row r="28">
          <cell r="E28">
            <v>1000000</v>
          </cell>
        </row>
        <row r="30">
          <cell r="E30">
            <v>3359755.91</v>
          </cell>
        </row>
        <row r="31">
          <cell r="E31">
            <v>22891422</v>
          </cell>
        </row>
        <row r="32">
          <cell r="E32">
            <v>12740356</v>
          </cell>
        </row>
        <row r="34">
          <cell r="E34">
            <v>-59589148</v>
          </cell>
        </row>
        <row r="36">
          <cell r="E36">
            <v>-2839353.68</v>
          </cell>
        </row>
        <row r="39">
          <cell r="E39">
            <v>225000</v>
          </cell>
        </row>
        <row r="40">
          <cell r="E40">
            <v>1178724.2500000005</v>
          </cell>
        </row>
        <row r="42">
          <cell r="E42">
            <v>1875000</v>
          </cell>
        </row>
        <row r="43">
          <cell r="E43">
            <v>1703485</v>
          </cell>
        </row>
        <row r="44">
          <cell r="E44"/>
        </row>
        <row r="45">
          <cell r="E45">
            <v>2853523</v>
          </cell>
        </row>
        <row r="46">
          <cell r="E46">
            <v>3762488</v>
          </cell>
        </row>
        <row r="47">
          <cell r="E47">
            <v>3325082.64</v>
          </cell>
        </row>
        <row r="48">
          <cell r="E48">
            <v>250000</v>
          </cell>
        </row>
        <row r="54">
          <cell r="E54">
            <v>484277.81</v>
          </cell>
        </row>
        <row r="55">
          <cell r="E55">
            <v>0</v>
          </cell>
        </row>
        <row r="56">
          <cell r="E56">
            <v>18126607.540000003</v>
          </cell>
        </row>
        <row r="57">
          <cell r="E57">
            <v>50648</v>
          </cell>
        </row>
        <row r="61">
          <cell r="E61">
            <v>10730247.420000002</v>
          </cell>
        </row>
        <row r="62">
          <cell r="E62">
            <v>3270418.57</v>
          </cell>
        </row>
        <row r="66">
          <cell r="E66">
            <v>1261086</v>
          </cell>
        </row>
        <row r="68">
          <cell r="E68">
            <v>1098531</v>
          </cell>
        </row>
        <row r="70">
          <cell r="E70">
            <v>-173823</v>
          </cell>
        </row>
        <row r="72">
          <cell r="E72">
            <v>2100000</v>
          </cell>
        </row>
        <row r="74">
          <cell r="E74">
            <v>600000</v>
          </cell>
        </row>
        <row r="75">
          <cell r="E75">
            <v>7029430</v>
          </cell>
        </row>
        <row r="76">
          <cell r="E76">
            <v>1065294</v>
          </cell>
        </row>
        <row r="77">
          <cell r="E77">
            <v>129659.47999999997</v>
          </cell>
        </row>
        <row r="78">
          <cell r="E78">
            <v>7856348</v>
          </cell>
        </row>
      </sheetData>
      <sheetData sheetId="18"/>
      <sheetData sheetId="19">
        <row r="7">
          <cell r="E7">
            <v>2998</v>
          </cell>
        </row>
        <row r="9">
          <cell r="E9">
            <v>36675</v>
          </cell>
        </row>
        <row r="11">
          <cell r="E11">
            <v>36675</v>
          </cell>
        </row>
        <row r="12">
          <cell r="E12">
            <v>300</v>
          </cell>
        </row>
        <row r="13">
          <cell r="E13">
            <v>36975</v>
          </cell>
        </row>
        <row r="14">
          <cell r="E14">
            <v>2814.8148148148148</v>
          </cell>
        </row>
        <row r="15">
          <cell r="E15">
            <v>675</v>
          </cell>
        </row>
        <row r="16">
          <cell r="E16">
            <v>2387</v>
          </cell>
        </row>
        <row r="17">
          <cell r="E17">
            <v>2387</v>
          </cell>
        </row>
        <row r="23">
          <cell r="E23">
            <v>0</v>
          </cell>
        </row>
        <row r="24">
          <cell r="E24">
            <v>109951650</v>
          </cell>
        </row>
        <row r="25">
          <cell r="E25">
            <v>1900000</v>
          </cell>
        </row>
        <row r="26">
          <cell r="E26">
            <v>1870425</v>
          </cell>
        </row>
        <row r="27">
          <cell r="E27">
            <v>-35000</v>
          </cell>
        </row>
        <row r="28">
          <cell r="E28">
            <v>1100000</v>
          </cell>
        </row>
        <row r="30">
          <cell r="E30">
            <v>3654005.63</v>
          </cell>
        </row>
        <row r="31">
          <cell r="E31">
            <v>23525099</v>
          </cell>
        </row>
        <row r="32">
          <cell r="E32">
            <v>12853671</v>
          </cell>
        </row>
        <row r="34">
          <cell r="E34">
            <v>-66582524</v>
          </cell>
        </row>
        <row r="36">
          <cell r="E36">
            <v>-2892753.45</v>
          </cell>
        </row>
        <row r="39">
          <cell r="E39">
            <v>220000</v>
          </cell>
        </row>
        <row r="40">
          <cell r="E40">
            <v>1096373.5000000005</v>
          </cell>
        </row>
        <row r="42">
          <cell r="E42">
            <v>1850000</v>
          </cell>
        </row>
        <row r="43">
          <cell r="E43">
            <v>1668459</v>
          </cell>
        </row>
        <row r="44">
          <cell r="E44"/>
        </row>
        <row r="45">
          <cell r="E45">
            <v>2532589</v>
          </cell>
        </row>
        <row r="46">
          <cell r="E46">
            <v>3921003</v>
          </cell>
        </row>
        <row r="47">
          <cell r="E47">
            <v>3483646.25</v>
          </cell>
        </row>
        <row r="48">
          <cell r="E48">
            <v>250000</v>
          </cell>
        </row>
        <row r="54">
          <cell r="E54">
            <v>531342.74</v>
          </cell>
        </row>
        <row r="56">
          <cell r="E56">
            <v>18051657.290000003</v>
          </cell>
        </row>
        <row r="57">
          <cell r="E57">
            <v>48038</v>
          </cell>
        </row>
        <row r="61">
          <cell r="E61">
            <v>11477106.76</v>
          </cell>
        </row>
        <row r="62">
          <cell r="E62">
            <v>3213702.31</v>
          </cell>
        </row>
        <row r="66">
          <cell r="E66">
            <v>1261086</v>
          </cell>
        </row>
        <row r="68">
          <cell r="B68">
            <v>1134183</v>
          </cell>
        </row>
        <row r="70">
          <cell r="B70">
            <v>-173823</v>
          </cell>
        </row>
        <row r="72">
          <cell r="E72">
            <v>2100000</v>
          </cell>
        </row>
        <row r="74">
          <cell r="E74">
            <v>650000</v>
          </cell>
        </row>
        <row r="75">
          <cell r="E75">
            <v>7226361</v>
          </cell>
        </row>
        <row r="76">
          <cell r="E76">
            <v>1066152.56</v>
          </cell>
        </row>
        <row r="77">
          <cell r="E77">
            <v>134731.17999999996</v>
          </cell>
        </row>
        <row r="78">
          <cell r="E78">
            <v>8064971.25</v>
          </cell>
        </row>
        <row r="82">
          <cell r="E82">
            <v>0</v>
          </cell>
        </row>
      </sheetData>
      <sheetData sheetId="20">
        <row r="9">
          <cell r="E9">
            <v>38055</v>
          </cell>
        </row>
        <row r="10">
          <cell r="E10">
            <v>38055</v>
          </cell>
        </row>
        <row r="11">
          <cell r="E11">
            <v>38055</v>
          </cell>
        </row>
        <row r="12">
          <cell r="E12">
            <v>300</v>
          </cell>
        </row>
        <row r="13">
          <cell r="E13">
            <v>38355</v>
          </cell>
        </row>
        <row r="14">
          <cell r="E14">
            <v>2886.3392592592591</v>
          </cell>
        </row>
        <row r="15">
          <cell r="E15">
            <v>675</v>
          </cell>
        </row>
        <row r="17">
          <cell r="E17">
            <v>2339</v>
          </cell>
        </row>
        <row r="23">
          <cell r="E23">
            <v>0</v>
          </cell>
        </row>
        <row r="24">
          <cell r="E24">
            <v>110108949</v>
          </cell>
        </row>
        <row r="25">
          <cell r="E25">
            <v>1636449</v>
          </cell>
        </row>
        <row r="26">
          <cell r="E26">
            <v>311830</v>
          </cell>
        </row>
        <row r="27">
          <cell r="E27">
            <v>1693341</v>
          </cell>
        </row>
        <row r="28">
          <cell r="E28">
            <v>788400</v>
          </cell>
        </row>
        <row r="29">
          <cell r="E29">
            <v>-113685.5</v>
          </cell>
        </row>
        <row r="30">
          <cell r="E30">
            <v>1100000</v>
          </cell>
        </row>
        <row r="32">
          <cell r="E32">
            <v>3687828.59</v>
          </cell>
        </row>
        <row r="33">
          <cell r="E33">
            <v>23856590</v>
          </cell>
        </row>
        <row r="34">
          <cell r="E34">
            <v>12642834</v>
          </cell>
        </row>
        <row r="36">
          <cell r="E36">
            <v>-69023476</v>
          </cell>
        </row>
        <row r="38">
          <cell r="E38">
            <v>-2963704.45</v>
          </cell>
        </row>
        <row r="41">
          <cell r="E41">
            <v>230000</v>
          </cell>
        </row>
        <row r="42">
          <cell r="E42">
            <v>811698.09000000043</v>
          </cell>
        </row>
        <row r="44">
          <cell r="E44">
            <v>1825000</v>
          </cell>
        </row>
        <row r="45">
          <cell r="E45">
            <v>1607676</v>
          </cell>
        </row>
        <row r="46">
          <cell r="E46"/>
        </row>
        <row r="47">
          <cell r="E47">
            <v>2432507</v>
          </cell>
        </row>
        <row r="48">
          <cell r="E48">
            <v>4086421</v>
          </cell>
        </row>
        <row r="49">
          <cell r="E49">
            <v>3427816.29</v>
          </cell>
        </row>
        <row r="50">
          <cell r="E50">
            <v>250000</v>
          </cell>
        </row>
        <row r="55">
          <cell r="E55">
            <v>0</v>
          </cell>
        </row>
        <row r="56">
          <cell r="E56">
            <v>20636916</v>
          </cell>
        </row>
        <row r="57">
          <cell r="E57">
            <v>23693390</v>
          </cell>
        </row>
        <row r="58">
          <cell r="E58">
            <v>1047276.36</v>
          </cell>
        </row>
        <row r="59">
          <cell r="E59">
            <v>517138.13</v>
          </cell>
        </row>
        <row r="60">
          <cell r="E60">
            <v>0</v>
          </cell>
        </row>
        <row r="61">
          <cell r="E61">
            <v>18077002.000000004</v>
          </cell>
        </row>
        <row r="62">
          <cell r="E62">
            <v>44520</v>
          </cell>
        </row>
        <row r="66">
          <cell r="E66">
            <v>12039979.140000001</v>
          </cell>
        </row>
        <row r="67">
          <cell r="E67">
            <v>2980432.75</v>
          </cell>
        </row>
        <row r="71">
          <cell r="E71">
            <v>1164068.68</v>
          </cell>
        </row>
        <row r="73">
          <cell r="B73">
            <v>1148653</v>
          </cell>
        </row>
        <row r="75">
          <cell r="B75">
            <v>-173823</v>
          </cell>
        </row>
        <row r="77">
          <cell r="E77">
            <v>1950000</v>
          </cell>
        </row>
        <row r="79">
          <cell r="E79">
            <v>500000</v>
          </cell>
        </row>
        <row r="80">
          <cell r="E80">
            <v>7480352</v>
          </cell>
        </row>
        <row r="81">
          <cell r="E81">
            <v>1009658</v>
          </cell>
        </row>
        <row r="82">
          <cell r="E82">
            <v>134731.17999999996</v>
          </cell>
        </row>
        <row r="83">
          <cell r="E83">
            <v>8108821</v>
          </cell>
        </row>
      </sheetData>
      <sheetData sheetId="21">
        <row r="7">
          <cell r="E7">
            <v>2910</v>
          </cell>
        </row>
        <row r="9">
          <cell r="E9">
            <v>39200</v>
          </cell>
        </row>
        <row r="11">
          <cell r="E11">
            <v>39200</v>
          </cell>
        </row>
        <row r="12">
          <cell r="E12">
            <v>300</v>
          </cell>
        </row>
        <row r="14">
          <cell r="E14">
            <v>3255.0740740740739</v>
          </cell>
        </row>
        <row r="15">
          <cell r="E15">
            <v>675</v>
          </cell>
        </row>
        <row r="16">
          <cell r="E16">
            <v>2270</v>
          </cell>
        </row>
        <row r="17">
          <cell r="E17">
            <v>2270</v>
          </cell>
        </row>
        <row r="18">
          <cell r="E18"/>
        </row>
        <row r="19">
          <cell r="E19"/>
        </row>
        <row r="20">
          <cell r="E20"/>
        </row>
        <row r="21">
          <cell r="E21"/>
        </row>
        <row r="23">
          <cell r="E23">
            <v>0</v>
          </cell>
        </row>
        <row r="24">
          <cell r="E24">
            <v>114072000</v>
          </cell>
        </row>
        <row r="25">
          <cell r="E25">
            <v>2003450</v>
          </cell>
        </row>
        <row r="26">
          <cell r="E26">
            <v>193725</v>
          </cell>
        </row>
        <row r="27">
          <cell r="E27">
            <v>2239600</v>
          </cell>
        </row>
        <row r="28">
          <cell r="E28">
            <v>853740</v>
          </cell>
        </row>
        <row r="29">
          <cell r="E29">
            <v>-113685.5</v>
          </cell>
        </row>
        <row r="30">
          <cell r="E30">
            <v>1000000</v>
          </cell>
        </row>
        <row r="32">
          <cell r="E32">
            <v>3982535.2</v>
          </cell>
        </row>
        <row r="33">
          <cell r="E33">
            <v>24073539</v>
          </cell>
        </row>
        <row r="34">
          <cell r="E34">
            <v>12535614</v>
          </cell>
        </row>
        <row r="36">
          <cell r="E36">
            <v>-71975461</v>
          </cell>
        </row>
        <row r="38">
          <cell r="E38">
            <v>-3157735.4898333298</v>
          </cell>
        </row>
        <row r="41">
          <cell r="E41">
            <v>230000</v>
          </cell>
        </row>
        <row r="42">
          <cell r="E42">
            <v>759886.89000000048</v>
          </cell>
        </row>
        <row r="44">
          <cell r="E44">
            <v>1800000</v>
          </cell>
        </row>
        <row r="45">
          <cell r="E45">
            <v>1554116</v>
          </cell>
        </row>
        <row r="46">
          <cell r="E46"/>
        </row>
        <row r="47">
          <cell r="E47">
            <v>2408057</v>
          </cell>
        </row>
        <row r="48">
          <cell r="E48">
            <v>4392234</v>
          </cell>
        </row>
        <row r="49">
          <cell r="E49">
            <v>3400896.55</v>
          </cell>
        </row>
        <row r="50">
          <cell r="E50">
            <v>950000</v>
          </cell>
        </row>
        <row r="56">
          <cell r="E56">
            <v>21099810</v>
          </cell>
        </row>
        <row r="57">
          <cell r="E57">
            <v>24683889.960000001</v>
          </cell>
        </row>
        <row r="58">
          <cell r="E58">
            <v>1047276.36</v>
          </cell>
        </row>
        <row r="59">
          <cell r="E59">
            <v>609404.74</v>
          </cell>
        </row>
        <row r="61">
          <cell r="E61">
            <v>18200488.990000002</v>
          </cell>
        </row>
        <row r="62">
          <cell r="E62">
            <v>62911.360000000001</v>
          </cell>
        </row>
        <row r="66">
          <cell r="E66">
            <v>12720482.880000001</v>
          </cell>
        </row>
        <row r="67">
          <cell r="E67">
            <v>2876183.8899999997</v>
          </cell>
        </row>
        <row r="71">
          <cell r="E71">
            <v>1164068.68</v>
          </cell>
        </row>
        <row r="73">
          <cell r="B73">
            <v>1148653</v>
          </cell>
        </row>
        <row r="75">
          <cell r="B75">
            <v>-173823</v>
          </cell>
        </row>
        <row r="77">
          <cell r="E77">
            <v>1950000</v>
          </cell>
        </row>
        <row r="78">
          <cell r="E78">
            <v>0</v>
          </cell>
        </row>
        <row r="79">
          <cell r="E79">
            <v>500000</v>
          </cell>
        </row>
        <row r="80">
          <cell r="E80">
            <v>7711584</v>
          </cell>
        </row>
        <row r="81">
          <cell r="E81">
            <v>862763</v>
          </cell>
        </row>
        <row r="82">
          <cell r="E82">
            <v>125069.13999999997</v>
          </cell>
        </row>
        <row r="83">
          <cell r="E83">
            <v>8214415.0800000001</v>
          </cell>
        </row>
      </sheetData>
      <sheetData sheetId="22">
        <row r="7">
          <cell r="E7">
            <v>3198</v>
          </cell>
        </row>
        <row r="9">
          <cell r="E9">
            <v>39925</v>
          </cell>
        </row>
        <row r="12">
          <cell r="E12">
            <v>300</v>
          </cell>
        </row>
        <row r="14">
          <cell r="E14">
            <v>3619.8844444444444</v>
          </cell>
        </row>
        <row r="16">
          <cell r="E16">
            <v>2430</v>
          </cell>
        </row>
        <row r="17">
          <cell r="E17">
            <v>2430</v>
          </cell>
        </row>
        <row r="23">
          <cell r="E23">
            <v>0</v>
          </cell>
        </row>
        <row r="24">
          <cell r="E24">
            <v>127680150</v>
          </cell>
        </row>
        <row r="25">
          <cell r="E25">
            <v>2249697</v>
          </cell>
        </row>
        <row r="26">
          <cell r="E26">
            <v>193725</v>
          </cell>
        </row>
        <row r="27">
          <cell r="E27">
            <v>1672500</v>
          </cell>
        </row>
        <row r="28">
          <cell r="E28">
            <v>1344600</v>
          </cell>
        </row>
        <row r="29">
          <cell r="E29">
            <v>-71576</v>
          </cell>
        </row>
        <row r="30">
          <cell r="E30">
            <v>1000000</v>
          </cell>
        </row>
        <row r="32">
          <cell r="E32">
            <v>4104430.5200000005</v>
          </cell>
        </row>
        <row r="33">
          <cell r="E33">
            <v>25826032.850000001</v>
          </cell>
        </row>
        <row r="34">
          <cell r="E34">
            <v>13604435</v>
          </cell>
        </row>
        <row r="36">
          <cell r="E36">
            <v>-80892820</v>
          </cell>
        </row>
        <row r="38">
          <cell r="E38">
            <v>-3153250</v>
          </cell>
        </row>
        <row r="41">
          <cell r="E41">
            <v>205000</v>
          </cell>
        </row>
        <row r="42">
          <cell r="E42">
            <v>536328.48</v>
          </cell>
        </row>
        <row r="43">
          <cell r="E43">
            <v>3400000</v>
          </cell>
        </row>
        <row r="45">
          <cell r="E45">
            <v>1760000</v>
          </cell>
        </row>
        <row r="46">
          <cell r="E46">
            <v>1712213</v>
          </cell>
        </row>
        <row r="47">
          <cell r="E47"/>
        </row>
        <row r="48">
          <cell r="E48">
            <v>2229765</v>
          </cell>
        </row>
        <row r="49">
          <cell r="E49">
            <v>4533300</v>
          </cell>
        </row>
        <row r="50">
          <cell r="E50">
            <v>1707716.5200000005</v>
          </cell>
        </row>
        <row r="51">
          <cell r="E51">
            <v>1185953.97</v>
          </cell>
        </row>
        <row r="52">
          <cell r="E52">
            <v>1050000</v>
          </cell>
        </row>
        <row r="53">
          <cell r="E53">
            <v>200000</v>
          </cell>
        </row>
        <row r="59">
          <cell r="E59">
            <v>21877322</v>
          </cell>
        </row>
        <row r="60">
          <cell r="E60">
            <v>26326045.760000002</v>
          </cell>
        </row>
        <row r="61">
          <cell r="E61">
            <v>1047276.36</v>
          </cell>
        </row>
        <row r="62">
          <cell r="E62">
            <v>440563.23</v>
          </cell>
        </row>
        <row r="63">
          <cell r="E63">
            <v>1943655</v>
          </cell>
        </row>
        <row r="64">
          <cell r="E64">
            <v>18291515.300000001</v>
          </cell>
        </row>
        <row r="65">
          <cell r="E65">
            <v>46941.740000000005</v>
          </cell>
        </row>
        <row r="69">
          <cell r="E69">
            <v>14508067.090000002</v>
          </cell>
        </row>
        <row r="70">
          <cell r="E70">
            <v>250000</v>
          </cell>
        </row>
        <row r="71">
          <cell r="E71">
            <v>3141086.52</v>
          </cell>
        </row>
        <row r="72">
          <cell r="E72">
            <v>21500</v>
          </cell>
        </row>
        <row r="75">
          <cell r="E75">
            <v>1164068.68</v>
          </cell>
        </row>
        <row r="77">
          <cell r="E77">
            <v>1148653</v>
          </cell>
        </row>
        <row r="79">
          <cell r="E79">
            <v>-173823</v>
          </cell>
        </row>
        <row r="81">
          <cell r="E81">
            <v>1950000</v>
          </cell>
        </row>
        <row r="83">
          <cell r="E83">
            <v>500000</v>
          </cell>
        </row>
        <row r="84">
          <cell r="E84">
            <v>8234610</v>
          </cell>
        </row>
        <row r="85">
          <cell r="E85">
            <v>786159</v>
          </cell>
        </row>
        <row r="86">
          <cell r="E86">
            <v>129973.18</v>
          </cell>
        </row>
        <row r="87">
          <cell r="E87">
            <v>7891233</v>
          </cell>
        </row>
      </sheetData>
      <sheetData sheetId="23">
        <row r="7">
          <cell r="E7">
            <v>3240</v>
          </cell>
        </row>
        <row r="9">
          <cell r="E9">
            <v>41245</v>
          </cell>
        </row>
        <row r="12">
          <cell r="E12">
            <v>0</v>
          </cell>
        </row>
        <row r="14">
          <cell r="E14">
            <v>3946.6814814814816</v>
          </cell>
        </row>
        <row r="16">
          <cell r="E16">
            <v>2592</v>
          </cell>
        </row>
        <row r="17">
          <cell r="E17">
            <v>2592</v>
          </cell>
        </row>
        <row r="23">
          <cell r="E23">
            <v>0</v>
          </cell>
        </row>
        <row r="24">
          <cell r="E24">
            <v>132661800</v>
          </cell>
        </row>
        <row r="25">
          <cell r="E25">
            <v>2470285</v>
          </cell>
        </row>
        <row r="26">
          <cell r="E26">
            <v>193725</v>
          </cell>
        </row>
        <row r="27">
          <cell r="E27">
            <v>1160000</v>
          </cell>
        </row>
        <row r="29">
          <cell r="E29">
            <v>-71576</v>
          </cell>
        </row>
        <row r="30">
          <cell r="E30">
            <v>1000000</v>
          </cell>
        </row>
        <row r="32">
          <cell r="E32">
            <v>4070622.6200000006</v>
          </cell>
        </row>
        <row r="33">
          <cell r="E33">
            <v>26644419.5</v>
          </cell>
        </row>
        <row r="34">
          <cell r="E34">
            <v>14343084</v>
          </cell>
        </row>
        <row r="36">
          <cell r="E36">
            <v>-84923043</v>
          </cell>
        </row>
        <row r="38">
          <cell r="E38">
            <v>-3483500</v>
          </cell>
        </row>
        <row r="41">
          <cell r="E41">
            <v>225000</v>
          </cell>
        </row>
        <row r="42">
          <cell r="E42">
            <v>763829</v>
          </cell>
        </row>
        <row r="43">
          <cell r="C43"/>
          <cell r="E43">
            <v>0</v>
          </cell>
        </row>
        <row r="45">
          <cell r="E45">
            <v>1625000</v>
          </cell>
        </row>
        <row r="46">
          <cell r="E46">
            <v>1940575</v>
          </cell>
        </row>
        <row r="47">
          <cell r="C47"/>
          <cell r="E47"/>
        </row>
        <row r="48">
          <cell r="E48">
            <v>2378168</v>
          </cell>
        </row>
        <row r="49">
          <cell r="E49">
            <v>5072550</v>
          </cell>
        </row>
        <row r="50">
          <cell r="E50">
            <v>1777212</v>
          </cell>
        </row>
        <row r="51">
          <cell r="E51">
            <v>1876180.18</v>
          </cell>
        </row>
        <row r="52">
          <cell r="E52">
            <v>521666.66999999993</v>
          </cell>
        </row>
        <row r="53">
          <cell r="E53">
            <v>435000</v>
          </cell>
        </row>
        <row r="59">
          <cell r="E59">
            <v>22875520</v>
          </cell>
        </row>
        <row r="60">
          <cell r="E60">
            <v>26789752.170000002</v>
          </cell>
        </row>
        <row r="61">
          <cell r="E61">
            <v>1073876.3599999999</v>
          </cell>
        </row>
        <row r="62">
          <cell r="E62">
            <v>515455</v>
          </cell>
        </row>
        <row r="63">
          <cell r="E63">
            <v>102960</v>
          </cell>
        </row>
        <row r="64">
          <cell r="E64">
            <v>18407849.620000001</v>
          </cell>
        </row>
        <row r="65">
          <cell r="E65">
            <v>56080</v>
          </cell>
        </row>
        <row r="69">
          <cell r="E69">
            <v>15023166.26</v>
          </cell>
        </row>
        <row r="70">
          <cell r="E70">
            <v>0</v>
          </cell>
        </row>
        <row r="71">
          <cell r="E71">
            <v>3721919</v>
          </cell>
        </row>
        <row r="72">
          <cell r="C72"/>
          <cell r="E72">
            <v>0</v>
          </cell>
        </row>
        <row r="80">
          <cell r="E80">
            <v>2202975.6799999997</v>
          </cell>
        </row>
        <row r="81">
          <cell r="E81">
            <v>2200000</v>
          </cell>
        </row>
        <row r="83">
          <cell r="E83">
            <v>500000</v>
          </cell>
        </row>
        <row r="84">
          <cell r="E84">
            <v>8961558</v>
          </cell>
        </row>
        <row r="85">
          <cell r="E85">
            <v>707338</v>
          </cell>
        </row>
        <row r="86">
          <cell r="E86">
            <v>135073</v>
          </cell>
        </row>
        <row r="87">
          <cell r="E87">
            <v>8460459.2599999998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30"/>
  <sheetViews>
    <sheetView tabSelected="1" topLeftCell="AF3" zoomScale="75" workbookViewId="0">
      <pane xSplit="11" ySplit="21" topLeftCell="AQ24" activePane="bottomRight" state="frozen"/>
      <selection activeCell="AF3" sqref="AF3"/>
      <selection pane="topRight" activeCell="AQ3" sqref="AQ3"/>
      <selection pane="bottomLeft" activeCell="AF24" sqref="AF24"/>
      <selection pane="bottomRight" activeCell="BA19" sqref="BA19"/>
    </sheetView>
  </sheetViews>
  <sheetFormatPr defaultColWidth="9.1171875" defaultRowHeight="12.7" x14ac:dyDescent="0.4"/>
  <cols>
    <col min="1" max="1" width="62.41015625" style="3" customWidth="1"/>
    <col min="2" max="2" width="4.41015625" style="3" customWidth="1"/>
    <col min="3" max="3" width="16.1171875" style="3" hidden="1" customWidth="1"/>
    <col min="4" max="4" width="8.87890625" style="3" hidden="1" customWidth="1"/>
    <col min="5" max="5" width="18.41015625" style="3" hidden="1" customWidth="1"/>
    <col min="6" max="6" width="20.41015625" style="3" hidden="1" customWidth="1"/>
    <col min="7" max="7" width="18.41015625" style="3" hidden="1" customWidth="1"/>
    <col min="8" max="8" width="3.1171875" style="158" hidden="1" customWidth="1"/>
    <col min="9" max="9" width="3" style="158" hidden="1" customWidth="1"/>
    <col min="10" max="11" width="18.41015625" style="158" hidden="1" customWidth="1"/>
    <col min="12" max="12" width="2.1171875" style="158" hidden="1" customWidth="1"/>
    <col min="13" max="13" width="2" style="158" hidden="1" customWidth="1"/>
    <col min="14" max="14" width="18" style="3" hidden="1" customWidth="1"/>
    <col min="15" max="15" width="2.703125" style="158" hidden="1" customWidth="1"/>
    <col min="16" max="16" width="8" style="158" hidden="1" customWidth="1"/>
    <col min="17" max="17" width="18.41015625" style="158" bestFit="1" customWidth="1"/>
    <col min="18" max="18" width="6.87890625" style="158" hidden="1" customWidth="1"/>
    <col min="19" max="19" width="18.41015625" style="3" hidden="1" customWidth="1"/>
    <col min="20" max="20" width="18" style="3" customWidth="1"/>
    <col min="21" max="21" width="12" style="158" hidden="1" customWidth="1"/>
    <col min="22" max="22" width="18.41015625" style="158" hidden="1" customWidth="1"/>
    <col min="23" max="23" width="18.87890625" style="3" hidden="1" customWidth="1"/>
    <col min="24" max="24" width="18.87890625" style="3" customWidth="1"/>
    <col min="25" max="25" width="20" style="3" hidden="1" customWidth="1"/>
    <col min="26" max="28" width="2.703125" style="3" hidden="1" customWidth="1"/>
    <col min="29" max="29" width="18.41015625" style="158" hidden="1" customWidth="1"/>
    <col min="30" max="30" width="18.41015625" style="158" customWidth="1"/>
    <col min="31" max="31" width="3.87890625" style="158" customWidth="1"/>
    <col min="32" max="32" width="62.29296875" style="3" customWidth="1"/>
    <col min="33" max="33" width="18.41015625" style="158" hidden="1" customWidth="1"/>
    <col min="34" max="34" width="19.1171875" style="158" hidden="1" customWidth="1"/>
    <col min="35" max="36" width="16.1171875" style="158" hidden="1" customWidth="1"/>
    <col min="37" max="37" width="4.5859375" style="158" hidden="1" customWidth="1"/>
    <col min="38" max="38" width="21.703125" style="158" hidden="1" customWidth="1"/>
    <col min="39" max="40" width="18.41015625" style="158" hidden="1" customWidth="1"/>
    <col min="41" max="41" width="7.41015625" style="158" hidden="1" customWidth="1"/>
    <col min="42" max="42" width="16.1171875" style="158" hidden="1" customWidth="1"/>
    <col min="43" max="43" width="18.41015625" style="158" customWidth="1"/>
    <col min="44" max="44" width="7.1171875" style="158" customWidth="1"/>
    <col min="45" max="45" width="16.1171875" style="158" hidden="1" customWidth="1"/>
    <col min="46" max="46" width="3.87890625" style="158" hidden="1" customWidth="1"/>
    <col min="47" max="47" width="18.41015625" style="158" customWidth="1"/>
    <col min="48" max="48" width="7.1171875" style="158" hidden="1" customWidth="1"/>
    <col min="49" max="49" width="18.41015625" style="158" hidden="1" customWidth="1"/>
    <col min="50" max="50" width="10.41015625" style="158" customWidth="1"/>
    <col min="51" max="51" width="23" style="158" hidden="1" customWidth="1"/>
    <col min="52" max="52" width="23" style="3" hidden="1" customWidth="1"/>
    <col min="53" max="53" width="12.703125" style="3" bestFit="1" customWidth="1"/>
    <col min="54" max="16384" width="9.1171875" style="3"/>
  </cols>
  <sheetData>
    <row r="1" spans="1:52" ht="15.35" x14ac:dyDescent="0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1"/>
      <c r="V1" s="1"/>
      <c r="W1" s="1"/>
      <c r="X1" s="1"/>
      <c r="Y1" s="1"/>
      <c r="AC1" s="1"/>
      <c r="AD1" s="1"/>
      <c r="AE1" s="4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4"/>
      <c r="AS1" s="4"/>
      <c r="AT1" s="4"/>
      <c r="AU1" s="1"/>
      <c r="AV1" s="4"/>
      <c r="AW1" s="1"/>
      <c r="AX1" s="5"/>
      <c r="AY1" s="1"/>
    </row>
    <row r="2" spans="1:52" ht="18" customHeight="1" x14ac:dyDescent="0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AC2" s="1"/>
      <c r="AD2" s="1"/>
      <c r="AE2" s="4"/>
      <c r="AF2" s="1"/>
      <c r="AG2" s="1"/>
      <c r="AH2" s="1"/>
      <c r="AI2" s="1"/>
      <c r="AJ2" s="1"/>
      <c r="AK2" s="4"/>
      <c r="AL2" s="1"/>
      <c r="AM2" s="1"/>
      <c r="AN2" s="1"/>
      <c r="AO2" s="4"/>
      <c r="AP2" s="1"/>
      <c r="AQ2" s="1"/>
      <c r="AR2" s="4"/>
      <c r="AS2" s="4"/>
      <c r="AT2" s="4"/>
      <c r="AU2" s="1"/>
      <c r="AV2" s="4"/>
      <c r="AW2" s="1"/>
      <c r="AX2" s="5"/>
      <c r="AY2" s="1"/>
    </row>
    <row r="3" spans="1:52" ht="15.7" thickBot="1" x14ac:dyDescent="0.55000000000000004">
      <c r="A3" s="1"/>
      <c r="B3" s="1"/>
      <c r="C3" s="1"/>
      <c r="D3" s="6"/>
      <c r="E3" s="1"/>
      <c r="F3" s="1"/>
      <c r="G3" s="1"/>
      <c r="H3" s="5"/>
      <c r="I3" s="5"/>
      <c r="J3" s="5"/>
      <c r="K3" s="5"/>
      <c r="L3" s="5"/>
      <c r="M3" s="5"/>
      <c r="O3" s="5"/>
      <c r="P3" s="5"/>
      <c r="Q3" s="5"/>
      <c r="R3" s="5"/>
      <c r="U3" s="5"/>
      <c r="V3" s="5"/>
      <c r="AC3" s="5"/>
      <c r="AD3" s="5"/>
      <c r="AE3" s="5"/>
      <c r="AF3" s="1"/>
      <c r="AG3" s="5"/>
      <c r="AH3" s="5"/>
      <c r="AI3" s="5"/>
      <c r="AJ3" s="5"/>
      <c r="AK3" s="5"/>
      <c r="AL3" s="5"/>
      <c r="AM3" s="5"/>
      <c r="AN3" s="5"/>
      <c r="AO3" s="5"/>
      <c r="AP3" s="5"/>
      <c r="AQ3" s="7"/>
      <c r="AR3" s="5"/>
      <c r="AS3" s="5"/>
      <c r="AT3" s="5"/>
      <c r="AU3" s="5"/>
      <c r="AV3" s="5"/>
      <c r="AW3" s="5"/>
      <c r="AX3" s="5"/>
      <c r="AY3" s="5"/>
    </row>
    <row r="4" spans="1:52" ht="15.35" x14ac:dyDescent="0.5">
      <c r="A4" s="8"/>
      <c r="B4" s="9"/>
      <c r="C4" s="10" t="s">
        <v>0</v>
      </c>
      <c r="D4" s="11"/>
      <c r="E4" s="12" t="s">
        <v>1</v>
      </c>
      <c r="F4" s="10" t="s">
        <v>1</v>
      </c>
      <c r="G4" s="10" t="s">
        <v>1</v>
      </c>
      <c r="H4" s="13"/>
      <c r="I4" s="13"/>
      <c r="J4" s="12" t="s">
        <v>2</v>
      </c>
      <c r="K4" s="14" t="s">
        <v>2</v>
      </c>
      <c r="L4" s="13"/>
      <c r="M4" s="13"/>
      <c r="N4" s="10" t="s">
        <v>3</v>
      </c>
      <c r="O4" s="13"/>
      <c r="P4" s="14" t="s">
        <v>3</v>
      </c>
      <c r="Q4" s="14" t="s">
        <v>3</v>
      </c>
      <c r="R4" s="11"/>
      <c r="S4" s="10" t="s">
        <v>4</v>
      </c>
      <c r="T4" s="10" t="s">
        <v>4</v>
      </c>
      <c r="U4" s="13"/>
      <c r="V4" s="164" t="s">
        <v>5</v>
      </c>
      <c r="W4" s="165"/>
      <c r="X4" s="165"/>
      <c r="Y4" s="166"/>
      <c r="AC4" s="10" t="s">
        <v>6</v>
      </c>
      <c r="AD4" s="12" t="s">
        <v>6</v>
      </c>
      <c r="AE4" s="13"/>
      <c r="AF4" s="8"/>
      <c r="AG4" s="10" t="s">
        <v>7</v>
      </c>
      <c r="AH4" s="15" t="str">
        <f>+V4</f>
        <v>2017-18</v>
      </c>
      <c r="AI4" s="15" t="str">
        <f>+AD4</f>
        <v>2018-19</v>
      </c>
      <c r="AJ4" s="15" t="s">
        <v>7</v>
      </c>
      <c r="AK4" s="11"/>
      <c r="AL4" s="15" t="s">
        <v>8</v>
      </c>
      <c r="AM4" s="15" t="s">
        <v>8</v>
      </c>
      <c r="AN4" s="15" t="s">
        <v>8</v>
      </c>
      <c r="AO4" s="11"/>
      <c r="AP4" s="15" t="s">
        <v>8</v>
      </c>
      <c r="AQ4" s="16" t="s">
        <v>9</v>
      </c>
      <c r="AR4" s="17"/>
      <c r="AS4" s="18" t="s">
        <v>10</v>
      </c>
      <c r="AT4" s="17"/>
      <c r="AU4" s="18" t="s">
        <v>10</v>
      </c>
      <c r="AV4" s="19"/>
      <c r="AW4" s="15" t="str">
        <f>+AU4</f>
        <v>2022-23</v>
      </c>
      <c r="AX4" s="13"/>
      <c r="AY4" s="18" t="s">
        <v>11</v>
      </c>
      <c r="AZ4" s="18" t="s">
        <v>10</v>
      </c>
    </row>
    <row r="5" spans="1:52" ht="15.35" x14ac:dyDescent="0.5">
      <c r="A5" s="8"/>
      <c r="B5" s="9"/>
      <c r="C5" s="20"/>
      <c r="D5" s="11"/>
      <c r="E5" s="21" t="s">
        <v>12</v>
      </c>
      <c r="F5" s="20" t="s">
        <v>13</v>
      </c>
      <c r="G5" s="20"/>
      <c r="H5" s="13"/>
      <c r="I5" s="13"/>
      <c r="J5" s="21" t="s">
        <v>12</v>
      </c>
      <c r="K5" s="22"/>
      <c r="L5" s="13"/>
      <c r="M5" s="13"/>
      <c r="N5" s="20" t="s">
        <v>14</v>
      </c>
      <c r="O5" s="13"/>
      <c r="P5" s="22" t="s">
        <v>15</v>
      </c>
      <c r="Q5" s="22"/>
      <c r="R5" s="11"/>
      <c r="S5" s="20" t="s">
        <v>12</v>
      </c>
      <c r="T5" s="20"/>
      <c r="U5" s="13"/>
      <c r="V5" s="20" t="s">
        <v>12</v>
      </c>
      <c r="W5" s="20" t="s">
        <v>13</v>
      </c>
      <c r="X5" s="20"/>
      <c r="Y5" s="20" t="s">
        <v>16</v>
      </c>
      <c r="AC5" s="20" t="s">
        <v>15</v>
      </c>
      <c r="AD5" s="21"/>
      <c r="AE5" s="13"/>
      <c r="AF5" s="8"/>
      <c r="AG5" s="20" t="s">
        <v>15</v>
      </c>
      <c r="AH5" s="23"/>
      <c r="AI5" s="23"/>
      <c r="AJ5" s="23"/>
      <c r="AK5" s="11"/>
      <c r="AL5" s="23" t="s">
        <v>17</v>
      </c>
      <c r="AM5" s="23" t="s">
        <v>13</v>
      </c>
      <c r="AN5" s="23" t="s">
        <v>18</v>
      </c>
      <c r="AO5" s="11"/>
      <c r="AP5" s="23" t="s">
        <v>15</v>
      </c>
      <c r="AQ5" s="16" t="s">
        <v>12</v>
      </c>
      <c r="AR5" s="9"/>
      <c r="AS5" s="24" t="s">
        <v>19</v>
      </c>
      <c r="AT5" s="9"/>
      <c r="AU5" s="25" t="s">
        <v>14</v>
      </c>
      <c r="AV5" s="13"/>
      <c r="AW5" s="25" t="s">
        <v>20</v>
      </c>
      <c r="AX5" s="13"/>
      <c r="AY5" s="24" t="s">
        <v>21</v>
      </c>
      <c r="AZ5" s="24" t="s">
        <v>22</v>
      </c>
    </row>
    <row r="6" spans="1:52" ht="15.35" x14ac:dyDescent="0.5">
      <c r="A6" s="8"/>
      <c r="B6" s="26"/>
      <c r="C6" s="27" t="s">
        <v>23</v>
      </c>
      <c r="D6" s="28"/>
      <c r="E6" s="29" t="s">
        <v>20</v>
      </c>
      <c r="F6" s="27" t="s">
        <v>23</v>
      </c>
      <c r="G6" s="27" t="s">
        <v>23</v>
      </c>
      <c r="H6" s="30"/>
      <c r="I6" s="30"/>
      <c r="J6" s="29" t="s">
        <v>20</v>
      </c>
      <c r="K6" s="31" t="s">
        <v>23</v>
      </c>
      <c r="L6" s="30"/>
      <c r="M6" s="30"/>
      <c r="N6" s="27" t="s">
        <v>20</v>
      </c>
      <c r="O6" s="30"/>
      <c r="P6" s="31" t="s">
        <v>20</v>
      </c>
      <c r="Q6" s="31" t="s">
        <v>23</v>
      </c>
      <c r="R6" s="28"/>
      <c r="S6" s="27" t="s">
        <v>20</v>
      </c>
      <c r="T6" s="27" t="s">
        <v>23</v>
      </c>
      <c r="U6" s="30"/>
      <c r="V6" s="27" t="s">
        <v>20</v>
      </c>
      <c r="W6" s="27" t="s">
        <v>23</v>
      </c>
      <c r="X6" s="27" t="s">
        <v>23</v>
      </c>
      <c r="Y6" s="27" t="s">
        <v>24</v>
      </c>
      <c r="AC6" s="27" t="s">
        <v>20</v>
      </c>
      <c r="AD6" s="29" t="s">
        <v>23</v>
      </c>
      <c r="AE6" s="30"/>
      <c r="AF6" s="8"/>
      <c r="AG6" s="27" t="s">
        <v>20</v>
      </c>
      <c r="AH6" s="32" t="s">
        <v>23</v>
      </c>
      <c r="AI6" s="32" t="str">
        <f t="shared" ref="AI6:AI69" si="0">+AD6</f>
        <v>Actual</v>
      </c>
      <c r="AJ6" s="32" t="s">
        <v>23</v>
      </c>
      <c r="AK6" s="28"/>
      <c r="AL6" s="32" t="s">
        <v>25</v>
      </c>
      <c r="AM6" s="32" t="s">
        <v>23</v>
      </c>
      <c r="AN6" s="32" t="s">
        <v>26</v>
      </c>
      <c r="AO6" s="28"/>
      <c r="AP6" s="32" t="s">
        <v>20</v>
      </c>
      <c r="AQ6" s="33" t="s">
        <v>20</v>
      </c>
      <c r="AR6" s="26"/>
      <c r="AS6" s="34" t="s">
        <v>27</v>
      </c>
      <c r="AT6" s="26"/>
      <c r="AU6" s="34" t="s">
        <v>20</v>
      </c>
      <c r="AV6" s="30"/>
      <c r="AW6" s="32" t="s">
        <v>28</v>
      </c>
      <c r="AX6" s="30"/>
      <c r="AY6" s="34" t="s">
        <v>29</v>
      </c>
      <c r="AZ6" s="34" t="s">
        <v>20</v>
      </c>
    </row>
    <row r="7" spans="1:52" ht="15.35" x14ac:dyDescent="0.5">
      <c r="A7" s="35" t="s">
        <v>30</v>
      </c>
      <c r="B7" s="36"/>
      <c r="C7" s="37">
        <f>1375+1617-72</f>
        <v>2920</v>
      </c>
      <c r="D7" s="38"/>
      <c r="E7" s="39">
        <f>+'[1]2013-14'!E7</f>
        <v>2931</v>
      </c>
      <c r="F7" s="40">
        <v>2868</v>
      </c>
      <c r="G7" s="40">
        <v>2886</v>
      </c>
      <c r="H7" s="41"/>
      <c r="I7" s="41"/>
      <c r="J7" s="39">
        <f>+'[1]2014-15'!E7</f>
        <v>2830</v>
      </c>
      <c r="K7" s="37">
        <v>2846</v>
      </c>
      <c r="L7" s="41"/>
      <c r="M7" s="41"/>
      <c r="N7" s="40">
        <f>+'[1]2015-16'!E7</f>
        <v>2810</v>
      </c>
      <c r="O7" s="41"/>
      <c r="P7" s="37">
        <v>2810</v>
      </c>
      <c r="Q7" s="37">
        <v>2863</v>
      </c>
      <c r="R7" s="38"/>
      <c r="S7" s="40">
        <f>'[1]2016-17'!E7</f>
        <v>2860</v>
      </c>
      <c r="T7" s="40">
        <v>2930</v>
      </c>
      <c r="U7" s="41"/>
      <c r="V7" s="40">
        <f>'[1]2017-18'!E7</f>
        <v>2910</v>
      </c>
      <c r="W7" s="40">
        <v>2930</v>
      </c>
      <c r="X7" s="40">
        <v>2930</v>
      </c>
      <c r="Y7" s="40">
        <f>X7-V7</f>
        <v>20</v>
      </c>
      <c r="AC7" s="40">
        <f>'[1]2018-19'!E7</f>
        <v>2998</v>
      </c>
      <c r="AD7" s="39">
        <v>2931</v>
      </c>
      <c r="AE7" s="41"/>
      <c r="AF7" s="35" t="s">
        <v>30</v>
      </c>
      <c r="AG7" s="40">
        <v>2895</v>
      </c>
      <c r="AH7" s="42">
        <v>2930</v>
      </c>
      <c r="AI7" s="42">
        <f t="shared" si="0"/>
        <v>2931</v>
      </c>
      <c r="AJ7" s="42">
        <v>2883</v>
      </c>
      <c r="AK7" s="38"/>
      <c r="AL7" s="42">
        <v>3007</v>
      </c>
      <c r="AM7" s="42">
        <v>3002</v>
      </c>
      <c r="AN7" s="42">
        <v>3002</v>
      </c>
      <c r="AO7" s="38"/>
      <c r="AP7" s="43">
        <f>'[1]2020-21'!E7</f>
        <v>2910</v>
      </c>
      <c r="AQ7" s="44">
        <f>'[1]2021-22'!E7</f>
        <v>3198</v>
      </c>
      <c r="AR7" s="45"/>
      <c r="AS7" s="46">
        <v>3228</v>
      </c>
      <c r="AT7" s="45"/>
      <c r="AU7" s="46">
        <f>'[1]2022-23'!E7</f>
        <v>3240</v>
      </c>
      <c r="AV7" s="41"/>
      <c r="AW7" s="42">
        <v>3177</v>
      </c>
      <c r="AX7" s="41"/>
      <c r="AY7" s="46" t="e">
        <f>AU7-#REF!</f>
        <v>#REF!</v>
      </c>
      <c r="AZ7" s="46">
        <v>3286</v>
      </c>
    </row>
    <row r="8" spans="1:52" ht="15.75" hidden="1" customHeight="1" x14ac:dyDescent="0.5">
      <c r="A8" s="35" t="s">
        <v>31</v>
      </c>
      <c r="B8" s="36"/>
      <c r="C8" s="37">
        <v>50</v>
      </c>
      <c r="D8" s="38"/>
      <c r="E8" s="39">
        <v>50</v>
      </c>
      <c r="F8" s="40">
        <v>51</v>
      </c>
      <c r="G8" s="40">
        <v>43</v>
      </c>
      <c r="H8" s="41"/>
      <c r="I8" s="41"/>
      <c r="J8" s="39">
        <v>60</v>
      </c>
      <c r="K8" s="37">
        <v>40</v>
      </c>
      <c r="L8" s="41"/>
      <c r="M8" s="41"/>
      <c r="N8" s="40">
        <f>+'[1]2015-16'!E8</f>
        <v>48</v>
      </c>
      <c r="O8" s="41"/>
      <c r="P8" s="37">
        <v>48</v>
      </c>
      <c r="Q8" s="37">
        <v>55</v>
      </c>
      <c r="R8" s="38"/>
      <c r="S8" s="40">
        <f>'[1]2016-17'!E8</f>
        <v>51</v>
      </c>
      <c r="T8" s="40">
        <v>51</v>
      </c>
      <c r="U8" s="41"/>
      <c r="V8" s="40">
        <f>'[1]2016-17'!G8</f>
        <v>0</v>
      </c>
      <c r="W8" s="40">
        <v>55</v>
      </c>
      <c r="X8" s="40">
        <v>55</v>
      </c>
      <c r="Y8" s="40">
        <v>55</v>
      </c>
      <c r="AC8" s="40">
        <f>'[1]2016-17'!L8</f>
        <v>0</v>
      </c>
      <c r="AD8" s="39"/>
      <c r="AE8" s="41"/>
      <c r="AF8" s="35" t="s">
        <v>31</v>
      </c>
      <c r="AG8" s="40">
        <f>'[1]2016-17'!M8</f>
        <v>0</v>
      </c>
      <c r="AH8" s="42">
        <v>55</v>
      </c>
      <c r="AI8" s="42">
        <f t="shared" si="0"/>
        <v>0</v>
      </c>
      <c r="AJ8" s="42">
        <f>'[1]2016-17'!N8</f>
        <v>0</v>
      </c>
      <c r="AK8" s="38"/>
      <c r="AL8" s="42">
        <v>0</v>
      </c>
      <c r="AM8" s="42">
        <v>0</v>
      </c>
      <c r="AN8" s="42">
        <v>0</v>
      </c>
      <c r="AO8" s="38"/>
      <c r="AP8" s="42">
        <v>0</v>
      </c>
      <c r="AQ8" s="44">
        <v>0</v>
      </c>
      <c r="AR8" s="45"/>
      <c r="AS8" s="46">
        <v>0</v>
      </c>
      <c r="AT8" s="45"/>
      <c r="AU8" s="46">
        <v>0</v>
      </c>
      <c r="AV8" s="41"/>
      <c r="AW8" s="42"/>
      <c r="AX8" s="41"/>
      <c r="AY8" s="46"/>
      <c r="AZ8" s="46"/>
    </row>
    <row r="9" spans="1:52" ht="15.35" x14ac:dyDescent="0.5">
      <c r="A9" s="35" t="s">
        <v>32</v>
      </c>
      <c r="B9" s="36"/>
      <c r="C9" s="40">
        <v>28665</v>
      </c>
      <c r="D9" s="38"/>
      <c r="E9" s="39">
        <f>'[1]2013-14'!E8</f>
        <v>29783</v>
      </c>
      <c r="F9" s="40">
        <v>29783</v>
      </c>
      <c r="G9" s="40">
        <v>29783</v>
      </c>
      <c r="H9" s="41"/>
      <c r="I9" s="41"/>
      <c r="J9" s="39">
        <f>'[1]2014-15'!E8</f>
        <v>32043</v>
      </c>
      <c r="K9" s="37">
        <v>32043</v>
      </c>
      <c r="L9" s="41"/>
      <c r="M9" s="41"/>
      <c r="N9" s="40">
        <f>+'[1]2015-16'!E9</f>
        <v>33165</v>
      </c>
      <c r="O9" s="41"/>
      <c r="P9" s="37">
        <v>33165</v>
      </c>
      <c r="Q9" s="37">
        <v>33165</v>
      </c>
      <c r="R9" s="38"/>
      <c r="S9" s="40">
        <f>'[1]2016-17'!E9</f>
        <v>34326</v>
      </c>
      <c r="T9" s="40">
        <f>34326+285</f>
        <v>34611</v>
      </c>
      <c r="U9" s="41"/>
      <c r="V9" s="40">
        <f>'[1]2017-18'!E9+'[1]2017-18'!E12</f>
        <v>35735</v>
      </c>
      <c r="W9" s="40">
        <f t="shared" ref="W9:X20" si="1">+V9</f>
        <v>35735</v>
      </c>
      <c r="X9" s="40">
        <f t="shared" si="1"/>
        <v>35735</v>
      </c>
      <c r="Y9" s="40">
        <f t="shared" ref="Y9:Y22" si="2">X9-V9</f>
        <v>0</v>
      </c>
      <c r="AC9" s="40">
        <f>+'[1]2018-19'!E9+'[1]2018-19'!E12</f>
        <v>36975</v>
      </c>
      <c r="AD9" s="39">
        <v>36975</v>
      </c>
      <c r="AE9" s="41"/>
      <c r="AF9" s="35" t="s">
        <v>32</v>
      </c>
      <c r="AG9" s="40">
        <f>'[1]2019-20'!E9+'[1]2019-20'!E12</f>
        <v>38355</v>
      </c>
      <c r="AH9" s="42">
        <f t="shared" ref="AH9:AH20" si="3">+AG9</f>
        <v>38355</v>
      </c>
      <c r="AI9" s="42">
        <f t="shared" si="0"/>
        <v>36975</v>
      </c>
      <c r="AJ9" s="42">
        <v>38355</v>
      </c>
      <c r="AK9" s="38"/>
      <c r="AL9" s="42">
        <v>39500</v>
      </c>
      <c r="AM9" s="42">
        <v>39500</v>
      </c>
      <c r="AN9" s="42">
        <v>39500</v>
      </c>
      <c r="AO9" s="38"/>
      <c r="AP9" s="42">
        <f>'[1]2020-21'!E9+'[1]2020-21'!E12</f>
        <v>39500</v>
      </c>
      <c r="AQ9" s="44">
        <f>'[1]2021-22'!E9+'[1]2021-22'!E12</f>
        <v>40225</v>
      </c>
      <c r="AR9" s="45"/>
      <c r="AS9" s="46">
        <f>+AU9</f>
        <v>41245</v>
      </c>
      <c r="AT9" s="45"/>
      <c r="AU9" s="46">
        <f>'[1]2022-23'!E9+'[1]2022-23'!E12</f>
        <v>41245</v>
      </c>
      <c r="AV9" s="41"/>
      <c r="AW9" s="42">
        <f>+AU9</f>
        <v>41245</v>
      </c>
      <c r="AX9" s="41"/>
      <c r="AY9" s="46" t="e">
        <f>AU9-#REF!</f>
        <v>#REF!</v>
      </c>
      <c r="AZ9" s="46">
        <v>41225</v>
      </c>
    </row>
    <row r="10" spans="1:52" ht="15.75" hidden="1" customHeight="1" x14ac:dyDescent="0.5">
      <c r="A10" s="35" t="s">
        <v>33</v>
      </c>
      <c r="B10" s="36"/>
      <c r="C10" s="40"/>
      <c r="D10" s="38"/>
      <c r="E10" s="39"/>
      <c r="F10" s="40"/>
      <c r="G10" s="40"/>
      <c r="H10" s="41"/>
      <c r="I10" s="41"/>
      <c r="J10" s="39"/>
      <c r="K10" s="37"/>
      <c r="L10" s="41"/>
      <c r="M10" s="41"/>
      <c r="N10" s="40"/>
      <c r="O10" s="41"/>
      <c r="P10" s="37"/>
      <c r="Q10" s="37"/>
      <c r="R10" s="38"/>
      <c r="S10" s="40"/>
      <c r="T10" s="40"/>
      <c r="U10" s="41"/>
      <c r="V10" s="40">
        <f>'[1]2017-18'!E11/30</f>
        <v>1181.1666666666667</v>
      </c>
      <c r="W10" s="40"/>
      <c r="X10" s="40">
        <f>+V10</f>
        <v>1181.1666666666667</v>
      </c>
      <c r="Y10" s="40"/>
      <c r="AC10" s="40">
        <f>'[1]2018-19'!E11/30</f>
        <v>1222.5</v>
      </c>
      <c r="AD10" s="39">
        <f>+AC10</f>
        <v>1222.5</v>
      </c>
      <c r="AE10" s="41"/>
      <c r="AF10" s="35" t="s">
        <v>33</v>
      </c>
      <c r="AG10" s="40">
        <f>'[1]2019-20'!E11/30</f>
        <v>1268.5</v>
      </c>
      <c r="AH10" s="42" t="str">
        <f>+AF10</f>
        <v>Master Program Per Credit Hour Rate</v>
      </c>
      <c r="AI10" s="42">
        <f t="shared" si="0"/>
        <v>1222.5</v>
      </c>
      <c r="AJ10" s="42">
        <f>+AG10</f>
        <v>1268.5</v>
      </c>
      <c r="AK10" s="38"/>
      <c r="AL10" s="42">
        <v>1306.6666666666667</v>
      </c>
      <c r="AM10" s="42">
        <v>1306.6666666666667</v>
      </c>
      <c r="AN10" s="42">
        <v>1306.6666666666667</v>
      </c>
      <c r="AO10" s="38"/>
      <c r="AP10" s="42">
        <f>'[1]2020-21'!E11/30</f>
        <v>1306.6666666666667</v>
      </c>
      <c r="AQ10" s="44">
        <f>'[1]2020-21'!F11/30</f>
        <v>0</v>
      </c>
      <c r="AR10" s="45"/>
      <c r="AS10" s="46">
        <f>'[1]2020-21'!E11/30</f>
        <v>1306.6666666666667</v>
      </c>
      <c r="AT10" s="45"/>
      <c r="AU10" s="46">
        <f>'[1]2020-21'!G11/30</f>
        <v>0</v>
      </c>
      <c r="AV10" s="41"/>
      <c r="AW10" s="42"/>
      <c r="AX10" s="41"/>
      <c r="AY10" s="46" t="e">
        <f>AU10-#REF!</f>
        <v>#REF!</v>
      </c>
      <c r="AZ10" s="46">
        <f>AV10-AR10</f>
        <v>0</v>
      </c>
    </row>
    <row r="11" spans="1:52" ht="15.35" x14ac:dyDescent="0.5">
      <c r="A11" s="35" t="s">
        <v>34</v>
      </c>
      <c r="B11" s="36"/>
      <c r="C11" s="40"/>
      <c r="D11" s="38"/>
      <c r="E11" s="39"/>
      <c r="F11" s="40"/>
      <c r="G11" s="40"/>
      <c r="H11" s="41"/>
      <c r="I11" s="41"/>
      <c r="J11" s="39"/>
      <c r="K11" s="37"/>
      <c r="L11" s="41"/>
      <c r="M11" s="41"/>
      <c r="N11" s="40"/>
      <c r="O11" s="41"/>
      <c r="P11" s="37"/>
      <c r="Q11" s="37"/>
      <c r="R11" s="38"/>
      <c r="S11" s="40"/>
      <c r="T11" s="40"/>
      <c r="U11" s="41"/>
      <c r="V11" s="40"/>
      <c r="W11" s="40"/>
      <c r="X11" s="40"/>
      <c r="Y11" s="40"/>
      <c r="AC11" s="40"/>
      <c r="AD11" s="39"/>
      <c r="AE11" s="41"/>
      <c r="AF11" s="35" t="s">
        <v>34</v>
      </c>
      <c r="AG11" s="40">
        <f>(AG34+AG35)/AG10</f>
        <v>1956.4375246353961</v>
      </c>
      <c r="AH11" s="42">
        <f>(AH34+AH35)/1269</f>
        <v>1378.2986603624902</v>
      </c>
      <c r="AI11" s="42">
        <f>(AI34+AI35)/AI10</f>
        <v>1338.6421267893661</v>
      </c>
      <c r="AJ11" s="42">
        <f>(AJ34+AJ35)/AJ10</f>
        <v>2079.0555774536856</v>
      </c>
      <c r="AK11" s="38"/>
      <c r="AL11" s="42">
        <v>2367.3520408163263</v>
      </c>
      <c r="AM11" s="42">
        <v>2581</v>
      </c>
      <c r="AN11" s="42">
        <f>AN34/1307+AN35/900</f>
        <v>2734.5265493496554</v>
      </c>
      <c r="AO11" s="38"/>
      <c r="AP11" s="42">
        <f>(AP34+AP35)/AP10</f>
        <v>2367.3520408163263</v>
      </c>
      <c r="AQ11" s="44">
        <f>AQ34/1300+AQ35/900</f>
        <v>2780.5384615384614</v>
      </c>
      <c r="AR11" s="45"/>
      <c r="AS11" s="46">
        <f t="shared" ref="AS11:AS19" si="4">+AU11</f>
        <v>2356.3076923076924</v>
      </c>
      <c r="AT11" s="45"/>
      <c r="AU11" s="46">
        <f>AU34/1300+AU35/900</f>
        <v>2356.3076923076924</v>
      </c>
      <c r="AV11" s="41"/>
      <c r="AW11" s="42">
        <f>+AU11</f>
        <v>2356.3076923076924</v>
      </c>
      <c r="AX11" s="41"/>
      <c r="AY11" s="46" t="e">
        <f>AU11-#REF!</f>
        <v>#REF!</v>
      </c>
      <c r="AZ11" s="46">
        <v>2781</v>
      </c>
    </row>
    <row r="12" spans="1:52" ht="15.35" x14ac:dyDescent="0.5">
      <c r="A12" s="35" t="s">
        <v>35</v>
      </c>
      <c r="B12" s="36"/>
      <c r="C12" s="40"/>
      <c r="D12" s="38"/>
      <c r="E12" s="39"/>
      <c r="F12" s="40"/>
      <c r="G12" s="40"/>
      <c r="H12" s="41"/>
      <c r="I12" s="41"/>
      <c r="J12" s="39"/>
      <c r="K12" s="37"/>
      <c r="L12" s="41"/>
      <c r="M12" s="41"/>
      <c r="N12" s="40"/>
      <c r="O12" s="41"/>
      <c r="P12" s="37"/>
      <c r="Q12" s="37">
        <v>2367</v>
      </c>
      <c r="R12" s="38"/>
      <c r="S12" s="40"/>
      <c r="T12" s="40">
        <v>2408</v>
      </c>
      <c r="U12" s="41"/>
      <c r="V12" s="40">
        <f>'[1]2017-18'!E16</f>
        <v>2410</v>
      </c>
      <c r="W12" s="40"/>
      <c r="X12" s="40">
        <v>2379</v>
      </c>
      <c r="Y12" s="40"/>
      <c r="AC12" s="40">
        <f>'[1]2018-19'!E16</f>
        <v>2387</v>
      </c>
      <c r="AD12" s="47">
        <v>2347</v>
      </c>
      <c r="AE12" s="48"/>
      <c r="AF12" s="35" t="s">
        <v>35</v>
      </c>
      <c r="AG12" s="49" t="s">
        <v>36</v>
      </c>
      <c r="AH12" s="50">
        <v>2379</v>
      </c>
      <c r="AI12" s="50">
        <f t="shared" si="0"/>
        <v>2347</v>
      </c>
      <c r="AJ12" s="50" t="s">
        <v>37</v>
      </c>
      <c r="AK12" s="51"/>
      <c r="AL12" s="42">
        <v>2250</v>
      </c>
      <c r="AM12" s="42">
        <v>2142</v>
      </c>
      <c r="AN12" s="42">
        <v>2142</v>
      </c>
      <c r="AO12" s="51"/>
      <c r="AP12" s="43">
        <f>'[1]2020-21'!E16</f>
        <v>2270</v>
      </c>
      <c r="AQ12" s="44">
        <f>'[1]2021-22'!E16</f>
        <v>2430</v>
      </c>
      <c r="AR12" s="45"/>
      <c r="AS12" s="46">
        <f t="shared" si="4"/>
        <v>2592</v>
      </c>
      <c r="AT12" s="45"/>
      <c r="AU12" s="167">
        <f>'[1]2022-23'!E16</f>
        <v>2592</v>
      </c>
      <c r="AV12" s="41"/>
      <c r="AW12" s="42">
        <f>+AU12</f>
        <v>2592</v>
      </c>
      <c r="AX12" s="41"/>
      <c r="AY12" s="46" t="e">
        <f>AU12-#REF!</f>
        <v>#REF!</v>
      </c>
      <c r="AZ12" s="46">
        <v>2430</v>
      </c>
    </row>
    <row r="13" spans="1:52" ht="15.35" x14ac:dyDescent="0.5">
      <c r="A13" s="35" t="s">
        <v>38</v>
      </c>
      <c r="B13" s="36"/>
      <c r="C13" s="40"/>
      <c r="D13" s="38"/>
      <c r="E13" s="39"/>
      <c r="F13" s="40"/>
      <c r="G13" s="40"/>
      <c r="H13" s="41"/>
      <c r="I13" s="41"/>
      <c r="J13" s="39"/>
      <c r="K13" s="37"/>
      <c r="L13" s="41"/>
      <c r="M13" s="41"/>
      <c r="N13" s="40"/>
      <c r="O13" s="41"/>
      <c r="P13" s="37"/>
      <c r="Q13" s="37">
        <v>2420</v>
      </c>
      <c r="R13" s="38"/>
      <c r="S13" s="40"/>
      <c r="T13" s="40">
        <v>2404</v>
      </c>
      <c r="U13" s="41"/>
      <c r="V13" s="40">
        <f>'[1]2017-18'!E17</f>
        <v>2410</v>
      </c>
      <c r="W13" s="40"/>
      <c r="X13" s="40">
        <v>2367</v>
      </c>
      <c r="Y13" s="40"/>
      <c r="AC13" s="40">
        <f>'[1]2018-19'!E17</f>
        <v>2387</v>
      </c>
      <c r="AD13" s="39">
        <v>2336</v>
      </c>
      <c r="AE13" s="41"/>
      <c r="AF13" s="35" t="s">
        <v>38</v>
      </c>
      <c r="AG13" s="40">
        <f>'[1]2019-20'!E17</f>
        <v>2339</v>
      </c>
      <c r="AH13" s="42">
        <v>2367</v>
      </c>
      <c r="AI13" s="42">
        <f t="shared" si="0"/>
        <v>2336</v>
      </c>
      <c r="AJ13" s="42">
        <v>2313</v>
      </c>
      <c r="AK13" s="38"/>
      <c r="AL13" s="42">
        <v>2250</v>
      </c>
      <c r="AM13" s="42">
        <v>2146</v>
      </c>
      <c r="AN13" s="42">
        <v>2146</v>
      </c>
      <c r="AO13" s="38"/>
      <c r="AP13" s="42">
        <f>'[1]2020-21'!E17</f>
        <v>2270</v>
      </c>
      <c r="AQ13" s="44">
        <f>'[1]2021-22'!E17</f>
        <v>2430</v>
      </c>
      <c r="AR13" s="45"/>
      <c r="AS13" s="46">
        <f t="shared" si="4"/>
        <v>2592</v>
      </c>
      <c r="AT13" s="45"/>
      <c r="AU13" s="167">
        <f>'[1]2022-23'!E17</f>
        <v>2592</v>
      </c>
      <c r="AV13" s="41"/>
      <c r="AW13" s="42">
        <f>+AU13</f>
        <v>2592</v>
      </c>
      <c r="AX13" s="41"/>
      <c r="AY13" s="46" t="e">
        <f>AU13-#REF!</f>
        <v>#REF!</v>
      </c>
      <c r="AZ13" s="46">
        <v>2430</v>
      </c>
    </row>
    <row r="14" spans="1:52" ht="15.75" hidden="1" customHeight="1" x14ac:dyDescent="0.5">
      <c r="A14" s="35" t="s">
        <v>39</v>
      </c>
      <c r="B14" s="36"/>
      <c r="C14" s="40">
        <v>29950</v>
      </c>
      <c r="D14" s="38"/>
      <c r="E14" s="39">
        <f>'[1]2013-14'!E9</f>
        <v>31118</v>
      </c>
      <c r="F14" s="40">
        <v>31118</v>
      </c>
      <c r="G14" s="40">
        <v>31118</v>
      </c>
      <c r="H14" s="41"/>
      <c r="I14" s="41"/>
      <c r="J14" s="39">
        <f>'[1]2014-15'!E9</f>
        <v>32043</v>
      </c>
      <c r="K14" s="37">
        <v>32043</v>
      </c>
      <c r="L14" s="41"/>
      <c r="M14" s="41"/>
      <c r="N14" s="40">
        <f>+'[1]2015-16'!E10</f>
        <v>33165</v>
      </c>
      <c r="O14" s="41"/>
      <c r="P14" s="37">
        <v>33165</v>
      </c>
      <c r="Q14" s="37">
        <v>33165</v>
      </c>
      <c r="R14" s="38"/>
      <c r="S14" s="40">
        <f>'[1]2016-17'!E10</f>
        <v>34326</v>
      </c>
      <c r="T14" s="40">
        <v>34326</v>
      </c>
      <c r="U14" s="41"/>
      <c r="V14" s="40">
        <f>'[1]2017-18'!E10</f>
        <v>0</v>
      </c>
      <c r="W14" s="40">
        <f t="shared" si="1"/>
        <v>0</v>
      </c>
      <c r="X14" s="40">
        <f t="shared" si="1"/>
        <v>0</v>
      </c>
      <c r="Y14" s="40">
        <f t="shared" si="2"/>
        <v>0</v>
      </c>
      <c r="AC14" s="40">
        <f>'[1]2017-18'!J10</f>
        <v>0</v>
      </c>
      <c r="AD14" s="39"/>
      <c r="AE14" s="41"/>
      <c r="AF14" s="35" t="s">
        <v>39</v>
      </c>
      <c r="AG14" s="40">
        <f>'[1]2019-20'!E10</f>
        <v>38055</v>
      </c>
      <c r="AH14" s="42">
        <f t="shared" si="3"/>
        <v>38055</v>
      </c>
      <c r="AI14" s="42">
        <f t="shared" si="0"/>
        <v>0</v>
      </c>
      <c r="AJ14" s="42">
        <f>'[1]2019-20'!F10</f>
        <v>0</v>
      </c>
      <c r="AK14" s="38"/>
      <c r="AL14" s="42">
        <v>5525.0740740740739</v>
      </c>
      <c r="AM14" s="42">
        <v>5525.0740740740739</v>
      </c>
      <c r="AN14" s="42">
        <v>5525.0740740740739</v>
      </c>
      <c r="AO14" s="38"/>
      <c r="AP14" s="42">
        <f>'[1]2020-21'!E14+'[1]2020-21'!E17</f>
        <v>5525.0740740740739</v>
      </c>
      <c r="AQ14" s="44">
        <f>'[1]2020-21'!F14+'[1]2020-21'!F17</f>
        <v>0</v>
      </c>
      <c r="AR14" s="45"/>
      <c r="AS14" s="46">
        <f t="shared" si="4"/>
        <v>0</v>
      </c>
      <c r="AT14" s="45"/>
      <c r="AU14" s="46">
        <f>'[1]2020-21'!G14+'[1]2020-21'!G17</f>
        <v>0</v>
      </c>
      <c r="AV14" s="41"/>
      <c r="AW14" s="42"/>
      <c r="AX14" s="41"/>
      <c r="AY14" s="46" t="e">
        <f>AU14-#REF!</f>
        <v>#REF!</v>
      </c>
      <c r="AZ14" s="46">
        <f>AV14-AR14</f>
        <v>0</v>
      </c>
    </row>
    <row r="15" spans="1:52" ht="15.75" hidden="1" customHeight="1" x14ac:dyDescent="0.5">
      <c r="A15" s="35" t="s">
        <v>40</v>
      </c>
      <c r="B15" s="36"/>
      <c r="C15" s="40"/>
      <c r="D15" s="38"/>
      <c r="E15" s="39">
        <f>'[1]2013-14'!E10</f>
        <v>30450.5</v>
      </c>
      <c r="F15" s="40">
        <v>30450.5</v>
      </c>
      <c r="G15" s="40">
        <v>30450.5</v>
      </c>
      <c r="H15" s="41"/>
      <c r="I15" s="41"/>
      <c r="J15" s="39">
        <f>'[1]2014-15'!E10</f>
        <v>32043</v>
      </c>
      <c r="K15" s="37">
        <v>32043</v>
      </c>
      <c r="L15" s="41"/>
      <c r="M15" s="41"/>
      <c r="N15" s="40">
        <f>+'[1]2015-16'!E11</f>
        <v>33165</v>
      </c>
      <c r="O15" s="41"/>
      <c r="P15" s="37">
        <v>33165</v>
      </c>
      <c r="Q15" s="37">
        <v>33165</v>
      </c>
      <c r="R15" s="38"/>
      <c r="S15" s="40">
        <f>'[1]2016-17'!E11</f>
        <v>34326</v>
      </c>
      <c r="T15" s="40">
        <v>34326</v>
      </c>
      <c r="U15" s="41"/>
      <c r="V15" s="40">
        <f>'[1]2017-18'!E11</f>
        <v>35435</v>
      </c>
      <c r="W15" s="40">
        <f t="shared" si="1"/>
        <v>35435</v>
      </c>
      <c r="X15" s="40">
        <f t="shared" si="1"/>
        <v>35435</v>
      </c>
      <c r="Y15" s="40">
        <f t="shared" si="2"/>
        <v>0</v>
      </c>
      <c r="AC15" s="40">
        <f>+'[1]2018-19'!E11</f>
        <v>36675</v>
      </c>
      <c r="AD15" s="39">
        <v>36675</v>
      </c>
      <c r="AE15" s="41"/>
      <c r="AF15" s="35" t="s">
        <v>40</v>
      </c>
      <c r="AG15" s="40">
        <f>'[1]2019-20'!E11</f>
        <v>38055</v>
      </c>
      <c r="AH15" s="42">
        <f t="shared" si="3"/>
        <v>38055</v>
      </c>
      <c r="AI15" s="42">
        <f t="shared" si="0"/>
        <v>36675</v>
      </c>
      <c r="AJ15" s="42">
        <f>'[1]2019-20'!F11</f>
        <v>0</v>
      </c>
      <c r="AK15" s="38"/>
      <c r="AL15" s="42">
        <v>675</v>
      </c>
      <c r="AM15" s="42">
        <v>675</v>
      </c>
      <c r="AN15" s="42">
        <v>675</v>
      </c>
      <c r="AO15" s="38"/>
      <c r="AP15" s="42">
        <f>'[1]2020-21'!E15+'[1]2020-21'!E18</f>
        <v>675</v>
      </c>
      <c r="AQ15" s="44">
        <f>'[1]2020-21'!F15+'[1]2020-21'!F18</f>
        <v>0</v>
      </c>
      <c r="AR15" s="45"/>
      <c r="AS15" s="46">
        <f t="shared" si="4"/>
        <v>0</v>
      </c>
      <c r="AT15" s="45"/>
      <c r="AU15" s="46">
        <f>'[1]2020-21'!G15+'[1]2020-21'!G18</f>
        <v>0</v>
      </c>
      <c r="AV15" s="41"/>
      <c r="AW15" s="42"/>
      <c r="AX15" s="41"/>
      <c r="AY15" s="46" t="e">
        <f>AU15-#REF!</f>
        <v>#REF!</v>
      </c>
      <c r="AZ15" s="46">
        <f>AV15-AR15</f>
        <v>0</v>
      </c>
    </row>
    <row r="16" spans="1:52" ht="15.75" hidden="1" customHeight="1" x14ac:dyDescent="0.5">
      <c r="A16" s="35" t="s">
        <v>41</v>
      </c>
      <c r="B16" s="36"/>
      <c r="C16" s="40">
        <v>250</v>
      </c>
      <c r="D16" s="38"/>
      <c r="E16" s="39">
        <f>'[1]2013-14'!E11</f>
        <v>250</v>
      </c>
      <c r="F16" s="40">
        <v>250</v>
      </c>
      <c r="G16" s="40">
        <v>250</v>
      </c>
      <c r="H16" s="41"/>
      <c r="I16" s="41"/>
      <c r="J16" s="39">
        <f>'[1]2014-15'!E11</f>
        <v>250</v>
      </c>
      <c r="K16" s="37">
        <v>250</v>
      </c>
      <c r="L16" s="41"/>
      <c r="M16" s="41"/>
      <c r="N16" s="40">
        <f>+'[1]2015-16'!E12</f>
        <v>250</v>
      </c>
      <c r="O16" s="41"/>
      <c r="P16" s="37">
        <v>250</v>
      </c>
      <c r="Q16" s="37">
        <v>250</v>
      </c>
      <c r="R16" s="38"/>
      <c r="S16" s="40">
        <f>'[1]2016-17'!E12</f>
        <v>285</v>
      </c>
      <c r="T16" s="40">
        <v>285</v>
      </c>
      <c r="U16" s="41"/>
      <c r="V16" s="40">
        <f>'[1]2017-18'!E12</f>
        <v>300</v>
      </c>
      <c r="W16" s="40">
        <f t="shared" si="1"/>
        <v>300</v>
      </c>
      <c r="X16" s="40">
        <f t="shared" si="1"/>
        <v>300</v>
      </c>
      <c r="Y16" s="40">
        <f t="shared" si="2"/>
        <v>0</v>
      </c>
      <c r="AC16" s="40">
        <f>+'[1]2018-19'!E12</f>
        <v>300</v>
      </c>
      <c r="AD16" s="39">
        <v>300</v>
      </c>
      <c r="AE16" s="41"/>
      <c r="AF16" s="35" t="s">
        <v>41</v>
      </c>
      <c r="AG16" s="40">
        <f>'[1]2019-20'!E12</f>
        <v>300</v>
      </c>
      <c r="AH16" s="42">
        <f t="shared" si="3"/>
        <v>300</v>
      </c>
      <c r="AI16" s="42">
        <f t="shared" si="0"/>
        <v>300</v>
      </c>
      <c r="AJ16" s="42">
        <f>'[1]2019-20'!F12</f>
        <v>0</v>
      </c>
      <c r="AK16" s="38"/>
      <c r="AL16" s="42">
        <v>2270</v>
      </c>
      <c r="AM16" s="42">
        <v>2270</v>
      </c>
      <c r="AN16" s="42">
        <v>2270</v>
      </c>
      <c r="AO16" s="38"/>
      <c r="AP16" s="42">
        <f>'[1]2020-21'!E16+'[1]2020-21'!E19</f>
        <v>2270</v>
      </c>
      <c r="AQ16" s="44">
        <f>'[1]2020-21'!F16+'[1]2020-21'!F19</f>
        <v>0</v>
      </c>
      <c r="AR16" s="45"/>
      <c r="AS16" s="46">
        <f t="shared" si="4"/>
        <v>0</v>
      </c>
      <c r="AT16" s="45"/>
      <c r="AU16" s="46">
        <f>'[1]2020-21'!G16+'[1]2020-21'!G19</f>
        <v>0</v>
      </c>
      <c r="AV16" s="41"/>
      <c r="AW16" s="42"/>
      <c r="AX16" s="41"/>
      <c r="AY16" s="46" t="e">
        <f>AU16-#REF!</f>
        <v>#REF!</v>
      </c>
      <c r="AZ16" s="46">
        <f>AV16-AR16</f>
        <v>0</v>
      </c>
    </row>
    <row r="17" spans="1:53" ht="15.75" hidden="1" customHeight="1" x14ac:dyDescent="0.5">
      <c r="A17" s="35" t="s">
        <v>42</v>
      </c>
      <c r="B17" s="36"/>
      <c r="C17" s="40">
        <f>C9+C16</f>
        <v>28915</v>
      </c>
      <c r="D17" s="38"/>
      <c r="E17" s="39">
        <f>+E16+E9</f>
        <v>30033</v>
      </c>
      <c r="F17" s="40">
        <v>30033</v>
      </c>
      <c r="G17" s="40">
        <v>30033</v>
      </c>
      <c r="H17" s="41"/>
      <c r="I17" s="41"/>
      <c r="J17" s="39">
        <f>'[1]2014-15'!E12</f>
        <v>32293</v>
      </c>
      <c r="K17" s="37">
        <v>32293</v>
      </c>
      <c r="L17" s="41"/>
      <c r="M17" s="41"/>
      <c r="N17" s="40">
        <f>+'[1]2015-16'!E13</f>
        <v>33415</v>
      </c>
      <c r="O17" s="41"/>
      <c r="P17" s="37">
        <v>33415</v>
      </c>
      <c r="Q17" s="37">
        <v>33415</v>
      </c>
      <c r="R17" s="38"/>
      <c r="S17" s="40">
        <f>'[1]2016-17'!E13</f>
        <v>34611</v>
      </c>
      <c r="T17" s="40">
        <v>34611</v>
      </c>
      <c r="U17" s="41"/>
      <c r="V17" s="40">
        <f>'[1]2017-18'!E13</f>
        <v>35735</v>
      </c>
      <c r="W17" s="40">
        <f t="shared" si="1"/>
        <v>35735</v>
      </c>
      <c r="X17" s="40">
        <f t="shared" si="1"/>
        <v>35735</v>
      </c>
      <c r="Y17" s="40">
        <f t="shared" si="2"/>
        <v>0</v>
      </c>
      <c r="AC17" s="40">
        <f>'[1]2018-19'!E13</f>
        <v>36975</v>
      </c>
      <c r="AD17" s="39">
        <v>36975</v>
      </c>
      <c r="AE17" s="41"/>
      <c r="AF17" s="35" t="s">
        <v>42</v>
      </c>
      <c r="AG17" s="40">
        <f>'[1]2019-20'!E13</f>
        <v>38355</v>
      </c>
      <c r="AH17" s="42">
        <f t="shared" si="3"/>
        <v>38355</v>
      </c>
      <c r="AI17" s="42">
        <f t="shared" si="0"/>
        <v>36975</v>
      </c>
      <c r="AJ17" s="42">
        <f>'[1]2019-20'!F13</f>
        <v>0</v>
      </c>
      <c r="AK17" s="38"/>
      <c r="AL17" s="42">
        <v>2270</v>
      </c>
      <c r="AM17" s="42">
        <v>2270</v>
      </c>
      <c r="AN17" s="42">
        <v>2270</v>
      </c>
      <c r="AO17" s="38"/>
      <c r="AP17" s="42">
        <f>'[1]2020-21'!E17+'[1]2020-21'!E20</f>
        <v>2270</v>
      </c>
      <c r="AQ17" s="44">
        <f>'[1]2020-21'!F17+'[1]2020-21'!F20</f>
        <v>0</v>
      </c>
      <c r="AR17" s="45"/>
      <c r="AS17" s="46">
        <f t="shared" si="4"/>
        <v>0</v>
      </c>
      <c r="AT17" s="45"/>
      <c r="AU17" s="46">
        <f>'[1]2020-21'!G17+'[1]2020-21'!G20</f>
        <v>0</v>
      </c>
      <c r="AV17" s="41"/>
      <c r="AW17" s="42"/>
      <c r="AX17" s="41"/>
      <c r="AY17" s="46" t="e">
        <f>AU17-#REF!</f>
        <v>#REF!</v>
      </c>
      <c r="AZ17" s="46">
        <f>AV17-AR17</f>
        <v>0</v>
      </c>
    </row>
    <row r="18" spans="1:53" ht="15.75" hidden="1" customHeight="1" x14ac:dyDescent="0.5">
      <c r="A18" s="35" t="s">
        <v>43</v>
      </c>
      <c r="B18" s="36"/>
      <c r="C18" s="40">
        <f>C14+C16</f>
        <v>30200</v>
      </c>
      <c r="D18" s="38"/>
      <c r="E18" s="39">
        <f t="shared" ref="E18" si="5">E14+E16</f>
        <v>31368</v>
      </c>
      <c r="F18" s="40">
        <v>31368</v>
      </c>
      <c r="G18" s="40">
        <v>31368</v>
      </c>
      <c r="H18" s="41"/>
      <c r="I18" s="41"/>
      <c r="J18" s="39">
        <f>J14+J16</f>
        <v>32293</v>
      </c>
      <c r="K18" s="37">
        <v>32293</v>
      </c>
      <c r="L18" s="41"/>
      <c r="M18" s="41"/>
      <c r="N18" s="40">
        <f>N14+N16</f>
        <v>33415</v>
      </c>
      <c r="O18" s="41"/>
      <c r="P18" s="37">
        <v>33415</v>
      </c>
      <c r="Q18" s="37">
        <v>33415</v>
      </c>
      <c r="R18" s="38"/>
      <c r="S18" s="40">
        <f>S14+S16</f>
        <v>34611</v>
      </c>
      <c r="T18" s="40">
        <v>34611</v>
      </c>
      <c r="U18" s="41"/>
      <c r="V18" s="40">
        <f>'[1]2017-18'!E14</f>
        <v>2814.8148148148148</v>
      </c>
      <c r="W18" s="40">
        <f t="shared" si="1"/>
        <v>2814.8148148148148</v>
      </c>
      <c r="X18" s="40">
        <f t="shared" si="1"/>
        <v>2814.8148148148148</v>
      </c>
      <c r="Y18" s="40">
        <f t="shared" si="2"/>
        <v>0</v>
      </c>
      <c r="AC18" s="40">
        <f>'[1]2017-18'!J14</f>
        <v>0</v>
      </c>
      <c r="AD18" s="39"/>
      <c r="AE18" s="41"/>
      <c r="AF18" s="35" t="s">
        <v>43</v>
      </c>
      <c r="AG18" s="40">
        <f>'[1]2019-20'!E14</f>
        <v>2886.3392592592591</v>
      </c>
      <c r="AH18" s="42">
        <f t="shared" si="3"/>
        <v>2886.3392592592591</v>
      </c>
      <c r="AI18" s="42">
        <f t="shared" si="0"/>
        <v>0</v>
      </c>
      <c r="AJ18" s="42">
        <f>'[1]2019-20'!F14</f>
        <v>0</v>
      </c>
      <c r="AK18" s="38"/>
      <c r="AL18" s="42">
        <v>0</v>
      </c>
      <c r="AM18" s="42">
        <v>0</v>
      </c>
      <c r="AN18" s="42">
        <v>0</v>
      </c>
      <c r="AO18" s="38"/>
      <c r="AP18" s="42">
        <f>'[1]2020-21'!E18+'[1]2020-21'!E21</f>
        <v>0</v>
      </c>
      <c r="AQ18" s="44">
        <f>'[1]2020-21'!F18+'[1]2020-21'!F21</f>
        <v>0</v>
      </c>
      <c r="AR18" s="45"/>
      <c r="AS18" s="46">
        <f t="shared" si="4"/>
        <v>0</v>
      </c>
      <c r="AT18" s="45"/>
      <c r="AU18" s="46">
        <f>'[1]2020-21'!G18+'[1]2020-21'!G21</f>
        <v>0</v>
      </c>
      <c r="AV18" s="41"/>
      <c r="AW18" s="42"/>
      <c r="AX18" s="41"/>
      <c r="AY18" s="46" t="e">
        <f>AU18-#REF!</f>
        <v>#REF!</v>
      </c>
      <c r="AZ18" s="46">
        <f>AV18-AR18</f>
        <v>0</v>
      </c>
    </row>
    <row r="19" spans="1:53" ht="15.35" x14ac:dyDescent="0.5">
      <c r="A19" s="35" t="s">
        <v>44</v>
      </c>
      <c r="B19" s="36"/>
      <c r="C19" s="40">
        <f>(1640640/500)</f>
        <v>3281.28</v>
      </c>
      <c r="D19" s="38"/>
      <c r="E19" s="39">
        <f>+'[1]2013-14'!E13</f>
        <v>3752.9540000000002</v>
      </c>
      <c r="F19" s="40">
        <f>(1793000-156250)/500</f>
        <v>3273.5</v>
      </c>
      <c r="G19" s="40">
        <f>(892108.75+732474)/500</f>
        <v>3249.1655000000001</v>
      </c>
      <c r="H19" s="41"/>
      <c r="I19" s="41"/>
      <c r="J19" s="39">
        <f>'[1]2014-15'!E13</f>
        <v>3752.9540000000002</v>
      </c>
      <c r="K19" s="37">
        <f>(1793000-301848)/500</f>
        <v>2982.3040000000001</v>
      </c>
      <c r="L19" s="41"/>
      <c r="M19" s="41"/>
      <c r="N19" s="40">
        <f>+'[1]2015-16'!E14</f>
        <v>3752.9540000000002</v>
      </c>
      <c r="O19" s="41"/>
      <c r="P19" s="37">
        <v>3752.9540000000002</v>
      </c>
      <c r="Q19" s="37">
        <f>1207289/500</f>
        <v>2414.578</v>
      </c>
      <c r="R19" s="38"/>
      <c r="S19" s="40">
        <f>'[1]2016-17'!E14</f>
        <v>3300.3040000000001</v>
      </c>
      <c r="T19" s="40">
        <f>(1195971/675)</f>
        <v>1771.808888888889</v>
      </c>
      <c r="U19" s="41"/>
      <c r="V19" s="40">
        <f>'[1]2017-18'!E14</f>
        <v>2814.8148148148148</v>
      </c>
      <c r="W19" s="40">
        <f t="shared" si="1"/>
        <v>2814.8148148148148</v>
      </c>
      <c r="X19" s="40">
        <f>X32/675</f>
        <v>2622.3748148148147</v>
      </c>
      <c r="Y19" s="40">
        <f t="shared" si="2"/>
        <v>-192.44000000000005</v>
      </c>
      <c r="AC19" s="40">
        <f>'[1]2018-19'!E14</f>
        <v>2814.8148148148148</v>
      </c>
      <c r="AD19" s="39">
        <f>AD32/675</f>
        <v>2476.8948148148147</v>
      </c>
      <c r="AE19" s="41"/>
      <c r="AF19" s="35" t="s">
        <v>44</v>
      </c>
      <c r="AG19" s="40">
        <v>2927</v>
      </c>
      <c r="AH19" s="42">
        <f>AH32/675</f>
        <v>2622.3748148148147</v>
      </c>
      <c r="AI19" s="42">
        <f t="shared" si="0"/>
        <v>2476.8948148148147</v>
      </c>
      <c r="AJ19" s="42">
        <f>(AJ32+AJ33)/675</f>
        <v>3613.514074074074</v>
      </c>
      <c r="AK19" s="38"/>
      <c r="AL19" s="42">
        <v>3255.0740740740739</v>
      </c>
      <c r="AM19" s="42">
        <v>3175</v>
      </c>
      <c r="AN19" s="42">
        <f>(AN32+AN33)/675</f>
        <v>5651.103703703704</v>
      </c>
      <c r="AO19" s="38"/>
      <c r="AP19" s="42">
        <f>'[1]2020-21'!E14</f>
        <v>3255.0740740740739</v>
      </c>
      <c r="AQ19" s="44">
        <f>'[1]2021-22'!E14</f>
        <v>3619.8844444444444</v>
      </c>
      <c r="AR19" s="45"/>
      <c r="AS19" s="46">
        <f t="shared" si="4"/>
        <v>3946.6814814814816</v>
      </c>
      <c r="AT19" s="45"/>
      <c r="AU19" s="46">
        <f>'[1]2022-23'!E14</f>
        <v>3946.6814814814816</v>
      </c>
      <c r="AV19" s="41"/>
      <c r="AW19" s="42">
        <f>+AU19</f>
        <v>3946.6814814814816</v>
      </c>
      <c r="AX19" s="41"/>
      <c r="AY19" s="46" t="e">
        <f>AU19-#REF!</f>
        <v>#REF!</v>
      </c>
      <c r="AZ19" s="46">
        <v>3610</v>
      </c>
    </row>
    <row r="20" spans="1:53" ht="15.75" hidden="1" customHeight="1" x14ac:dyDescent="0.5">
      <c r="A20" s="35" t="s">
        <v>45</v>
      </c>
      <c r="B20" s="36"/>
      <c r="C20" s="40">
        <v>500</v>
      </c>
      <c r="D20" s="38"/>
      <c r="E20" s="39">
        <f>+'[1]2013-14'!E14</f>
        <v>500</v>
      </c>
      <c r="F20" s="40">
        <v>500</v>
      </c>
      <c r="G20" s="40">
        <v>500</v>
      </c>
      <c r="H20" s="41"/>
      <c r="I20" s="41"/>
      <c r="J20" s="39">
        <f>'[1]2014-15'!E14</f>
        <v>500</v>
      </c>
      <c r="K20" s="37">
        <v>500</v>
      </c>
      <c r="L20" s="41"/>
      <c r="M20" s="41"/>
      <c r="N20" s="40">
        <f>+'[1]2015-16'!E15</f>
        <v>500</v>
      </c>
      <c r="O20" s="41"/>
      <c r="P20" s="37">
        <v>500</v>
      </c>
      <c r="Q20" s="37">
        <v>500</v>
      </c>
      <c r="R20" s="38"/>
      <c r="S20" s="40">
        <f>'[1]2016-17'!E15</f>
        <v>675</v>
      </c>
      <c r="T20" s="40">
        <v>675</v>
      </c>
      <c r="U20" s="41"/>
      <c r="V20" s="40">
        <f>'[1]2017-18'!E15</f>
        <v>675</v>
      </c>
      <c r="W20" s="40">
        <f t="shared" si="1"/>
        <v>675</v>
      </c>
      <c r="X20" s="40">
        <f t="shared" si="1"/>
        <v>675</v>
      </c>
      <c r="Y20" s="40">
        <f t="shared" si="2"/>
        <v>0</v>
      </c>
      <c r="AC20" s="40">
        <f>'[1]2018-19'!E15</f>
        <v>675</v>
      </c>
      <c r="AD20" s="39">
        <v>675</v>
      </c>
      <c r="AE20" s="41"/>
      <c r="AF20" s="35" t="s">
        <v>45</v>
      </c>
      <c r="AG20" s="40">
        <f>'[1]2019-20'!E15</f>
        <v>675</v>
      </c>
      <c r="AH20" s="42">
        <f t="shared" si="3"/>
        <v>675</v>
      </c>
      <c r="AI20" s="42">
        <f t="shared" si="0"/>
        <v>675</v>
      </c>
      <c r="AJ20" s="42">
        <f>'[1]2019-20'!F15</f>
        <v>0</v>
      </c>
      <c r="AK20" s="38"/>
      <c r="AL20" s="42"/>
      <c r="AM20" s="42"/>
      <c r="AN20" s="42"/>
      <c r="AO20" s="38"/>
      <c r="AP20" s="42">
        <f>'[1]2020-21'!E15</f>
        <v>675</v>
      </c>
      <c r="AQ20" s="44"/>
      <c r="AR20" s="45"/>
      <c r="AS20" s="46"/>
      <c r="AT20" s="45"/>
      <c r="AU20" s="46"/>
      <c r="AV20" s="41"/>
      <c r="AW20" s="42"/>
      <c r="AX20" s="41"/>
      <c r="AY20" s="46"/>
      <c r="AZ20" s="46"/>
    </row>
    <row r="21" spans="1:53" ht="15.75" hidden="1" customHeight="1" x14ac:dyDescent="0.5">
      <c r="A21" s="35" t="s">
        <v>35</v>
      </c>
      <c r="B21" s="36"/>
      <c r="C21" s="40">
        <v>2414</v>
      </c>
      <c r="D21" s="38"/>
      <c r="E21" s="39">
        <f>+'[1]2013-14'!E15</f>
        <v>2435</v>
      </c>
      <c r="F21" s="40">
        <v>2403</v>
      </c>
      <c r="G21" s="40">
        <v>2403</v>
      </c>
      <c r="H21" s="41"/>
      <c r="I21" s="41"/>
      <c r="J21" s="39">
        <f>'[1]2014-15'!E15</f>
        <v>2369</v>
      </c>
      <c r="K21" s="37">
        <v>2414</v>
      </c>
      <c r="L21" s="41"/>
      <c r="M21" s="41"/>
      <c r="N21" s="40">
        <f>+'[1]2015-16'!E16</f>
        <v>2377</v>
      </c>
      <c r="O21" s="41"/>
      <c r="P21" s="37">
        <v>2377</v>
      </c>
      <c r="Q21" s="37">
        <v>2367</v>
      </c>
      <c r="R21" s="38"/>
      <c r="S21" s="40">
        <f>'[1]2016-17'!E16</f>
        <v>2377</v>
      </c>
      <c r="T21" s="40">
        <v>2408</v>
      </c>
      <c r="U21" s="41"/>
      <c r="V21" s="40">
        <f>'[1]2017-18'!E16</f>
        <v>2410</v>
      </c>
      <c r="W21" s="40">
        <v>2379</v>
      </c>
      <c r="X21" s="40">
        <v>2379</v>
      </c>
      <c r="Y21" s="40">
        <f t="shared" si="2"/>
        <v>-31</v>
      </c>
      <c r="AC21" s="40">
        <f>'[1]2018-19'!E16</f>
        <v>2387</v>
      </c>
      <c r="AD21" s="47" t="s">
        <v>46</v>
      </c>
      <c r="AE21" s="48"/>
      <c r="AF21" s="35" t="s">
        <v>35</v>
      </c>
      <c r="AG21" s="49" t="s">
        <v>47</v>
      </c>
      <c r="AH21" s="50">
        <v>2379</v>
      </c>
      <c r="AI21" s="50" t="str">
        <f t="shared" si="0"/>
        <v>2340/2446</v>
      </c>
      <c r="AJ21" s="50" t="s">
        <v>47</v>
      </c>
      <c r="AK21" s="51"/>
      <c r="AL21" s="50"/>
      <c r="AM21" s="50"/>
      <c r="AN21" s="50"/>
      <c r="AO21" s="51"/>
      <c r="AP21" s="50" t="s">
        <v>47</v>
      </c>
      <c r="AQ21" s="52"/>
      <c r="AR21" s="53"/>
      <c r="AS21" s="54"/>
      <c r="AT21" s="53"/>
      <c r="AU21" s="54"/>
      <c r="AV21" s="48"/>
      <c r="AW21" s="50"/>
      <c r="AX21" s="48"/>
      <c r="AY21" s="54"/>
      <c r="AZ21" s="54"/>
    </row>
    <row r="22" spans="1:53" ht="15.75" hidden="1" customHeight="1" x14ac:dyDescent="0.5">
      <c r="A22" s="35" t="s">
        <v>38</v>
      </c>
      <c r="B22" s="36"/>
      <c r="C22" s="40">
        <v>2490</v>
      </c>
      <c r="D22" s="38"/>
      <c r="E22" s="39">
        <f>+'[1]2013-14'!E16</f>
        <v>2435</v>
      </c>
      <c r="F22" s="40">
        <v>2422</v>
      </c>
      <c r="G22" s="40">
        <v>2397</v>
      </c>
      <c r="H22" s="41"/>
      <c r="I22" s="41"/>
      <c r="J22" s="39">
        <f>'[1]2014-15'!E16</f>
        <v>2369</v>
      </c>
      <c r="K22" s="37">
        <v>2424</v>
      </c>
      <c r="L22" s="41"/>
      <c r="M22" s="41"/>
      <c r="N22" s="40">
        <f>+'[1]2015-16'!E17</f>
        <v>2377</v>
      </c>
      <c r="O22" s="41"/>
      <c r="P22" s="37">
        <v>2377</v>
      </c>
      <c r="Q22" s="37">
        <v>2420</v>
      </c>
      <c r="R22" s="38"/>
      <c r="S22" s="40">
        <f>'[1]2016-17'!E17</f>
        <v>2377</v>
      </c>
      <c r="T22" s="40">
        <f>2456-52</f>
        <v>2404</v>
      </c>
      <c r="U22" s="41"/>
      <c r="V22" s="40">
        <f>'[1]2017-18'!E17</f>
        <v>2410</v>
      </c>
      <c r="W22" s="40">
        <v>2372</v>
      </c>
      <c r="X22" s="40">
        <f>2436-69</f>
        <v>2367</v>
      </c>
      <c r="Y22" s="40">
        <f t="shared" si="2"/>
        <v>-43</v>
      </c>
      <c r="AC22" s="40">
        <f>'[1]2018-19'!E17</f>
        <v>2387</v>
      </c>
      <c r="AD22" s="39">
        <v>2339</v>
      </c>
      <c r="AE22" s="41"/>
      <c r="AF22" s="35" t="s">
        <v>38</v>
      </c>
      <c r="AG22" s="40">
        <f>'[1]2019-20'!E17</f>
        <v>2339</v>
      </c>
      <c r="AH22" s="42">
        <f>2436-69</f>
        <v>2367</v>
      </c>
      <c r="AI22" s="42">
        <f t="shared" si="0"/>
        <v>2339</v>
      </c>
      <c r="AJ22" s="42">
        <f>'[1]2019-20'!F17</f>
        <v>0</v>
      </c>
      <c r="AK22" s="38"/>
      <c r="AL22" s="42"/>
      <c r="AM22" s="42"/>
      <c r="AN22" s="42"/>
      <c r="AO22" s="38"/>
      <c r="AP22" s="42">
        <v>2346</v>
      </c>
      <c r="AQ22" s="44"/>
      <c r="AR22" s="45"/>
      <c r="AS22" s="46"/>
      <c r="AT22" s="45"/>
      <c r="AU22" s="46"/>
      <c r="AV22" s="41"/>
      <c r="AW22" s="42"/>
      <c r="AX22" s="41"/>
      <c r="AY22" s="46"/>
      <c r="AZ22" s="46"/>
    </row>
    <row r="23" spans="1:53" ht="7.5" customHeight="1" x14ac:dyDescent="0.5">
      <c r="A23" s="35"/>
      <c r="B23" s="36"/>
      <c r="C23" s="55"/>
      <c r="D23" s="38"/>
      <c r="E23" s="56"/>
      <c r="F23" s="55"/>
      <c r="G23" s="55"/>
      <c r="H23" s="41"/>
      <c r="I23" s="41"/>
      <c r="J23" s="56"/>
      <c r="K23" s="57"/>
      <c r="L23" s="41"/>
      <c r="M23" s="41"/>
      <c r="N23" s="55"/>
      <c r="O23" s="41"/>
      <c r="P23" s="58"/>
      <c r="Q23" s="58"/>
      <c r="R23" s="59"/>
      <c r="S23" s="55"/>
      <c r="T23" s="55"/>
      <c r="U23" s="41"/>
      <c r="V23" s="55"/>
      <c r="W23" s="55"/>
      <c r="X23" s="55"/>
      <c r="Y23" s="55"/>
      <c r="AC23" s="55"/>
      <c r="AD23" s="56"/>
      <c r="AE23" s="41"/>
      <c r="AF23" s="35"/>
      <c r="AG23" s="55"/>
      <c r="AH23" s="60"/>
      <c r="AI23" s="60">
        <f t="shared" si="0"/>
        <v>0</v>
      </c>
      <c r="AJ23" s="60"/>
      <c r="AK23" s="61"/>
      <c r="AL23" s="60"/>
      <c r="AM23" s="60"/>
      <c r="AN23" s="60"/>
      <c r="AO23" s="61"/>
      <c r="AP23" s="60"/>
      <c r="AQ23" s="62"/>
      <c r="AR23" s="63"/>
      <c r="AS23" s="64"/>
      <c r="AT23" s="63"/>
      <c r="AU23" s="64"/>
      <c r="AV23" s="65"/>
      <c r="AW23" s="60"/>
      <c r="AX23" s="41"/>
      <c r="AY23" s="64"/>
      <c r="AZ23" s="64"/>
    </row>
    <row r="24" spans="1:53" ht="15" x14ac:dyDescent="0.4">
      <c r="A24" s="66" t="s">
        <v>48</v>
      </c>
      <c r="B24" s="67"/>
      <c r="C24" s="68"/>
      <c r="D24" s="68"/>
      <c r="E24" s="69"/>
      <c r="F24" s="68"/>
      <c r="G24" s="68"/>
      <c r="H24" s="70"/>
      <c r="I24" s="70"/>
      <c r="J24" s="69"/>
      <c r="K24" s="68"/>
      <c r="L24" s="70"/>
      <c r="M24" s="70"/>
      <c r="N24" s="68"/>
      <c r="O24" s="70"/>
      <c r="P24" s="71"/>
      <c r="Q24" s="71"/>
      <c r="R24" s="71"/>
      <c r="S24" s="68"/>
      <c r="T24" s="72"/>
      <c r="U24" s="70"/>
      <c r="V24" s="68"/>
      <c r="W24" s="68"/>
      <c r="X24" s="68"/>
      <c r="Y24" s="68"/>
      <c r="AC24" s="68"/>
      <c r="AD24" s="69"/>
      <c r="AE24" s="70"/>
      <c r="AF24" s="66" t="s">
        <v>48</v>
      </c>
      <c r="AG24" s="68"/>
      <c r="AH24" s="71"/>
      <c r="AI24" s="71">
        <f t="shared" si="0"/>
        <v>0</v>
      </c>
      <c r="AJ24" s="71"/>
      <c r="AK24" s="71"/>
      <c r="AL24" s="71"/>
      <c r="AM24" s="71"/>
      <c r="AN24" s="71"/>
      <c r="AO24" s="71"/>
      <c r="AP24" s="71"/>
      <c r="AQ24" s="73"/>
      <c r="AR24" s="74"/>
      <c r="AS24" s="74"/>
      <c r="AT24" s="74"/>
      <c r="AU24" s="74"/>
      <c r="AV24" s="70"/>
      <c r="AW24" s="71"/>
      <c r="AX24" s="70"/>
      <c r="AY24" s="74"/>
      <c r="AZ24" s="74"/>
    </row>
    <row r="25" spans="1:53" ht="15" hidden="1" customHeight="1" x14ac:dyDescent="0.4">
      <c r="A25" s="75" t="s">
        <v>49</v>
      </c>
      <c r="B25" s="67"/>
      <c r="C25" s="68"/>
      <c r="D25" s="68"/>
      <c r="E25" s="69"/>
      <c r="F25" s="68"/>
      <c r="G25" s="68"/>
      <c r="H25" s="70"/>
      <c r="I25" s="70"/>
      <c r="J25" s="69"/>
      <c r="K25" s="68"/>
      <c r="L25" s="70"/>
      <c r="M25" s="70"/>
      <c r="N25" s="68"/>
      <c r="O25" s="70"/>
      <c r="P25" s="71"/>
      <c r="Q25" s="71"/>
      <c r="R25" s="71"/>
      <c r="S25" s="68"/>
      <c r="T25" s="68"/>
      <c r="U25" s="70"/>
      <c r="V25" s="68"/>
      <c r="W25" s="68"/>
      <c r="X25" s="68"/>
      <c r="Y25" s="68"/>
      <c r="AC25" s="68"/>
      <c r="AD25" s="69"/>
      <c r="AE25" s="70"/>
      <c r="AF25" s="75" t="s">
        <v>49</v>
      </c>
      <c r="AG25" s="68"/>
      <c r="AH25" s="71"/>
      <c r="AI25" s="71">
        <f t="shared" si="0"/>
        <v>0</v>
      </c>
      <c r="AJ25" s="71"/>
      <c r="AK25" s="71"/>
      <c r="AL25" s="71"/>
      <c r="AM25" s="71"/>
      <c r="AN25" s="71"/>
      <c r="AO25" s="71"/>
      <c r="AP25" s="71"/>
      <c r="AQ25" s="73"/>
      <c r="AR25" s="74"/>
      <c r="AS25" s="74"/>
      <c r="AT25" s="74"/>
      <c r="AU25" s="74"/>
      <c r="AV25" s="70"/>
      <c r="AW25" s="71"/>
      <c r="AX25" s="70"/>
      <c r="AY25" s="74"/>
      <c r="AZ25" s="74"/>
    </row>
    <row r="26" spans="1:53" ht="15" x14ac:dyDescent="0.45">
      <c r="A26" s="75" t="s">
        <v>50</v>
      </c>
      <c r="B26" s="74"/>
      <c r="C26" s="76">
        <f>87902291-1640640-720902+157658</f>
        <v>85698407</v>
      </c>
      <c r="D26" s="76"/>
      <c r="E26" s="77">
        <f>'[1]2013-14'!E22+'[1]2013-14'!E23</f>
        <v>90269688</v>
      </c>
      <c r="F26" s="76">
        <f>90269688-1408672</f>
        <v>88861016</v>
      </c>
      <c r="G26" s="76">
        <f>90663924-1624583-823687</f>
        <v>88215654</v>
      </c>
      <c r="H26" s="78"/>
      <c r="I26" s="78"/>
      <c r="J26" s="77">
        <f>'[1]2014-15'!E22+'[1]2014-15'!E23</f>
        <v>90681690</v>
      </c>
      <c r="K26" s="76">
        <f>94798944-1491152-854335</f>
        <v>92453457</v>
      </c>
      <c r="L26" s="78"/>
      <c r="M26" s="78"/>
      <c r="N26" s="76">
        <f>'[1]2015-16'!E23+'[1]2015-16'!E24</f>
        <v>93193650</v>
      </c>
      <c r="O26" s="78"/>
      <c r="P26" s="79">
        <v>93193650</v>
      </c>
      <c r="Q26" s="79">
        <v>95462748</v>
      </c>
      <c r="R26" s="79"/>
      <c r="S26" s="76">
        <f>'[1]2016-17'!E23+'[1]2016-17'!E24</f>
        <v>98172360</v>
      </c>
      <c r="T26" s="76">
        <v>100196291</v>
      </c>
      <c r="U26" s="78"/>
      <c r="V26" s="76">
        <f>'[1]2017-18'!E23+'[1]2017-18'!E24</f>
        <v>103115850</v>
      </c>
      <c r="W26" s="76">
        <f>+V26+708700</f>
        <v>103824550</v>
      </c>
      <c r="X26" s="76">
        <f>106653976-1770103-1128058</f>
        <v>103755815</v>
      </c>
      <c r="Y26" s="76">
        <f>X26-V26</f>
        <v>639965</v>
      </c>
      <c r="AC26" s="76">
        <f>'[1]2018-19'!E23+'[1]2018-19'!E24</f>
        <v>109951650</v>
      </c>
      <c r="AD26" s="77">
        <f>109980688-AD32-AD33-AD37</f>
        <v>107213233</v>
      </c>
      <c r="AE26" s="80"/>
      <c r="AF26" s="81" t="s">
        <v>50</v>
      </c>
      <c r="AG26" s="82">
        <f>'[1]2019-20'!E24+'[1]2019-20'!E23</f>
        <v>110108949</v>
      </c>
      <c r="AH26" s="82">
        <f>106653976-1770103-1128058</f>
        <v>103755815</v>
      </c>
      <c r="AI26" s="82">
        <f t="shared" si="0"/>
        <v>107213233</v>
      </c>
      <c r="AJ26" s="82">
        <v>109706855</v>
      </c>
      <c r="AK26" s="82"/>
      <c r="AL26" s="82">
        <f>114072000+3802400</f>
        <v>117874400</v>
      </c>
      <c r="AM26" s="82">
        <f>+AL26-294000</f>
        <v>117580400</v>
      </c>
      <c r="AN26" s="82">
        <f>121204010-AN32-AN37</f>
        <v>117375023.73999999</v>
      </c>
      <c r="AO26" s="82"/>
      <c r="AP26" s="82">
        <f>'[1]2020-21'!E24+'[1]2020-21'!E23</f>
        <v>114072000</v>
      </c>
      <c r="AQ26" s="83">
        <f>'[1]2021-22'!E23+'[1]2021-22'!E24</f>
        <v>127680150</v>
      </c>
      <c r="AR26" s="84"/>
      <c r="AS26" s="85">
        <v>132170460</v>
      </c>
      <c r="AT26" s="84"/>
      <c r="AU26" s="85">
        <f>'[1]2022-23'!E23+'[1]2022-23'!E24</f>
        <v>132661800</v>
      </c>
      <c r="AV26" s="78"/>
      <c r="AW26" s="86">
        <f>AW7*(AW9-300)</f>
        <v>130082265</v>
      </c>
      <c r="AX26" s="78"/>
      <c r="AY26" s="85" t="e">
        <f>AU26-#REF!</f>
        <v>#REF!</v>
      </c>
      <c r="AZ26" s="85">
        <v>134479550</v>
      </c>
    </row>
    <row r="27" spans="1:53" ht="15" hidden="1" customHeight="1" x14ac:dyDescent="0.45">
      <c r="A27" s="75" t="s">
        <v>51</v>
      </c>
      <c r="B27" s="74"/>
      <c r="C27" s="76">
        <v>0</v>
      </c>
      <c r="D27" s="76"/>
      <c r="E27" s="77">
        <v>0</v>
      </c>
      <c r="F27" s="76">
        <v>0</v>
      </c>
      <c r="G27" s="76">
        <v>0</v>
      </c>
      <c r="H27" s="78"/>
      <c r="I27" s="78"/>
      <c r="J27" s="77">
        <v>0</v>
      </c>
      <c r="K27" s="76">
        <v>0</v>
      </c>
      <c r="L27" s="78"/>
      <c r="M27" s="78"/>
      <c r="N27" s="76">
        <v>0</v>
      </c>
      <c r="O27" s="78"/>
      <c r="P27" s="79">
        <v>0</v>
      </c>
      <c r="Q27" s="79">
        <v>0</v>
      </c>
      <c r="R27" s="79"/>
      <c r="S27" s="76">
        <v>0</v>
      </c>
      <c r="T27" s="76">
        <v>0</v>
      </c>
      <c r="U27" s="78"/>
      <c r="V27" s="76">
        <v>0</v>
      </c>
      <c r="W27" s="76">
        <v>0</v>
      </c>
      <c r="X27" s="76">
        <v>0</v>
      </c>
      <c r="Y27" s="76">
        <v>0</v>
      </c>
      <c r="AC27" s="76">
        <v>0</v>
      </c>
      <c r="AD27" s="77">
        <v>0</v>
      </c>
      <c r="AE27" s="78"/>
      <c r="AF27" s="75" t="s">
        <v>51</v>
      </c>
      <c r="AG27" s="76">
        <v>0</v>
      </c>
      <c r="AH27" s="79">
        <v>0</v>
      </c>
      <c r="AI27" s="79">
        <f t="shared" si="0"/>
        <v>0</v>
      </c>
      <c r="AJ27" s="79">
        <v>0</v>
      </c>
      <c r="AK27" s="79"/>
      <c r="AL27" s="79">
        <v>0</v>
      </c>
      <c r="AM27" s="79">
        <v>0</v>
      </c>
      <c r="AN27" s="79">
        <v>0</v>
      </c>
      <c r="AO27" s="79"/>
      <c r="AP27" s="79">
        <v>0</v>
      </c>
      <c r="AQ27" s="87">
        <v>0</v>
      </c>
      <c r="AR27" s="84"/>
      <c r="AS27" s="88">
        <v>0</v>
      </c>
      <c r="AT27" s="84"/>
      <c r="AU27" s="88">
        <v>0</v>
      </c>
      <c r="AV27" s="78"/>
      <c r="AW27" s="86"/>
      <c r="AX27" s="78"/>
      <c r="AY27" s="84"/>
      <c r="AZ27" s="84"/>
    </row>
    <row r="28" spans="1:53" ht="15" x14ac:dyDescent="0.45">
      <c r="A28" s="89" t="s">
        <v>52</v>
      </c>
      <c r="B28" s="74"/>
      <c r="C28" s="76"/>
      <c r="D28" s="76"/>
      <c r="E28" s="77"/>
      <c r="F28" s="76"/>
      <c r="G28" s="76"/>
      <c r="H28" s="78"/>
      <c r="I28" s="78"/>
      <c r="J28" s="77"/>
      <c r="K28" s="76"/>
      <c r="L28" s="78"/>
      <c r="M28" s="78"/>
      <c r="N28" s="76"/>
      <c r="O28" s="78"/>
      <c r="P28" s="79"/>
      <c r="Q28" s="79">
        <v>-54113551</v>
      </c>
      <c r="R28" s="79"/>
      <c r="S28" s="76"/>
      <c r="T28" s="76">
        <v>-59693905</v>
      </c>
      <c r="U28" s="78"/>
      <c r="V28" s="76">
        <f>'[1]2017-18'!E34</f>
        <v>-59589148</v>
      </c>
      <c r="W28" s="76"/>
      <c r="X28" s="76">
        <f>-62409317-383686</f>
        <v>-62793003</v>
      </c>
      <c r="Y28" s="76"/>
      <c r="AC28" s="76">
        <f>'[1]2018-19'!E34</f>
        <v>-66582524</v>
      </c>
      <c r="AD28" s="77">
        <v>-65414694</v>
      </c>
      <c r="AE28" s="90" t="s">
        <v>53</v>
      </c>
      <c r="AF28" s="89" t="s">
        <v>52</v>
      </c>
      <c r="AG28" s="76">
        <f>'[1]2019-20'!E36</f>
        <v>-69023476</v>
      </c>
      <c r="AH28" s="79">
        <f>-62409317-383686</f>
        <v>-62793003</v>
      </c>
      <c r="AI28" s="79">
        <f t="shared" si="0"/>
        <v>-65414694</v>
      </c>
      <c r="AJ28" s="79">
        <v>-68322489</v>
      </c>
      <c r="AK28" s="79"/>
      <c r="AL28" s="79">
        <f>-71975461-1070746-2300000</f>
        <v>-75346207</v>
      </c>
      <c r="AM28" s="79">
        <f>+AL28+228037+2300000</f>
        <v>-72818170</v>
      </c>
      <c r="AN28" s="79">
        <v>-71691172</v>
      </c>
      <c r="AO28" s="79"/>
      <c r="AP28" s="79">
        <f>'[1]2020-21'!E36</f>
        <v>-71975461</v>
      </c>
      <c r="AQ28" s="87">
        <f>'[1]2021-22'!E36</f>
        <v>-80892820</v>
      </c>
      <c r="AR28" s="84"/>
      <c r="AS28" s="84">
        <v>-83680464</v>
      </c>
      <c r="AT28" s="84"/>
      <c r="AU28" s="84">
        <f>'[1]2022-23'!E36</f>
        <v>-84923043</v>
      </c>
      <c r="AV28" s="78"/>
      <c r="AW28" s="79">
        <f>+AU28</f>
        <v>-84923043</v>
      </c>
      <c r="AX28" s="78"/>
      <c r="AY28" s="84" t="e">
        <f>AU28-#REF!</f>
        <v>#REF!</v>
      </c>
      <c r="AZ28" s="84">
        <v>-85960987</v>
      </c>
    </row>
    <row r="29" spans="1:53" ht="18" x14ac:dyDescent="0.9">
      <c r="A29" s="91" t="s">
        <v>54</v>
      </c>
      <c r="B29" s="74"/>
      <c r="C29" s="76"/>
      <c r="D29" s="76"/>
      <c r="E29" s="77"/>
      <c r="F29" s="76"/>
      <c r="G29" s="76"/>
      <c r="H29" s="78"/>
      <c r="I29" s="78"/>
      <c r="J29" s="77"/>
      <c r="K29" s="76"/>
      <c r="L29" s="78"/>
      <c r="M29" s="78"/>
      <c r="N29" s="76"/>
      <c r="O29" s="78"/>
      <c r="P29" s="79"/>
      <c r="Q29" s="92">
        <v>-2404795</v>
      </c>
      <c r="R29" s="79"/>
      <c r="S29" s="76"/>
      <c r="T29" s="93">
        <v>-2559561</v>
      </c>
      <c r="U29" s="78"/>
      <c r="V29" s="93">
        <f>'[1]2017-18'!E36</f>
        <v>-2839353.68</v>
      </c>
      <c r="W29" s="76"/>
      <c r="X29" s="93">
        <v>-2687205</v>
      </c>
      <c r="Y29" s="76"/>
      <c r="AC29" s="93">
        <f>'[1]2018-19'!E36</f>
        <v>-2892753.45</v>
      </c>
      <c r="AD29" s="94">
        <v>-2676280</v>
      </c>
      <c r="AE29" s="95"/>
      <c r="AF29" s="96" t="s">
        <v>54</v>
      </c>
      <c r="AG29" s="97">
        <f>'[1]2019-20'!E38</f>
        <v>-2963704.45</v>
      </c>
      <c r="AH29" s="97">
        <v>-2687205</v>
      </c>
      <c r="AI29" s="97">
        <f t="shared" si="0"/>
        <v>-2676280</v>
      </c>
      <c r="AJ29" s="97">
        <v>-2625463</v>
      </c>
      <c r="AK29" s="97"/>
      <c r="AL29" s="97">
        <v>-3157735.4898333298</v>
      </c>
      <c r="AM29" s="97">
        <f>+AL29</f>
        <v>-3157735.4898333298</v>
      </c>
      <c r="AN29" s="97">
        <v>-2902955</v>
      </c>
      <c r="AO29" s="97"/>
      <c r="AP29" s="97">
        <f>'[1]2020-21'!E38</f>
        <v>-3157735.4898333298</v>
      </c>
      <c r="AQ29" s="98">
        <f>'[1]2021-22'!E38</f>
        <v>-3153250</v>
      </c>
      <c r="AR29" s="99"/>
      <c r="AS29" s="100">
        <v>-3483500</v>
      </c>
      <c r="AT29" s="99"/>
      <c r="AU29" s="100">
        <f>'[1]2022-23'!E38</f>
        <v>-3483500</v>
      </c>
      <c r="AV29" s="101"/>
      <c r="AW29" s="97">
        <f>+AU29</f>
        <v>-3483500</v>
      </c>
      <c r="AX29" s="101"/>
      <c r="AY29" s="100" t="e">
        <f>AU29-#REF!</f>
        <v>#REF!</v>
      </c>
      <c r="AZ29" s="100">
        <v>-3333434</v>
      </c>
      <c r="BA29" s="102"/>
    </row>
    <row r="30" spans="1:53" ht="15" x14ac:dyDescent="0.45">
      <c r="A30" s="103" t="s">
        <v>55</v>
      </c>
      <c r="B30" s="74"/>
      <c r="C30" s="76"/>
      <c r="D30" s="76"/>
      <c r="E30" s="77"/>
      <c r="F30" s="76"/>
      <c r="G30" s="76"/>
      <c r="H30" s="78"/>
      <c r="I30" s="78"/>
      <c r="J30" s="77"/>
      <c r="K30" s="76"/>
      <c r="L30" s="78"/>
      <c r="M30" s="78"/>
      <c r="N30" s="76"/>
      <c r="O30" s="78"/>
      <c r="P30" s="79"/>
      <c r="Q30" s="76">
        <f>SUM(Q26:Q29)</f>
        <v>38944402</v>
      </c>
      <c r="R30" s="79"/>
      <c r="S30" s="76"/>
      <c r="T30" s="76">
        <f>SUM(T26:T29)</f>
        <v>37942825</v>
      </c>
      <c r="U30" s="78"/>
      <c r="V30" s="76">
        <f>SUM(V26:V29)</f>
        <v>40687348.32</v>
      </c>
      <c r="W30" s="76"/>
      <c r="X30" s="76">
        <f>SUM(X26:X29)</f>
        <v>38275607</v>
      </c>
      <c r="Y30" s="76"/>
      <c r="AC30" s="76">
        <f>SUM(AC26:AC29)</f>
        <v>40476372.549999997</v>
      </c>
      <c r="AD30" s="77">
        <f>SUM(AD26:AD29)</f>
        <v>39122259</v>
      </c>
      <c r="AE30" s="78"/>
      <c r="AF30" s="103" t="s">
        <v>56</v>
      </c>
      <c r="AG30" s="76">
        <f t="shared" ref="AG30:AZ30" si="6">SUM(AG26:AG29)</f>
        <v>38121768.549999997</v>
      </c>
      <c r="AH30" s="79">
        <f>SUM(AH26:AH29)</f>
        <v>38275607</v>
      </c>
      <c r="AI30" s="79">
        <f t="shared" si="0"/>
        <v>39122259</v>
      </c>
      <c r="AJ30" s="79">
        <f t="shared" ref="AJ30" si="7">SUM(AJ26:AJ29)</f>
        <v>38758903</v>
      </c>
      <c r="AK30" s="79"/>
      <c r="AL30" s="79">
        <f>SUM(AL26:AL29)</f>
        <v>39370457.510166667</v>
      </c>
      <c r="AM30" s="79">
        <f t="shared" ref="AM30:AN30" si="8">SUM(AM26:AM29)</f>
        <v>41604494.510166667</v>
      </c>
      <c r="AN30" s="79">
        <f t="shared" si="8"/>
        <v>42780896.739999995</v>
      </c>
      <c r="AO30" s="79"/>
      <c r="AP30" s="79">
        <f t="shared" si="6"/>
        <v>38938803.510166667</v>
      </c>
      <c r="AQ30" s="87">
        <f t="shared" si="6"/>
        <v>43634080</v>
      </c>
      <c r="AR30" s="78"/>
      <c r="AS30" s="79">
        <f t="shared" ref="AS30" si="9">SUM(AS26:AS29)</f>
        <v>45006496</v>
      </c>
      <c r="AT30" s="78"/>
      <c r="AU30" s="79">
        <f t="shared" si="6"/>
        <v>44255257</v>
      </c>
      <c r="AV30" s="78"/>
      <c r="AW30" s="79">
        <f t="shared" si="6"/>
        <v>41675722</v>
      </c>
      <c r="AX30" s="78"/>
      <c r="AY30" s="84" t="e">
        <f t="shared" si="6"/>
        <v>#REF!</v>
      </c>
      <c r="AZ30" s="84">
        <f t="shared" si="6"/>
        <v>45185129</v>
      </c>
    </row>
    <row r="31" spans="1:53" ht="15" x14ac:dyDescent="0.45">
      <c r="A31" s="103"/>
      <c r="B31" s="74"/>
      <c r="C31" s="76"/>
      <c r="D31" s="76"/>
      <c r="E31" s="77"/>
      <c r="F31" s="76"/>
      <c r="G31" s="76"/>
      <c r="H31" s="78"/>
      <c r="I31" s="78"/>
      <c r="J31" s="77"/>
      <c r="K31" s="76"/>
      <c r="L31" s="78"/>
      <c r="M31" s="78"/>
      <c r="N31" s="76"/>
      <c r="O31" s="78"/>
      <c r="P31" s="79"/>
      <c r="Q31" s="76"/>
      <c r="R31" s="79"/>
      <c r="S31" s="76"/>
      <c r="T31" s="76"/>
      <c r="U31" s="78"/>
      <c r="V31" s="76"/>
      <c r="W31" s="76"/>
      <c r="X31" s="76"/>
      <c r="Y31" s="76"/>
      <c r="AC31" s="76"/>
      <c r="AD31" s="77"/>
      <c r="AE31" s="78"/>
      <c r="AF31" s="103"/>
      <c r="AG31" s="76"/>
      <c r="AH31" s="79"/>
      <c r="AI31" s="79">
        <f t="shared" si="0"/>
        <v>0</v>
      </c>
      <c r="AJ31" s="79"/>
      <c r="AK31" s="79"/>
      <c r="AL31" s="79"/>
      <c r="AM31" s="79"/>
      <c r="AN31" s="79"/>
      <c r="AO31" s="79"/>
      <c r="AP31" s="79"/>
      <c r="AQ31" s="87"/>
      <c r="AR31" s="84"/>
      <c r="AS31" s="84"/>
      <c r="AT31" s="84"/>
      <c r="AU31" s="84"/>
      <c r="AV31" s="78"/>
      <c r="AW31" s="79"/>
      <c r="AX31" s="78"/>
      <c r="AY31" s="84"/>
      <c r="AZ31" s="84"/>
    </row>
    <row r="32" spans="1:53" ht="15" x14ac:dyDescent="0.45">
      <c r="A32" s="75" t="s">
        <v>57</v>
      </c>
      <c r="B32" s="74"/>
      <c r="C32" s="79">
        <f>686448+954192</f>
        <v>1640640</v>
      </c>
      <c r="D32" s="79"/>
      <c r="E32" s="77">
        <f>+'[1]2013-14'!E24</f>
        <v>1793000</v>
      </c>
      <c r="F32" s="76">
        <f>1793000-156250</f>
        <v>1636750</v>
      </c>
      <c r="G32" s="76">
        <v>1624582.75</v>
      </c>
      <c r="H32" s="78"/>
      <c r="I32" s="78"/>
      <c r="J32" s="77">
        <f>+'[1]2014-15'!E24</f>
        <v>1793000</v>
      </c>
      <c r="K32" s="76">
        <f>1793000-301848</f>
        <v>1491152</v>
      </c>
      <c r="L32" s="78"/>
      <c r="M32" s="78"/>
      <c r="N32" s="76">
        <f>'[1]2015-16'!E25</f>
        <v>1793000</v>
      </c>
      <c r="O32" s="78"/>
      <c r="P32" s="79">
        <v>1793000</v>
      </c>
      <c r="Q32" s="79">
        <f>851955+858777-503443.04</f>
        <v>1207288.96</v>
      </c>
      <c r="R32" s="79"/>
      <c r="S32" s="76">
        <f>'[1]2016-17'!E25</f>
        <v>2227705.2000000002</v>
      </c>
      <c r="T32" s="76">
        <v>1802373</v>
      </c>
      <c r="U32" s="78"/>
      <c r="V32" s="76">
        <f>'[1]2017-18'!E25</f>
        <v>1900000</v>
      </c>
      <c r="W32" s="76">
        <f>+V32+-104477</f>
        <v>1795523</v>
      </c>
      <c r="X32" s="76">
        <f>946898+1125900-52250-243195-7250</f>
        <v>1770103</v>
      </c>
      <c r="Y32" s="76">
        <f t="shared" ref="Y32:Y37" si="10">X32-V32</f>
        <v>-129897</v>
      </c>
      <c r="AC32" s="76">
        <f>'[1]2018-19'!E25</f>
        <v>1900000</v>
      </c>
      <c r="AD32" s="77">
        <f>458613+452000-60150+904466-21438-61587</f>
        <v>1671904</v>
      </c>
      <c r="AE32" s="104" t="s">
        <v>58</v>
      </c>
      <c r="AF32" s="81" t="s">
        <v>57</v>
      </c>
      <c r="AG32" s="82">
        <f>'[1]2019-20'!E25</f>
        <v>1636449</v>
      </c>
      <c r="AH32" s="82">
        <f>946898+1125900-52250-243195-7250</f>
        <v>1770103</v>
      </c>
      <c r="AI32" s="82">
        <f>+AD32+AD33</f>
        <v>1733491</v>
      </c>
      <c r="AJ32" s="82">
        <f>663377.87+1158805+111520+38994.13+270000+196425</f>
        <v>2439122</v>
      </c>
      <c r="AK32" s="82"/>
      <c r="AL32" s="82">
        <f>2003450+193725</f>
        <v>2197175</v>
      </c>
      <c r="AM32" s="82">
        <f>+AL32-140190+1868516</f>
        <v>3925501</v>
      </c>
      <c r="AN32" s="82">
        <f>42050+643950+619585+793400+1715510</f>
        <v>3814495</v>
      </c>
      <c r="AO32" s="82"/>
      <c r="AP32" s="82">
        <f>'[1]2020-21'!E25+'[1]2020-21'!E26</f>
        <v>2197175</v>
      </c>
      <c r="AQ32" s="83">
        <f>'[1]2021-22'!E25+'[1]2021-22'!E26</f>
        <v>2443422</v>
      </c>
      <c r="AR32" s="84"/>
      <c r="AS32" s="85">
        <v>2750000</v>
      </c>
      <c r="AT32" s="84"/>
      <c r="AU32" s="85">
        <f>'[1]2022-23'!E25+'[1]2022-23'!E26</f>
        <v>2664010</v>
      </c>
      <c r="AV32" s="78"/>
      <c r="AW32" s="82">
        <f>+AU32</f>
        <v>2664010</v>
      </c>
      <c r="AX32" s="78"/>
      <c r="AY32" s="85" t="e">
        <f>AU32-#REF!</f>
        <v>#REF!</v>
      </c>
      <c r="AZ32" s="85">
        <f>2242697+193725</f>
        <v>2436422</v>
      </c>
      <c r="BA32" s="102"/>
    </row>
    <row r="33" spans="1:56" ht="15" hidden="1" x14ac:dyDescent="0.45">
      <c r="A33" s="75" t="s">
        <v>59</v>
      </c>
      <c r="B33" s="74"/>
      <c r="C33" s="79"/>
      <c r="D33" s="79"/>
      <c r="E33" s="77"/>
      <c r="F33" s="76"/>
      <c r="G33" s="76"/>
      <c r="H33" s="78"/>
      <c r="I33" s="78"/>
      <c r="J33" s="77"/>
      <c r="K33" s="76"/>
      <c r="L33" s="78"/>
      <c r="M33" s="78"/>
      <c r="N33" s="76"/>
      <c r="O33" s="78"/>
      <c r="P33" s="79"/>
      <c r="Q33" s="79"/>
      <c r="R33" s="79"/>
      <c r="S33" s="76"/>
      <c r="T33" s="76"/>
      <c r="U33" s="78"/>
      <c r="V33" s="76"/>
      <c r="W33" s="76"/>
      <c r="X33" s="76"/>
      <c r="Y33" s="76"/>
      <c r="AC33" s="76"/>
      <c r="AD33" s="77">
        <f>(123*675)-21438</f>
        <v>61587</v>
      </c>
      <c r="AE33" s="90"/>
      <c r="AF33" s="75" t="s">
        <v>59</v>
      </c>
      <c r="AG33" s="76">
        <f>'[1]2019-20'!E26</f>
        <v>311830</v>
      </c>
      <c r="AH33" s="79"/>
      <c r="AI33" s="79">
        <v>0</v>
      </c>
      <c r="AJ33" s="79">
        <v>0</v>
      </c>
      <c r="AK33" s="79"/>
      <c r="AL33" s="79">
        <v>0</v>
      </c>
      <c r="AM33" s="79">
        <v>0</v>
      </c>
      <c r="AN33" s="105">
        <v>0</v>
      </c>
      <c r="AO33" s="79"/>
      <c r="AP33" s="79">
        <v>0</v>
      </c>
      <c r="AQ33" s="87">
        <v>0</v>
      </c>
      <c r="AR33" s="84"/>
      <c r="AS33" s="85">
        <v>0</v>
      </c>
      <c r="AT33" s="84"/>
      <c r="AU33" s="85">
        <v>0</v>
      </c>
      <c r="AV33" s="78"/>
      <c r="AW33" s="82"/>
      <c r="AX33" s="78"/>
      <c r="AY33" s="85" t="e">
        <f>AU33-#REF!</f>
        <v>#REF!</v>
      </c>
      <c r="AZ33" s="85">
        <f>AV33-AR33</f>
        <v>0</v>
      </c>
    </row>
    <row r="34" spans="1:56" ht="15" x14ac:dyDescent="0.45">
      <c r="A34" s="75" t="s">
        <v>60</v>
      </c>
      <c r="B34" s="74"/>
      <c r="C34" s="76">
        <f>1632375-157658</f>
        <v>1474717</v>
      </c>
      <c r="D34" s="76"/>
      <c r="E34" s="77">
        <f>+'[1]2013-14'!E25</f>
        <v>1522525</v>
      </c>
      <c r="F34" s="76">
        <f>1522525-119523</f>
        <v>1403002</v>
      </c>
      <c r="G34" s="76">
        <v>1544743</v>
      </c>
      <c r="H34" s="78"/>
      <c r="I34" s="78"/>
      <c r="J34" s="77">
        <f>+'[1]2014-15'!E25</f>
        <v>1922580</v>
      </c>
      <c r="K34" s="76">
        <v>1267808</v>
      </c>
      <c r="L34" s="78"/>
      <c r="M34" s="78"/>
      <c r="N34" s="76">
        <f>'[1]2015-16'!E26</f>
        <v>1591920</v>
      </c>
      <c r="O34" s="78"/>
      <c r="P34" s="79">
        <v>1591920</v>
      </c>
      <c r="Q34" s="79">
        <v>1728165</v>
      </c>
      <c r="R34" s="79"/>
      <c r="S34" s="76">
        <f>'[1]2016-17'!E26</f>
        <v>1750626</v>
      </c>
      <c r="T34" s="76">
        <v>1745404</v>
      </c>
      <c r="U34" s="78"/>
      <c r="V34" s="76">
        <f>'[1]2017-18'!E26</f>
        <v>1807185</v>
      </c>
      <c r="W34" s="76">
        <f>+V34-100640</f>
        <v>1706545</v>
      </c>
      <c r="X34" s="76">
        <v>1749061</v>
      </c>
      <c r="Y34" s="76">
        <f t="shared" si="10"/>
        <v>-58124</v>
      </c>
      <c r="AC34" s="76">
        <f>'[1]2018-19'!E26</f>
        <v>1870425</v>
      </c>
      <c r="AD34" s="77">
        <v>1636490</v>
      </c>
      <c r="AE34" s="104" t="s">
        <v>61</v>
      </c>
      <c r="AF34" s="81" t="s">
        <v>60</v>
      </c>
      <c r="AG34" s="82">
        <f>'[1]2019-20'!E27</f>
        <v>1693341</v>
      </c>
      <c r="AH34" s="82">
        <v>1749061</v>
      </c>
      <c r="AI34" s="82">
        <f t="shared" si="0"/>
        <v>1636490</v>
      </c>
      <c r="AJ34" s="82">
        <f>1758703.5+64800</f>
        <v>1823503.5</v>
      </c>
      <c r="AK34" s="82"/>
      <c r="AL34" s="82">
        <v>2239600</v>
      </c>
      <c r="AM34" s="82">
        <f>AL34-533092</f>
        <v>1706508</v>
      </c>
      <c r="AN34" s="82">
        <f>1810116+40500</f>
        <v>1850616</v>
      </c>
      <c r="AO34" s="82"/>
      <c r="AP34" s="82">
        <f>'[1]2020-21'!E27</f>
        <v>2239600</v>
      </c>
      <c r="AQ34" s="83">
        <f>'[1]2021-22'!E27</f>
        <v>1672500</v>
      </c>
      <c r="AR34" s="84"/>
      <c r="AS34" s="85">
        <v>948402</v>
      </c>
      <c r="AT34" s="84"/>
      <c r="AU34" s="85">
        <f>'[1]2022-23'!E27</f>
        <v>1160000</v>
      </c>
      <c r="AV34" s="78"/>
      <c r="AW34" s="82">
        <f t="shared" ref="AW34:AW36" si="11">+AU34</f>
        <v>1160000</v>
      </c>
      <c r="AX34" s="78"/>
      <c r="AY34" s="85" t="e">
        <f>AU34-#REF!</f>
        <v>#REF!</v>
      </c>
      <c r="AZ34" s="85">
        <v>1672500</v>
      </c>
      <c r="BA34" s="102"/>
    </row>
    <row r="35" spans="1:56" ht="15" x14ac:dyDescent="0.45">
      <c r="A35" s="75" t="s">
        <v>62</v>
      </c>
      <c r="B35" s="74"/>
      <c r="C35" s="76"/>
      <c r="D35" s="76"/>
      <c r="E35" s="77"/>
      <c r="F35" s="76"/>
      <c r="G35" s="76"/>
      <c r="H35" s="78"/>
      <c r="I35" s="78"/>
      <c r="J35" s="77"/>
      <c r="K35" s="76"/>
      <c r="L35" s="78"/>
      <c r="M35" s="78"/>
      <c r="N35" s="76"/>
      <c r="O35" s="78"/>
      <c r="P35" s="79"/>
      <c r="Q35" s="79"/>
      <c r="R35" s="79"/>
      <c r="S35" s="76"/>
      <c r="T35" s="76"/>
      <c r="U35" s="78"/>
      <c r="V35" s="76"/>
      <c r="W35" s="76"/>
      <c r="X35" s="76"/>
      <c r="Y35" s="76"/>
      <c r="AC35" s="76"/>
      <c r="AD35" s="77"/>
      <c r="AE35" s="90" t="s">
        <v>61</v>
      </c>
      <c r="AF35" s="75" t="s">
        <v>62</v>
      </c>
      <c r="AG35" s="76">
        <f>'[1]2019-20'!E28</f>
        <v>788400</v>
      </c>
      <c r="AH35" s="79"/>
      <c r="AI35" s="79">
        <f t="shared" si="0"/>
        <v>0</v>
      </c>
      <c r="AJ35" s="79">
        <v>813778.5</v>
      </c>
      <c r="AK35" s="79"/>
      <c r="AL35" s="79">
        <v>853740</v>
      </c>
      <c r="AM35" s="79">
        <f>+AL35+332880</f>
        <v>1186620</v>
      </c>
      <c r="AN35" s="79">
        <f>1186740</f>
        <v>1186740</v>
      </c>
      <c r="AO35" s="79"/>
      <c r="AP35" s="79">
        <f>'[1]2020-21'!E28</f>
        <v>853740</v>
      </c>
      <c r="AQ35" s="87">
        <f>'[1]2021-22'!E28</f>
        <v>1344600</v>
      </c>
      <c r="AR35" s="84"/>
      <c r="AS35" s="84">
        <v>1317600</v>
      </c>
      <c r="AT35" s="84"/>
      <c r="AU35" s="84">
        <v>1317600</v>
      </c>
      <c r="AV35" s="78"/>
      <c r="AW35" s="79">
        <f t="shared" si="11"/>
        <v>1317600</v>
      </c>
      <c r="AX35" s="78"/>
      <c r="AY35" s="84" t="e">
        <f>AU35-#REF!</f>
        <v>#REF!</v>
      </c>
      <c r="AZ35" s="84">
        <v>1344600</v>
      </c>
    </row>
    <row r="36" spans="1:56" ht="15" x14ac:dyDescent="0.45">
      <c r="A36" s="75" t="s">
        <v>63</v>
      </c>
      <c r="B36" s="74"/>
      <c r="C36" s="76">
        <f>+'[1]2012-13'!F25</f>
        <v>0</v>
      </c>
      <c r="D36" s="76"/>
      <c r="E36" s="77">
        <f>+'[1]2013-14'!E26</f>
        <v>-35000</v>
      </c>
      <c r="F36" s="76">
        <v>-35000</v>
      </c>
      <c r="G36" s="76">
        <v>0</v>
      </c>
      <c r="H36" s="78"/>
      <c r="I36" s="78"/>
      <c r="J36" s="77">
        <f>+'[1]2014-15'!E26</f>
        <v>-35000</v>
      </c>
      <c r="K36" s="76">
        <v>0</v>
      </c>
      <c r="L36" s="78"/>
      <c r="M36" s="78"/>
      <c r="N36" s="76">
        <f>'[1]2015-16'!E27</f>
        <v>-35000</v>
      </c>
      <c r="O36" s="78"/>
      <c r="P36" s="79">
        <v>-35000</v>
      </c>
      <c r="Q36" s="79">
        <v>0</v>
      </c>
      <c r="R36" s="79"/>
      <c r="S36" s="76">
        <f>'[1]2016-17'!E27</f>
        <v>-35000</v>
      </c>
      <c r="T36" s="76">
        <v>0</v>
      </c>
      <c r="U36" s="78"/>
      <c r="V36" s="76">
        <f>'[1]2017-18'!E27</f>
        <v>-35000</v>
      </c>
      <c r="W36" s="76">
        <f t="shared" ref="W36:W44" si="12">+V36</f>
        <v>-35000</v>
      </c>
      <c r="X36" s="76">
        <v>0</v>
      </c>
      <c r="Y36" s="76">
        <f t="shared" si="10"/>
        <v>35000</v>
      </c>
      <c r="AC36" s="76">
        <f>'[1]2018-19'!E27</f>
        <v>-35000</v>
      </c>
      <c r="AD36" s="77">
        <v>0</v>
      </c>
      <c r="AE36" s="80"/>
      <c r="AF36" s="81" t="s">
        <v>63</v>
      </c>
      <c r="AG36" s="82">
        <f>'[1]2019-20'!E29</f>
        <v>-113685.5</v>
      </c>
      <c r="AH36" s="82">
        <v>0</v>
      </c>
      <c r="AI36" s="82">
        <f t="shared" si="0"/>
        <v>0</v>
      </c>
      <c r="AJ36" s="82">
        <v>0</v>
      </c>
      <c r="AK36" s="82"/>
      <c r="AL36" s="82">
        <v>-113685.5</v>
      </c>
      <c r="AM36" s="82">
        <f>+AL36</f>
        <v>-113685.5</v>
      </c>
      <c r="AN36" s="82">
        <v>0</v>
      </c>
      <c r="AO36" s="82"/>
      <c r="AP36" s="82">
        <f>'[1]2020-21'!E29</f>
        <v>-113685.5</v>
      </c>
      <c r="AQ36" s="83">
        <f>'[1]2021-22'!E29</f>
        <v>-71576</v>
      </c>
      <c r="AR36" s="84"/>
      <c r="AS36" s="85">
        <v>-71576</v>
      </c>
      <c r="AT36" s="84"/>
      <c r="AU36" s="85">
        <f>'[1]2022-23'!E29</f>
        <v>-71576</v>
      </c>
      <c r="AV36" s="78"/>
      <c r="AW36" s="82">
        <f t="shared" si="11"/>
        <v>-71576</v>
      </c>
      <c r="AX36" s="78"/>
      <c r="AY36" s="85" t="e">
        <f>AU36-#REF!</f>
        <v>#REF!</v>
      </c>
      <c r="AZ36" s="85">
        <v>-71576</v>
      </c>
    </row>
    <row r="37" spans="1:56" ht="18" x14ac:dyDescent="0.9">
      <c r="A37" s="75" t="s">
        <v>64</v>
      </c>
      <c r="B37" s="106"/>
      <c r="C37" s="93">
        <v>720902</v>
      </c>
      <c r="D37" s="93"/>
      <c r="E37" s="94">
        <f>+'[1]2013-14'!E27</f>
        <v>525000</v>
      </c>
      <c r="F37" s="93">
        <v>525000</v>
      </c>
      <c r="G37" s="93">
        <v>823686.82</v>
      </c>
      <c r="H37" s="101"/>
      <c r="I37" s="101"/>
      <c r="J37" s="94">
        <f>+'[1]2014-15'!E27</f>
        <v>525000</v>
      </c>
      <c r="K37" s="93">
        <v>854335</v>
      </c>
      <c r="L37" s="101"/>
      <c r="M37" s="101"/>
      <c r="N37" s="93">
        <f>'[1]2015-16'!E28</f>
        <v>650000</v>
      </c>
      <c r="O37" s="101"/>
      <c r="P37" s="92">
        <v>650000</v>
      </c>
      <c r="Q37" s="92">
        <v>1377685.88</v>
      </c>
      <c r="R37" s="92"/>
      <c r="S37" s="93">
        <f>'[1]2016-17'!E28</f>
        <v>750000</v>
      </c>
      <c r="T37" s="93">
        <v>1323176</v>
      </c>
      <c r="U37" s="101"/>
      <c r="V37" s="93">
        <f>'[1]2017-18'!E28</f>
        <v>1000000</v>
      </c>
      <c r="W37" s="93">
        <f>+V37+75000</f>
        <v>1075000</v>
      </c>
      <c r="X37" s="93">
        <v>1128057.96</v>
      </c>
      <c r="Y37" s="93">
        <f t="shared" si="10"/>
        <v>128057.95999999996</v>
      </c>
      <c r="AC37" s="93">
        <f>'[1]2018-19'!E28</f>
        <v>1100000</v>
      </c>
      <c r="AD37" s="94">
        <v>1033964</v>
      </c>
      <c r="AE37" s="90" t="s">
        <v>65</v>
      </c>
      <c r="AF37" s="75" t="s">
        <v>64</v>
      </c>
      <c r="AG37" s="93">
        <f>'[1]2019-20'!E30</f>
        <v>1100000</v>
      </c>
      <c r="AH37" s="92">
        <v>1128057.96</v>
      </c>
      <c r="AI37" s="92">
        <f t="shared" si="0"/>
        <v>1033964</v>
      </c>
      <c r="AJ37" s="92">
        <v>1239653</v>
      </c>
      <c r="AK37" s="92"/>
      <c r="AL37" s="92">
        <f>1000000-1000000</f>
        <v>0</v>
      </c>
      <c r="AM37" s="107">
        <f>+AL37</f>
        <v>0</v>
      </c>
      <c r="AN37" s="107">
        <v>14491.26</v>
      </c>
      <c r="AO37" s="92"/>
      <c r="AP37" s="92">
        <f>'[1]2020-21'!E30</f>
        <v>1000000</v>
      </c>
      <c r="AQ37" s="108">
        <f>'[1]2021-22'!E30</f>
        <v>1000000</v>
      </c>
      <c r="AR37" s="99"/>
      <c r="AS37" s="99">
        <v>1000000</v>
      </c>
      <c r="AT37" s="99"/>
      <c r="AU37" s="99">
        <f>'[1]2022-23'!E30</f>
        <v>1000000</v>
      </c>
      <c r="AV37" s="101"/>
      <c r="AW37" s="92">
        <f>+AU37</f>
        <v>1000000</v>
      </c>
      <c r="AX37" s="101"/>
      <c r="AY37" s="109" t="e">
        <f>AU37-#REF!</f>
        <v>#REF!</v>
      </c>
      <c r="AZ37" s="109">
        <v>1000000</v>
      </c>
    </row>
    <row r="38" spans="1:56" ht="15" x14ac:dyDescent="0.45">
      <c r="A38" s="75" t="s">
        <v>66</v>
      </c>
      <c r="B38" s="74"/>
      <c r="C38" s="76">
        <f>SUM(C26:C37)</f>
        <v>89534666</v>
      </c>
      <c r="D38" s="76"/>
      <c r="E38" s="77">
        <f t="shared" ref="E38:K38" si="13">SUM(E26:E37)</f>
        <v>94075213</v>
      </c>
      <c r="F38" s="76">
        <f>SUM(F26:F37)</f>
        <v>92390768</v>
      </c>
      <c r="G38" s="76">
        <f>SUM(G26:G37)</f>
        <v>92208666.569999993</v>
      </c>
      <c r="H38" s="78"/>
      <c r="I38" s="78"/>
      <c r="J38" s="77">
        <f t="shared" si="13"/>
        <v>94887270</v>
      </c>
      <c r="K38" s="76">
        <f t="shared" si="13"/>
        <v>96066752</v>
      </c>
      <c r="L38" s="78"/>
      <c r="M38" s="78"/>
      <c r="N38" s="76">
        <f t="shared" ref="N38:P38" si="14">SUM(N26:N37)</f>
        <v>97193570</v>
      </c>
      <c r="O38" s="78"/>
      <c r="P38" s="76">
        <f t="shared" si="14"/>
        <v>97193570</v>
      </c>
      <c r="Q38" s="76">
        <f>SUM(Q30:Q37)</f>
        <v>43257541.840000004</v>
      </c>
      <c r="R38" s="76"/>
      <c r="S38" s="76">
        <f t="shared" ref="S38" si="15">SUM(S26:S37)</f>
        <v>102865691.2</v>
      </c>
      <c r="T38" s="76">
        <f>SUM(T30:T37)</f>
        <v>42813778</v>
      </c>
      <c r="U38" s="78"/>
      <c r="V38" s="76">
        <f>SUM(V30:V37)</f>
        <v>45359533.32</v>
      </c>
      <c r="W38" s="76">
        <f t="shared" ref="W38" si="16">SUM(W26:W37)</f>
        <v>108366618</v>
      </c>
      <c r="X38" s="76">
        <f>SUM(X30:X37)</f>
        <v>42922828.960000001</v>
      </c>
      <c r="Y38" s="76">
        <f t="shared" ref="Y38" si="17">SUM(Y26:Y37)</f>
        <v>615001.96</v>
      </c>
      <c r="AC38" s="76">
        <f>SUM(AC30:AC37)</f>
        <v>45311797.549999997</v>
      </c>
      <c r="AD38" s="77">
        <f>SUM(AD30:AD37)</f>
        <v>43526204</v>
      </c>
      <c r="AE38" s="80"/>
      <c r="AF38" s="81" t="s">
        <v>66</v>
      </c>
      <c r="AG38" s="82">
        <f t="shared" ref="AG38:AW38" si="18">SUM(AG30:AG37)</f>
        <v>43538103.049999997</v>
      </c>
      <c r="AH38" s="82">
        <f>SUM(AH30:AH37)</f>
        <v>42922828.960000001</v>
      </c>
      <c r="AI38" s="82">
        <f t="shared" si="0"/>
        <v>43526204</v>
      </c>
      <c r="AJ38" s="82">
        <f t="shared" ref="AJ38" si="19">SUM(AJ30:AJ37)</f>
        <v>45074960</v>
      </c>
      <c r="AK38" s="82"/>
      <c r="AL38" s="82">
        <f>SUM(AL30:AL37)</f>
        <v>44547287.010166667</v>
      </c>
      <c r="AM38" s="82">
        <f t="shared" ref="AM38:AN38" si="20">SUM(AM30:AM37)</f>
        <v>48309438.010166667</v>
      </c>
      <c r="AN38" s="82">
        <f t="shared" si="20"/>
        <v>49647238.999999993</v>
      </c>
      <c r="AO38" s="82"/>
      <c r="AP38" s="82">
        <f t="shared" si="18"/>
        <v>45115633.010166667</v>
      </c>
      <c r="AQ38" s="83">
        <f t="shared" si="18"/>
        <v>50023026</v>
      </c>
      <c r="AR38" s="78"/>
      <c r="AS38" s="82">
        <f t="shared" ref="AS38" si="21">SUM(AS30:AS37)</f>
        <v>50950922</v>
      </c>
      <c r="AT38" s="78"/>
      <c r="AU38" s="82">
        <f t="shared" si="18"/>
        <v>50325291</v>
      </c>
      <c r="AV38" s="78"/>
      <c r="AW38" s="82">
        <f t="shared" si="18"/>
        <v>47745756</v>
      </c>
      <c r="AX38" s="78"/>
      <c r="AY38" s="85" t="e">
        <f t="shared" ref="AY38:AZ38" si="22">SUM(AY30:AY37)</f>
        <v>#REF!</v>
      </c>
      <c r="AZ38" s="85">
        <f t="shared" si="22"/>
        <v>51567075</v>
      </c>
    </row>
    <row r="39" spans="1:56" ht="15" x14ac:dyDescent="0.45">
      <c r="A39" s="75" t="s">
        <v>67</v>
      </c>
      <c r="B39" s="74"/>
      <c r="C39" s="76">
        <f>729545+51840+213226+987431+154430+491271</f>
        <v>2627743</v>
      </c>
      <c r="D39" s="76"/>
      <c r="E39" s="77">
        <f>+'[1]2013-14'!E29</f>
        <v>2549700</v>
      </c>
      <c r="F39" s="76">
        <v>2549700</v>
      </c>
      <c r="G39" s="76">
        <f>718750+51300+227660+1219877+176267+454875</f>
        <v>2848729</v>
      </c>
      <c r="H39" s="78"/>
      <c r="I39" s="78"/>
      <c r="J39" s="77">
        <f>+'[1]2014-15'!E29</f>
        <v>2530600</v>
      </c>
      <c r="K39" s="76">
        <v>2784902</v>
      </c>
      <c r="L39" s="78"/>
      <c r="M39" s="78"/>
      <c r="N39" s="76">
        <f>'[1]2015-16'!E30</f>
        <v>3145669.84</v>
      </c>
      <c r="O39" s="78"/>
      <c r="P39" s="76">
        <v>3145669.84</v>
      </c>
      <c r="Q39" s="76">
        <f>719337+162824+1520802+191915+772792</f>
        <v>3367670</v>
      </c>
      <c r="R39" s="76"/>
      <c r="S39" s="76">
        <f>'[1]2016-17'!E30</f>
        <v>3355832.18</v>
      </c>
      <c r="T39" s="76">
        <f>836243+164675+1523550+185924+770478</f>
        <v>3480870</v>
      </c>
      <c r="U39" s="78"/>
      <c r="V39" s="76">
        <f>'[1]2017-18'!E30</f>
        <v>3359755.91</v>
      </c>
      <c r="W39" s="76">
        <f t="shared" si="12"/>
        <v>3359755.91</v>
      </c>
      <c r="X39" s="76">
        <f>111926170-108403037</f>
        <v>3523133</v>
      </c>
      <c r="Y39" s="76">
        <f t="shared" ref="Y39:Y41" si="23">X39-V39</f>
        <v>163377.08999999985</v>
      </c>
      <c r="AC39" s="76">
        <f>'[1]2018-19'!E30</f>
        <v>3654005.63</v>
      </c>
      <c r="AD39" s="77">
        <f>115617401-109980688-1636490</f>
        <v>4000223</v>
      </c>
      <c r="AE39" s="78"/>
      <c r="AF39" s="75" t="s">
        <v>67</v>
      </c>
      <c r="AG39" s="76">
        <f>'[1]2019-20'!E32</f>
        <v>3687828.59</v>
      </c>
      <c r="AH39" s="79">
        <f>111926170-108403037</f>
        <v>3523133</v>
      </c>
      <c r="AI39" s="79">
        <f t="shared" si="0"/>
        <v>4000223</v>
      </c>
      <c r="AJ39" s="79">
        <f>990273+126137+1754617+175711+789621</f>
        <v>3836359</v>
      </c>
      <c r="AK39" s="79"/>
      <c r="AL39" s="79">
        <f>3982535.2+132751</f>
        <v>4115286.2</v>
      </c>
      <c r="AM39" s="79">
        <f>+AL39</f>
        <v>4115286.2</v>
      </c>
      <c r="AN39" s="79">
        <f>941480+13174+2119507+149915+1087443</f>
        <v>4311519</v>
      </c>
      <c r="AO39" s="79"/>
      <c r="AP39" s="79">
        <f>'[1]2020-21'!E32</f>
        <v>3982535.2</v>
      </c>
      <c r="AQ39" s="87">
        <f>'[1]2021-22'!E32</f>
        <v>4104430.5200000005</v>
      </c>
      <c r="AR39" s="84"/>
      <c r="AS39" s="84">
        <v>4058023</v>
      </c>
      <c r="AT39" s="84"/>
      <c r="AU39" s="84">
        <f>'[1]2022-23'!E32</f>
        <v>4070622.6200000006</v>
      </c>
      <c r="AV39" s="78"/>
      <c r="AW39" s="79">
        <f>+AU39</f>
        <v>4070622.6200000006</v>
      </c>
      <c r="AX39" s="78"/>
      <c r="AY39" s="84" t="e">
        <f>AU39-#REF!</f>
        <v>#REF!</v>
      </c>
      <c r="AZ39" s="84">
        <v>4055831</v>
      </c>
      <c r="BD39" s="110"/>
    </row>
    <row r="40" spans="1:56" ht="15" x14ac:dyDescent="0.45">
      <c r="A40" s="111" t="s">
        <v>68</v>
      </c>
      <c r="B40" s="74"/>
      <c r="C40" s="76">
        <f>29235215-10388962</f>
        <v>18846253</v>
      </c>
      <c r="D40" s="76"/>
      <c r="E40" s="77">
        <f>+'[1]2013-14'!E30</f>
        <v>19785214</v>
      </c>
      <c r="F40" s="76">
        <f>19785214-223178</f>
        <v>19562036</v>
      </c>
      <c r="G40" s="76">
        <f>30272033-10803804</f>
        <v>19468229</v>
      </c>
      <c r="H40" s="78"/>
      <c r="I40" s="78"/>
      <c r="J40" s="77">
        <f>+'[1]2014-15'!E30</f>
        <v>20153134</v>
      </c>
      <c r="K40" s="76">
        <v>20690561</v>
      </c>
      <c r="L40" s="78"/>
      <c r="M40" s="78"/>
      <c r="N40" s="76">
        <f>'[1]2015-16'!E31</f>
        <v>21141690</v>
      </c>
      <c r="O40" s="78"/>
      <c r="P40" s="76">
        <v>21141690</v>
      </c>
      <c r="Q40" s="76">
        <f>32692838-11448565</f>
        <v>21244273</v>
      </c>
      <c r="R40" s="76"/>
      <c r="S40" s="76">
        <f>'[1]2016-17'!E31</f>
        <v>21994918</v>
      </c>
      <c r="T40" s="76">
        <f>34415717-12158814</f>
        <v>22256903</v>
      </c>
      <c r="U40" s="78"/>
      <c r="V40" s="76">
        <f>'[1]2017-18'!E31</f>
        <v>22891422</v>
      </c>
      <c r="W40" s="76">
        <f>+V40-227688</f>
        <v>22663734</v>
      </c>
      <c r="X40" s="76">
        <f>34982786-12307316</f>
        <v>22675470</v>
      </c>
      <c r="Y40" s="76">
        <f t="shared" si="23"/>
        <v>-215952</v>
      </c>
      <c r="AC40" s="76">
        <f>'[1]2018-19'!E31</f>
        <v>23525099</v>
      </c>
      <c r="AD40" s="77">
        <f>35250353-12010986</f>
        <v>23239367</v>
      </c>
      <c r="AE40" s="80"/>
      <c r="AF40" s="112" t="s">
        <v>68</v>
      </c>
      <c r="AG40" s="82">
        <f>'[1]2019-20'!E33</f>
        <v>23856590</v>
      </c>
      <c r="AH40" s="82">
        <f>34982786-12307316</f>
        <v>22675470</v>
      </c>
      <c r="AI40" s="82">
        <f t="shared" si="0"/>
        <v>23239367</v>
      </c>
      <c r="AJ40" s="82">
        <f>27952557-9591702</f>
        <v>18360855</v>
      </c>
      <c r="AK40" s="82"/>
      <c r="AL40" s="82">
        <f>24073539-290090</f>
        <v>23783449</v>
      </c>
      <c r="AM40" s="82">
        <f>+AL40-1543234</f>
        <v>22240215</v>
      </c>
      <c r="AN40" s="82">
        <f>33196993-10992191</f>
        <v>22204802</v>
      </c>
      <c r="AO40" s="82"/>
      <c r="AP40" s="82">
        <f>'[1]2020-21'!E33</f>
        <v>24073539</v>
      </c>
      <c r="AQ40" s="83">
        <f>'[1]2021-22'!E33</f>
        <v>25826032.850000001</v>
      </c>
      <c r="AR40" s="84"/>
      <c r="AS40" s="85">
        <v>26750386</v>
      </c>
      <c r="AT40" s="84"/>
      <c r="AU40" s="88">
        <f>'[1]2022-23'!E33</f>
        <v>26644419.5</v>
      </c>
      <c r="AV40" s="78"/>
      <c r="AW40" s="82">
        <f>+AU40</f>
        <v>26644419.5</v>
      </c>
      <c r="AX40" s="78"/>
      <c r="AY40" s="85" t="e">
        <f>AU40-#REF!</f>
        <v>#REF!</v>
      </c>
      <c r="AZ40" s="85">
        <v>26466307</v>
      </c>
    </row>
    <row r="41" spans="1:56" ht="18" x14ac:dyDescent="0.9">
      <c r="A41" s="113" t="s">
        <v>69</v>
      </c>
      <c r="B41" s="106"/>
      <c r="C41" s="93">
        <v>10388962</v>
      </c>
      <c r="D41" s="93"/>
      <c r="E41" s="94">
        <f>+'[1]2013-14'!E31</f>
        <v>10983461</v>
      </c>
      <c r="F41" s="93">
        <f>10983461-79434</f>
        <v>10904027</v>
      </c>
      <c r="G41" s="93">
        <v>10803804</v>
      </c>
      <c r="H41" s="101"/>
      <c r="I41" s="101"/>
      <c r="J41" s="94">
        <f>+'[1]2014-15'!E31</f>
        <v>11185847</v>
      </c>
      <c r="K41" s="93">
        <v>11238147</v>
      </c>
      <c r="L41" s="101"/>
      <c r="M41" s="101"/>
      <c r="N41" s="93">
        <f>'[1]2015-16'!E32</f>
        <v>11628286</v>
      </c>
      <c r="O41" s="101"/>
      <c r="P41" s="93">
        <v>11628286</v>
      </c>
      <c r="Q41" s="93">
        <v>11448565</v>
      </c>
      <c r="R41" s="93"/>
      <c r="S41" s="93">
        <f>'[1]2016-17'!E32</f>
        <v>11983428</v>
      </c>
      <c r="T41" s="93">
        <v>12158814</v>
      </c>
      <c r="U41" s="101"/>
      <c r="V41" s="93">
        <f>'[1]2017-18'!E32</f>
        <v>12740356</v>
      </c>
      <c r="W41" s="93">
        <f>+V41-367089</f>
        <v>12373267</v>
      </c>
      <c r="X41" s="93">
        <v>12307316</v>
      </c>
      <c r="Y41" s="93">
        <f t="shared" si="23"/>
        <v>-433040</v>
      </c>
      <c r="AC41" s="93">
        <f>'[1]2018-19'!E32</f>
        <v>12853671</v>
      </c>
      <c r="AD41" s="94">
        <v>12010986</v>
      </c>
      <c r="AE41" s="101"/>
      <c r="AF41" s="113" t="s">
        <v>69</v>
      </c>
      <c r="AG41" s="93">
        <f>'[1]2019-20'!E34</f>
        <v>12642834</v>
      </c>
      <c r="AH41" s="92">
        <v>12307316</v>
      </c>
      <c r="AI41" s="92">
        <f t="shared" si="0"/>
        <v>12010986</v>
      </c>
      <c r="AJ41" s="92">
        <v>9591702</v>
      </c>
      <c r="AK41" s="92"/>
      <c r="AL41" s="92">
        <f>12535614-173829</f>
        <v>12361785</v>
      </c>
      <c r="AM41" s="92">
        <f>+AL41-1278685</f>
        <v>11083100</v>
      </c>
      <c r="AN41" s="92">
        <v>10992191</v>
      </c>
      <c r="AO41" s="92"/>
      <c r="AP41" s="92">
        <f>'[1]2020-21'!E34</f>
        <v>12535614</v>
      </c>
      <c r="AQ41" s="108">
        <f>'[1]2021-22'!E34</f>
        <v>13604435</v>
      </c>
      <c r="AR41" s="99"/>
      <c r="AS41" s="99">
        <v>14966902</v>
      </c>
      <c r="AT41" s="99"/>
      <c r="AU41" s="109">
        <f>'[1]2022-23'!E34</f>
        <v>14343084</v>
      </c>
      <c r="AV41" s="101"/>
      <c r="AW41" s="92">
        <f>+AU41</f>
        <v>14343084</v>
      </c>
      <c r="AX41" s="101"/>
      <c r="AY41" s="99" t="e">
        <f>AU41-#REF!</f>
        <v>#REF!</v>
      </c>
      <c r="AZ41" s="99">
        <v>13944546</v>
      </c>
    </row>
    <row r="42" spans="1:56" ht="15" hidden="1" customHeight="1" x14ac:dyDescent="0.45">
      <c r="A42" s="89" t="s">
        <v>70</v>
      </c>
      <c r="B42" s="74"/>
      <c r="C42" s="76">
        <f>SUM(C38:C41)</f>
        <v>121397624</v>
      </c>
      <c r="D42" s="76"/>
      <c r="E42" s="77">
        <f t="shared" ref="E42:K42" si="24">SUM(E38:E41)</f>
        <v>127393588</v>
      </c>
      <c r="F42" s="76">
        <f>SUM(F38:F41)</f>
        <v>125406531</v>
      </c>
      <c r="G42" s="76">
        <f>SUM(G38:G41)</f>
        <v>125329428.56999999</v>
      </c>
      <c r="H42" s="78"/>
      <c r="I42" s="78"/>
      <c r="J42" s="77">
        <f t="shared" si="24"/>
        <v>128756851</v>
      </c>
      <c r="K42" s="76">
        <f t="shared" si="24"/>
        <v>130780362</v>
      </c>
      <c r="L42" s="78"/>
      <c r="M42" s="78"/>
      <c r="N42" s="76">
        <f t="shared" ref="N42:Q42" si="25">SUM(N38:N41)</f>
        <v>133109215.84</v>
      </c>
      <c r="O42" s="78"/>
      <c r="P42" s="76">
        <f t="shared" si="25"/>
        <v>133109215.84</v>
      </c>
      <c r="Q42" s="76">
        <f t="shared" si="25"/>
        <v>79318049.840000004</v>
      </c>
      <c r="R42" s="76"/>
      <c r="S42" s="76">
        <f t="shared" ref="S42" si="26">SUM(S38:S41)</f>
        <v>140199869.38</v>
      </c>
      <c r="T42" s="76"/>
      <c r="U42" s="78"/>
      <c r="V42" s="76"/>
      <c r="W42" s="76">
        <f t="shared" ref="W42" si="27">SUM(W38:W41)</f>
        <v>146763374.91</v>
      </c>
      <c r="X42" s="76"/>
      <c r="Y42" s="76">
        <f t="shared" ref="Y42" si="28">SUM(Y38:Y41)</f>
        <v>129387.04999999981</v>
      </c>
      <c r="AC42" s="76"/>
      <c r="AD42" s="77"/>
      <c r="AE42" s="78"/>
      <c r="AF42" s="89" t="s">
        <v>70</v>
      </c>
      <c r="AG42" s="76"/>
      <c r="AH42" s="79"/>
      <c r="AI42" s="79">
        <f t="shared" si="0"/>
        <v>0</v>
      </c>
      <c r="AJ42" s="79"/>
      <c r="AK42" s="79"/>
      <c r="AL42" s="79"/>
      <c r="AM42" s="79"/>
      <c r="AN42" s="79"/>
      <c r="AO42" s="79"/>
      <c r="AP42" s="79"/>
      <c r="AQ42" s="87"/>
      <c r="AR42" s="84"/>
      <c r="AS42" s="84"/>
      <c r="AT42" s="84"/>
      <c r="AU42" s="84"/>
      <c r="AV42" s="78"/>
      <c r="AW42" s="79"/>
      <c r="AX42" s="78"/>
      <c r="AY42" s="84"/>
      <c r="AZ42" s="84"/>
    </row>
    <row r="43" spans="1:56" ht="15" hidden="1" customHeight="1" x14ac:dyDescent="0.45">
      <c r="A43" s="89" t="s">
        <v>52</v>
      </c>
      <c r="B43" s="74"/>
      <c r="C43" s="79">
        <f>-37611075</f>
        <v>-37611075</v>
      </c>
      <c r="D43" s="79"/>
      <c r="E43" s="77">
        <f>+'[1]2013-14'!E33</f>
        <v>-41629806</v>
      </c>
      <c r="F43" s="76">
        <f>-41629806-1000000</f>
        <v>-42629806</v>
      </c>
      <c r="G43" s="76">
        <f>-43356107</f>
        <v>-43356107</v>
      </c>
      <c r="H43" s="78"/>
      <c r="I43" s="78"/>
      <c r="J43" s="77">
        <f>+'[1]2014-15'!E33-172215</f>
        <v>-46463006.020000003</v>
      </c>
      <c r="K43" s="76">
        <f>-49216175-172215</f>
        <v>-49388390</v>
      </c>
      <c r="L43" s="78"/>
      <c r="M43" s="78"/>
      <c r="N43" s="76">
        <f>'[1]2015-16'!E34</f>
        <v>-53276969</v>
      </c>
      <c r="O43" s="78"/>
      <c r="P43" s="79">
        <f>-53276969-172215</f>
        <v>-53449184</v>
      </c>
      <c r="Q43" s="79">
        <v>-54113551</v>
      </c>
      <c r="R43" s="79"/>
      <c r="S43" s="76">
        <f>'[1]2016-17'!E34</f>
        <v>-58221265.390000001</v>
      </c>
      <c r="T43" s="76"/>
      <c r="U43" s="78"/>
      <c r="V43" s="76"/>
      <c r="W43" s="76">
        <f>+V43-2150000</f>
        <v>-2150000</v>
      </c>
      <c r="X43" s="76"/>
      <c r="Y43" s="76">
        <f t="shared" ref="Y43:Y44" si="29">X43-V43</f>
        <v>0</v>
      </c>
      <c r="AC43" s="76"/>
      <c r="AD43" s="77"/>
      <c r="AE43" s="78"/>
      <c r="AF43" s="89" t="s">
        <v>52</v>
      </c>
      <c r="AG43" s="76"/>
      <c r="AH43" s="79"/>
      <c r="AI43" s="79">
        <f t="shared" si="0"/>
        <v>0</v>
      </c>
      <c r="AJ43" s="79"/>
      <c r="AK43" s="79"/>
      <c r="AL43" s="79"/>
      <c r="AM43" s="79"/>
      <c r="AN43" s="79"/>
      <c r="AO43" s="79"/>
      <c r="AP43" s="79"/>
      <c r="AQ43" s="87"/>
      <c r="AR43" s="84"/>
      <c r="AS43" s="84"/>
      <c r="AT43" s="84"/>
      <c r="AU43" s="84"/>
      <c r="AV43" s="78"/>
      <c r="AW43" s="79"/>
      <c r="AX43" s="78"/>
      <c r="AY43" s="84"/>
      <c r="AZ43" s="84"/>
    </row>
    <row r="44" spans="1:56" ht="17.25" hidden="1" customHeight="1" x14ac:dyDescent="0.9">
      <c r="A44" s="91" t="s">
        <v>54</v>
      </c>
      <c r="B44" s="106"/>
      <c r="C44" s="92">
        <v>-2017780</v>
      </c>
      <c r="D44" s="92"/>
      <c r="E44" s="94">
        <f>+'[1]2013-14'!E35</f>
        <v>-2220554.0499999998</v>
      </c>
      <c r="F44" s="93">
        <v>-2220554.0499999998</v>
      </c>
      <c r="G44" s="93">
        <v>-2126000</v>
      </c>
      <c r="H44" s="101"/>
      <c r="I44" s="101"/>
      <c r="J44" s="94">
        <f>+'[1]2014-15'!E35</f>
        <v>-2391869.56</v>
      </c>
      <c r="K44" s="93">
        <v>-2240359</v>
      </c>
      <c r="L44" s="101"/>
      <c r="M44" s="101"/>
      <c r="N44" s="93">
        <f>'[1]2015-16'!E36</f>
        <v>-2530413.63</v>
      </c>
      <c r="O44" s="101"/>
      <c r="P44" s="92">
        <v>-2530413.63</v>
      </c>
      <c r="Q44" s="92">
        <v>-2404795</v>
      </c>
      <c r="R44" s="92"/>
      <c r="S44" s="93">
        <f>'[1]2016-17'!E36</f>
        <v>-2763276.61</v>
      </c>
      <c r="T44" s="93"/>
      <c r="U44" s="101"/>
      <c r="V44" s="93"/>
      <c r="W44" s="93">
        <f t="shared" si="12"/>
        <v>0</v>
      </c>
      <c r="X44" s="93"/>
      <c r="Y44" s="93">
        <f t="shared" si="29"/>
        <v>0</v>
      </c>
      <c r="AC44" s="93"/>
      <c r="AD44" s="94"/>
      <c r="AE44" s="101"/>
      <c r="AF44" s="91" t="s">
        <v>54</v>
      </c>
      <c r="AG44" s="93"/>
      <c r="AH44" s="92"/>
      <c r="AI44" s="92">
        <f t="shared" si="0"/>
        <v>0</v>
      </c>
      <c r="AJ44" s="92"/>
      <c r="AK44" s="92"/>
      <c r="AL44" s="92"/>
      <c r="AM44" s="92"/>
      <c r="AN44" s="92"/>
      <c r="AO44" s="92"/>
      <c r="AP44" s="92"/>
      <c r="AQ44" s="108"/>
      <c r="AR44" s="99"/>
      <c r="AS44" s="99"/>
      <c r="AT44" s="99"/>
      <c r="AU44" s="99"/>
      <c r="AV44" s="101"/>
      <c r="AW44" s="92"/>
      <c r="AX44" s="101"/>
      <c r="AY44" s="99"/>
      <c r="AZ44" s="99"/>
    </row>
    <row r="45" spans="1:56" ht="15" x14ac:dyDescent="0.45">
      <c r="A45" s="103" t="s">
        <v>71</v>
      </c>
      <c r="B45" s="74"/>
      <c r="C45" s="79">
        <f>SUM(C42:C44)</f>
        <v>81768769</v>
      </c>
      <c r="D45" s="79"/>
      <c r="E45" s="77">
        <f>SUM(E42:E44)</f>
        <v>83543227.950000003</v>
      </c>
      <c r="F45" s="76">
        <f>SUM(F42:F44)</f>
        <v>80556170.950000003</v>
      </c>
      <c r="G45" s="76">
        <f>SUM(G42:G44)</f>
        <v>79847321.569999993</v>
      </c>
      <c r="H45" s="78"/>
      <c r="I45" s="78"/>
      <c r="J45" s="77">
        <f>SUM(J42:J44)</f>
        <v>79901975.419999987</v>
      </c>
      <c r="K45" s="76">
        <f>SUM(K42:K44)</f>
        <v>79151613</v>
      </c>
      <c r="L45" s="78"/>
      <c r="M45" s="78"/>
      <c r="N45" s="76">
        <f>SUM(N42:N44)</f>
        <v>77301833.210000008</v>
      </c>
      <c r="O45" s="78"/>
      <c r="P45" s="76">
        <f>SUM(P42:P44)</f>
        <v>77129618.210000008</v>
      </c>
      <c r="Q45" s="82">
        <f>SUM(Q38:Q41)</f>
        <v>79318049.840000004</v>
      </c>
      <c r="R45" s="82"/>
      <c r="S45" s="82">
        <f>SUM(S42:S44)</f>
        <v>79215327.379999995</v>
      </c>
      <c r="T45" s="82">
        <f>SUM(T38:T41)</f>
        <v>80710365</v>
      </c>
      <c r="U45" s="80"/>
      <c r="V45" s="82">
        <f>SUM(V38:V41)</f>
        <v>84351067.230000004</v>
      </c>
      <c r="W45" s="82">
        <f>SUM(W42:W44)</f>
        <v>144613374.91</v>
      </c>
      <c r="X45" s="82">
        <f>SUM(X38:X41)</f>
        <v>81428747.960000008</v>
      </c>
      <c r="Y45" s="82">
        <f>SUM(Y42:Y44)</f>
        <v>129387.04999999981</v>
      </c>
      <c r="Z45" s="114"/>
      <c r="AA45" s="114"/>
      <c r="AB45" s="114"/>
      <c r="AC45" s="82">
        <f>SUM(AC38:AC41)</f>
        <v>85344573.180000007</v>
      </c>
      <c r="AD45" s="83">
        <f>SUM(AD38:AD41)</f>
        <v>82776780</v>
      </c>
      <c r="AE45" s="80"/>
      <c r="AF45" s="115" t="s">
        <v>71</v>
      </c>
      <c r="AG45" s="82">
        <f t="shared" ref="AG45:AZ45" si="30">SUM(AG38:AG41)</f>
        <v>83725355.640000001</v>
      </c>
      <c r="AH45" s="82">
        <f>SUM(AH38:AH41)</f>
        <v>81428747.960000008</v>
      </c>
      <c r="AI45" s="82">
        <f t="shared" si="0"/>
        <v>82776780</v>
      </c>
      <c r="AJ45" s="82">
        <f t="shared" ref="AJ45" si="31">SUM(AJ38:AJ41)</f>
        <v>76863876</v>
      </c>
      <c r="AK45" s="82"/>
      <c r="AL45" s="82">
        <f>SUM(AL38:AL41)</f>
        <v>84807807.210166663</v>
      </c>
      <c r="AM45" s="82">
        <f t="shared" ref="AM45:AN45" si="32">SUM(AM38:AM41)</f>
        <v>85748039.210166663</v>
      </c>
      <c r="AN45" s="82">
        <f t="shared" si="32"/>
        <v>87155751</v>
      </c>
      <c r="AO45" s="82"/>
      <c r="AP45" s="86">
        <f t="shared" si="30"/>
        <v>85707321.210166663</v>
      </c>
      <c r="AQ45" s="83">
        <f t="shared" si="30"/>
        <v>93557924.370000005</v>
      </c>
      <c r="AR45" s="80"/>
      <c r="AS45" s="82">
        <f t="shared" ref="AS45" si="33">SUM(AS38:AS41)</f>
        <v>96726233</v>
      </c>
      <c r="AT45" s="80"/>
      <c r="AU45" s="86">
        <f t="shared" si="30"/>
        <v>95383417.120000005</v>
      </c>
      <c r="AV45" s="78"/>
      <c r="AW45" s="82">
        <f t="shared" si="30"/>
        <v>92803882.120000005</v>
      </c>
      <c r="AX45" s="78"/>
      <c r="AY45" s="88" t="e">
        <f t="shared" si="30"/>
        <v>#REF!</v>
      </c>
      <c r="AZ45" s="88">
        <f t="shared" si="30"/>
        <v>96033759</v>
      </c>
      <c r="BA45" s="116"/>
    </row>
    <row r="46" spans="1:56" ht="15" x14ac:dyDescent="0.45">
      <c r="A46" s="91" t="s">
        <v>72</v>
      </c>
      <c r="B46" s="74"/>
      <c r="C46" s="79"/>
      <c r="D46" s="79"/>
      <c r="E46" s="77"/>
      <c r="F46" s="76"/>
      <c r="G46" s="76"/>
      <c r="H46" s="78"/>
      <c r="I46" s="78"/>
      <c r="J46" s="77"/>
      <c r="K46" s="76"/>
      <c r="L46" s="78"/>
      <c r="M46" s="78"/>
      <c r="N46" s="76"/>
      <c r="O46" s="78"/>
      <c r="P46" s="79"/>
      <c r="Q46" s="79"/>
      <c r="R46" s="79"/>
      <c r="S46" s="76"/>
      <c r="T46" s="76"/>
      <c r="U46" s="78"/>
      <c r="V46" s="76"/>
      <c r="W46" s="76"/>
      <c r="X46" s="76"/>
      <c r="Y46" s="76"/>
      <c r="AC46" s="76"/>
      <c r="AD46" s="77"/>
      <c r="AE46" s="78"/>
      <c r="AF46" s="91" t="s">
        <v>72</v>
      </c>
      <c r="AG46" s="76"/>
      <c r="AH46" s="79"/>
      <c r="AI46" s="79">
        <f t="shared" si="0"/>
        <v>0</v>
      </c>
      <c r="AJ46" s="79"/>
      <c r="AK46" s="79"/>
      <c r="AL46" s="79"/>
      <c r="AM46" s="79"/>
      <c r="AN46" s="79"/>
      <c r="AO46" s="79"/>
      <c r="AP46" s="79"/>
      <c r="AQ46" s="87"/>
      <c r="AR46" s="84"/>
      <c r="AS46" s="79"/>
      <c r="AT46" s="78"/>
      <c r="AU46" s="79"/>
      <c r="AV46" s="78"/>
      <c r="AW46" s="79"/>
      <c r="AX46" s="78"/>
      <c r="AY46" s="84"/>
      <c r="AZ46" s="84"/>
    </row>
    <row r="47" spans="1:56" ht="15" x14ac:dyDescent="0.45">
      <c r="A47" s="91" t="s">
        <v>73</v>
      </c>
      <c r="B47" s="74"/>
      <c r="C47" s="79">
        <v>260619</v>
      </c>
      <c r="D47" s="79"/>
      <c r="E47" s="77">
        <f>+'[1]2013-14'!E38</f>
        <v>250000</v>
      </c>
      <c r="F47" s="76">
        <v>250000</v>
      </c>
      <c r="G47" s="76">
        <v>241066</v>
      </c>
      <c r="H47" s="78"/>
      <c r="I47" s="78"/>
      <c r="J47" s="77">
        <f>+'[1]2014-15'!E38</f>
        <v>250000</v>
      </c>
      <c r="K47" s="76">
        <v>226774</v>
      </c>
      <c r="L47" s="78"/>
      <c r="M47" s="78"/>
      <c r="N47" s="76">
        <f>'[1]2015-16'!E39</f>
        <v>225000</v>
      </c>
      <c r="O47" s="78"/>
      <c r="P47" s="79">
        <v>225000</v>
      </c>
      <c r="Q47" s="79">
        <v>237359</v>
      </c>
      <c r="R47" s="79"/>
      <c r="S47" s="76">
        <f>'[1]2016-17'!E39</f>
        <v>225000</v>
      </c>
      <c r="T47" s="76">
        <v>216217</v>
      </c>
      <c r="U47" s="78"/>
      <c r="V47" s="76">
        <f>'[1]2017-18'!E39</f>
        <v>225000</v>
      </c>
      <c r="W47" s="76">
        <f t="shared" ref="W47:X55" si="34">+V47</f>
        <v>225000</v>
      </c>
      <c r="X47" s="76">
        <v>239482</v>
      </c>
      <c r="Y47" s="76">
        <f t="shared" ref="Y47:Y60" si="35">X47-V47</f>
        <v>14482</v>
      </c>
      <c r="AC47" s="76">
        <f>'[1]2018-19'!E39</f>
        <v>220000</v>
      </c>
      <c r="AD47" s="77">
        <v>227546</v>
      </c>
      <c r="AE47" s="80"/>
      <c r="AF47" s="96" t="s">
        <v>73</v>
      </c>
      <c r="AG47" s="82">
        <f>'[1]2019-20'!E41</f>
        <v>230000</v>
      </c>
      <c r="AH47" s="82">
        <v>239482</v>
      </c>
      <c r="AI47" s="82">
        <f t="shared" si="0"/>
        <v>227546</v>
      </c>
      <c r="AJ47" s="82">
        <v>234060</v>
      </c>
      <c r="AK47" s="82"/>
      <c r="AL47" s="82">
        <v>230000</v>
      </c>
      <c r="AM47" s="82">
        <f>+AL47</f>
        <v>230000</v>
      </c>
      <c r="AN47" s="82">
        <v>227875</v>
      </c>
      <c r="AO47" s="82"/>
      <c r="AP47" s="82">
        <f>'[1]2020-21'!E41</f>
        <v>230000</v>
      </c>
      <c r="AQ47" s="83">
        <f>'[1]2021-22'!E41</f>
        <v>205000</v>
      </c>
      <c r="AR47" s="84"/>
      <c r="AS47" s="85">
        <v>225000</v>
      </c>
      <c r="AT47" s="84"/>
      <c r="AU47" s="85">
        <f>'[1]2022-23'!E41</f>
        <v>225000</v>
      </c>
      <c r="AV47" s="78"/>
      <c r="AW47" s="82">
        <f>+AU47</f>
        <v>225000</v>
      </c>
      <c r="AX47" s="78"/>
      <c r="AY47" s="85" t="e">
        <f>AU47-#REF!</f>
        <v>#REF!</v>
      </c>
      <c r="AZ47" s="85">
        <v>205000</v>
      </c>
      <c r="BA47" s="102"/>
    </row>
    <row r="48" spans="1:56" ht="15" x14ac:dyDescent="0.45">
      <c r="A48" s="91" t="s">
        <v>74</v>
      </c>
      <c r="B48" s="74"/>
      <c r="C48" s="79">
        <f>1668068+194825</f>
        <v>1862893</v>
      </c>
      <c r="D48" s="79"/>
      <c r="E48" s="77">
        <f>+'[1]2013-14'!E39</f>
        <v>1764874.4300000004</v>
      </c>
      <c r="F48" s="76">
        <v>1764874.4300000004</v>
      </c>
      <c r="G48" s="76">
        <v>1885505</v>
      </c>
      <c r="H48" s="78"/>
      <c r="I48" s="78"/>
      <c r="J48" s="77">
        <f>+'[1]2014-15'!E39</f>
        <v>1064819.3500000006</v>
      </c>
      <c r="K48" s="76">
        <v>1683587</v>
      </c>
      <c r="L48" s="78"/>
      <c r="M48" s="78"/>
      <c r="N48" s="76">
        <f>'[1]2015-16'!E40</f>
        <v>1561531.5600000005</v>
      </c>
      <c r="O48" s="78"/>
      <c r="P48" s="79">
        <v>1561531.5600000005</v>
      </c>
      <c r="Q48" s="79">
        <v>1850526</v>
      </c>
      <c r="R48" s="79"/>
      <c r="S48" s="76">
        <f>'[1]2016-17'!E40</f>
        <v>1481413.0700000005</v>
      </c>
      <c r="T48" s="76">
        <v>1691288</v>
      </c>
      <c r="U48" s="78"/>
      <c r="V48" s="76">
        <f>'[1]2017-18'!E40</f>
        <v>1178724.2500000005</v>
      </c>
      <c r="W48" s="76">
        <f t="shared" si="34"/>
        <v>1178724.2500000005</v>
      </c>
      <c r="X48" s="76">
        <v>1488415</v>
      </c>
      <c r="Y48" s="76">
        <f t="shared" si="35"/>
        <v>309690.74999999953</v>
      </c>
      <c r="AC48" s="76">
        <f>'[1]2018-19'!E40</f>
        <v>1096373.5000000005</v>
      </c>
      <c r="AD48" s="77">
        <v>1013618</v>
      </c>
      <c r="AE48" s="78"/>
      <c r="AF48" s="91" t="s">
        <v>74</v>
      </c>
      <c r="AG48" s="76">
        <f>'[1]2019-20'!E42</f>
        <v>811698.09000000043</v>
      </c>
      <c r="AH48" s="79">
        <v>1488415</v>
      </c>
      <c r="AI48" s="79">
        <f t="shared" si="0"/>
        <v>1013618</v>
      </c>
      <c r="AJ48" s="79">
        <v>1179894</v>
      </c>
      <c r="AK48" s="79"/>
      <c r="AL48" s="79">
        <v>759886.89000000048</v>
      </c>
      <c r="AM48" s="79">
        <f>+AL48</f>
        <v>759886.89000000048</v>
      </c>
      <c r="AN48" s="79">
        <f>6729341-AN49-AN50</f>
        <v>502564.86999999965</v>
      </c>
      <c r="AO48" s="79"/>
      <c r="AP48" s="79">
        <f>'[1]2020-21'!E42</f>
        <v>759886.89000000048</v>
      </c>
      <c r="AQ48" s="87">
        <f>'[1]2021-22'!E42</f>
        <v>536328.48</v>
      </c>
      <c r="AR48" s="84"/>
      <c r="AS48" s="84">
        <v>763829</v>
      </c>
      <c r="AT48" s="84"/>
      <c r="AU48" s="84">
        <f>'[1]2022-23'!E42</f>
        <v>763829</v>
      </c>
      <c r="AV48" s="78"/>
      <c r="AW48" s="79">
        <f>+AU48</f>
        <v>763829</v>
      </c>
      <c r="AX48" s="78"/>
      <c r="AY48" s="84" t="e">
        <f>AU48-#REF!</f>
        <v>#REF!</v>
      </c>
      <c r="AZ48" s="84">
        <v>536328</v>
      </c>
    </row>
    <row r="49" spans="1:52" ht="15" x14ac:dyDescent="0.45">
      <c r="A49" s="91"/>
      <c r="B49" s="74"/>
      <c r="C49" s="79"/>
      <c r="D49" s="79"/>
      <c r="E49" s="77"/>
      <c r="F49" s="76"/>
      <c r="G49" s="76"/>
      <c r="H49" s="78"/>
      <c r="I49" s="78"/>
      <c r="J49" s="77"/>
      <c r="K49" s="76"/>
      <c r="L49" s="78"/>
      <c r="M49" s="78"/>
      <c r="N49" s="76"/>
      <c r="O49" s="78"/>
      <c r="P49" s="79"/>
      <c r="Q49" s="79"/>
      <c r="R49" s="79"/>
      <c r="S49" s="76"/>
      <c r="T49" s="76"/>
      <c r="U49" s="78"/>
      <c r="V49" s="76"/>
      <c r="W49" s="76"/>
      <c r="X49" s="76"/>
      <c r="Y49" s="76"/>
      <c r="AC49" s="76"/>
      <c r="AD49" s="77"/>
      <c r="AE49" s="104" t="s">
        <v>75</v>
      </c>
      <c r="AF49" s="96" t="s">
        <v>76</v>
      </c>
      <c r="AG49" s="82"/>
      <c r="AH49" s="82"/>
      <c r="AI49" s="82"/>
      <c r="AJ49" s="82"/>
      <c r="AK49" s="82"/>
      <c r="AL49" s="82"/>
      <c r="AM49" s="86">
        <f>5440189+80000-1700000</f>
        <v>3820189</v>
      </c>
      <c r="AN49" s="86">
        <f>3765579.64</f>
        <v>3765579.64</v>
      </c>
      <c r="AO49" s="82"/>
      <c r="AP49" s="82"/>
      <c r="AQ49" s="83">
        <f>'[1]2021-22'!E43</f>
        <v>3400000</v>
      </c>
      <c r="AR49" s="84"/>
      <c r="AS49" s="85">
        <f>'[1]2022-23'!C43</f>
        <v>0</v>
      </c>
      <c r="AT49" s="84"/>
      <c r="AU49" s="85">
        <f>'[1]2022-23'!E43</f>
        <v>0</v>
      </c>
      <c r="AV49" s="78"/>
      <c r="AW49" s="82">
        <f>+AU49</f>
        <v>0</v>
      </c>
      <c r="AX49" s="78"/>
      <c r="AY49" s="88" t="e">
        <f>AU49-#REF!</f>
        <v>#REF!</v>
      </c>
      <c r="AZ49" s="88">
        <f>AV49-AR49</f>
        <v>0</v>
      </c>
    </row>
    <row r="50" spans="1:52" ht="15" x14ac:dyDescent="0.45">
      <c r="A50" s="91"/>
      <c r="B50" s="74"/>
      <c r="C50" s="79"/>
      <c r="D50" s="79"/>
      <c r="E50" s="77"/>
      <c r="F50" s="76"/>
      <c r="G50" s="76"/>
      <c r="H50" s="78"/>
      <c r="I50" s="78"/>
      <c r="J50" s="77"/>
      <c r="K50" s="76"/>
      <c r="L50" s="78"/>
      <c r="M50" s="78"/>
      <c r="N50" s="76"/>
      <c r="O50" s="78"/>
      <c r="P50" s="79"/>
      <c r="Q50" s="79"/>
      <c r="R50" s="79"/>
      <c r="S50" s="76"/>
      <c r="T50" s="76"/>
      <c r="U50" s="78"/>
      <c r="V50" s="76"/>
      <c r="W50" s="76"/>
      <c r="X50" s="76"/>
      <c r="Y50" s="76"/>
      <c r="AC50" s="76"/>
      <c r="AD50" s="77"/>
      <c r="AE50" s="104"/>
      <c r="AF50" s="96" t="s">
        <v>77</v>
      </c>
      <c r="AG50" s="82"/>
      <c r="AH50" s="82"/>
      <c r="AI50" s="82"/>
      <c r="AJ50" s="82"/>
      <c r="AK50" s="82"/>
      <c r="AL50" s="82"/>
      <c r="AM50" s="86"/>
      <c r="AN50" s="86">
        <v>2461196.4900000002</v>
      </c>
      <c r="AO50" s="82"/>
      <c r="AP50" s="82"/>
      <c r="AQ50" s="83"/>
      <c r="AR50" s="84"/>
      <c r="AS50" s="85"/>
      <c r="AT50" s="84"/>
      <c r="AU50" s="85"/>
      <c r="AV50" s="78"/>
      <c r="AW50" s="82"/>
      <c r="AX50" s="78"/>
      <c r="AY50" s="88"/>
      <c r="AZ50" s="88"/>
    </row>
    <row r="51" spans="1:52" ht="15" x14ac:dyDescent="0.45">
      <c r="A51" s="91" t="s">
        <v>78</v>
      </c>
      <c r="B51" s="74"/>
      <c r="C51" s="79"/>
      <c r="D51" s="79"/>
      <c r="E51" s="77"/>
      <c r="F51" s="76"/>
      <c r="G51" s="76"/>
      <c r="H51" s="78"/>
      <c r="I51" s="78"/>
      <c r="J51" s="77"/>
      <c r="K51" s="76"/>
      <c r="L51" s="78"/>
      <c r="M51" s="78"/>
      <c r="N51" s="76"/>
      <c r="O51" s="78"/>
      <c r="P51" s="79"/>
      <c r="Q51" s="79"/>
      <c r="R51" s="79"/>
      <c r="S51" s="76"/>
      <c r="T51" s="76"/>
      <c r="U51" s="78"/>
      <c r="V51" s="76"/>
      <c r="W51" s="76"/>
      <c r="X51" s="76">
        <f t="shared" si="34"/>
        <v>0</v>
      </c>
      <c r="Y51" s="76">
        <f t="shared" si="35"/>
        <v>0</v>
      </c>
      <c r="AC51" s="76"/>
      <c r="AD51" s="77"/>
      <c r="AE51" s="78"/>
      <c r="AF51" s="91" t="s">
        <v>78</v>
      </c>
      <c r="AG51" s="76"/>
      <c r="AH51" s="79"/>
      <c r="AI51" s="79"/>
      <c r="AJ51" s="79"/>
      <c r="AK51" s="79"/>
      <c r="AL51" s="79"/>
      <c r="AM51" s="79"/>
      <c r="AN51" s="79"/>
      <c r="AO51" s="79"/>
      <c r="AP51" s="79"/>
      <c r="AQ51" s="87"/>
      <c r="AR51" s="84"/>
      <c r="AS51" s="84"/>
      <c r="AT51" s="84"/>
      <c r="AU51" s="84"/>
      <c r="AV51" s="78"/>
      <c r="AW51" s="79"/>
      <c r="AX51" s="78"/>
      <c r="AY51" s="84"/>
      <c r="AZ51" s="84"/>
    </row>
    <row r="52" spans="1:52" ht="15" x14ac:dyDescent="0.45">
      <c r="A52" s="91" t="s">
        <v>79</v>
      </c>
      <c r="B52" s="74"/>
      <c r="C52" s="79">
        <v>1853092</v>
      </c>
      <c r="D52" s="79"/>
      <c r="E52" s="77">
        <f>+'[1]2013-14'!E41</f>
        <v>1985000</v>
      </c>
      <c r="F52" s="76">
        <v>1985000</v>
      </c>
      <c r="G52" s="76">
        <v>1859444</v>
      </c>
      <c r="H52" s="78"/>
      <c r="I52" s="78"/>
      <c r="J52" s="77">
        <f>+'[1]2014-15'!E41</f>
        <v>2160000</v>
      </c>
      <c r="K52" s="76">
        <v>1767143</v>
      </c>
      <c r="L52" s="78"/>
      <c r="M52" s="78"/>
      <c r="N52" s="76">
        <f>'[1]2015-16'!E42</f>
        <v>2075000</v>
      </c>
      <c r="O52" s="78"/>
      <c r="P52" s="79">
        <v>2075000</v>
      </c>
      <c r="Q52" s="79">
        <v>1829905</v>
      </c>
      <c r="R52" s="79"/>
      <c r="S52" s="76">
        <f>'[1]2016-17'!E42</f>
        <v>2025000</v>
      </c>
      <c r="T52" s="76">
        <v>1773626</v>
      </c>
      <c r="U52" s="78"/>
      <c r="V52" s="76">
        <f>'[1]2017-18'!E42</f>
        <v>1875000</v>
      </c>
      <c r="W52" s="76">
        <f t="shared" ref="W52:W53" si="36">+V52</f>
        <v>1875000</v>
      </c>
      <c r="X52" s="76">
        <v>1866604</v>
      </c>
      <c r="Y52" s="76">
        <f t="shared" si="35"/>
        <v>-8396</v>
      </c>
      <c r="AC52" s="76">
        <f>'[1]2018-19'!E42</f>
        <v>1850000</v>
      </c>
      <c r="AD52" s="77">
        <v>1810555</v>
      </c>
      <c r="AE52" s="80"/>
      <c r="AF52" s="96" t="s">
        <v>79</v>
      </c>
      <c r="AG52" s="82">
        <f>'[1]2019-20'!E44</f>
        <v>1825000</v>
      </c>
      <c r="AH52" s="82">
        <v>1866604</v>
      </c>
      <c r="AI52" s="82">
        <f t="shared" si="0"/>
        <v>1810555</v>
      </c>
      <c r="AJ52" s="82">
        <v>1606923</v>
      </c>
      <c r="AK52" s="82"/>
      <c r="AL52" s="82">
        <f>1800000-75000</f>
        <v>1725000</v>
      </c>
      <c r="AM52" s="82">
        <f>+AL52</f>
        <v>1725000</v>
      </c>
      <c r="AN52" s="82">
        <v>1675852</v>
      </c>
      <c r="AO52" s="82"/>
      <c r="AP52" s="82">
        <f>'[1]2020-21'!E44</f>
        <v>1800000</v>
      </c>
      <c r="AQ52" s="83">
        <f>'[1]2021-22'!E45</f>
        <v>1760000</v>
      </c>
      <c r="AR52" s="84"/>
      <c r="AS52" s="85">
        <v>1625000</v>
      </c>
      <c r="AT52" s="84"/>
      <c r="AU52" s="85">
        <f>'[1]2022-23'!E45</f>
        <v>1625000</v>
      </c>
      <c r="AV52" s="78"/>
      <c r="AW52" s="82">
        <f t="shared" ref="AW52:AW60" si="37">+AU52</f>
        <v>1625000</v>
      </c>
      <c r="AX52" s="78"/>
      <c r="AY52" s="85" t="e">
        <f>AU52-#REF!</f>
        <v>#REF!</v>
      </c>
      <c r="AZ52" s="85">
        <v>1800000</v>
      </c>
    </row>
    <row r="53" spans="1:52" ht="15" x14ac:dyDescent="0.45">
      <c r="A53" s="91" t="s">
        <v>80</v>
      </c>
      <c r="B53" s="74"/>
      <c r="C53" s="79">
        <v>766471</v>
      </c>
      <c r="D53" s="79"/>
      <c r="E53" s="77">
        <f>+'[1]2013-14'!E42</f>
        <v>1208527</v>
      </c>
      <c r="F53" s="76">
        <v>1208527</v>
      </c>
      <c r="G53" s="76">
        <v>1069486</v>
      </c>
      <c r="H53" s="78"/>
      <c r="I53" s="78"/>
      <c r="J53" s="77">
        <f>+'[1]2014-15'!E42</f>
        <v>1458981</v>
      </c>
      <c r="K53" s="76">
        <v>859528</v>
      </c>
      <c r="L53" s="78"/>
      <c r="M53" s="78"/>
      <c r="N53" s="76">
        <f>'[1]2015-16'!E43</f>
        <v>1541263</v>
      </c>
      <c r="O53" s="78"/>
      <c r="P53" s="79">
        <v>1541263</v>
      </c>
      <c r="Q53" s="79">
        <f>903116-1</f>
        <v>903115</v>
      </c>
      <c r="R53" s="79"/>
      <c r="S53" s="76">
        <f>'[1]2016-17'!E43</f>
        <v>1630968</v>
      </c>
      <c r="T53" s="76">
        <v>866603</v>
      </c>
      <c r="U53" s="78"/>
      <c r="V53" s="76">
        <f>'[1]2017-18'!E43</f>
        <v>1703485</v>
      </c>
      <c r="W53" s="76">
        <f t="shared" si="36"/>
        <v>1703485</v>
      </c>
      <c r="X53" s="76">
        <v>843831</v>
      </c>
      <c r="Y53" s="76">
        <f t="shared" si="35"/>
        <v>-859654</v>
      </c>
      <c r="AC53" s="76">
        <f>'[1]2018-19'!E43</f>
        <v>1668459</v>
      </c>
      <c r="AD53" s="77">
        <v>1238133</v>
      </c>
      <c r="AE53" s="78"/>
      <c r="AF53" s="91" t="s">
        <v>80</v>
      </c>
      <c r="AG53" s="76">
        <f>'[1]2019-20'!E45</f>
        <v>1607676</v>
      </c>
      <c r="AH53" s="79">
        <v>843831</v>
      </c>
      <c r="AI53" s="79">
        <f t="shared" si="0"/>
        <v>1238133</v>
      </c>
      <c r="AJ53" s="79">
        <v>1097911</v>
      </c>
      <c r="AK53" s="79"/>
      <c r="AL53" s="79">
        <v>1554116</v>
      </c>
      <c r="AM53" s="79">
        <f>+AL53+300000</f>
        <v>1854116</v>
      </c>
      <c r="AN53" s="79">
        <v>611469</v>
      </c>
      <c r="AO53" s="79"/>
      <c r="AP53" s="79">
        <f>'[1]2020-21'!E45</f>
        <v>1554116</v>
      </c>
      <c r="AQ53" s="87">
        <f>'[1]2021-22'!E46</f>
        <v>1712213</v>
      </c>
      <c r="AR53" s="84"/>
      <c r="AS53" s="84">
        <v>1940575</v>
      </c>
      <c r="AT53" s="84"/>
      <c r="AU53" s="84">
        <f>'[1]2022-23'!E46</f>
        <v>1940575</v>
      </c>
      <c r="AV53" s="78"/>
      <c r="AW53" s="79">
        <f t="shared" si="37"/>
        <v>1940575</v>
      </c>
      <c r="AX53" s="78"/>
      <c r="AY53" s="84" t="e">
        <f>AU53-#REF!</f>
        <v>#REF!</v>
      </c>
      <c r="AZ53" s="84">
        <v>1712213</v>
      </c>
    </row>
    <row r="54" spans="1:52" ht="15" x14ac:dyDescent="0.45">
      <c r="A54" s="91" t="s">
        <v>81</v>
      </c>
      <c r="B54" s="74"/>
      <c r="C54" s="79">
        <v>356766</v>
      </c>
      <c r="D54" s="79"/>
      <c r="E54" s="77">
        <f>+'[1]2013-14'!E43</f>
        <v>0</v>
      </c>
      <c r="F54" s="76">
        <v>0</v>
      </c>
      <c r="G54" s="76">
        <v>310206</v>
      </c>
      <c r="H54" s="78"/>
      <c r="I54" s="78"/>
      <c r="J54" s="77">
        <f>+'[1]2014-15'!E43</f>
        <v>0</v>
      </c>
      <c r="K54" s="76">
        <v>401208</v>
      </c>
      <c r="L54" s="78"/>
      <c r="M54" s="78"/>
      <c r="N54" s="76">
        <f>'[1]2015-16'!E44</f>
        <v>0</v>
      </c>
      <c r="O54" s="78"/>
      <c r="P54" s="79">
        <v>0</v>
      </c>
      <c r="Q54" s="79">
        <v>154684</v>
      </c>
      <c r="R54" s="79"/>
      <c r="S54" s="76">
        <f>'[1]2016-17'!E44</f>
        <v>0</v>
      </c>
      <c r="T54" s="76">
        <v>405238</v>
      </c>
      <c r="U54" s="78"/>
      <c r="V54" s="76">
        <f>'[1]2017-18'!E44</f>
        <v>0</v>
      </c>
      <c r="W54" s="76">
        <v>175000</v>
      </c>
      <c r="X54" s="76">
        <v>602321</v>
      </c>
      <c r="Y54" s="76">
        <f t="shared" si="35"/>
        <v>602321</v>
      </c>
      <c r="AC54" s="76">
        <f>'[1]2018-19'!E44</f>
        <v>0</v>
      </c>
      <c r="AD54" s="77">
        <v>8878</v>
      </c>
      <c r="AE54" s="80"/>
      <c r="AF54" s="96" t="s">
        <v>82</v>
      </c>
      <c r="AG54" s="82">
        <f>'[1]2019-20'!E46</f>
        <v>0</v>
      </c>
      <c r="AH54" s="82">
        <v>602321</v>
      </c>
      <c r="AI54" s="82">
        <f t="shared" si="0"/>
        <v>8878</v>
      </c>
      <c r="AJ54" s="82">
        <v>117123</v>
      </c>
      <c r="AK54" s="82"/>
      <c r="AL54" s="82">
        <v>0</v>
      </c>
      <c r="AM54" s="82">
        <v>0</v>
      </c>
      <c r="AN54" s="82">
        <v>581805</v>
      </c>
      <c r="AO54" s="82"/>
      <c r="AP54" s="82">
        <f>'[1]2020-21'!E46</f>
        <v>0</v>
      </c>
      <c r="AQ54" s="83">
        <f>'[1]2021-22'!E47</f>
        <v>0</v>
      </c>
      <c r="AR54" s="84"/>
      <c r="AS54" s="85">
        <f>'[1]2022-23'!C47</f>
        <v>0</v>
      </c>
      <c r="AT54" s="84"/>
      <c r="AU54" s="85">
        <f>'[1]2022-23'!E47</f>
        <v>0</v>
      </c>
      <c r="AV54" s="78"/>
      <c r="AW54" s="82">
        <f t="shared" si="37"/>
        <v>0</v>
      </c>
      <c r="AX54" s="78"/>
      <c r="AY54" s="85" t="e">
        <f>AU54-#REF!</f>
        <v>#REF!</v>
      </c>
      <c r="AZ54" s="85">
        <f>AV54-AR54</f>
        <v>0</v>
      </c>
    </row>
    <row r="55" spans="1:52" ht="15" x14ac:dyDescent="0.45">
      <c r="A55" s="91" t="s">
        <v>83</v>
      </c>
      <c r="B55" s="74"/>
      <c r="C55" s="79">
        <v>3460105</v>
      </c>
      <c r="D55" s="79"/>
      <c r="E55" s="77">
        <f>+'[1]2013-14'!E44</f>
        <v>3530195</v>
      </c>
      <c r="F55" s="76">
        <v>3530195</v>
      </c>
      <c r="G55" s="76">
        <v>3530195</v>
      </c>
      <c r="H55" s="78"/>
      <c r="I55" s="78"/>
      <c r="J55" s="77">
        <f>+'[1]2014-15'!E44</f>
        <v>4281504</v>
      </c>
      <c r="K55" s="76">
        <v>4281504</v>
      </c>
      <c r="L55" s="78"/>
      <c r="M55" s="78"/>
      <c r="N55" s="76">
        <f>'[1]2015-16'!E45</f>
        <v>4103368</v>
      </c>
      <c r="O55" s="78"/>
      <c r="P55" s="79">
        <v>4103368</v>
      </c>
      <c r="Q55" s="79">
        <v>4103368</v>
      </c>
      <c r="R55" s="79"/>
      <c r="S55" s="76">
        <f>'[1]2016-17'!E45</f>
        <v>3856098</v>
      </c>
      <c r="T55" s="76">
        <v>3856098</v>
      </c>
      <c r="U55" s="78"/>
      <c r="V55" s="76">
        <f>'[1]2017-18'!E45</f>
        <v>2853523</v>
      </c>
      <c r="W55" s="76">
        <f t="shared" ref="W55:W60" si="38">+V55</f>
        <v>2853523</v>
      </c>
      <c r="X55" s="76">
        <f t="shared" si="34"/>
        <v>2853523</v>
      </c>
      <c r="Y55" s="76">
        <f t="shared" si="35"/>
        <v>0</v>
      </c>
      <c r="AC55" s="76">
        <f>'[1]2018-19'!E45</f>
        <v>2532589</v>
      </c>
      <c r="AD55" s="77">
        <v>2532589</v>
      </c>
      <c r="AE55" s="78"/>
      <c r="AF55" s="91" t="s">
        <v>83</v>
      </c>
      <c r="AG55" s="76">
        <f>'[1]2019-20'!E47</f>
        <v>2432507</v>
      </c>
      <c r="AH55" s="79">
        <v>2853523</v>
      </c>
      <c r="AI55" s="79">
        <f t="shared" si="0"/>
        <v>2532589</v>
      </c>
      <c r="AJ55" s="79">
        <v>2432507</v>
      </c>
      <c r="AK55" s="79"/>
      <c r="AL55" s="79">
        <v>2408057</v>
      </c>
      <c r="AM55" s="79">
        <f>+AL55</f>
        <v>2408057</v>
      </c>
      <c r="AN55" s="79">
        <f>+AM55</f>
        <v>2408057</v>
      </c>
      <c r="AO55" s="79"/>
      <c r="AP55" s="79">
        <f>'[1]2020-21'!E47</f>
        <v>2408057</v>
      </c>
      <c r="AQ55" s="87">
        <f>'[1]2021-22'!E48</f>
        <v>2229765</v>
      </c>
      <c r="AR55" s="84"/>
      <c r="AS55" s="84">
        <v>2378168</v>
      </c>
      <c r="AT55" s="84"/>
      <c r="AU55" s="84">
        <f>'[1]2022-23'!E48</f>
        <v>2378168</v>
      </c>
      <c r="AV55" s="78"/>
      <c r="AW55" s="79">
        <f t="shared" si="37"/>
        <v>2378168</v>
      </c>
      <c r="AX55" s="78"/>
      <c r="AY55" s="84" t="e">
        <f>AU55-#REF!</f>
        <v>#REF!</v>
      </c>
      <c r="AZ55" s="84">
        <v>2209581</v>
      </c>
    </row>
    <row r="56" spans="1:52" ht="15" x14ac:dyDescent="0.45">
      <c r="A56" s="91" t="s">
        <v>84</v>
      </c>
      <c r="B56" s="74"/>
      <c r="C56" s="79">
        <v>2315914</v>
      </c>
      <c r="D56" s="79"/>
      <c r="E56" s="77">
        <f>+'[1]2013-14'!E45</f>
        <v>2702149</v>
      </c>
      <c r="F56" s="76">
        <v>2702149</v>
      </c>
      <c r="G56" s="76">
        <v>2422821</v>
      </c>
      <c r="H56" s="78"/>
      <c r="I56" s="78"/>
      <c r="J56" s="77">
        <f>+'[1]2014-15'!E45</f>
        <v>2968572</v>
      </c>
      <c r="K56" s="76">
        <v>2644936</v>
      </c>
      <c r="L56" s="78"/>
      <c r="M56" s="78"/>
      <c r="N56" s="76">
        <f>'[1]2015-16'!E46</f>
        <v>3221637</v>
      </c>
      <c r="O56" s="78"/>
      <c r="P56" s="79">
        <v>3221637</v>
      </c>
      <c r="Q56" s="79">
        <v>3221637</v>
      </c>
      <c r="R56" s="79"/>
      <c r="S56" s="76">
        <f>'[1]2016-17'!E46</f>
        <v>3589201</v>
      </c>
      <c r="T56" s="76">
        <v>3085744</v>
      </c>
      <c r="U56" s="78"/>
      <c r="V56" s="76">
        <f>'[1]2017-18'!E46</f>
        <v>3762488</v>
      </c>
      <c r="W56" s="76">
        <f t="shared" si="38"/>
        <v>3762488</v>
      </c>
      <c r="X56" s="76">
        <v>3400417</v>
      </c>
      <c r="Y56" s="76">
        <f t="shared" si="35"/>
        <v>-362071</v>
      </c>
      <c r="AC56" s="76">
        <f>'[1]2018-19'!E46</f>
        <v>3921003</v>
      </c>
      <c r="AD56" s="77">
        <v>3170923</v>
      </c>
      <c r="AE56" s="80"/>
      <c r="AF56" s="96" t="s">
        <v>84</v>
      </c>
      <c r="AG56" s="82">
        <f>'[1]2019-20'!E48</f>
        <v>4086421</v>
      </c>
      <c r="AH56" s="82">
        <v>3400417</v>
      </c>
      <c r="AI56" s="82">
        <f t="shared" si="0"/>
        <v>3170923</v>
      </c>
      <c r="AJ56" s="82">
        <v>3110170</v>
      </c>
      <c r="AK56" s="82"/>
      <c r="AL56" s="82">
        <v>4392234</v>
      </c>
      <c r="AM56" s="82">
        <f>+AL56</f>
        <v>4392234</v>
      </c>
      <c r="AN56" s="82">
        <v>3379399</v>
      </c>
      <c r="AO56" s="82"/>
      <c r="AP56" s="82">
        <f>'[1]2020-21'!E48</f>
        <v>4392234</v>
      </c>
      <c r="AQ56" s="83">
        <f>'[1]2021-22'!E49</f>
        <v>4533300</v>
      </c>
      <c r="AR56" s="84"/>
      <c r="AS56" s="85">
        <v>5072550</v>
      </c>
      <c r="AT56" s="84"/>
      <c r="AU56" s="85">
        <f>'[1]2022-23'!E49</f>
        <v>5072550</v>
      </c>
      <c r="AV56" s="78"/>
      <c r="AW56" s="82">
        <f t="shared" si="37"/>
        <v>5072550</v>
      </c>
      <c r="AX56" s="78"/>
      <c r="AY56" s="85" t="e">
        <f>AU56-#REF!</f>
        <v>#REF!</v>
      </c>
      <c r="AZ56" s="85">
        <v>4828247</v>
      </c>
    </row>
    <row r="57" spans="1:52" ht="15" x14ac:dyDescent="0.45">
      <c r="A57" s="117" t="s">
        <v>85</v>
      </c>
      <c r="B57" s="74"/>
      <c r="C57" s="79">
        <v>3861430</v>
      </c>
      <c r="D57" s="79"/>
      <c r="E57" s="77">
        <f>+'[1]2013-14'!E46</f>
        <v>2625821.2999999998</v>
      </c>
      <c r="F57" s="76">
        <v>2625821.2999999998</v>
      </c>
      <c r="G57" s="76">
        <v>3675202</v>
      </c>
      <c r="H57" s="78"/>
      <c r="I57" s="78"/>
      <c r="J57" s="77">
        <f>+'[1]2014-15'!E46</f>
        <v>2753230.27</v>
      </c>
      <c r="K57" s="76">
        <v>4918679</v>
      </c>
      <c r="L57" s="78"/>
      <c r="M57" s="78"/>
      <c r="N57" s="76">
        <f>'[1]2015-16'!E47</f>
        <v>3481070.6</v>
      </c>
      <c r="O57" s="78"/>
      <c r="P57" s="79">
        <v>3481070.6</v>
      </c>
      <c r="Q57" s="79">
        <v>5867858</v>
      </c>
      <c r="R57" s="79"/>
      <c r="S57" s="76">
        <f>'[1]2016-17'!E47</f>
        <v>3515539.6399999997</v>
      </c>
      <c r="T57" s="76">
        <v>6725794</v>
      </c>
      <c r="U57" s="78"/>
      <c r="V57" s="76">
        <f>'[1]2017-18'!E47</f>
        <v>3325082.64</v>
      </c>
      <c r="W57" s="76">
        <f>+V57+90000</f>
        <v>3415082.64</v>
      </c>
      <c r="X57" s="76">
        <v>6723254</v>
      </c>
      <c r="Y57" s="76">
        <f t="shared" si="35"/>
        <v>3398171.36</v>
      </c>
      <c r="AC57" s="76">
        <f>'[1]2018-19'!E47</f>
        <v>3483646.25</v>
      </c>
      <c r="AD57" s="77">
        <v>7499949</v>
      </c>
      <c r="AE57" s="78"/>
      <c r="AF57" s="117" t="s">
        <v>85</v>
      </c>
      <c r="AG57" s="76">
        <f>'[1]2019-20'!E49</f>
        <v>3427816.29</v>
      </c>
      <c r="AH57" s="79">
        <v>6723254</v>
      </c>
      <c r="AI57" s="79">
        <f t="shared" si="0"/>
        <v>7499949</v>
      </c>
      <c r="AJ57" s="79">
        <v>5411795</v>
      </c>
      <c r="AK57" s="79"/>
      <c r="AL57" s="79">
        <v>3400896.55</v>
      </c>
      <c r="AM57" s="79">
        <f>+AL57-119112-143400-600000-500000</f>
        <v>2038384.5499999998</v>
      </c>
      <c r="AN57" s="79">
        <v>3625448</v>
      </c>
      <c r="AO57" s="79"/>
      <c r="AP57" s="79">
        <f>'[1]2020-21'!E49</f>
        <v>3400896.55</v>
      </c>
      <c r="AQ57" s="87">
        <f>'[1]2021-22'!E50</f>
        <v>1707716.5200000005</v>
      </c>
      <c r="AR57" s="84"/>
      <c r="AS57" s="84">
        <v>1777212</v>
      </c>
      <c r="AT57" s="84"/>
      <c r="AU57" s="84">
        <f>'[1]2022-23'!E50</f>
        <v>1777212</v>
      </c>
      <c r="AV57" s="78"/>
      <c r="AW57" s="79">
        <f t="shared" si="37"/>
        <v>1777212</v>
      </c>
      <c r="AX57" s="78"/>
      <c r="AY57" s="84" t="e">
        <f>AU57-#REF!</f>
        <v>#REF!</v>
      </c>
      <c r="AZ57" s="84">
        <v>1870117</v>
      </c>
    </row>
    <row r="58" spans="1:52" ht="15" x14ac:dyDescent="0.45">
      <c r="A58" s="117"/>
      <c r="B58" s="74"/>
      <c r="C58" s="79"/>
      <c r="D58" s="79"/>
      <c r="E58" s="77"/>
      <c r="F58" s="76"/>
      <c r="G58" s="76"/>
      <c r="H58" s="78"/>
      <c r="I58" s="78"/>
      <c r="J58" s="77"/>
      <c r="K58" s="76"/>
      <c r="L58" s="78"/>
      <c r="M58" s="78"/>
      <c r="N58" s="76"/>
      <c r="O58" s="78"/>
      <c r="P58" s="79"/>
      <c r="Q58" s="79"/>
      <c r="R58" s="79"/>
      <c r="S58" s="76"/>
      <c r="T58" s="76"/>
      <c r="U58" s="78"/>
      <c r="V58" s="76"/>
      <c r="W58" s="76"/>
      <c r="X58" s="76"/>
      <c r="Y58" s="76"/>
      <c r="AC58" s="76"/>
      <c r="AD58" s="77"/>
      <c r="AE58" s="104" t="s">
        <v>86</v>
      </c>
      <c r="AF58" s="112" t="s">
        <v>87</v>
      </c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3">
        <f>'[1]2021-22'!E51</f>
        <v>1185953.97</v>
      </c>
      <c r="AR58" s="84"/>
      <c r="AS58" s="85">
        <v>1209625</v>
      </c>
      <c r="AT58" s="84"/>
      <c r="AU58" s="85">
        <f>'[1]2022-23'!E51</f>
        <v>1876180.18</v>
      </c>
      <c r="AV58" s="78"/>
      <c r="AW58" s="82">
        <f t="shared" si="37"/>
        <v>1876180.18</v>
      </c>
      <c r="AX58" s="78"/>
      <c r="AY58" s="88" t="e">
        <f>AU58-#REF!</f>
        <v>#REF!</v>
      </c>
      <c r="AZ58" s="88">
        <v>1185954</v>
      </c>
    </row>
    <row r="59" spans="1:52" ht="15" x14ac:dyDescent="0.45">
      <c r="A59" s="117"/>
      <c r="B59" s="74"/>
      <c r="C59" s="79"/>
      <c r="D59" s="79"/>
      <c r="E59" s="77"/>
      <c r="F59" s="76"/>
      <c r="G59" s="76"/>
      <c r="H59" s="78"/>
      <c r="I59" s="78"/>
      <c r="J59" s="77"/>
      <c r="K59" s="76"/>
      <c r="L59" s="78"/>
      <c r="M59" s="78"/>
      <c r="N59" s="76"/>
      <c r="O59" s="78"/>
      <c r="P59" s="79"/>
      <c r="Q59" s="79"/>
      <c r="R59" s="79"/>
      <c r="S59" s="76"/>
      <c r="T59" s="76"/>
      <c r="U59" s="78"/>
      <c r="V59" s="76"/>
      <c r="W59" s="76"/>
      <c r="X59" s="76"/>
      <c r="Y59" s="76"/>
      <c r="AC59" s="76"/>
      <c r="AD59" s="77"/>
      <c r="AE59" s="90" t="s">
        <v>86</v>
      </c>
      <c r="AF59" s="117" t="s">
        <v>88</v>
      </c>
      <c r="AG59" s="76"/>
      <c r="AH59" s="79"/>
      <c r="AI59" s="79"/>
      <c r="AJ59" s="79"/>
      <c r="AK59" s="79"/>
      <c r="AL59" s="79"/>
      <c r="AM59" s="79"/>
      <c r="AN59" s="79"/>
      <c r="AO59" s="79"/>
      <c r="AP59" s="79"/>
      <c r="AQ59" s="87">
        <f>'[1]2021-22'!E52</f>
        <v>1050000</v>
      </c>
      <c r="AR59" s="84"/>
      <c r="AS59" s="84">
        <v>521667</v>
      </c>
      <c r="AT59" s="84"/>
      <c r="AU59" s="84">
        <f>'[1]2022-23'!E52</f>
        <v>521666.66999999993</v>
      </c>
      <c r="AV59" s="78"/>
      <c r="AW59" s="79">
        <f t="shared" si="37"/>
        <v>521666.66999999993</v>
      </c>
      <c r="AX59" s="78"/>
      <c r="AY59" s="88" t="e">
        <f>AU59-#REF!</f>
        <v>#REF!</v>
      </c>
      <c r="AZ59" s="88">
        <v>1050000</v>
      </c>
    </row>
    <row r="60" spans="1:52" ht="18" x14ac:dyDescent="0.9">
      <c r="A60" s="117" t="s">
        <v>89</v>
      </c>
      <c r="B60" s="106"/>
      <c r="C60" s="92">
        <v>660286</v>
      </c>
      <c r="D60" s="92"/>
      <c r="E60" s="94">
        <f>+'[1]2013-14'!E47</f>
        <v>175000</v>
      </c>
      <c r="F60" s="93">
        <v>175000</v>
      </c>
      <c r="G60" s="93">
        <v>633407</v>
      </c>
      <c r="H60" s="101"/>
      <c r="I60" s="101"/>
      <c r="J60" s="94">
        <f>+'[1]2014-15'!E47</f>
        <v>175000</v>
      </c>
      <c r="K60" s="93">
        <v>803706</v>
      </c>
      <c r="L60" s="101"/>
      <c r="M60" s="101"/>
      <c r="N60" s="93">
        <f>'[1]2015-16'!E48</f>
        <v>175000</v>
      </c>
      <c r="O60" s="101"/>
      <c r="P60" s="92">
        <v>175000</v>
      </c>
      <c r="Q60" s="92">
        <v>968382</v>
      </c>
      <c r="R60" s="92"/>
      <c r="S60" s="93">
        <f>'[1]2016-17'!E48</f>
        <v>250000</v>
      </c>
      <c r="T60" s="93">
        <v>657179</v>
      </c>
      <c r="U60" s="101"/>
      <c r="V60" s="93">
        <f>'[1]2017-18'!E48</f>
        <v>250000</v>
      </c>
      <c r="W60" s="93">
        <f t="shared" si="38"/>
        <v>250000</v>
      </c>
      <c r="X60" s="93">
        <v>704727</v>
      </c>
      <c r="Y60" s="93">
        <f t="shared" si="35"/>
        <v>454727</v>
      </c>
      <c r="AC60" s="93">
        <f>'[1]2018-19'!E48</f>
        <v>250000</v>
      </c>
      <c r="AD60" s="94">
        <v>1110578</v>
      </c>
      <c r="AE60" s="95"/>
      <c r="AF60" s="112" t="s">
        <v>89</v>
      </c>
      <c r="AG60" s="97">
        <f>'[1]2019-20'!E50</f>
        <v>250000</v>
      </c>
      <c r="AH60" s="97">
        <v>704727</v>
      </c>
      <c r="AI60" s="97">
        <f t="shared" si="0"/>
        <v>1110578</v>
      </c>
      <c r="AJ60" s="97">
        <v>1213401</v>
      </c>
      <c r="AK60" s="97"/>
      <c r="AL60" s="97">
        <v>950000</v>
      </c>
      <c r="AM60" s="97">
        <f>+AL60</f>
        <v>950000</v>
      </c>
      <c r="AN60" s="97">
        <v>1722633</v>
      </c>
      <c r="AO60" s="97"/>
      <c r="AP60" s="97">
        <f>'[1]2020-21'!E50</f>
        <v>950000</v>
      </c>
      <c r="AQ60" s="98">
        <f>'[1]2021-22'!E53</f>
        <v>200000</v>
      </c>
      <c r="AR60" s="99"/>
      <c r="AS60" s="100">
        <v>435000</v>
      </c>
      <c r="AT60" s="99"/>
      <c r="AU60" s="100">
        <f>'[1]2022-23'!E53</f>
        <v>435000</v>
      </c>
      <c r="AV60" s="101"/>
      <c r="AW60" s="97">
        <f t="shared" si="37"/>
        <v>435000</v>
      </c>
      <c r="AX60" s="101"/>
      <c r="AY60" s="100" t="e">
        <f>AU60-#REF!</f>
        <v>#REF!</v>
      </c>
      <c r="AZ60" s="100">
        <v>200000</v>
      </c>
    </row>
    <row r="61" spans="1:52" ht="18" x14ac:dyDescent="0.9">
      <c r="A61" s="103" t="s">
        <v>90</v>
      </c>
      <c r="B61" s="74"/>
      <c r="C61" s="92">
        <f>SUM(C45:C60)</f>
        <v>97166345</v>
      </c>
      <c r="D61" s="92"/>
      <c r="E61" s="108">
        <f t="shared" ref="E61:K61" si="39">SUM(E45:E60)</f>
        <v>97784794.680000007</v>
      </c>
      <c r="F61" s="92">
        <f>SUM(F45:F60)</f>
        <v>94797737.680000007</v>
      </c>
      <c r="G61" s="92">
        <f>SUM(G45:G60)+1</f>
        <v>95474654.569999993</v>
      </c>
      <c r="H61" s="78"/>
      <c r="I61" s="78"/>
      <c r="J61" s="108">
        <f t="shared" si="39"/>
        <v>95014082.039999977</v>
      </c>
      <c r="K61" s="92">
        <f t="shared" si="39"/>
        <v>96738678</v>
      </c>
      <c r="L61" s="78"/>
      <c r="M61" s="78"/>
      <c r="N61" s="92">
        <f t="shared" ref="N61:P61" si="40">SUM(N45:N60)</f>
        <v>93685703.370000005</v>
      </c>
      <c r="O61" s="78"/>
      <c r="P61" s="92">
        <f t="shared" si="40"/>
        <v>93513488.370000005</v>
      </c>
      <c r="Q61" s="97">
        <f>SUM(Q45:Q60)-1</f>
        <v>98454882.840000004</v>
      </c>
      <c r="R61" s="97"/>
      <c r="S61" s="97">
        <f t="shared" ref="S61:Y61" si="41">SUM(S45:S60)</f>
        <v>95788547.090000004</v>
      </c>
      <c r="T61" s="97">
        <f t="shared" si="41"/>
        <v>99988152</v>
      </c>
      <c r="U61" s="80"/>
      <c r="V61" s="97">
        <f t="shared" si="41"/>
        <v>99524370.120000005</v>
      </c>
      <c r="W61" s="97">
        <f t="shared" si="41"/>
        <v>160051677.79999998</v>
      </c>
      <c r="X61" s="97">
        <f t="shared" si="41"/>
        <v>100151321.96000001</v>
      </c>
      <c r="Y61" s="97">
        <f t="shared" si="41"/>
        <v>3678658.1599999992</v>
      </c>
      <c r="Z61" s="114"/>
      <c r="AA61" s="114"/>
      <c r="AB61" s="114"/>
      <c r="AC61" s="97">
        <f t="shared" ref="AC61:AH61" si="42">SUM(AC45:AC60)</f>
        <v>100366643.93000001</v>
      </c>
      <c r="AD61" s="98">
        <f t="shared" si="42"/>
        <v>101389549</v>
      </c>
      <c r="AE61" s="101"/>
      <c r="AF61" s="103" t="s">
        <v>90</v>
      </c>
      <c r="AG61" s="97">
        <f t="shared" si="42"/>
        <v>98396474.020000011</v>
      </c>
      <c r="AH61" s="92">
        <f t="shared" si="42"/>
        <v>100151321.96000001</v>
      </c>
      <c r="AI61" s="92">
        <f t="shared" si="0"/>
        <v>101389549</v>
      </c>
      <c r="AJ61" s="92">
        <f>SUM(AJ45:AJ60)+2</f>
        <v>93267662</v>
      </c>
      <c r="AK61" s="92"/>
      <c r="AL61" s="92">
        <f>SUM(AL45:AL60)</f>
        <v>100227997.65016666</v>
      </c>
      <c r="AM61" s="92">
        <f t="shared" ref="AM61" si="43">SUM(AM45:AM60)</f>
        <v>103925906.65016666</v>
      </c>
      <c r="AN61" s="92">
        <f>SUM(AN45:AN60)+1</f>
        <v>108117631</v>
      </c>
      <c r="AO61" s="92"/>
      <c r="AP61" s="92">
        <f t="shared" ref="AP61:AZ61" si="44">SUM(AP45:AP60)</f>
        <v>101202511.65016666</v>
      </c>
      <c r="AQ61" s="108">
        <f t="shared" si="44"/>
        <v>112078201.34</v>
      </c>
      <c r="AR61" s="101"/>
      <c r="AS61" s="118">
        <f t="shared" ref="AS61" si="45">SUM(AS45:AS60)</f>
        <v>112674859</v>
      </c>
      <c r="AT61" s="101"/>
      <c r="AU61" s="168">
        <f t="shared" si="44"/>
        <v>111998597.97000001</v>
      </c>
      <c r="AV61" s="101"/>
      <c r="AW61" s="107">
        <f t="shared" si="44"/>
        <v>109419062.97000001</v>
      </c>
      <c r="AX61" s="101"/>
      <c r="AY61" s="99" t="e">
        <f t="shared" si="44"/>
        <v>#REF!</v>
      </c>
      <c r="AZ61" s="99">
        <f t="shared" si="44"/>
        <v>111631199</v>
      </c>
    </row>
    <row r="62" spans="1:52" ht="15" x14ac:dyDescent="0.45">
      <c r="A62" s="91"/>
      <c r="B62" s="67"/>
      <c r="C62" s="119"/>
      <c r="D62" s="119"/>
      <c r="E62" s="120"/>
      <c r="F62" s="121"/>
      <c r="G62" s="121"/>
      <c r="H62" s="122"/>
      <c r="I62" s="122"/>
      <c r="J62" s="120"/>
      <c r="K62" s="121"/>
      <c r="L62" s="122"/>
      <c r="M62" s="122"/>
      <c r="N62" s="121"/>
      <c r="O62" s="122"/>
      <c r="P62" s="119"/>
      <c r="Q62" s="119"/>
      <c r="R62" s="119"/>
      <c r="S62" s="121"/>
      <c r="T62" s="121"/>
      <c r="U62" s="122"/>
      <c r="V62" s="121"/>
      <c r="W62" s="121"/>
      <c r="X62" s="121"/>
      <c r="Y62" s="121"/>
      <c r="AC62" s="121"/>
      <c r="AD62" s="120"/>
      <c r="AE62" s="122"/>
      <c r="AF62" s="91"/>
      <c r="AG62" s="121"/>
      <c r="AH62" s="119"/>
      <c r="AI62" s="119"/>
      <c r="AJ62" s="119"/>
      <c r="AK62" s="119"/>
      <c r="AL62" s="119"/>
      <c r="AM62" s="119"/>
      <c r="AN62" s="119"/>
      <c r="AO62" s="119"/>
      <c r="AP62" s="119"/>
      <c r="AQ62" s="123"/>
      <c r="AR62" s="124"/>
      <c r="AS62" s="124"/>
      <c r="AT62" s="124"/>
      <c r="AU62" s="124"/>
      <c r="AV62" s="122"/>
      <c r="AW62" s="119"/>
      <c r="AX62" s="122"/>
      <c r="AY62" s="124"/>
      <c r="AZ62" s="124"/>
    </row>
    <row r="63" spans="1:52" ht="15" x14ac:dyDescent="0.45">
      <c r="A63" s="125" t="s">
        <v>91</v>
      </c>
      <c r="B63" s="67"/>
      <c r="C63" s="119"/>
      <c r="D63" s="119"/>
      <c r="E63" s="120"/>
      <c r="F63" s="121"/>
      <c r="G63" s="121"/>
      <c r="H63" s="122"/>
      <c r="I63" s="122"/>
      <c r="J63" s="120"/>
      <c r="K63" s="121"/>
      <c r="L63" s="122"/>
      <c r="M63" s="122"/>
      <c r="N63" s="121"/>
      <c r="O63" s="122"/>
      <c r="P63" s="119"/>
      <c r="Q63" s="119"/>
      <c r="R63" s="119"/>
      <c r="S63" s="121"/>
      <c r="T63" s="121"/>
      <c r="U63" s="122"/>
      <c r="V63" s="121"/>
      <c r="W63" s="121"/>
      <c r="X63" s="121"/>
      <c r="Y63" s="121"/>
      <c r="AC63" s="76"/>
      <c r="AD63" s="77"/>
      <c r="AE63" s="122"/>
      <c r="AF63" s="125" t="s">
        <v>91</v>
      </c>
      <c r="AG63" s="76"/>
      <c r="AH63" s="79"/>
      <c r="AI63" s="79"/>
      <c r="AJ63" s="79"/>
      <c r="AK63" s="79"/>
      <c r="AL63" s="79"/>
      <c r="AM63" s="79"/>
      <c r="AN63" s="79"/>
      <c r="AO63" s="79"/>
      <c r="AP63" s="79"/>
      <c r="AQ63" s="87"/>
      <c r="AR63" s="84"/>
      <c r="AS63" s="84"/>
      <c r="AT63" s="84"/>
      <c r="AU63" s="84"/>
      <c r="AV63" s="78"/>
      <c r="AW63" s="79"/>
      <c r="AX63" s="78"/>
      <c r="AY63" s="84"/>
      <c r="AZ63" s="84"/>
    </row>
    <row r="64" spans="1:52" ht="15" hidden="1" customHeight="1" x14ac:dyDescent="0.45">
      <c r="A64" s="91" t="s">
        <v>92</v>
      </c>
      <c r="B64" s="67"/>
      <c r="C64" s="119"/>
      <c r="D64" s="119"/>
      <c r="E64" s="120"/>
      <c r="F64" s="121"/>
      <c r="G64" s="121"/>
      <c r="H64" s="122"/>
      <c r="I64" s="122"/>
      <c r="J64" s="120"/>
      <c r="K64" s="121"/>
      <c r="L64" s="122"/>
      <c r="M64" s="122"/>
      <c r="N64" s="121"/>
      <c r="O64" s="122"/>
      <c r="P64" s="119"/>
      <c r="Q64" s="119"/>
      <c r="R64" s="119"/>
      <c r="S64" s="121"/>
      <c r="T64" s="121"/>
      <c r="U64" s="122"/>
      <c r="V64" s="121"/>
      <c r="W64" s="121"/>
      <c r="X64" s="121"/>
      <c r="Y64" s="121"/>
      <c r="AC64" s="121"/>
      <c r="AD64" s="120"/>
      <c r="AE64" s="122"/>
      <c r="AF64" s="91" t="s">
        <v>92</v>
      </c>
      <c r="AG64" s="121"/>
      <c r="AH64" s="119"/>
      <c r="AI64" s="119">
        <f t="shared" si="0"/>
        <v>0</v>
      </c>
      <c r="AJ64" s="119"/>
      <c r="AK64" s="119"/>
      <c r="AL64" s="119"/>
      <c r="AM64" s="119"/>
      <c r="AN64" s="119"/>
      <c r="AO64" s="119"/>
      <c r="AP64" s="119"/>
      <c r="AQ64" s="123"/>
      <c r="AR64" s="124"/>
      <c r="AS64" s="124"/>
      <c r="AT64" s="124"/>
      <c r="AU64" s="124"/>
      <c r="AV64" s="122"/>
      <c r="AW64" s="119"/>
      <c r="AX64" s="122"/>
      <c r="AY64" s="124"/>
      <c r="AZ64" s="124"/>
    </row>
    <row r="65" spans="1:53" ht="15" hidden="1" customHeight="1" x14ac:dyDescent="0.45">
      <c r="A65" s="91" t="s">
        <v>93</v>
      </c>
      <c r="B65" s="74"/>
      <c r="C65" s="79">
        <v>42322983</v>
      </c>
      <c r="D65" s="79"/>
      <c r="E65" s="77">
        <f>+'[1]2013-14'!E52</f>
        <v>42599567.960000001</v>
      </c>
      <c r="F65" s="76">
        <f>42599567.96+450000</f>
        <v>43049567.960000001</v>
      </c>
      <c r="G65" s="76">
        <v>43837982</v>
      </c>
      <c r="H65" s="78"/>
      <c r="I65" s="78"/>
      <c r="J65" s="77">
        <f>+'[1]2014-15'!E52+700447</f>
        <v>42240671.350000001</v>
      </c>
      <c r="K65" s="76">
        <f>43127693+538973</f>
        <v>43666666</v>
      </c>
      <c r="L65" s="78"/>
      <c r="M65" s="78"/>
      <c r="N65" s="76">
        <f>'[1]2015-16'!E53</f>
        <v>40910153.240000002</v>
      </c>
      <c r="O65" s="78"/>
      <c r="P65" s="79">
        <f>40910153.24+500000+700447</f>
        <v>42110600.240000002</v>
      </c>
      <c r="Q65" s="79">
        <v>0</v>
      </c>
      <c r="R65" s="79"/>
      <c r="S65" s="76">
        <f>'[1]2016-17'!E53</f>
        <v>43200716.990000002</v>
      </c>
      <c r="T65" s="76">
        <v>0</v>
      </c>
      <c r="U65" s="78"/>
      <c r="V65" s="76">
        <v>0</v>
      </c>
      <c r="W65" s="76">
        <f>+V65-650000-750000+250000+150000</f>
        <v>-1000000</v>
      </c>
      <c r="X65" s="76">
        <v>0</v>
      </c>
      <c r="Y65" s="76">
        <f>V65-X65</f>
        <v>0</v>
      </c>
      <c r="AC65" s="76">
        <v>0</v>
      </c>
      <c r="AD65" s="77">
        <v>0</v>
      </c>
      <c r="AE65" s="78"/>
      <c r="AF65" s="91" t="s">
        <v>93</v>
      </c>
      <c r="AG65" s="76">
        <f>'[1]2019-20'!E55</f>
        <v>0</v>
      </c>
      <c r="AH65" s="79">
        <v>0</v>
      </c>
      <c r="AI65" s="79">
        <f t="shared" si="0"/>
        <v>0</v>
      </c>
      <c r="AJ65" s="79">
        <f>'[1]2019-20'!F55</f>
        <v>0</v>
      </c>
      <c r="AK65" s="79"/>
      <c r="AL65" s="79">
        <v>0</v>
      </c>
      <c r="AM65" s="79">
        <v>0</v>
      </c>
      <c r="AN65" s="79">
        <v>0</v>
      </c>
      <c r="AO65" s="79"/>
      <c r="AP65" s="79">
        <v>0</v>
      </c>
      <c r="AQ65" s="87">
        <v>0</v>
      </c>
      <c r="AR65" s="84"/>
      <c r="AS65" s="84"/>
      <c r="AT65" s="84"/>
      <c r="AU65" s="84"/>
      <c r="AV65" s="78"/>
      <c r="AW65" s="79"/>
      <c r="AX65" s="78"/>
      <c r="AY65" s="84"/>
      <c r="AZ65" s="84"/>
    </row>
    <row r="66" spans="1:53" ht="15" x14ac:dyDescent="0.45">
      <c r="A66" s="91" t="s">
        <v>94</v>
      </c>
      <c r="B66" s="74"/>
      <c r="C66" s="79"/>
      <c r="D66" s="79"/>
      <c r="E66" s="77"/>
      <c r="F66" s="76"/>
      <c r="G66" s="76"/>
      <c r="H66" s="78"/>
      <c r="I66" s="78"/>
      <c r="J66" s="77"/>
      <c r="K66" s="76"/>
      <c r="L66" s="78"/>
      <c r="M66" s="78"/>
      <c r="N66" s="76"/>
      <c r="O66" s="78"/>
      <c r="P66" s="79"/>
      <c r="Q66" s="79">
        <f>16851202.61+524231+1355246.02</f>
        <v>18730679.629999999</v>
      </c>
      <c r="R66" s="79"/>
      <c r="S66" s="76"/>
      <c r="T66" s="76">
        <f>17802050.82+641762.1+982371.46</f>
        <v>19426184.380000003</v>
      </c>
      <c r="U66" s="78"/>
      <c r="V66" s="76">
        <f>18237220+364180+1214620</f>
        <v>19816020</v>
      </c>
      <c r="W66" s="76"/>
      <c r="X66" s="76">
        <f>17501609.89+669509.46+1290592.15-1</f>
        <v>19461710.5</v>
      </c>
      <c r="Y66" s="76"/>
      <c r="AC66" s="76">
        <f>17337470.65+364180+1414620</f>
        <v>19116270.649999999</v>
      </c>
      <c r="AD66" s="77">
        <f>18350333.06+748586.31+1279669.64</f>
        <v>20378589.009999998</v>
      </c>
      <c r="AE66" s="104" t="s">
        <v>95</v>
      </c>
      <c r="AF66" s="96" t="s">
        <v>94</v>
      </c>
      <c r="AG66" s="82">
        <f>'[1]2019-20'!E56</f>
        <v>20636916</v>
      </c>
      <c r="AH66" s="82">
        <f>17501609.89+669509.46+1290592.15-1</f>
        <v>19461710.5</v>
      </c>
      <c r="AI66" s="82">
        <f t="shared" si="0"/>
        <v>20378589.009999998</v>
      </c>
      <c r="AJ66" s="82">
        <f>18324082.27+761378.39+1429648.48</f>
        <v>20515109.140000001</v>
      </c>
      <c r="AK66" s="82"/>
      <c r="AL66" s="82">
        <f>21099810+250000-150000-249676</f>
        <v>20950134</v>
      </c>
      <c r="AM66" s="82">
        <f>+AL66+154355</f>
        <v>21104489</v>
      </c>
      <c r="AN66" s="82">
        <f>18363382.36+979193.21+1547400.17</f>
        <v>20889975.740000002</v>
      </c>
      <c r="AO66" s="82"/>
      <c r="AP66" s="82">
        <f>'[1]2020-21'!E56</f>
        <v>21099810</v>
      </c>
      <c r="AQ66" s="83">
        <f>'[1]2021-22'!E59</f>
        <v>21877322</v>
      </c>
      <c r="AR66" s="84"/>
      <c r="AS66" s="85">
        <v>22875520</v>
      </c>
      <c r="AT66" s="84"/>
      <c r="AU66" s="85">
        <f>'[1]2022-23'!E59</f>
        <v>22875520</v>
      </c>
      <c r="AV66" s="78"/>
      <c r="AW66" s="82">
        <f>+AU66</f>
        <v>22875520</v>
      </c>
      <c r="AX66" s="78"/>
      <c r="AY66" s="85" t="e">
        <f>AU66-#REF!</f>
        <v>#REF!</v>
      </c>
      <c r="AZ66" s="85">
        <v>22424255</v>
      </c>
    </row>
    <row r="67" spans="1:53" ht="15" x14ac:dyDescent="0.45">
      <c r="A67" s="91" t="s">
        <v>96</v>
      </c>
      <c r="B67" s="74"/>
      <c r="C67" s="79"/>
      <c r="D67" s="79"/>
      <c r="E67" s="77"/>
      <c r="F67" s="76"/>
      <c r="G67" s="76"/>
      <c r="H67" s="78"/>
      <c r="I67" s="78"/>
      <c r="J67" s="77"/>
      <c r="K67" s="76"/>
      <c r="L67" s="78"/>
      <c r="M67" s="78"/>
      <c r="N67" s="76"/>
      <c r="O67" s="78"/>
      <c r="P67" s="79"/>
      <c r="Q67" s="79">
        <f>21804300.5+541829.23</f>
        <v>22346129.73</v>
      </c>
      <c r="R67" s="79"/>
      <c r="S67" s="76"/>
      <c r="T67" s="76">
        <f>22653947.7+561137.78+231635.29</f>
        <v>23446720.77</v>
      </c>
      <c r="U67" s="78"/>
      <c r="V67" s="76">
        <f>24168138.26+375866.55</f>
        <v>24544004.810000002</v>
      </c>
      <c r="W67" s="76"/>
      <c r="X67" s="76">
        <f>23867136.16+723925.32+192627.18</f>
        <v>24783688.66</v>
      </c>
      <c r="Y67" s="76"/>
      <c r="AC67" s="76">
        <f>23959091.57+375866.55</f>
        <v>24334958.120000001</v>
      </c>
      <c r="AD67" s="77">
        <f>23767604.1+505897.56</f>
        <v>24273501.66</v>
      </c>
      <c r="AE67" s="90" t="s">
        <v>95</v>
      </c>
      <c r="AF67" s="91" t="s">
        <v>96</v>
      </c>
      <c r="AG67" s="76">
        <f>'[1]2019-20'!E57</f>
        <v>23693390</v>
      </c>
      <c r="AH67" s="79">
        <f>23867136.16+723925.32+192627.18</f>
        <v>24783688.66</v>
      </c>
      <c r="AI67" s="79">
        <f t="shared" si="0"/>
        <v>24273501.66</v>
      </c>
      <c r="AJ67" s="79">
        <f>23506412.12+449155.79</f>
        <v>23955567.91</v>
      </c>
      <c r="AK67" s="79"/>
      <c r="AL67" s="79">
        <f>24683889.96-40820-104855-11442-66001-55131-51746-48556-263599</f>
        <v>24041739.960000001</v>
      </c>
      <c r="AM67" s="79">
        <f>+AL67-317640</f>
        <v>23724099.960000001</v>
      </c>
      <c r="AN67" s="79">
        <f>23179660.27+436925.8</f>
        <v>23616586.07</v>
      </c>
      <c r="AO67" s="79"/>
      <c r="AP67" s="79">
        <f>'[1]2020-21'!E57</f>
        <v>24683889.960000001</v>
      </c>
      <c r="AQ67" s="87">
        <f>'[1]2021-22'!E60</f>
        <v>26326045.760000002</v>
      </c>
      <c r="AR67" s="84"/>
      <c r="AS67" s="84">
        <v>27022925</v>
      </c>
      <c r="AT67" s="84"/>
      <c r="AU67" s="88">
        <f>'[1]2022-23'!E60</f>
        <v>26789752.170000002</v>
      </c>
      <c r="AV67" s="78"/>
      <c r="AW67" s="79">
        <f t="shared" ref="AW67:AW71" si="46">+AU67</f>
        <v>26789752.170000002</v>
      </c>
      <c r="AX67" s="78"/>
      <c r="AY67" s="84" t="e">
        <f>AU67-#REF!</f>
        <v>#REF!</v>
      </c>
      <c r="AZ67" s="84">
        <v>26984197</v>
      </c>
      <c r="BA67" s="102"/>
    </row>
    <row r="68" spans="1:53" ht="15" x14ac:dyDescent="0.45">
      <c r="A68" s="91" t="s">
        <v>97</v>
      </c>
      <c r="B68" s="74"/>
      <c r="C68" s="79"/>
      <c r="D68" s="79"/>
      <c r="E68" s="77"/>
      <c r="F68" s="76"/>
      <c r="G68" s="76"/>
      <c r="H68" s="78"/>
      <c r="I68" s="78"/>
      <c r="J68" s="77"/>
      <c r="K68" s="76"/>
      <c r="L68" s="78"/>
      <c r="M68" s="78"/>
      <c r="N68" s="76"/>
      <c r="O68" s="78"/>
      <c r="P68" s="79"/>
      <c r="Q68" s="79">
        <f>652130.56+591077.38+347680.72</f>
        <v>1590888.66</v>
      </c>
      <c r="R68" s="79"/>
      <c r="S68" s="76"/>
      <c r="T68" s="76">
        <f>669497.49+626524.96</f>
        <v>1296022.45</v>
      </c>
      <c r="U68" s="78"/>
      <c r="V68" s="76">
        <f>478500+659095.45</f>
        <v>1137595.45</v>
      </c>
      <c r="W68" s="76"/>
      <c r="X68" s="76">
        <f>656830.86+643349.56</f>
        <v>1300180.42</v>
      </c>
      <c r="Y68" s="76"/>
      <c r="AC68" s="76">
        <f>500000+659095.45</f>
        <v>1159095.45</v>
      </c>
      <c r="AD68" s="77">
        <f>679808.02+656740.03+262218.44</f>
        <v>1598766.49</v>
      </c>
      <c r="AE68" s="80"/>
      <c r="AF68" s="96" t="s">
        <v>97</v>
      </c>
      <c r="AG68" s="82">
        <f>'[1]2019-20'!E58</f>
        <v>1047276.36</v>
      </c>
      <c r="AH68" s="82">
        <f>656830.86+643349.56</f>
        <v>1300180.42</v>
      </c>
      <c r="AI68" s="82">
        <f t="shared" si="0"/>
        <v>1598766.49</v>
      </c>
      <c r="AJ68" s="82">
        <f>627532.37+470351.41+85877.58</f>
        <v>1183761.3600000001</v>
      </c>
      <c r="AK68" s="82"/>
      <c r="AL68" s="82">
        <v>1047276.36</v>
      </c>
      <c r="AM68" s="82">
        <f>+AL68</f>
        <v>1047276.36</v>
      </c>
      <c r="AN68" s="82">
        <f>828968.95+607036.17+236611.68</f>
        <v>1672616.8</v>
      </c>
      <c r="AO68" s="82"/>
      <c r="AP68" s="82">
        <f>'[1]2020-21'!E58</f>
        <v>1047276.36</v>
      </c>
      <c r="AQ68" s="83">
        <f>'[1]2021-22'!E61</f>
        <v>1047276.36</v>
      </c>
      <c r="AR68" s="84"/>
      <c r="AS68" s="85">
        <v>1047276</v>
      </c>
      <c r="AT68" s="84"/>
      <c r="AU68" s="85">
        <f>'[1]2022-23'!E61</f>
        <v>1073876.3599999999</v>
      </c>
      <c r="AV68" s="78"/>
      <c r="AW68" s="82">
        <f t="shared" si="46"/>
        <v>1073876.3599999999</v>
      </c>
      <c r="AX68" s="78"/>
      <c r="AY68" s="85" t="e">
        <f>AU68-#REF!</f>
        <v>#REF!</v>
      </c>
      <c r="AZ68" s="85">
        <v>1073458</v>
      </c>
    </row>
    <row r="69" spans="1:53" ht="15" x14ac:dyDescent="0.45">
      <c r="A69" s="91" t="s">
        <v>98</v>
      </c>
      <c r="B69" s="74"/>
      <c r="C69" s="79">
        <v>678082</v>
      </c>
      <c r="D69" s="79"/>
      <c r="E69" s="77">
        <f>+'[1]2013-14'!E53</f>
        <v>504001.24</v>
      </c>
      <c r="F69" s="76">
        <v>504001.24</v>
      </c>
      <c r="G69" s="76">
        <v>825174</v>
      </c>
      <c r="H69" s="78"/>
      <c r="I69" s="78"/>
      <c r="J69" s="77">
        <f>+'[1]2014-15'!E53</f>
        <v>501513.99</v>
      </c>
      <c r="K69" s="76">
        <v>897621</v>
      </c>
      <c r="L69" s="78"/>
      <c r="M69" s="78"/>
      <c r="N69" s="76">
        <f>'[1]2015-16'!E54</f>
        <v>585000.28</v>
      </c>
      <c r="O69" s="78"/>
      <c r="P69" s="79">
        <v>585000.28</v>
      </c>
      <c r="Q69" s="79">
        <v>1139560</v>
      </c>
      <c r="R69" s="79"/>
      <c r="S69" s="76">
        <f>'[1]2016-17'!E54</f>
        <v>575066.9</v>
      </c>
      <c r="T69" s="76">
        <v>1181839</v>
      </c>
      <c r="U69" s="78"/>
      <c r="V69" s="76">
        <f>'[1]2017-18'!E54</f>
        <v>484277.81</v>
      </c>
      <c r="W69" s="76">
        <f t="shared" ref="W69:X72" si="47">+V69</f>
        <v>484277.81</v>
      </c>
      <c r="X69" s="76">
        <v>1224385</v>
      </c>
      <c r="Y69" s="76">
        <f t="shared" ref="Y69:Y72" si="48">V69-X69</f>
        <v>-740107.19</v>
      </c>
      <c r="AC69" s="76">
        <f>'[1]2018-19'!E54</f>
        <v>531342.74</v>
      </c>
      <c r="AD69" s="77">
        <v>824938</v>
      </c>
      <c r="AE69" s="78"/>
      <c r="AF69" s="91" t="s">
        <v>98</v>
      </c>
      <c r="AG69" s="76">
        <f>'[1]2019-20'!E59</f>
        <v>517138.13</v>
      </c>
      <c r="AH69" s="79">
        <v>1224385</v>
      </c>
      <c r="AI69" s="79">
        <f t="shared" si="0"/>
        <v>824938</v>
      </c>
      <c r="AJ69" s="79">
        <v>891498</v>
      </c>
      <c r="AK69" s="79"/>
      <c r="AL69" s="79">
        <v>609404.74</v>
      </c>
      <c r="AM69" s="79">
        <f>+AL69</f>
        <v>609404.74</v>
      </c>
      <c r="AN69" s="79">
        <v>602417</v>
      </c>
      <c r="AO69" s="79"/>
      <c r="AP69" s="79">
        <f>'[1]2020-21'!E59</f>
        <v>609404.74</v>
      </c>
      <c r="AQ69" s="87">
        <f>'[1]2021-22'!E62</f>
        <v>440563.23</v>
      </c>
      <c r="AR69" s="84"/>
      <c r="AS69" s="84">
        <v>515455</v>
      </c>
      <c r="AT69" s="84"/>
      <c r="AU69" s="84">
        <f>'[1]2022-23'!E62</f>
        <v>515455</v>
      </c>
      <c r="AV69" s="78"/>
      <c r="AW69" s="79">
        <f t="shared" si="46"/>
        <v>515455</v>
      </c>
      <c r="AX69" s="78"/>
      <c r="AY69" s="84" t="e">
        <f>AU69-#REF!</f>
        <v>#REF!</v>
      </c>
      <c r="AZ69" s="84">
        <v>444640</v>
      </c>
      <c r="BA69" s="102"/>
    </row>
    <row r="70" spans="1:53" ht="15" x14ac:dyDescent="0.45">
      <c r="A70" s="91" t="s">
        <v>99</v>
      </c>
      <c r="B70" s="74"/>
      <c r="C70" s="79">
        <v>602694</v>
      </c>
      <c r="D70" s="79"/>
      <c r="E70" s="77">
        <f>+'[1]2013-14'!E54</f>
        <v>700446.6</v>
      </c>
      <c r="F70" s="76">
        <v>700446.6</v>
      </c>
      <c r="G70" s="76">
        <v>659243</v>
      </c>
      <c r="H70" s="78"/>
      <c r="I70" s="78"/>
      <c r="J70" s="77">
        <v>0</v>
      </c>
      <c r="K70" s="76">
        <v>0</v>
      </c>
      <c r="L70" s="78"/>
      <c r="M70" s="78"/>
      <c r="N70" s="76">
        <f>'[1]2015-16'!E55</f>
        <v>700446.6</v>
      </c>
      <c r="O70" s="78"/>
      <c r="P70" s="79">
        <v>0</v>
      </c>
      <c r="Q70" s="79">
        <v>0</v>
      </c>
      <c r="R70" s="79"/>
      <c r="S70" s="76">
        <f>'[1]2016-17'!E55</f>
        <v>0</v>
      </c>
      <c r="T70" s="76">
        <v>0</v>
      </c>
      <c r="U70" s="78"/>
      <c r="V70" s="76">
        <f>'[1]2017-18'!E55</f>
        <v>0</v>
      </c>
      <c r="W70" s="76">
        <f t="shared" si="47"/>
        <v>0</v>
      </c>
      <c r="X70" s="76">
        <f t="shared" si="47"/>
        <v>0</v>
      </c>
      <c r="Y70" s="76">
        <f t="shared" si="48"/>
        <v>0</v>
      </c>
      <c r="AC70" s="76">
        <f>'[1]2017-18'!J55</f>
        <v>0</v>
      </c>
      <c r="AD70" s="77">
        <v>0</v>
      </c>
      <c r="AE70" s="104" t="s">
        <v>100</v>
      </c>
      <c r="AF70" s="96" t="s">
        <v>101</v>
      </c>
      <c r="AG70" s="82">
        <f>'[1]2019-20'!E60</f>
        <v>0</v>
      </c>
      <c r="AH70" s="82"/>
      <c r="AI70" s="82"/>
      <c r="AJ70" s="82"/>
      <c r="AK70" s="82"/>
      <c r="AL70" s="82"/>
      <c r="AM70" s="82">
        <v>0</v>
      </c>
      <c r="AN70" s="82"/>
      <c r="AO70" s="82"/>
      <c r="AP70" s="82"/>
      <c r="AQ70" s="83">
        <f>'[1]2021-22'!E63</f>
        <v>1943655</v>
      </c>
      <c r="AR70" s="84"/>
      <c r="AS70" s="85">
        <v>102960</v>
      </c>
      <c r="AT70" s="84"/>
      <c r="AU70" s="85">
        <f>'[1]2022-23'!E63</f>
        <v>102960</v>
      </c>
      <c r="AV70" s="78"/>
      <c r="AW70" s="82">
        <f t="shared" si="46"/>
        <v>102960</v>
      </c>
      <c r="AX70" s="78"/>
      <c r="AY70" s="88" t="e">
        <f>AU70-#REF!</f>
        <v>#REF!</v>
      </c>
      <c r="AZ70" s="88">
        <v>1992246</v>
      </c>
      <c r="BA70" s="102"/>
    </row>
    <row r="71" spans="1:53" ht="16.7" x14ac:dyDescent="0.7">
      <c r="A71" s="91" t="s">
        <v>102</v>
      </c>
      <c r="B71" s="106"/>
      <c r="C71" s="79">
        <v>16054714</v>
      </c>
      <c r="D71" s="79"/>
      <c r="E71" s="77">
        <f>+'[1]2013-14'!E55</f>
        <v>16019280.850000001</v>
      </c>
      <c r="F71" s="76">
        <v>16019280.850000001</v>
      </c>
      <c r="G71" s="76">
        <v>16519302</v>
      </c>
      <c r="H71" s="78"/>
      <c r="I71" s="78"/>
      <c r="J71" s="77">
        <f>+'[1]2014-15'!E55+219752</f>
        <v>16890329.620000005</v>
      </c>
      <c r="K71" s="76">
        <f>16090629+189603</f>
        <v>16280232</v>
      </c>
      <c r="L71" s="78"/>
      <c r="M71" s="78"/>
      <c r="N71" s="76">
        <f>'[1]2015-16'!E56</f>
        <v>16448779.210000005</v>
      </c>
      <c r="O71" s="78"/>
      <c r="P71" s="79">
        <f>16448779.21+219752</f>
        <v>16668531.210000001</v>
      </c>
      <c r="Q71" s="79">
        <f>16430891+163387</f>
        <v>16594278</v>
      </c>
      <c r="R71" s="79"/>
      <c r="S71" s="76">
        <f>'[1]2016-17'!E56</f>
        <v>17439537.140000004</v>
      </c>
      <c r="T71" s="76">
        <v>17518710</v>
      </c>
      <c r="U71" s="78"/>
      <c r="V71" s="76">
        <f>'[1]2017-18'!E56</f>
        <v>18126607.540000003</v>
      </c>
      <c r="W71" s="76">
        <f>+V71-50000-150000</f>
        <v>17926607.540000003</v>
      </c>
      <c r="X71" s="76">
        <v>17548667</v>
      </c>
      <c r="Y71" s="76">
        <f t="shared" si="48"/>
        <v>577940.54000000283</v>
      </c>
      <c r="AC71" s="76">
        <f>'[1]2018-19'!E56</f>
        <v>18051657.290000003</v>
      </c>
      <c r="AD71" s="77">
        <v>17379145</v>
      </c>
      <c r="AE71" s="78"/>
      <c r="AF71" s="91" t="s">
        <v>102</v>
      </c>
      <c r="AG71" s="76">
        <f>'[1]2019-20'!E61</f>
        <v>18077002.000000004</v>
      </c>
      <c r="AH71" s="79">
        <v>17548667</v>
      </c>
      <c r="AI71" s="79">
        <f t="shared" ref="AI71:AI107" si="49">+AD71</f>
        <v>17379145</v>
      </c>
      <c r="AJ71" s="79">
        <v>16267450</v>
      </c>
      <c r="AK71" s="79"/>
      <c r="AL71" s="79">
        <f>18200488.99-30000-2328465</f>
        <v>15842023.989999998</v>
      </c>
      <c r="AM71" s="79">
        <f>+AL71+85373</f>
        <v>15927396.989999998</v>
      </c>
      <c r="AN71" s="79">
        <v>15886338</v>
      </c>
      <c r="AO71" s="79"/>
      <c r="AP71" s="79">
        <f>'[1]2020-21'!E61</f>
        <v>18200488.990000002</v>
      </c>
      <c r="AQ71" s="87">
        <f>'[1]2021-22'!E64</f>
        <v>18291515.300000001</v>
      </c>
      <c r="AR71" s="84"/>
      <c r="AS71" s="84">
        <v>18936462</v>
      </c>
      <c r="AT71" s="84"/>
      <c r="AU71" s="84">
        <f>'[1]2022-23'!E64</f>
        <v>18407849.620000001</v>
      </c>
      <c r="AV71" s="78"/>
      <c r="AW71" s="79">
        <f t="shared" si="46"/>
        <v>18407849.620000001</v>
      </c>
      <c r="AX71" s="78"/>
      <c r="AY71" s="84" t="e">
        <f>AU71-#REF!</f>
        <v>#REF!</v>
      </c>
      <c r="AZ71" s="84">
        <v>18977339</v>
      </c>
    </row>
    <row r="72" spans="1:53" ht="18" x14ac:dyDescent="0.9">
      <c r="A72" s="91" t="s">
        <v>103</v>
      </c>
      <c r="B72" s="106"/>
      <c r="C72" s="92">
        <v>76316</v>
      </c>
      <c r="D72" s="79"/>
      <c r="E72" s="77">
        <f>+'[1]2013-14'!E56</f>
        <v>36759.31</v>
      </c>
      <c r="F72" s="76">
        <v>36759.31</v>
      </c>
      <c r="G72" s="93">
        <v>68592</v>
      </c>
      <c r="H72" s="78"/>
      <c r="I72" s="78"/>
      <c r="J72" s="94">
        <f>+'[1]2014-15'!E56</f>
        <v>38713.910000000003</v>
      </c>
      <c r="K72" s="93">
        <v>83540</v>
      </c>
      <c r="L72" s="78"/>
      <c r="M72" s="78"/>
      <c r="N72" s="76">
        <f>'[1]2015-16'!E57</f>
        <v>81625.929999999993</v>
      </c>
      <c r="O72" s="78"/>
      <c r="P72" s="92">
        <v>81625.929999999993</v>
      </c>
      <c r="Q72" s="92">
        <v>118514</v>
      </c>
      <c r="R72" s="92"/>
      <c r="S72" s="93">
        <f>'[1]2016-17'!E57</f>
        <v>85103.23</v>
      </c>
      <c r="T72" s="93">
        <v>79499</v>
      </c>
      <c r="U72" s="78"/>
      <c r="V72" s="93">
        <f>'[1]2017-18'!E57</f>
        <v>50648</v>
      </c>
      <c r="W72" s="93">
        <f t="shared" si="47"/>
        <v>50648</v>
      </c>
      <c r="X72" s="93">
        <v>122065</v>
      </c>
      <c r="Y72" s="93">
        <f t="shared" si="48"/>
        <v>-71417</v>
      </c>
      <c r="AC72" s="93">
        <f>'[1]2018-19'!E57</f>
        <v>48038</v>
      </c>
      <c r="AD72" s="94">
        <v>123108</v>
      </c>
      <c r="AE72" s="95"/>
      <c r="AF72" s="96" t="s">
        <v>103</v>
      </c>
      <c r="AG72" s="97">
        <f>'[1]2019-20'!E62</f>
        <v>44520</v>
      </c>
      <c r="AH72" s="97">
        <v>122065</v>
      </c>
      <c r="AI72" s="97">
        <f t="shared" si="49"/>
        <v>123108</v>
      </c>
      <c r="AJ72" s="97">
        <v>125932</v>
      </c>
      <c r="AK72" s="97"/>
      <c r="AL72" s="97">
        <v>62911.360000000001</v>
      </c>
      <c r="AM72" s="97">
        <f>+AL72</f>
        <v>62911.360000000001</v>
      </c>
      <c r="AN72" s="97">
        <v>87293</v>
      </c>
      <c r="AO72" s="97"/>
      <c r="AP72" s="97">
        <f>'[1]2020-21'!E62</f>
        <v>62911.360000000001</v>
      </c>
      <c r="AQ72" s="98">
        <f>'[1]2021-22'!E65</f>
        <v>46941.740000000005</v>
      </c>
      <c r="AR72" s="99"/>
      <c r="AS72" s="100">
        <v>56080</v>
      </c>
      <c r="AT72" s="99"/>
      <c r="AU72" s="100">
        <f>'[1]2022-23'!E65</f>
        <v>56080</v>
      </c>
      <c r="AV72" s="101"/>
      <c r="AW72" s="97">
        <f>+AU72</f>
        <v>56080</v>
      </c>
      <c r="AX72" s="101"/>
      <c r="AY72" s="100" t="e">
        <f>AU72-#REF!</f>
        <v>#REF!</v>
      </c>
      <c r="AZ72" s="100">
        <v>46942</v>
      </c>
      <c r="BA72" s="102"/>
    </row>
    <row r="73" spans="1:53" ht="17.25" hidden="1" customHeight="1" x14ac:dyDescent="0.9">
      <c r="A73" s="91" t="s">
        <v>104</v>
      </c>
      <c r="B73" s="106"/>
      <c r="C73" s="92">
        <v>242764</v>
      </c>
      <c r="D73" s="92"/>
      <c r="E73" s="94">
        <f>+'[1]2013-14'!E57</f>
        <v>219752</v>
      </c>
      <c r="F73" s="93">
        <v>219752</v>
      </c>
      <c r="G73" s="93">
        <v>237498</v>
      </c>
      <c r="H73" s="101"/>
      <c r="I73" s="101"/>
      <c r="J73" s="94">
        <v>0</v>
      </c>
      <c r="K73" s="93">
        <v>0</v>
      </c>
      <c r="L73" s="101"/>
      <c r="M73" s="101"/>
      <c r="N73" s="93">
        <f>'[1]2015-16'!E58</f>
        <v>219752</v>
      </c>
      <c r="O73" s="101"/>
      <c r="P73" s="92">
        <v>0</v>
      </c>
      <c r="Q73" s="92">
        <v>0</v>
      </c>
      <c r="R73" s="92"/>
      <c r="S73" s="93">
        <f>'[1]2016-17'!E58</f>
        <v>0</v>
      </c>
      <c r="T73" s="93">
        <v>0</v>
      </c>
      <c r="U73" s="101"/>
      <c r="V73" s="93">
        <f>'[1]2016-17'!G58</f>
        <v>0</v>
      </c>
      <c r="W73" s="93">
        <v>0</v>
      </c>
      <c r="X73" s="93">
        <v>0</v>
      </c>
      <c r="Y73" s="93">
        <v>0</v>
      </c>
      <c r="AC73" s="93">
        <f>'[1]2016-17'!L58</f>
        <v>0</v>
      </c>
      <c r="AD73" s="94">
        <v>0</v>
      </c>
      <c r="AE73" s="101"/>
      <c r="AF73" s="91" t="s">
        <v>104</v>
      </c>
      <c r="AG73" s="93">
        <f>'[1]2016-17'!M58</f>
        <v>0</v>
      </c>
      <c r="AH73" s="92">
        <v>0</v>
      </c>
      <c r="AI73" s="92">
        <f t="shared" si="49"/>
        <v>0</v>
      </c>
      <c r="AJ73" s="92">
        <f>'[1]2016-17'!N58</f>
        <v>0</v>
      </c>
      <c r="AK73" s="92"/>
      <c r="AL73" s="92">
        <v>0</v>
      </c>
      <c r="AM73" s="92">
        <v>0</v>
      </c>
      <c r="AN73" s="92">
        <v>0</v>
      </c>
      <c r="AO73" s="92"/>
      <c r="AP73" s="92">
        <v>0</v>
      </c>
      <c r="AQ73" s="108">
        <v>0</v>
      </c>
      <c r="AR73" s="99"/>
      <c r="AS73" s="99"/>
      <c r="AT73" s="99"/>
      <c r="AU73" s="99"/>
      <c r="AV73" s="101"/>
      <c r="AW73" s="92"/>
      <c r="AX73" s="101"/>
      <c r="AY73" s="99"/>
      <c r="AZ73" s="99"/>
    </row>
    <row r="74" spans="1:53" ht="18" x14ac:dyDescent="0.9">
      <c r="A74" s="103" t="s">
        <v>105</v>
      </c>
      <c r="B74" s="106"/>
      <c r="C74" s="92">
        <f>SUM(C65:C73)</f>
        <v>59977553</v>
      </c>
      <c r="D74" s="92"/>
      <c r="E74" s="94">
        <f>SUM(E65:E73)</f>
        <v>60079807.960000008</v>
      </c>
      <c r="F74" s="93">
        <f>SUM(F65:F73)</f>
        <v>60529807.960000008</v>
      </c>
      <c r="G74" s="93">
        <f>SUM(G65:G73)</f>
        <v>62147791</v>
      </c>
      <c r="H74" s="101"/>
      <c r="I74" s="101"/>
      <c r="J74" s="94">
        <f>SUM(J65:J73)</f>
        <v>59671228.870000005</v>
      </c>
      <c r="K74" s="93">
        <f>SUM(K65:K73)+1</f>
        <v>60928060</v>
      </c>
      <c r="L74" s="101"/>
      <c r="M74" s="101"/>
      <c r="N74" s="93">
        <f>SUM(N65:N73)</f>
        <v>58945757.260000013</v>
      </c>
      <c r="O74" s="101"/>
      <c r="P74" s="93">
        <f>SUM(P65:P73)</f>
        <v>59445757.660000004</v>
      </c>
      <c r="Q74" s="97">
        <f>SUM(Q65:Q73)</f>
        <v>60520050.019999996</v>
      </c>
      <c r="R74" s="97"/>
      <c r="S74" s="97">
        <f>SUM(S65:S73)</f>
        <v>61300424.259999998</v>
      </c>
      <c r="T74" s="97">
        <f>SUM(T65:T73)</f>
        <v>62948975.600000009</v>
      </c>
      <c r="U74" s="95"/>
      <c r="V74" s="97">
        <f>SUM(V65:V73)</f>
        <v>64159153.610000014</v>
      </c>
      <c r="W74" s="97">
        <f>SUM(W65:W73)</f>
        <v>17461533.350000001</v>
      </c>
      <c r="X74" s="97">
        <f>SUM(X65:X73)</f>
        <v>64440696.579999998</v>
      </c>
      <c r="Y74" s="97">
        <f>SUM(Y65:Y73)</f>
        <v>-233583.64999999711</v>
      </c>
      <c r="Z74" s="114"/>
      <c r="AA74" s="114"/>
      <c r="AB74" s="114"/>
      <c r="AC74" s="97">
        <f>SUM(AC65:AC73)</f>
        <v>63241362.25</v>
      </c>
      <c r="AD74" s="98">
        <f>SUM(AD65:AD73)</f>
        <v>64578048.160000004</v>
      </c>
      <c r="AE74" s="101"/>
      <c r="AF74" s="103" t="s">
        <v>105</v>
      </c>
      <c r="AG74" s="97">
        <f t="shared" ref="AG74:AZ74" si="50">SUM(AG65:AG73)</f>
        <v>64016242.49000001</v>
      </c>
      <c r="AH74" s="92">
        <f>SUM(AH65:AH73)</f>
        <v>64440696.579999998</v>
      </c>
      <c r="AI74" s="92">
        <f t="shared" si="49"/>
        <v>64578048.160000004</v>
      </c>
      <c r="AJ74" s="92">
        <f t="shared" ref="AJ74" si="51">SUM(AJ65:AJ73)</f>
        <v>62939318.409999996</v>
      </c>
      <c r="AK74" s="92"/>
      <c r="AL74" s="92">
        <f>SUM(AL65:AL73)</f>
        <v>62553490.409999996</v>
      </c>
      <c r="AM74" s="92">
        <f t="shared" ref="AM74:AN74" si="52">SUM(AM65:AM73)</f>
        <v>62475578.409999996</v>
      </c>
      <c r="AN74" s="92">
        <f t="shared" si="52"/>
        <v>62755226.609999999</v>
      </c>
      <c r="AO74" s="92"/>
      <c r="AP74" s="92">
        <f t="shared" si="50"/>
        <v>65703781.410000004</v>
      </c>
      <c r="AQ74" s="108">
        <f t="shared" si="50"/>
        <v>69973319.390000001</v>
      </c>
      <c r="AR74" s="101"/>
      <c r="AS74" s="118">
        <f t="shared" ref="AS74" si="53">SUM(AS65:AS73)</f>
        <v>70556678</v>
      </c>
      <c r="AT74" s="101"/>
      <c r="AU74" s="168">
        <f t="shared" si="50"/>
        <v>69821493.150000006</v>
      </c>
      <c r="AV74" s="101"/>
      <c r="AW74" s="92">
        <f t="shared" si="50"/>
        <v>69821493.150000006</v>
      </c>
      <c r="AX74" s="101"/>
      <c r="AY74" s="99" t="e">
        <f t="shared" si="50"/>
        <v>#REF!</v>
      </c>
      <c r="AZ74" s="99">
        <f t="shared" si="50"/>
        <v>71943077</v>
      </c>
    </row>
    <row r="75" spans="1:53" ht="15" hidden="1" customHeight="1" x14ac:dyDescent="0.45">
      <c r="A75" s="91" t="s">
        <v>106</v>
      </c>
      <c r="B75" s="74"/>
      <c r="C75" s="79"/>
      <c r="D75" s="79"/>
      <c r="E75" s="77"/>
      <c r="F75" s="76"/>
      <c r="G75" s="76"/>
      <c r="H75" s="78"/>
      <c r="I75" s="78"/>
      <c r="J75" s="77"/>
      <c r="K75" s="76"/>
      <c r="L75" s="78"/>
      <c r="M75" s="78"/>
      <c r="N75" s="76"/>
      <c r="O75" s="78"/>
      <c r="P75" s="79"/>
      <c r="Q75" s="79"/>
      <c r="R75" s="79"/>
      <c r="S75" s="76"/>
      <c r="T75" s="76"/>
      <c r="U75" s="78"/>
      <c r="V75" s="76"/>
      <c r="W75" s="76"/>
      <c r="X75" s="76"/>
      <c r="Y75" s="76"/>
      <c r="AC75" s="76"/>
      <c r="AD75" s="77"/>
      <c r="AE75" s="78"/>
      <c r="AF75" s="91" t="s">
        <v>106</v>
      </c>
      <c r="AG75" s="76"/>
      <c r="AH75" s="79"/>
      <c r="AI75" s="79">
        <f t="shared" si="49"/>
        <v>0</v>
      </c>
      <c r="AJ75" s="79"/>
      <c r="AK75" s="79"/>
      <c r="AL75" s="79"/>
      <c r="AM75" s="79"/>
      <c r="AN75" s="79"/>
      <c r="AO75" s="79"/>
      <c r="AP75" s="79"/>
      <c r="AQ75" s="87"/>
      <c r="AR75" s="84"/>
      <c r="AS75" s="84"/>
      <c r="AT75" s="84"/>
      <c r="AU75" s="84"/>
      <c r="AV75" s="78"/>
      <c r="AW75" s="79"/>
      <c r="AX75" s="78"/>
      <c r="AY75" s="84"/>
      <c r="AZ75" s="84"/>
    </row>
    <row r="76" spans="1:53" ht="15" hidden="1" customHeight="1" x14ac:dyDescent="0.45">
      <c r="A76" s="91" t="s">
        <v>107</v>
      </c>
      <c r="B76" s="74"/>
      <c r="C76" s="79"/>
      <c r="D76" s="79"/>
      <c r="E76" s="77"/>
      <c r="F76" s="76"/>
      <c r="G76" s="76"/>
      <c r="H76" s="78"/>
      <c r="I76" s="78"/>
      <c r="J76" s="77"/>
      <c r="K76" s="76"/>
      <c r="L76" s="78"/>
      <c r="M76" s="78"/>
      <c r="N76" s="76"/>
      <c r="O76" s="78"/>
      <c r="P76" s="79"/>
      <c r="Q76" s="79"/>
      <c r="R76" s="79"/>
      <c r="S76" s="76"/>
      <c r="T76" s="76"/>
      <c r="U76" s="78"/>
      <c r="V76" s="76"/>
      <c r="W76" s="76"/>
      <c r="X76" s="76"/>
      <c r="Y76" s="76"/>
      <c r="AC76" s="76"/>
      <c r="AD76" s="77"/>
      <c r="AE76" s="78"/>
      <c r="AF76" s="91" t="s">
        <v>107</v>
      </c>
      <c r="AG76" s="76"/>
      <c r="AH76" s="79"/>
      <c r="AI76" s="79">
        <f t="shared" si="49"/>
        <v>0</v>
      </c>
      <c r="AJ76" s="79"/>
      <c r="AK76" s="79"/>
      <c r="AL76" s="79"/>
      <c r="AM76" s="79"/>
      <c r="AN76" s="79"/>
      <c r="AO76" s="79"/>
      <c r="AP76" s="79"/>
      <c r="AQ76" s="87"/>
      <c r="AR76" s="84"/>
      <c r="AS76" s="84"/>
      <c r="AT76" s="84"/>
      <c r="AU76" s="84"/>
      <c r="AV76" s="78"/>
      <c r="AW76" s="79"/>
      <c r="AX76" s="78"/>
      <c r="AY76" s="84"/>
      <c r="AZ76" s="84"/>
    </row>
    <row r="77" spans="1:53" ht="17.25" hidden="1" customHeight="1" x14ac:dyDescent="0.9">
      <c r="A77" s="91" t="s">
        <v>108</v>
      </c>
      <c r="B77" s="106"/>
      <c r="C77" s="92"/>
      <c r="D77" s="92"/>
      <c r="E77" s="94"/>
      <c r="F77" s="93"/>
      <c r="G77" s="93"/>
      <c r="H77" s="101"/>
      <c r="I77" s="101"/>
      <c r="J77" s="94"/>
      <c r="K77" s="93"/>
      <c r="L77" s="101"/>
      <c r="M77" s="101"/>
      <c r="N77" s="93"/>
      <c r="O77" s="101"/>
      <c r="P77" s="92"/>
      <c r="Q77" s="92"/>
      <c r="R77" s="92"/>
      <c r="S77" s="93"/>
      <c r="T77" s="93"/>
      <c r="U77" s="101"/>
      <c r="V77" s="93"/>
      <c r="W77" s="93"/>
      <c r="X77" s="93"/>
      <c r="Y77" s="93"/>
      <c r="AC77" s="93"/>
      <c r="AD77" s="94"/>
      <c r="AE77" s="101"/>
      <c r="AF77" s="91" t="s">
        <v>108</v>
      </c>
      <c r="AG77" s="93"/>
      <c r="AH77" s="92"/>
      <c r="AI77" s="92">
        <f t="shared" si="49"/>
        <v>0</v>
      </c>
      <c r="AJ77" s="92"/>
      <c r="AK77" s="92"/>
      <c r="AL77" s="92"/>
      <c r="AM77" s="92"/>
      <c r="AN77" s="92"/>
      <c r="AO77" s="92"/>
      <c r="AP77" s="92"/>
      <c r="AQ77" s="108"/>
      <c r="AR77" s="99"/>
      <c r="AS77" s="99"/>
      <c r="AT77" s="99"/>
      <c r="AU77" s="99"/>
      <c r="AV77" s="101"/>
      <c r="AW77" s="92"/>
      <c r="AX77" s="101"/>
      <c r="AY77" s="99"/>
      <c r="AZ77" s="99"/>
    </row>
    <row r="78" spans="1:53" ht="15" hidden="1" customHeight="1" x14ac:dyDescent="0.45">
      <c r="A78" s="91" t="s">
        <v>106</v>
      </c>
      <c r="B78" s="74"/>
      <c r="C78" s="79"/>
      <c r="D78" s="79"/>
      <c r="E78" s="77"/>
      <c r="F78" s="76"/>
      <c r="G78" s="76"/>
      <c r="H78" s="78"/>
      <c r="I78" s="78"/>
      <c r="J78" s="77"/>
      <c r="K78" s="76"/>
      <c r="L78" s="78"/>
      <c r="M78" s="78"/>
      <c r="N78" s="76"/>
      <c r="O78" s="78"/>
      <c r="P78" s="79"/>
      <c r="Q78" s="79"/>
      <c r="R78" s="79"/>
      <c r="S78" s="76"/>
      <c r="T78" s="76"/>
      <c r="U78" s="78"/>
      <c r="V78" s="76"/>
      <c r="W78" s="76"/>
      <c r="X78" s="76"/>
      <c r="Y78" s="76"/>
      <c r="AC78" s="76"/>
      <c r="AD78" s="77"/>
      <c r="AE78" s="78"/>
      <c r="AF78" s="91" t="s">
        <v>106</v>
      </c>
      <c r="AG78" s="76"/>
      <c r="AH78" s="79"/>
      <c r="AI78" s="79">
        <f t="shared" si="49"/>
        <v>0</v>
      </c>
      <c r="AJ78" s="79"/>
      <c r="AK78" s="79"/>
      <c r="AL78" s="79"/>
      <c r="AM78" s="79"/>
      <c r="AN78" s="79"/>
      <c r="AO78" s="79"/>
      <c r="AP78" s="79"/>
      <c r="AQ78" s="87"/>
      <c r="AR78" s="84"/>
      <c r="AS78" s="84"/>
      <c r="AT78" s="84"/>
      <c r="AU78" s="84"/>
      <c r="AV78" s="78"/>
      <c r="AW78" s="79"/>
      <c r="AX78" s="78"/>
      <c r="AY78" s="84"/>
      <c r="AZ78" s="84"/>
    </row>
    <row r="79" spans="1:53" ht="15" x14ac:dyDescent="0.45">
      <c r="A79" s="91"/>
      <c r="B79" s="74"/>
      <c r="C79" s="79"/>
      <c r="D79" s="79"/>
      <c r="E79" s="77"/>
      <c r="F79" s="76"/>
      <c r="G79" s="76"/>
      <c r="H79" s="78"/>
      <c r="I79" s="78"/>
      <c r="J79" s="77"/>
      <c r="K79" s="76"/>
      <c r="L79" s="78"/>
      <c r="M79" s="78"/>
      <c r="N79" s="76"/>
      <c r="O79" s="78"/>
      <c r="P79" s="79"/>
      <c r="Q79" s="79"/>
      <c r="R79" s="79"/>
      <c r="S79" s="76"/>
      <c r="T79" s="76"/>
      <c r="U79" s="78"/>
      <c r="V79" s="76"/>
      <c r="W79" s="76"/>
      <c r="X79" s="76"/>
      <c r="Y79" s="76"/>
      <c r="AC79" s="76"/>
      <c r="AD79" s="77"/>
      <c r="AE79" s="78"/>
      <c r="AF79" s="91"/>
      <c r="AG79" s="76"/>
      <c r="AH79" s="79"/>
      <c r="AI79" s="79"/>
      <c r="AJ79" s="79"/>
      <c r="AK79" s="79"/>
      <c r="AL79" s="79"/>
      <c r="AM79" s="79"/>
      <c r="AN79" s="79"/>
      <c r="AO79" s="79"/>
      <c r="AP79" s="79"/>
      <c r="AQ79" s="87"/>
      <c r="AR79" s="84"/>
      <c r="AS79" s="84"/>
      <c r="AT79" s="84"/>
      <c r="AU79" s="84"/>
      <c r="AV79" s="78"/>
      <c r="AW79" s="79"/>
      <c r="AX79" s="78"/>
      <c r="AY79" s="84"/>
      <c r="AZ79" s="84"/>
    </row>
    <row r="80" spans="1:53" ht="15" x14ac:dyDescent="0.45">
      <c r="A80" s="91" t="s">
        <v>107</v>
      </c>
      <c r="B80" s="74"/>
      <c r="C80" s="79">
        <v>12767652</v>
      </c>
      <c r="D80" s="79"/>
      <c r="E80" s="77">
        <f>+'[1]2013-14'!E60</f>
        <v>11325084.41</v>
      </c>
      <c r="F80" s="76">
        <f>11325084.41-1579000+535891</f>
        <v>10281975.41</v>
      </c>
      <c r="G80" s="76">
        <v>12799269</v>
      </c>
      <c r="H80" s="78"/>
      <c r="I80" s="78"/>
      <c r="J80" s="77">
        <f>+'[1]2014-15'!E60+242500</f>
        <v>10525162.509999998</v>
      </c>
      <c r="K80" s="76">
        <f>12945438+217120</f>
        <v>13162558</v>
      </c>
      <c r="L80" s="78"/>
      <c r="M80" s="78"/>
      <c r="N80" s="76">
        <f>'[1]2015-16'!E61</f>
        <v>9784420.7699999996</v>
      </c>
      <c r="O80" s="78"/>
      <c r="P80" s="79">
        <f>9784420.77+242500</f>
        <v>10026920.77</v>
      </c>
      <c r="Q80" s="79">
        <f>14007817+256687</f>
        <v>14264504</v>
      </c>
      <c r="R80" s="79"/>
      <c r="S80" s="76">
        <f>'[1]2016-17'!E61</f>
        <v>10319773.609999999</v>
      </c>
      <c r="T80" s="76">
        <v>13983507</v>
      </c>
      <c r="U80" s="78"/>
      <c r="V80" s="76">
        <f>'[1]2017-18'!E61</f>
        <v>10730247.420000002</v>
      </c>
      <c r="W80" s="76">
        <f>+V80-80000+60014+50000+475000+292393+105254+5452</f>
        <v>11638360.420000002</v>
      </c>
      <c r="X80" s="76">
        <v>15711173</v>
      </c>
      <c r="Y80" s="76">
        <f t="shared" ref="Y80:Y83" si="54">V80-X80</f>
        <v>-4980925.5799999982</v>
      </c>
      <c r="AC80" s="76">
        <f>'[1]2018-19'!E61</f>
        <v>11477106.76</v>
      </c>
      <c r="AD80" s="77">
        <v>16974547</v>
      </c>
      <c r="AE80" s="104" t="s">
        <v>86</v>
      </c>
      <c r="AF80" s="96" t="s">
        <v>107</v>
      </c>
      <c r="AG80" s="82">
        <f>'[1]2019-20'!E66</f>
        <v>12039979.140000001</v>
      </c>
      <c r="AH80" s="82">
        <v>15711173</v>
      </c>
      <c r="AI80" s="82">
        <f t="shared" si="49"/>
        <v>16974547</v>
      </c>
      <c r="AJ80" s="82">
        <v>14206528</v>
      </c>
      <c r="AK80" s="82"/>
      <c r="AL80" s="82">
        <f>12720482.88-267122+1115000+13800+23000</f>
        <v>13605160.880000001</v>
      </c>
      <c r="AM80" s="82">
        <f>+AL80+100000+269446-176664</f>
        <v>13797942.880000001</v>
      </c>
      <c r="AN80" s="82">
        <f>18896570-AN81-AN82</f>
        <v>14102355.51</v>
      </c>
      <c r="AO80" s="82"/>
      <c r="AP80" s="82">
        <f>'[1]2020-21'!E66</f>
        <v>12720482.880000001</v>
      </c>
      <c r="AQ80" s="83">
        <f>'[1]2021-22'!E69</f>
        <v>14508067.090000002</v>
      </c>
      <c r="AR80" s="84"/>
      <c r="AS80" s="85">
        <v>14269304</v>
      </c>
      <c r="AT80" s="84"/>
      <c r="AU80" s="85">
        <f>'[1]2022-23'!E69</f>
        <v>15023166.26</v>
      </c>
      <c r="AV80" s="78"/>
      <c r="AW80" s="82">
        <f>+AU80</f>
        <v>15023166.26</v>
      </c>
      <c r="AX80" s="78"/>
      <c r="AY80" s="85" t="e">
        <f>AU80-#REF!</f>
        <v>#REF!</v>
      </c>
      <c r="AZ80" s="85">
        <v>14321842</v>
      </c>
    </row>
    <row r="81" spans="1:53" ht="15" x14ac:dyDescent="0.45">
      <c r="A81" s="91"/>
      <c r="B81" s="74"/>
      <c r="C81" s="79"/>
      <c r="D81" s="79"/>
      <c r="E81" s="77"/>
      <c r="F81" s="76"/>
      <c r="G81" s="76"/>
      <c r="H81" s="78"/>
      <c r="I81" s="78"/>
      <c r="J81" s="77"/>
      <c r="K81" s="76"/>
      <c r="L81" s="78"/>
      <c r="M81" s="78"/>
      <c r="N81" s="76"/>
      <c r="O81" s="78"/>
      <c r="P81" s="79"/>
      <c r="Q81" s="79"/>
      <c r="R81" s="79"/>
      <c r="S81" s="76"/>
      <c r="T81" s="76"/>
      <c r="U81" s="78"/>
      <c r="V81" s="76"/>
      <c r="W81" s="76"/>
      <c r="X81" s="76"/>
      <c r="Y81" s="76"/>
      <c r="AC81" s="76"/>
      <c r="AD81" s="77"/>
      <c r="AE81" s="90" t="s">
        <v>75</v>
      </c>
      <c r="AF81" s="91" t="s">
        <v>109</v>
      </c>
      <c r="AG81" s="76"/>
      <c r="AH81" s="79"/>
      <c r="AI81" s="79"/>
      <c r="AJ81" s="79"/>
      <c r="AK81" s="79"/>
      <c r="AL81" s="79"/>
      <c r="AM81" s="86">
        <f>2500000-395420</f>
        <v>2104580</v>
      </c>
      <c r="AN81" s="86">
        <f>2333018</f>
        <v>2333018</v>
      </c>
      <c r="AO81" s="79"/>
      <c r="AP81" s="79"/>
      <c r="AQ81" s="87">
        <f>'[1]2021-22'!E70</f>
        <v>250000</v>
      </c>
      <c r="AR81" s="84"/>
      <c r="AS81" s="84">
        <f t="shared" ref="AS81:AS82" si="55">AU81</f>
        <v>0</v>
      </c>
      <c r="AT81" s="84"/>
      <c r="AU81" s="84">
        <f>'[1]2022-23'!E70</f>
        <v>0</v>
      </c>
      <c r="AV81" s="78"/>
      <c r="AW81" s="79">
        <f t="shared" ref="AW81:AW83" si="56">+AU81</f>
        <v>0</v>
      </c>
      <c r="AX81" s="78"/>
      <c r="AY81" s="88" t="e">
        <f>AU81-#REF!</f>
        <v>#REF!</v>
      </c>
      <c r="AZ81" s="88">
        <f>AV81-AR81</f>
        <v>0</v>
      </c>
    </row>
    <row r="82" spans="1:53" ht="15" hidden="1" x14ac:dyDescent="0.45">
      <c r="A82" s="91"/>
      <c r="B82" s="74"/>
      <c r="C82" s="79"/>
      <c r="D82" s="79"/>
      <c r="E82" s="77"/>
      <c r="F82" s="76"/>
      <c r="G82" s="76"/>
      <c r="H82" s="78"/>
      <c r="I82" s="78"/>
      <c r="J82" s="77"/>
      <c r="K82" s="76"/>
      <c r="L82" s="78"/>
      <c r="M82" s="78"/>
      <c r="N82" s="76"/>
      <c r="O82" s="78"/>
      <c r="P82" s="79"/>
      <c r="Q82" s="79"/>
      <c r="R82" s="79"/>
      <c r="S82" s="76"/>
      <c r="T82" s="76"/>
      <c r="U82" s="78"/>
      <c r="V82" s="76"/>
      <c r="W82" s="76"/>
      <c r="X82" s="76"/>
      <c r="Y82" s="76"/>
      <c r="AC82" s="76"/>
      <c r="AD82" s="77"/>
      <c r="AE82" s="90"/>
      <c r="AF82" s="91" t="s">
        <v>110</v>
      </c>
      <c r="AG82" s="76"/>
      <c r="AH82" s="79"/>
      <c r="AI82" s="79"/>
      <c r="AJ82" s="79"/>
      <c r="AK82" s="79"/>
      <c r="AL82" s="79"/>
      <c r="AM82" s="86"/>
      <c r="AN82" s="86">
        <v>2461196.4900000002</v>
      </c>
      <c r="AO82" s="79"/>
      <c r="AP82" s="79"/>
      <c r="AQ82" s="126"/>
      <c r="AR82" s="84"/>
      <c r="AS82" s="85">
        <f t="shared" si="55"/>
        <v>0</v>
      </c>
      <c r="AT82" s="84"/>
      <c r="AU82" s="88"/>
      <c r="AV82" s="78"/>
      <c r="AW82" s="82">
        <f t="shared" si="56"/>
        <v>0</v>
      </c>
      <c r="AX82" s="78"/>
      <c r="AY82" s="88" t="e">
        <f>AU82-#REF!</f>
        <v>#REF!</v>
      </c>
      <c r="AZ82" s="88">
        <f>AV82-AR82</f>
        <v>0</v>
      </c>
    </row>
    <row r="83" spans="1:53" ht="18" x14ac:dyDescent="0.9">
      <c r="A83" s="91" t="s">
        <v>111</v>
      </c>
      <c r="B83" s="74"/>
      <c r="C83" s="92">
        <v>2406668</v>
      </c>
      <c r="D83" s="79"/>
      <c r="E83" s="77">
        <f>+'[1]2013-14'!E61</f>
        <v>2774235.92</v>
      </c>
      <c r="F83" s="76">
        <v>2774235.92</v>
      </c>
      <c r="G83" s="93">
        <v>2278100</v>
      </c>
      <c r="H83" s="78"/>
      <c r="I83" s="78"/>
      <c r="J83" s="94">
        <f>+'[1]2014-15'!E61</f>
        <v>2543274.81</v>
      </c>
      <c r="K83" s="93">
        <v>2108778</v>
      </c>
      <c r="L83" s="78"/>
      <c r="M83" s="78"/>
      <c r="N83" s="76">
        <f>'[1]2015-16'!E62</f>
        <v>3117391.76</v>
      </c>
      <c r="O83" s="78"/>
      <c r="P83" s="92">
        <v>3117391.76</v>
      </c>
      <c r="Q83" s="92">
        <v>2358735</v>
      </c>
      <c r="R83" s="92"/>
      <c r="S83" s="93">
        <f>'[1]2016-17'!E62</f>
        <v>3278134.9299999997</v>
      </c>
      <c r="T83" s="93">
        <v>2469227</v>
      </c>
      <c r="U83" s="78"/>
      <c r="V83" s="93">
        <f>'[1]2017-18'!E62</f>
        <v>3270418.57</v>
      </c>
      <c r="W83" s="93">
        <f>+V83+200000</f>
        <v>3470418.57</v>
      </c>
      <c r="X83" s="93">
        <v>2159816</v>
      </c>
      <c r="Y83" s="93">
        <f t="shared" si="54"/>
        <v>1110602.5699999998</v>
      </c>
      <c r="AC83" s="93">
        <f>'[1]2018-19'!E62</f>
        <v>3213702.31</v>
      </c>
      <c r="AD83" s="94">
        <v>1333142</v>
      </c>
      <c r="AE83" s="95"/>
      <c r="AF83" s="96" t="s">
        <v>112</v>
      </c>
      <c r="AG83" s="97">
        <f>'[1]2019-20'!E67</f>
        <v>2980432.75</v>
      </c>
      <c r="AH83" s="82">
        <v>2159816</v>
      </c>
      <c r="AI83" s="82">
        <f t="shared" si="49"/>
        <v>1333142</v>
      </c>
      <c r="AJ83" s="82">
        <v>1591463</v>
      </c>
      <c r="AK83" s="82"/>
      <c r="AL83" s="82">
        <v>2876183.8899999997</v>
      </c>
      <c r="AM83" s="82">
        <f>+AL83</f>
        <v>2876183.8899999997</v>
      </c>
      <c r="AN83" s="82">
        <v>1273894</v>
      </c>
      <c r="AO83" s="82"/>
      <c r="AP83" s="82">
        <f>'[1]2020-21'!E67</f>
        <v>2876183.8899999997</v>
      </c>
      <c r="AQ83" s="83">
        <f>'[1]2021-22'!E71</f>
        <v>3141086.52</v>
      </c>
      <c r="AR83" s="84"/>
      <c r="AS83" s="85">
        <v>3721919</v>
      </c>
      <c r="AT83" s="84"/>
      <c r="AU83" s="85">
        <f>'[1]2022-23'!E71</f>
        <v>3721919</v>
      </c>
      <c r="AV83" s="78"/>
      <c r="AW83" s="82">
        <f t="shared" si="56"/>
        <v>3721919</v>
      </c>
      <c r="AX83" s="78"/>
      <c r="AY83" s="85" t="e">
        <f>AU83-#REF!</f>
        <v>#REF!</v>
      </c>
      <c r="AZ83" s="85">
        <v>3251772</v>
      </c>
      <c r="BA83" s="102"/>
    </row>
    <row r="84" spans="1:53" ht="18" x14ac:dyDescent="0.9">
      <c r="A84" s="91" t="s">
        <v>113</v>
      </c>
      <c r="B84" s="74"/>
      <c r="C84" s="92">
        <v>216992</v>
      </c>
      <c r="D84" s="92"/>
      <c r="E84" s="94">
        <f>+'[1]2013-14'!E62</f>
        <v>242500</v>
      </c>
      <c r="F84" s="93">
        <v>242500</v>
      </c>
      <c r="G84" s="93">
        <v>218864</v>
      </c>
      <c r="H84" s="101"/>
      <c r="I84" s="101"/>
      <c r="J84" s="94">
        <v>0</v>
      </c>
      <c r="K84" s="93">
        <v>0</v>
      </c>
      <c r="L84" s="101"/>
      <c r="M84" s="101"/>
      <c r="N84" s="93">
        <f>'[1]2015-16'!E63</f>
        <v>242500</v>
      </c>
      <c r="O84" s="101"/>
      <c r="P84" s="92">
        <v>0</v>
      </c>
      <c r="Q84" s="92">
        <v>0</v>
      </c>
      <c r="R84" s="92"/>
      <c r="S84" s="93">
        <v>0</v>
      </c>
      <c r="T84" s="93">
        <v>0</v>
      </c>
      <c r="U84" s="101"/>
      <c r="V84" s="93">
        <v>0</v>
      </c>
      <c r="W84" s="93">
        <v>0</v>
      </c>
      <c r="X84" s="76">
        <f t="shared" ref="X84:Y84" si="57">+W84</f>
        <v>0</v>
      </c>
      <c r="Y84" s="76">
        <f t="shared" si="57"/>
        <v>0</v>
      </c>
      <c r="AC84" s="93">
        <v>0</v>
      </c>
      <c r="AD84" s="94">
        <v>0</v>
      </c>
      <c r="AE84" s="101"/>
      <c r="AF84" s="91" t="s">
        <v>114</v>
      </c>
      <c r="AG84" s="93">
        <v>0</v>
      </c>
      <c r="AH84" s="92">
        <f t="shared" ref="AH84" si="58">+AG84</f>
        <v>0</v>
      </c>
      <c r="AI84" s="92">
        <f t="shared" si="49"/>
        <v>0</v>
      </c>
      <c r="AJ84" s="92">
        <v>0</v>
      </c>
      <c r="AK84" s="92"/>
      <c r="AL84" s="92">
        <v>0</v>
      </c>
      <c r="AM84" s="92">
        <v>0</v>
      </c>
      <c r="AN84" s="92">
        <v>0</v>
      </c>
      <c r="AO84" s="92"/>
      <c r="AP84" s="92">
        <v>0</v>
      </c>
      <c r="AQ84" s="108">
        <f>'[1]2021-22'!E72</f>
        <v>21500</v>
      </c>
      <c r="AR84" s="99"/>
      <c r="AS84" s="99">
        <f>'[1]2022-23'!C72</f>
        <v>0</v>
      </c>
      <c r="AT84" s="99"/>
      <c r="AU84" s="99">
        <f>'[1]2022-23'!E72</f>
        <v>0</v>
      </c>
      <c r="AV84" s="101"/>
      <c r="AW84" s="92">
        <f>+AU84</f>
        <v>0</v>
      </c>
      <c r="AX84" s="101"/>
      <c r="AY84" s="109" t="e">
        <f>AU84-#REF!</f>
        <v>#REF!</v>
      </c>
      <c r="AZ84" s="109">
        <f>AV84-AR84</f>
        <v>0</v>
      </c>
    </row>
    <row r="85" spans="1:53" ht="18" x14ac:dyDescent="0.9">
      <c r="A85" s="103" t="s">
        <v>115</v>
      </c>
      <c r="B85" s="74"/>
      <c r="C85" s="92">
        <f>SUM(C80:C84)</f>
        <v>15391312</v>
      </c>
      <c r="D85" s="92"/>
      <c r="E85" s="94">
        <f>SUM(E80:E84)</f>
        <v>14341820.33</v>
      </c>
      <c r="F85" s="93">
        <f>SUM(F80:F84)</f>
        <v>13298711.33</v>
      </c>
      <c r="G85" s="93">
        <f>SUM(G80:G84)</f>
        <v>15296233</v>
      </c>
      <c r="H85" s="101"/>
      <c r="I85" s="101"/>
      <c r="J85" s="94">
        <f>SUM(J80:J84)</f>
        <v>13068437.319999998</v>
      </c>
      <c r="K85" s="93">
        <f>SUM(K80:K84)</f>
        <v>15271336</v>
      </c>
      <c r="L85" s="101"/>
      <c r="M85" s="101"/>
      <c r="N85" s="93">
        <f>SUM(N80:N84)</f>
        <v>13144312.529999999</v>
      </c>
      <c r="O85" s="101"/>
      <c r="P85" s="93">
        <f>SUM(P80:P84)</f>
        <v>13144312.529999999</v>
      </c>
      <c r="Q85" s="93">
        <f>SUM(Q80:Q84)</f>
        <v>16623239</v>
      </c>
      <c r="R85" s="93"/>
      <c r="S85" s="93">
        <f>SUM(S80:S84)</f>
        <v>13597908.539999999</v>
      </c>
      <c r="T85" s="93">
        <f>SUM(T80:T84)</f>
        <v>16452734</v>
      </c>
      <c r="U85" s="101"/>
      <c r="V85" s="93">
        <f>SUM(V80:V84)</f>
        <v>14000665.990000002</v>
      </c>
      <c r="W85" s="93">
        <f>SUM(W80:W84)</f>
        <v>15108778.990000002</v>
      </c>
      <c r="X85" s="93">
        <f>SUM(X80:X84)</f>
        <v>17870989</v>
      </c>
      <c r="Y85" s="93">
        <f>SUM(Y80:Y84)</f>
        <v>-3870323.0099999984</v>
      </c>
      <c r="AC85" s="93">
        <f>SUM(AC80:AC84)</f>
        <v>14690809.07</v>
      </c>
      <c r="AD85" s="94">
        <f>SUM(AD80:AD84)</f>
        <v>18307689</v>
      </c>
      <c r="AE85" s="95"/>
      <c r="AF85" s="115" t="s">
        <v>115</v>
      </c>
      <c r="AG85" s="97">
        <f t="shared" ref="AG85:AZ85" si="59">SUM(AG80:AG84)</f>
        <v>15020411.890000001</v>
      </c>
      <c r="AH85" s="97">
        <f>SUM(AH80:AH84)</f>
        <v>17870989</v>
      </c>
      <c r="AI85" s="97">
        <f t="shared" si="49"/>
        <v>18307689</v>
      </c>
      <c r="AJ85" s="97">
        <f t="shared" ref="AJ85" si="60">SUM(AJ80:AJ84)</f>
        <v>15797991</v>
      </c>
      <c r="AK85" s="97"/>
      <c r="AL85" s="97">
        <f>SUM(AL80:AL84)</f>
        <v>16481344.77</v>
      </c>
      <c r="AM85" s="97">
        <f t="shared" ref="AM85:AN85" si="61">SUM(AM80:AM84)</f>
        <v>18778706.77</v>
      </c>
      <c r="AN85" s="97">
        <f t="shared" si="61"/>
        <v>20170464</v>
      </c>
      <c r="AO85" s="97"/>
      <c r="AP85" s="97">
        <f t="shared" si="59"/>
        <v>15596666.77</v>
      </c>
      <c r="AQ85" s="98">
        <f t="shared" si="59"/>
        <v>17920653.610000003</v>
      </c>
      <c r="AR85" s="101"/>
      <c r="AS85" s="127">
        <f t="shared" ref="AS85" si="62">SUM(AS80:AS84)</f>
        <v>17991223</v>
      </c>
      <c r="AT85" s="101"/>
      <c r="AU85" s="127">
        <f t="shared" si="59"/>
        <v>18745085.259999998</v>
      </c>
      <c r="AV85" s="101"/>
      <c r="AW85" s="97">
        <f t="shared" si="59"/>
        <v>18745085.259999998</v>
      </c>
      <c r="AX85" s="101"/>
      <c r="AY85" s="100" t="e">
        <f t="shared" si="59"/>
        <v>#REF!</v>
      </c>
      <c r="AZ85" s="100">
        <f t="shared" si="59"/>
        <v>17573614</v>
      </c>
    </row>
    <row r="86" spans="1:53" ht="15" x14ac:dyDescent="0.45">
      <c r="A86" s="91" t="s">
        <v>116</v>
      </c>
      <c r="B86" s="74"/>
      <c r="C86" s="79"/>
      <c r="D86" s="79"/>
      <c r="E86" s="77"/>
      <c r="F86" s="76"/>
      <c r="G86" s="76"/>
      <c r="H86" s="78"/>
      <c r="I86" s="78"/>
      <c r="J86" s="77"/>
      <c r="K86" s="76"/>
      <c r="L86" s="78"/>
      <c r="M86" s="78"/>
      <c r="N86" s="76"/>
      <c r="O86" s="78"/>
      <c r="P86" s="79"/>
      <c r="Q86" s="79"/>
      <c r="R86" s="79"/>
      <c r="S86" s="76"/>
      <c r="T86" s="76"/>
      <c r="U86" s="78"/>
      <c r="V86" s="76"/>
      <c r="W86" s="76"/>
      <c r="X86" s="76"/>
      <c r="Y86" s="76"/>
      <c r="AC86" s="76"/>
      <c r="AD86" s="77"/>
      <c r="AE86" s="78"/>
      <c r="AF86" s="91" t="s">
        <v>116</v>
      </c>
      <c r="AG86" s="76"/>
      <c r="AH86" s="79"/>
      <c r="AI86" s="79">
        <f t="shared" si="49"/>
        <v>0</v>
      </c>
      <c r="AJ86" s="79"/>
      <c r="AK86" s="79"/>
      <c r="AL86" s="79"/>
      <c r="AM86" s="79"/>
      <c r="AN86" s="79"/>
      <c r="AO86" s="79"/>
      <c r="AP86" s="79"/>
      <c r="AQ86" s="87"/>
      <c r="AR86" s="84"/>
      <c r="AS86" s="84"/>
      <c r="AT86" s="84"/>
      <c r="AU86" s="84"/>
      <c r="AV86" s="78"/>
      <c r="AW86" s="79"/>
      <c r="AX86" s="78"/>
      <c r="AY86" s="84"/>
      <c r="AZ86" s="84"/>
    </row>
    <row r="87" spans="1:53" s="116" customFormat="1" ht="15" x14ac:dyDescent="0.45">
      <c r="A87" s="91" t="s">
        <v>117</v>
      </c>
      <c r="B87" s="74"/>
      <c r="C87" s="79">
        <f>220895.14+133812.83+50611.45+160763.08+116536.71+106215.91+112797.06+103702.55+25620.04+94064.03+135744.69+11500</f>
        <v>1272263.49</v>
      </c>
      <c r="D87" s="79"/>
      <c r="E87" s="87">
        <f>+'[1]2013-14'!E65</f>
        <v>1611086</v>
      </c>
      <c r="F87" s="79">
        <f>1611086+640387</f>
        <v>2251473</v>
      </c>
      <c r="G87" s="79">
        <f>3256041-821277</f>
        <v>2434764</v>
      </c>
      <c r="H87" s="78"/>
      <c r="I87" s="78"/>
      <c r="J87" s="87">
        <f>+'[1]2014-15'!E65+907345</f>
        <v>2168431</v>
      </c>
      <c r="K87" s="79">
        <f>1534451+1303528</f>
        <v>2837979</v>
      </c>
      <c r="L87" s="78"/>
      <c r="M87" s="78"/>
      <c r="N87" s="79">
        <f>'[1]2015-16'!E66</f>
        <v>1261086</v>
      </c>
      <c r="O87" s="78"/>
      <c r="P87" s="79">
        <f>1261086+924708</f>
        <v>2185794</v>
      </c>
      <c r="Q87" s="79">
        <v>3099734</v>
      </c>
      <c r="R87" s="79"/>
      <c r="S87" s="79">
        <f>'[1]2016-17'!E66+'[1]2016-17'!E68+'[1]2016-17'!E70</f>
        <v>2185794</v>
      </c>
      <c r="T87" s="79">
        <v>3111372</v>
      </c>
      <c r="U87" s="78"/>
      <c r="V87" s="79">
        <f>'[1]2017-18'!E66+'[1]2017-18'!E68+'[1]2017-18'!E70</f>
        <v>2185794</v>
      </c>
      <c r="W87" s="79">
        <f t="shared" ref="W87" si="63">+V87</f>
        <v>2185794</v>
      </c>
      <c r="X87" s="79">
        <f>3381247-507635.49-96798.6-4230.17</f>
        <v>2772582.7399999998</v>
      </c>
      <c r="Y87" s="79">
        <f t="shared" ref="Y87" si="64">V87-X87</f>
        <v>-586788.73999999976</v>
      </c>
      <c r="AC87" s="79">
        <f>'[1]2018-19'!E66+'[1]2018-19'!B68+'[1]2018-19'!B70</f>
        <v>2221446</v>
      </c>
      <c r="AD87" s="87">
        <f>3132729-AD88-AD95</f>
        <v>2533796.37</v>
      </c>
      <c r="AE87" s="80"/>
      <c r="AF87" s="96" t="s">
        <v>118</v>
      </c>
      <c r="AG87" s="82">
        <f>'[1]2019-20'!E71+'[1]2019-20'!B73+'[1]2019-20'!B75</f>
        <v>2138898.6799999997</v>
      </c>
      <c r="AH87" s="82">
        <v>2873612</v>
      </c>
      <c r="AI87" s="82">
        <v>2703583</v>
      </c>
      <c r="AJ87" s="82">
        <f>3277222-365093.81</f>
        <v>2912128.19</v>
      </c>
      <c r="AK87" s="82"/>
      <c r="AL87" s="82">
        <f>2138898.68-150000</f>
        <v>1988898.6800000002</v>
      </c>
      <c r="AM87" s="82">
        <f>+AL87</f>
        <v>1988898.6800000002</v>
      </c>
      <c r="AN87" s="82">
        <f>2500801-AN95</f>
        <v>2275774.84</v>
      </c>
      <c r="AO87" s="82"/>
      <c r="AP87" s="82">
        <f>'[1]2020-21'!E71+'[1]2020-21'!B73+'[1]2020-21'!B75</f>
        <v>2138898.6799999997</v>
      </c>
      <c r="AQ87" s="83">
        <f>'[1]2021-22'!E75+'[1]2021-22'!E77+'[1]2021-22'!E79</f>
        <v>2138898.6799999997</v>
      </c>
      <c r="AR87" s="84"/>
      <c r="AS87" s="85">
        <v>2202976</v>
      </c>
      <c r="AT87" s="84"/>
      <c r="AU87" s="85">
        <f>'[1]2022-23'!E80</f>
        <v>2202975.6799999997</v>
      </c>
      <c r="AV87" s="78"/>
      <c r="AW87" s="82">
        <f>+AU87</f>
        <v>2202975.6799999997</v>
      </c>
      <c r="AX87" s="78"/>
      <c r="AY87" s="85" t="e">
        <f>AU87-#REF!</f>
        <v>#REF!</v>
      </c>
      <c r="AZ87" s="85">
        <v>2138899</v>
      </c>
    </row>
    <row r="88" spans="1:53" ht="17.25" hidden="1" customHeight="1" x14ac:dyDescent="0.9">
      <c r="A88" s="91" t="s">
        <v>119</v>
      </c>
      <c r="B88" s="74"/>
      <c r="C88" s="92">
        <v>135745</v>
      </c>
      <c r="D88" s="79"/>
      <c r="E88" s="128" t="s">
        <v>120</v>
      </c>
      <c r="F88" s="129" t="s">
        <v>120</v>
      </c>
      <c r="G88" s="130" t="s">
        <v>120</v>
      </c>
      <c r="H88" s="78"/>
      <c r="I88" s="78"/>
      <c r="J88" s="131" t="s">
        <v>120</v>
      </c>
      <c r="K88" s="130">
        <v>88258</v>
      </c>
      <c r="L88" s="78"/>
      <c r="M88" s="78"/>
      <c r="N88" s="76" t="str">
        <f>+J88</f>
        <v>Capital Budget</v>
      </c>
      <c r="O88" s="78"/>
      <c r="P88" s="92" t="s">
        <v>120</v>
      </c>
      <c r="Q88" s="92">
        <v>128887</v>
      </c>
      <c r="R88" s="79"/>
      <c r="S88" s="92" t="s">
        <v>120</v>
      </c>
      <c r="T88" s="92">
        <v>152788.89000000001</v>
      </c>
      <c r="U88" s="78"/>
      <c r="V88" s="92" t="s">
        <v>120</v>
      </c>
      <c r="W88" s="93" t="str">
        <f>+N88</f>
        <v>Capital Budget</v>
      </c>
      <c r="X88" s="93">
        <f>96798.6+4230.17</f>
        <v>101028.77</v>
      </c>
      <c r="Y88" s="93">
        <f>-X88</f>
        <v>-101028.77</v>
      </c>
      <c r="AC88" s="92" t="s">
        <v>120</v>
      </c>
      <c r="AD88" s="108">
        <v>169787.06</v>
      </c>
      <c r="AE88" s="101"/>
      <c r="AF88" s="91"/>
      <c r="AG88" s="132" t="s">
        <v>121</v>
      </c>
      <c r="AH88" s="132">
        <v>0</v>
      </c>
      <c r="AI88" s="132">
        <v>0</v>
      </c>
      <c r="AJ88" s="132" t="s">
        <v>121</v>
      </c>
      <c r="AK88" s="92"/>
      <c r="AL88" s="132" t="s">
        <v>121</v>
      </c>
      <c r="AM88" s="132" t="s">
        <v>121</v>
      </c>
      <c r="AN88" s="132" t="s">
        <v>121</v>
      </c>
      <c r="AO88" s="92"/>
      <c r="AP88" s="132" t="s">
        <v>121</v>
      </c>
      <c r="AQ88" s="133" t="s">
        <v>121</v>
      </c>
      <c r="AR88" s="134"/>
      <c r="AS88" s="134" t="s">
        <v>121</v>
      </c>
      <c r="AT88" s="134"/>
      <c r="AU88" s="134" t="s">
        <v>121</v>
      </c>
      <c r="AV88" s="135"/>
      <c r="AW88" s="132"/>
      <c r="AX88" s="135"/>
      <c r="AY88" s="134"/>
      <c r="AZ88" s="134"/>
    </row>
    <row r="89" spans="1:53" ht="15" hidden="1" customHeight="1" x14ac:dyDescent="0.45">
      <c r="A89" s="91" t="s">
        <v>122</v>
      </c>
      <c r="B89" s="74"/>
      <c r="C89" s="79"/>
      <c r="D89" s="79"/>
      <c r="E89" s="77">
        <v>0</v>
      </c>
      <c r="F89" s="76">
        <v>0</v>
      </c>
      <c r="G89" s="76">
        <v>0</v>
      </c>
      <c r="H89" s="78"/>
      <c r="I89" s="78"/>
      <c r="J89" s="77">
        <v>0</v>
      </c>
      <c r="K89" s="76">
        <v>0</v>
      </c>
      <c r="L89" s="78"/>
      <c r="M89" s="78"/>
      <c r="N89" s="76">
        <v>0</v>
      </c>
      <c r="O89" s="78"/>
      <c r="P89" s="79">
        <v>0</v>
      </c>
      <c r="Q89" s="79">
        <v>0</v>
      </c>
      <c r="R89" s="79"/>
      <c r="S89" s="76">
        <v>0</v>
      </c>
      <c r="T89" s="76">
        <v>0</v>
      </c>
      <c r="U89" s="78"/>
      <c r="V89" s="76">
        <v>0</v>
      </c>
      <c r="W89" s="76">
        <v>0</v>
      </c>
      <c r="X89" s="76">
        <v>0</v>
      </c>
      <c r="Y89" s="76">
        <v>0</v>
      </c>
      <c r="AC89" s="76">
        <v>0</v>
      </c>
      <c r="AD89" s="77">
        <v>0</v>
      </c>
      <c r="AE89" s="78"/>
      <c r="AF89" s="91" t="s">
        <v>122</v>
      </c>
      <c r="AG89" s="76">
        <v>0</v>
      </c>
      <c r="AH89" s="79">
        <v>0</v>
      </c>
      <c r="AI89" s="79">
        <f t="shared" si="49"/>
        <v>0</v>
      </c>
      <c r="AJ89" s="79">
        <v>0</v>
      </c>
      <c r="AK89" s="79"/>
      <c r="AL89" s="79">
        <v>0</v>
      </c>
      <c r="AM89" s="79">
        <v>0</v>
      </c>
      <c r="AN89" s="79">
        <v>0</v>
      </c>
      <c r="AO89" s="79"/>
      <c r="AP89" s="79">
        <v>0</v>
      </c>
      <c r="AQ89" s="87">
        <v>0</v>
      </c>
      <c r="AR89" s="84"/>
      <c r="AS89" s="84">
        <v>0</v>
      </c>
      <c r="AT89" s="84"/>
      <c r="AU89" s="84">
        <v>0</v>
      </c>
      <c r="AV89" s="78"/>
      <c r="AW89" s="79"/>
      <c r="AX89" s="78"/>
      <c r="AY89" s="84"/>
      <c r="AZ89" s="84"/>
    </row>
    <row r="90" spans="1:53" ht="15" hidden="1" customHeight="1" x14ac:dyDescent="0.45">
      <c r="A90" s="91" t="s">
        <v>123</v>
      </c>
      <c r="B90" s="74"/>
      <c r="C90" s="79">
        <f>+'[1]2011-12'!I67</f>
        <v>0</v>
      </c>
      <c r="D90" s="79"/>
      <c r="E90" s="77">
        <f>+'[1]2013-14'!E68</f>
        <v>0</v>
      </c>
      <c r="F90" s="76">
        <v>0</v>
      </c>
      <c r="G90" s="76">
        <v>0</v>
      </c>
      <c r="H90" s="78"/>
      <c r="I90" s="78"/>
      <c r="J90" s="77">
        <f>+'[1]2013-14'!G68</f>
        <v>0</v>
      </c>
      <c r="K90" s="76">
        <v>0</v>
      </c>
      <c r="L90" s="78"/>
      <c r="M90" s="78"/>
      <c r="N90" s="76">
        <f>'[1]2010-11'!K65</f>
        <v>0</v>
      </c>
      <c r="O90" s="78"/>
      <c r="P90" s="79">
        <v>0</v>
      </c>
      <c r="Q90" s="79">
        <v>0</v>
      </c>
      <c r="R90" s="79"/>
      <c r="S90" s="76">
        <f>'[1]2016-17'!E69</f>
        <v>0</v>
      </c>
      <c r="T90" s="76">
        <v>0</v>
      </c>
      <c r="U90" s="78"/>
      <c r="V90" s="76">
        <f>'[1]2016-17'!G69</f>
        <v>0</v>
      </c>
      <c r="W90" s="76">
        <f>'[1]2010-11'!N65</f>
        <v>0</v>
      </c>
      <c r="X90" s="76">
        <f>'[1]2010-11'!O65</f>
        <v>0</v>
      </c>
      <c r="Y90" s="76">
        <f>'[1]2010-11'!P65</f>
        <v>0</v>
      </c>
      <c r="AC90" s="76">
        <f>'[1]2016-17'!L69</f>
        <v>0</v>
      </c>
      <c r="AD90" s="77">
        <v>0</v>
      </c>
      <c r="AE90" s="78"/>
      <c r="AF90" s="91" t="s">
        <v>123</v>
      </c>
      <c r="AG90" s="76">
        <f>'[1]2016-17'!M69</f>
        <v>0</v>
      </c>
      <c r="AH90" s="79">
        <f>'[1]2010-11'!Y65</f>
        <v>0</v>
      </c>
      <c r="AI90" s="79">
        <f t="shared" si="49"/>
        <v>0</v>
      </c>
      <c r="AJ90" s="79">
        <f>'[1]2016-17'!N69</f>
        <v>0</v>
      </c>
      <c r="AK90" s="79"/>
      <c r="AL90" s="79">
        <v>0</v>
      </c>
      <c r="AM90" s="79">
        <v>0</v>
      </c>
      <c r="AN90" s="79">
        <v>0</v>
      </c>
      <c r="AO90" s="79"/>
      <c r="AP90" s="79">
        <v>0</v>
      </c>
      <c r="AQ90" s="87">
        <v>0</v>
      </c>
      <c r="AR90" s="84"/>
      <c r="AS90" s="84">
        <v>0</v>
      </c>
      <c r="AT90" s="84"/>
      <c r="AU90" s="84">
        <v>0</v>
      </c>
      <c r="AV90" s="78"/>
      <c r="AW90" s="79"/>
      <c r="AX90" s="78"/>
      <c r="AY90" s="84"/>
      <c r="AZ90" s="84"/>
    </row>
    <row r="91" spans="1:53" ht="17.25" hidden="1" customHeight="1" x14ac:dyDescent="0.9">
      <c r="A91" s="91" t="s">
        <v>122</v>
      </c>
      <c r="B91" s="106"/>
      <c r="C91" s="92">
        <f>3145344-1260763</f>
        <v>1884581</v>
      </c>
      <c r="D91" s="92"/>
      <c r="E91" s="94">
        <f>+'[1]2013-14'!E69+'[1]2013-14'!E67</f>
        <v>907345</v>
      </c>
      <c r="F91" s="93">
        <v>907345</v>
      </c>
      <c r="G91" s="93">
        <f>11563+795349+14365</f>
        <v>821277</v>
      </c>
      <c r="H91" s="101"/>
      <c r="I91" s="101"/>
      <c r="J91" s="94">
        <v>0</v>
      </c>
      <c r="K91" s="93">
        <v>0</v>
      </c>
      <c r="L91" s="101"/>
      <c r="M91" s="101"/>
      <c r="N91" s="93">
        <f>'[1]2015-16'!E70+'[1]2015-16'!E68</f>
        <v>924708</v>
      </c>
      <c r="O91" s="101"/>
      <c r="P91" s="92">
        <v>0</v>
      </c>
      <c r="Q91" s="92">
        <v>0</v>
      </c>
      <c r="R91" s="92"/>
      <c r="S91" s="93">
        <v>0</v>
      </c>
      <c r="T91" s="93">
        <v>0</v>
      </c>
      <c r="U91" s="101"/>
      <c r="V91" s="93">
        <v>0</v>
      </c>
      <c r="W91" s="93">
        <v>0</v>
      </c>
      <c r="X91" s="93">
        <v>0</v>
      </c>
      <c r="Y91" s="93">
        <v>0</v>
      </c>
      <c r="AC91" s="93">
        <v>0</v>
      </c>
      <c r="AD91" s="94">
        <v>0</v>
      </c>
      <c r="AE91" s="101"/>
      <c r="AF91" s="91" t="s">
        <v>122</v>
      </c>
      <c r="AG91" s="93">
        <v>0</v>
      </c>
      <c r="AH91" s="92">
        <v>0</v>
      </c>
      <c r="AI91" s="92">
        <f t="shared" si="49"/>
        <v>0</v>
      </c>
      <c r="AJ91" s="92">
        <v>0</v>
      </c>
      <c r="AK91" s="92"/>
      <c r="AL91" s="92">
        <v>0</v>
      </c>
      <c r="AM91" s="92">
        <v>0</v>
      </c>
      <c r="AN91" s="92">
        <v>0</v>
      </c>
      <c r="AO91" s="92"/>
      <c r="AP91" s="92">
        <v>0</v>
      </c>
      <c r="AQ91" s="108">
        <v>0</v>
      </c>
      <c r="AR91" s="99"/>
      <c r="AS91" s="99">
        <v>0</v>
      </c>
      <c r="AT91" s="99"/>
      <c r="AU91" s="99">
        <v>0</v>
      </c>
      <c r="AV91" s="101"/>
      <c r="AW91" s="92"/>
      <c r="AX91" s="101"/>
      <c r="AY91" s="99"/>
      <c r="AZ91" s="99"/>
    </row>
    <row r="92" spans="1:53" ht="15" hidden="1" customHeight="1" x14ac:dyDescent="0.45">
      <c r="A92" s="103" t="s">
        <v>124</v>
      </c>
      <c r="B92" s="74"/>
      <c r="C92" s="79">
        <f>SUM(C87:C91)</f>
        <v>3292589.49</v>
      </c>
      <c r="D92" s="79"/>
      <c r="E92" s="77">
        <f t="shared" ref="E92:K92" si="65">SUM(E87:E91)</f>
        <v>2518431</v>
      </c>
      <c r="F92" s="76">
        <f>SUM(F87:F91)</f>
        <v>3158818</v>
      </c>
      <c r="G92" s="76">
        <f>SUM(G87:G91)</f>
        <v>3256041</v>
      </c>
      <c r="H92" s="78"/>
      <c r="I92" s="78"/>
      <c r="J92" s="77">
        <f t="shared" si="65"/>
        <v>2168431</v>
      </c>
      <c r="K92" s="76">
        <f t="shared" si="65"/>
        <v>2926237</v>
      </c>
      <c r="L92" s="78"/>
      <c r="M92" s="78"/>
      <c r="N92" s="76">
        <f t="shared" ref="N92:Q92" si="66">SUM(N87:N91)</f>
        <v>2185794</v>
      </c>
      <c r="O92" s="78"/>
      <c r="P92" s="76">
        <f t="shared" si="66"/>
        <v>2185794</v>
      </c>
      <c r="Q92" s="76">
        <f t="shared" si="66"/>
        <v>3228621</v>
      </c>
      <c r="R92" s="76"/>
      <c r="S92" s="76">
        <f t="shared" ref="S92:Y92" si="67">SUM(S87:S91)</f>
        <v>2185794</v>
      </c>
      <c r="T92" s="76">
        <f t="shared" si="67"/>
        <v>3264160.89</v>
      </c>
      <c r="U92" s="78"/>
      <c r="V92" s="76">
        <f t="shared" si="67"/>
        <v>2185794</v>
      </c>
      <c r="W92" s="76">
        <f t="shared" si="67"/>
        <v>2185794</v>
      </c>
      <c r="X92" s="76">
        <f t="shared" si="67"/>
        <v>2873611.51</v>
      </c>
      <c r="Y92" s="76">
        <f t="shared" si="67"/>
        <v>-687817.50999999978</v>
      </c>
      <c r="AC92" s="76">
        <f t="shared" ref="AC92:AH92" si="68">SUM(AC87:AC91)</f>
        <v>2221446</v>
      </c>
      <c r="AD92" s="77">
        <f t="shared" si="68"/>
        <v>2703583.43</v>
      </c>
      <c r="AE92" s="78"/>
      <c r="AF92" s="103" t="s">
        <v>124</v>
      </c>
      <c r="AG92" s="76">
        <f t="shared" si="68"/>
        <v>2138898.6799999997</v>
      </c>
      <c r="AH92" s="79">
        <f t="shared" si="68"/>
        <v>2873612</v>
      </c>
      <c r="AI92" s="79">
        <f t="shared" si="49"/>
        <v>2703583.43</v>
      </c>
      <c r="AJ92" s="79">
        <f t="shared" ref="AJ92" si="69">SUM(AJ87:AJ91)</f>
        <v>2912128.19</v>
      </c>
      <c r="AK92" s="79"/>
      <c r="AL92" s="79">
        <v>2138898.6799999997</v>
      </c>
      <c r="AM92" s="79">
        <v>2138898.6799999997</v>
      </c>
      <c r="AN92" s="79">
        <v>2138898.6799999997</v>
      </c>
      <c r="AO92" s="79"/>
      <c r="AP92" s="79">
        <f t="shared" ref="AP92:AU92" si="70">SUM(AP87:AP91)</f>
        <v>2138898.6799999997</v>
      </c>
      <c r="AQ92" s="87">
        <f t="shared" si="70"/>
        <v>2138898.6799999997</v>
      </c>
      <c r="AR92" s="84"/>
      <c r="AS92" s="84">
        <f t="shared" ref="AS92" si="71">SUM(AS87:AS91)</f>
        <v>2202976</v>
      </c>
      <c r="AT92" s="84"/>
      <c r="AU92" s="84">
        <f t="shared" si="70"/>
        <v>2202975.6799999997</v>
      </c>
      <c r="AV92" s="78"/>
      <c r="AW92" s="79"/>
      <c r="AX92" s="78"/>
      <c r="AY92" s="84"/>
      <c r="AZ92" s="84"/>
    </row>
    <row r="93" spans="1:53" ht="15" x14ac:dyDescent="0.45">
      <c r="A93" s="91" t="s">
        <v>125</v>
      </c>
      <c r="B93" s="74"/>
      <c r="C93" s="79">
        <f>196076.49+1441394.26+573363+5945.26</f>
        <v>2216779.0099999998</v>
      </c>
      <c r="D93" s="79"/>
      <c r="E93" s="77">
        <f>+'[1]2013-14'!E71</f>
        <v>2250000</v>
      </c>
      <c r="F93" s="76">
        <v>2250000</v>
      </c>
      <c r="G93" s="76">
        <v>2190884</v>
      </c>
      <c r="H93" s="78"/>
      <c r="I93" s="78"/>
      <c r="J93" s="77">
        <f>+'[1]2014-15'!E71</f>
        <v>2250000</v>
      </c>
      <c r="K93" s="76">
        <v>2026354</v>
      </c>
      <c r="L93" s="78"/>
      <c r="M93" s="78"/>
      <c r="N93" s="76">
        <f>'[1]2015-16'!E72</f>
        <v>2250000</v>
      </c>
      <c r="O93" s="78"/>
      <c r="P93" s="79">
        <v>2250000</v>
      </c>
      <c r="Q93" s="79">
        <v>1878665</v>
      </c>
      <c r="R93" s="79"/>
      <c r="S93" s="76">
        <f>'[1]2016-17'!E72</f>
        <v>2100000</v>
      </c>
      <c r="T93" s="76">
        <v>1912225</v>
      </c>
      <c r="U93" s="78"/>
      <c r="V93" s="76">
        <f>'[1]2017-18'!E72</f>
        <v>2100000</v>
      </c>
      <c r="W93" s="76">
        <f>+V93-50000</f>
        <v>2050000</v>
      </c>
      <c r="X93" s="76">
        <v>1916596</v>
      </c>
      <c r="Y93" s="76">
        <f t="shared" ref="Y93:Y99" si="72">V93-X93</f>
        <v>183404</v>
      </c>
      <c r="AC93" s="76">
        <f>'[1]2018-19'!E72</f>
        <v>2100000</v>
      </c>
      <c r="AD93" s="77">
        <v>2051846</v>
      </c>
      <c r="AE93" s="78"/>
      <c r="AF93" s="91" t="s">
        <v>125</v>
      </c>
      <c r="AG93" s="76">
        <f>'[1]2019-20'!E77</f>
        <v>1950000</v>
      </c>
      <c r="AH93" s="79">
        <v>1916596</v>
      </c>
      <c r="AI93" s="79">
        <f t="shared" si="49"/>
        <v>2051846</v>
      </c>
      <c r="AJ93" s="79">
        <v>1754603</v>
      </c>
      <c r="AK93" s="79"/>
      <c r="AL93" s="79">
        <v>1950000</v>
      </c>
      <c r="AM93" s="79">
        <f>+AL93</f>
        <v>1950000</v>
      </c>
      <c r="AN93" s="79">
        <v>1677178</v>
      </c>
      <c r="AO93" s="79"/>
      <c r="AP93" s="79">
        <f>'[1]2020-21'!E77</f>
        <v>1950000</v>
      </c>
      <c r="AQ93" s="87">
        <f>'[1]2021-22'!E81</f>
        <v>1950000</v>
      </c>
      <c r="AR93" s="84"/>
      <c r="AS93" s="84">
        <v>2200000</v>
      </c>
      <c r="AT93" s="84"/>
      <c r="AU93" s="84">
        <f>'[1]2022-23'!E81</f>
        <v>2200000</v>
      </c>
      <c r="AV93" s="78"/>
      <c r="AW93" s="79">
        <f t="shared" ref="AW93:AW98" si="73">+AU93</f>
        <v>2200000</v>
      </c>
      <c r="AX93" s="78"/>
      <c r="AY93" s="84" t="e">
        <f>AU93-#REF!</f>
        <v>#REF!</v>
      </c>
      <c r="AZ93" s="84">
        <v>1950000</v>
      </c>
    </row>
    <row r="94" spans="1:53" ht="15" hidden="1" customHeight="1" x14ac:dyDescent="0.45">
      <c r="A94" s="91" t="s">
        <v>126</v>
      </c>
      <c r="B94" s="74"/>
      <c r="C94" s="79">
        <f>+'[1]2012-13'!F71</f>
        <v>0</v>
      </c>
      <c r="D94" s="79"/>
      <c r="E94" s="77">
        <f>+'[1]2013-14'!E72</f>
        <v>350000</v>
      </c>
      <c r="F94" s="76">
        <f>350000-300000</f>
        <v>50000</v>
      </c>
      <c r="G94" s="76">
        <v>0</v>
      </c>
      <c r="H94" s="78"/>
      <c r="I94" s="78"/>
      <c r="J94" s="77">
        <f>+'[1]2014-15'!E72</f>
        <v>0</v>
      </c>
      <c r="K94" s="76">
        <v>0</v>
      </c>
      <c r="L94" s="78"/>
      <c r="M94" s="78"/>
      <c r="N94" s="76">
        <f>'[1]2015-16'!E73</f>
        <v>0</v>
      </c>
      <c r="O94" s="78"/>
      <c r="P94" s="79">
        <v>0</v>
      </c>
      <c r="Q94" s="79">
        <v>0</v>
      </c>
      <c r="R94" s="79"/>
      <c r="S94" s="76">
        <f>'[1]2015-16'!H73</f>
        <v>0</v>
      </c>
      <c r="T94" s="76">
        <v>0</v>
      </c>
      <c r="U94" s="78"/>
      <c r="V94" s="76">
        <f>'[1]2015-16'!J73</f>
        <v>0</v>
      </c>
      <c r="W94" s="76">
        <f t="shared" ref="W94:X98" si="74">+V94</f>
        <v>0</v>
      </c>
      <c r="X94" s="76">
        <f t="shared" si="74"/>
        <v>0</v>
      </c>
      <c r="Y94" s="76">
        <f t="shared" si="72"/>
        <v>0</v>
      </c>
      <c r="AC94" s="76">
        <f>'[1]2015-16'!O73</f>
        <v>0</v>
      </c>
      <c r="AD94" s="77">
        <v>0</v>
      </c>
      <c r="AE94" s="78"/>
      <c r="AF94" s="91" t="s">
        <v>126</v>
      </c>
      <c r="AG94" s="76">
        <f>'[1]2015-16'!P73</f>
        <v>0</v>
      </c>
      <c r="AH94" s="79">
        <f t="shared" ref="AH94" si="75">+AG94</f>
        <v>0</v>
      </c>
      <c r="AI94" s="79">
        <f t="shared" si="49"/>
        <v>0</v>
      </c>
      <c r="AJ94" s="79">
        <v>0</v>
      </c>
      <c r="AK94" s="79"/>
      <c r="AL94" s="79">
        <v>0</v>
      </c>
      <c r="AM94" s="79">
        <v>0</v>
      </c>
      <c r="AN94" s="79">
        <v>0</v>
      </c>
      <c r="AO94" s="79"/>
      <c r="AP94" s="79">
        <f>'[1]2020-21'!E78</f>
        <v>0</v>
      </c>
      <c r="AQ94" s="87">
        <f>'[1]2020-21'!F78</f>
        <v>0</v>
      </c>
      <c r="AR94" s="84"/>
      <c r="AS94" s="85">
        <f t="shared" ref="AS94" si="76">AU94</f>
        <v>0</v>
      </c>
      <c r="AT94" s="84"/>
      <c r="AU94" s="84">
        <f>'[1]2020-21'!G78</f>
        <v>0</v>
      </c>
      <c r="AV94" s="78"/>
      <c r="AW94" s="82">
        <f t="shared" si="73"/>
        <v>0</v>
      </c>
      <c r="AX94" s="78"/>
      <c r="AY94" s="84"/>
      <c r="AZ94" s="84"/>
    </row>
    <row r="95" spans="1:53" ht="16.7" x14ac:dyDescent="0.7">
      <c r="A95" s="91" t="s">
        <v>127</v>
      </c>
      <c r="B95" s="106"/>
      <c r="C95" s="79">
        <f>+'[1]2012-13'!F72</f>
        <v>0</v>
      </c>
      <c r="D95" s="79"/>
      <c r="E95" s="128" t="s">
        <v>120</v>
      </c>
      <c r="F95" s="129" t="s">
        <v>120</v>
      </c>
      <c r="G95" s="129" t="s">
        <v>120</v>
      </c>
      <c r="H95" s="78"/>
      <c r="I95" s="78"/>
      <c r="J95" s="128" t="s">
        <v>120</v>
      </c>
      <c r="K95" s="129" t="s">
        <v>120</v>
      </c>
      <c r="L95" s="78"/>
      <c r="M95" s="78"/>
      <c r="N95" s="129" t="s">
        <v>120</v>
      </c>
      <c r="O95" s="78"/>
      <c r="P95" s="79" t="s">
        <v>120</v>
      </c>
      <c r="Q95" s="79" t="s">
        <v>120</v>
      </c>
      <c r="R95" s="79"/>
      <c r="S95" s="76">
        <f>'[1]2016-17'!E74</f>
        <v>150000</v>
      </c>
      <c r="T95" s="76">
        <v>626094.31999999995</v>
      </c>
      <c r="U95" s="78"/>
      <c r="V95" s="76">
        <f>'[1]2017-18'!E74</f>
        <v>600000</v>
      </c>
      <c r="W95" s="76">
        <f t="shared" si="74"/>
        <v>600000</v>
      </c>
      <c r="X95" s="76">
        <v>507635.49</v>
      </c>
      <c r="Y95" s="76">
        <f t="shared" si="72"/>
        <v>92364.510000000009</v>
      </c>
      <c r="Z95" s="116"/>
      <c r="AA95" s="116"/>
      <c r="AB95" s="116"/>
      <c r="AC95" s="76">
        <f>'[1]2018-19'!E74</f>
        <v>650000</v>
      </c>
      <c r="AD95" s="77">
        <v>429145.57</v>
      </c>
      <c r="AE95" s="80"/>
      <c r="AF95" s="96" t="s">
        <v>127</v>
      </c>
      <c r="AG95" s="82">
        <f>'[1]2019-20'!E79</f>
        <v>500000</v>
      </c>
      <c r="AH95" s="82">
        <v>507635.49</v>
      </c>
      <c r="AI95" s="82">
        <f t="shared" si="49"/>
        <v>429145.57</v>
      </c>
      <c r="AJ95" s="82">
        <f>365093.81</f>
        <v>365093.81</v>
      </c>
      <c r="AK95" s="82"/>
      <c r="AL95" s="82">
        <v>500000</v>
      </c>
      <c r="AM95" s="82">
        <f>+AL95</f>
        <v>500000</v>
      </c>
      <c r="AN95" s="82">
        <v>225026.16</v>
      </c>
      <c r="AO95" s="82"/>
      <c r="AP95" s="82">
        <f>'[1]2020-21'!E79</f>
        <v>500000</v>
      </c>
      <c r="AQ95" s="83">
        <f>'[1]2021-22'!E83</f>
        <v>500000</v>
      </c>
      <c r="AR95" s="84"/>
      <c r="AS95" s="85">
        <v>500000</v>
      </c>
      <c r="AT95" s="84"/>
      <c r="AU95" s="85">
        <f>'[1]2022-23'!E83</f>
        <v>500000</v>
      </c>
      <c r="AV95" s="78"/>
      <c r="AW95" s="82">
        <f t="shared" si="73"/>
        <v>500000</v>
      </c>
      <c r="AX95" s="78"/>
      <c r="AY95" s="85" t="e">
        <f>AU95-#REF!</f>
        <v>#REF!</v>
      </c>
      <c r="AZ95" s="85">
        <v>500000</v>
      </c>
    </row>
    <row r="96" spans="1:53" ht="15" x14ac:dyDescent="0.45">
      <c r="A96" s="91" t="s">
        <v>128</v>
      </c>
      <c r="B96" s="74"/>
      <c r="C96" s="79">
        <v>7009174</v>
      </c>
      <c r="D96" s="79"/>
      <c r="E96" s="77">
        <f>+'[1]2013-14'!E74</f>
        <v>7091460</v>
      </c>
      <c r="F96" s="76">
        <f>7091460-19607</f>
        <v>7071853</v>
      </c>
      <c r="G96" s="76">
        <v>7103559</v>
      </c>
      <c r="H96" s="78"/>
      <c r="I96" s="78"/>
      <c r="J96" s="77">
        <f>+'[1]2014-15'!E74</f>
        <v>7012094</v>
      </c>
      <c r="K96" s="76">
        <v>6977954</v>
      </c>
      <c r="L96" s="78"/>
      <c r="M96" s="78"/>
      <c r="N96" s="76">
        <f>'[1]2015-16'!E75</f>
        <v>6908916</v>
      </c>
      <c r="O96" s="78"/>
      <c r="P96" s="79">
        <v>6908916</v>
      </c>
      <c r="Q96" s="79">
        <v>6552924</v>
      </c>
      <c r="R96" s="79"/>
      <c r="S96" s="76">
        <f>'[1]2016-17'!E75</f>
        <v>6967126</v>
      </c>
      <c r="T96" s="76">
        <v>6920332</v>
      </c>
      <c r="U96" s="78"/>
      <c r="V96" s="76">
        <f>'[1]2017-18'!E75</f>
        <v>7029430</v>
      </c>
      <c r="W96" s="76">
        <f>+V96-18695</f>
        <v>7010735</v>
      </c>
      <c r="X96" s="76">
        <v>7325017</v>
      </c>
      <c r="Y96" s="76">
        <f t="shared" si="72"/>
        <v>-295587</v>
      </c>
      <c r="Z96" s="116"/>
      <c r="AA96" s="116"/>
      <c r="AB96" s="116"/>
      <c r="AC96" s="76">
        <f>'[1]2018-19'!E75</f>
        <v>7226361</v>
      </c>
      <c r="AD96" s="77">
        <v>7075187</v>
      </c>
      <c r="AE96" s="78"/>
      <c r="AF96" s="91" t="s">
        <v>128</v>
      </c>
      <c r="AG96" s="76">
        <f>'[1]2019-20'!E80</f>
        <v>7480352</v>
      </c>
      <c r="AH96" s="79">
        <v>7325017</v>
      </c>
      <c r="AI96" s="79">
        <f t="shared" si="49"/>
        <v>7075187</v>
      </c>
      <c r="AJ96" s="79">
        <v>6306128</v>
      </c>
      <c r="AK96" s="79"/>
      <c r="AL96" s="79">
        <f>7711584-129313</f>
        <v>7582271</v>
      </c>
      <c r="AM96" s="79">
        <f>+AL96-1000000</f>
        <v>6582271</v>
      </c>
      <c r="AN96" s="79">
        <v>5619339</v>
      </c>
      <c r="AO96" s="79"/>
      <c r="AP96" s="79">
        <f>'[1]2020-21'!E80</f>
        <v>7711584</v>
      </c>
      <c r="AQ96" s="87">
        <f>'[1]2021-22'!E84</f>
        <v>8234610</v>
      </c>
      <c r="AR96" s="84"/>
      <c r="AS96" s="84">
        <v>9361625</v>
      </c>
      <c r="AT96" s="84"/>
      <c r="AU96" s="88">
        <f>'[1]2022-23'!E84</f>
        <v>8961558</v>
      </c>
      <c r="AV96" s="78"/>
      <c r="AW96" s="79">
        <f t="shared" si="73"/>
        <v>8961558</v>
      </c>
      <c r="AX96" s="78"/>
      <c r="AY96" s="84" t="e">
        <f>AU96-#REF!</f>
        <v>#REF!</v>
      </c>
      <c r="AZ96" s="84">
        <v>8480149</v>
      </c>
    </row>
    <row r="97" spans="1:53" ht="15" x14ac:dyDescent="0.45">
      <c r="A97" s="91" t="s">
        <v>129</v>
      </c>
      <c r="B97" s="74"/>
      <c r="C97" s="79">
        <v>2370097</v>
      </c>
      <c r="D97" s="79"/>
      <c r="E97" s="77">
        <f>+'[1]2013-14'!E75</f>
        <v>2523348</v>
      </c>
      <c r="F97" s="76">
        <v>2523348</v>
      </c>
      <c r="G97" s="76">
        <v>2510572</v>
      </c>
      <c r="H97" s="78"/>
      <c r="I97" s="78"/>
      <c r="J97" s="77">
        <f>+'[1]2014-15'!E75</f>
        <v>2404438</v>
      </c>
      <c r="K97" s="76">
        <v>1712105</v>
      </c>
      <c r="L97" s="78"/>
      <c r="M97" s="78"/>
      <c r="N97" s="76">
        <f>'[1]2015-16'!E76</f>
        <v>1827721.46</v>
      </c>
      <c r="O97" s="78"/>
      <c r="P97" s="79">
        <v>1827721.46</v>
      </c>
      <c r="Q97" s="79">
        <v>1853922</v>
      </c>
      <c r="R97" s="79"/>
      <c r="S97" s="76">
        <f>'[1]2016-17'!E76</f>
        <v>1724749.58</v>
      </c>
      <c r="T97" s="76">
        <v>986803</v>
      </c>
      <c r="U97" s="78"/>
      <c r="V97" s="76">
        <f>'[1]2017-18'!E76</f>
        <v>1065294</v>
      </c>
      <c r="W97" s="76">
        <f t="shared" si="74"/>
        <v>1065294</v>
      </c>
      <c r="X97" s="76">
        <v>1021292</v>
      </c>
      <c r="Y97" s="76">
        <f t="shared" si="72"/>
        <v>44002</v>
      </c>
      <c r="AC97" s="76">
        <f>'[1]2018-19'!E76</f>
        <v>1066152.56</v>
      </c>
      <c r="AD97" s="77">
        <v>1055166</v>
      </c>
      <c r="AE97" s="80"/>
      <c r="AF97" s="96" t="s">
        <v>129</v>
      </c>
      <c r="AG97" s="82">
        <f>'[1]2019-20'!E81</f>
        <v>1009658</v>
      </c>
      <c r="AH97" s="82">
        <v>1021292</v>
      </c>
      <c r="AI97" s="82">
        <f t="shared" si="49"/>
        <v>1055166</v>
      </c>
      <c r="AJ97" s="82">
        <v>1018835</v>
      </c>
      <c r="AK97" s="82"/>
      <c r="AL97" s="82">
        <v>862763</v>
      </c>
      <c r="AM97" s="82">
        <f>+AL97</f>
        <v>862763</v>
      </c>
      <c r="AN97" s="82">
        <v>921837</v>
      </c>
      <c r="AO97" s="82"/>
      <c r="AP97" s="82">
        <f>'[1]2020-21'!E81</f>
        <v>862763</v>
      </c>
      <c r="AQ97" s="83">
        <f>'[1]2021-22'!E85</f>
        <v>786159</v>
      </c>
      <c r="AR97" s="84"/>
      <c r="AS97" s="85">
        <v>707338</v>
      </c>
      <c r="AT97" s="84"/>
      <c r="AU97" s="85">
        <f>'[1]2022-23'!E85</f>
        <v>707338</v>
      </c>
      <c r="AV97" s="78"/>
      <c r="AW97" s="82">
        <f t="shared" si="73"/>
        <v>707338</v>
      </c>
      <c r="AX97" s="78"/>
      <c r="AY97" s="85" t="e">
        <f>AU97-#REF!</f>
        <v>#REF!</v>
      </c>
      <c r="AZ97" s="85">
        <v>786159</v>
      </c>
    </row>
    <row r="98" spans="1:53" ht="15" x14ac:dyDescent="0.45">
      <c r="A98" s="91" t="s">
        <v>130</v>
      </c>
      <c r="B98" s="74"/>
      <c r="C98" s="79">
        <v>144288</v>
      </c>
      <c r="D98" s="79"/>
      <c r="E98" s="77">
        <f>+'[1]2013-14'!E76</f>
        <v>150071.48999999996</v>
      </c>
      <c r="F98" s="76">
        <v>150071.48999999996</v>
      </c>
      <c r="G98" s="76">
        <v>143916</v>
      </c>
      <c r="H98" s="78"/>
      <c r="I98" s="78"/>
      <c r="J98" s="77">
        <f>+'[1]2014-15'!E76</f>
        <v>144372.99999999997</v>
      </c>
      <c r="K98" s="76">
        <v>133942</v>
      </c>
      <c r="L98" s="78"/>
      <c r="M98" s="78"/>
      <c r="N98" s="76">
        <f>'[1]2015-16'!E77</f>
        <v>139196.91999999998</v>
      </c>
      <c r="O98" s="78"/>
      <c r="P98" s="79">
        <v>139196.91999999998</v>
      </c>
      <c r="Q98" s="79">
        <v>-295505</v>
      </c>
      <c r="R98" s="79"/>
      <c r="S98" s="76">
        <f>'[1]2016-17'!E77</f>
        <v>139196.91999999998</v>
      </c>
      <c r="T98" s="76">
        <v>129659</v>
      </c>
      <c r="U98" s="78"/>
      <c r="V98" s="76">
        <f>'[1]2017-18'!E77</f>
        <v>129659.47999999997</v>
      </c>
      <c r="W98" s="76">
        <f t="shared" si="74"/>
        <v>129659.47999999997</v>
      </c>
      <c r="X98" s="76">
        <v>129526</v>
      </c>
      <c r="Y98" s="76">
        <f t="shared" si="72"/>
        <v>133.47999999996682</v>
      </c>
      <c r="AC98" s="76">
        <f>'[1]2018-19'!E77</f>
        <v>134731.17999999996</v>
      </c>
      <c r="AD98" s="77">
        <v>-137760</v>
      </c>
      <c r="AE98" s="78"/>
      <c r="AF98" s="91" t="s">
        <v>130</v>
      </c>
      <c r="AG98" s="76">
        <f>'[1]2019-20'!E82</f>
        <v>134731.17999999996</v>
      </c>
      <c r="AH98" s="79">
        <v>129526</v>
      </c>
      <c r="AI98" s="79">
        <f t="shared" si="49"/>
        <v>-137760</v>
      </c>
      <c r="AJ98" s="79">
        <v>120353</v>
      </c>
      <c r="AK98" s="79"/>
      <c r="AL98" s="79">
        <v>125069.13999999997</v>
      </c>
      <c r="AM98" s="79">
        <f>+AL98</f>
        <v>125069.13999999997</v>
      </c>
      <c r="AN98" s="79">
        <v>126053</v>
      </c>
      <c r="AO98" s="79"/>
      <c r="AP98" s="79">
        <f>'[1]2020-21'!E82</f>
        <v>125069.13999999997</v>
      </c>
      <c r="AQ98" s="87">
        <f>'[1]2021-22'!E86</f>
        <v>129973.18</v>
      </c>
      <c r="AR98" s="84"/>
      <c r="AS98" s="84">
        <v>135073</v>
      </c>
      <c r="AT98" s="84"/>
      <c r="AU98" s="84">
        <f>'[1]2022-23'!E86</f>
        <v>135073</v>
      </c>
      <c r="AV98" s="78"/>
      <c r="AW98" s="79">
        <f t="shared" si="73"/>
        <v>135073</v>
      </c>
      <c r="AX98" s="78"/>
      <c r="AY98" s="84" t="e">
        <f>AU98-#REF!</f>
        <v>#REF!</v>
      </c>
      <c r="AZ98" s="84">
        <v>135073</v>
      </c>
    </row>
    <row r="99" spans="1:53" ht="18" x14ac:dyDescent="0.9">
      <c r="A99" s="91" t="s">
        <v>131</v>
      </c>
      <c r="B99" s="136"/>
      <c r="C99" s="92">
        <v>6623656</v>
      </c>
      <c r="D99" s="92"/>
      <c r="E99" s="94">
        <f>+'[1]2013-14'!E77</f>
        <v>7107641</v>
      </c>
      <c r="F99" s="93">
        <f>7107641+155923</f>
        <v>7263564</v>
      </c>
      <c r="G99" s="93">
        <v>6973501</v>
      </c>
      <c r="H99" s="78"/>
      <c r="I99" s="78"/>
      <c r="J99" s="94">
        <f>+'[1]2014-15'!E77</f>
        <v>7645080</v>
      </c>
      <c r="K99" s="93">
        <v>7663237</v>
      </c>
      <c r="L99" s="78"/>
      <c r="M99" s="78"/>
      <c r="N99" s="93">
        <f>'[1]2015-16'!E78</f>
        <v>7562957</v>
      </c>
      <c r="O99" s="78"/>
      <c r="P99" s="92">
        <v>7562957</v>
      </c>
      <c r="Q99" s="92">
        <v>7857910</v>
      </c>
      <c r="R99" s="92"/>
      <c r="S99" s="93">
        <f>'[1]2016-17'!E78</f>
        <v>7618919</v>
      </c>
      <c r="T99" s="93">
        <v>7801637</v>
      </c>
      <c r="U99" s="78"/>
      <c r="V99" s="93">
        <f>'[1]2017-18'!E78</f>
        <v>7856348</v>
      </c>
      <c r="W99" s="93">
        <f>+V99+166225</f>
        <v>8022573</v>
      </c>
      <c r="X99" s="93">
        <v>7981292</v>
      </c>
      <c r="Y99" s="93">
        <f t="shared" si="72"/>
        <v>-124944</v>
      </c>
      <c r="AC99" s="93">
        <f>'[1]2018-19'!E78</f>
        <v>8064971.25</v>
      </c>
      <c r="AD99" s="94">
        <v>7837719</v>
      </c>
      <c r="AE99" s="104" t="s">
        <v>132</v>
      </c>
      <c r="AF99" s="96" t="s">
        <v>131</v>
      </c>
      <c r="AG99" s="97">
        <f>'[1]2019-20'!E83</f>
        <v>8108821</v>
      </c>
      <c r="AH99" s="97">
        <v>7981292</v>
      </c>
      <c r="AI99" s="97">
        <f t="shared" si="49"/>
        <v>7837719</v>
      </c>
      <c r="AJ99" s="97">
        <v>8131877</v>
      </c>
      <c r="AK99" s="97"/>
      <c r="AL99" s="97">
        <f>8214415.08-168000</f>
        <v>8046415.0800000001</v>
      </c>
      <c r="AM99" s="97">
        <f>+AL99+43167</f>
        <v>8089582.0800000001</v>
      </c>
      <c r="AN99" s="97">
        <v>8018390</v>
      </c>
      <c r="AO99" s="97"/>
      <c r="AP99" s="97">
        <f>'[1]2020-21'!E83</f>
        <v>8214415.0800000001</v>
      </c>
      <c r="AQ99" s="98">
        <f>'[1]2021-22'!E87</f>
        <v>7891233</v>
      </c>
      <c r="AR99" s="99"/>
      <c r="AS99" s="100">
        <v>8460459</v>
      </c>
      <c r="AT99" s="99"/>
      <c r="AU99" s="100">
        <f>'[1]2022-23'!E87</f>
        <v>8460459.2599999998</v>
      </c>
      <c r="AV99" s="101"/>
      <c r="AW99" s="97">
        <f>+AU99</f>
        <v>8460459.2599999998</v>
      </c>
      <c r="AX99" s="101"/>
      <c r="AY99" s="100" t="e">
        <f>AU99-#REF!</f>
        <v>#REF!</v>
      </c>
      <c r="AZ99" s="100">
        <v>7899705</v>
      </c>
      <c r="BA99" s="102"/>
    </row>
    <row r="100" spans="1:53" ht="17.25" hidden="1" customHeight="1" x14ac:dyDescent="0.9">
      <c r="A100" s="91" t="s">
        <v>133</v>
      </c>
      <c r="B100" s="74"/>
      <c r="C100" s="92">
        <v>0</v>
      </c>
      <c r="D100" s="92"/>
      <c r="E100" s="94">
        <v>0</v>
      </c>
      <c r="F100" s="93">
        <v>0</v>
      </c>
      <c r="G100" s="93">
        <v>0</v>
      </c>
      <c r="H100" s="101"/>
      <c r="I100" s="101"/>
      <c r="J100" s="94">
        <v>0</v>
      </c>
      <c r="K100" s="93">
        <v>0</v>
      </c>
      <c r="L100" s="101"/>
      <c r="M100" s="101"/>
      <c r="N100" s="93">
        <v>0</v>
      </c>
      <c r="O100" s="101"/>
      <c r="P100" s="92"/>
      <c r="Q100" s="92"/>
      <c r="R100" s="92"/>
      <c r="S100" s="93">
        <v>0</v>
      </c>
      <c r="T100" s="93">
        <v>0</v>
      </c>
      <c r="U100" s="101"/>
      <c r="V100" s="93">
        <v>0</v>
      </c>
      <c r="W100" s="93">
        <v>0</v>
      </c>
      <c r="X100" s="93">
        <v>0</v>
      </c>
      <c r="Y100" s="93">
        <v>0</v>
      </c>
      <c r="AC100" s="93">
        <v>0</v>
      </c>
      <c r="AD100" s="94">
        <v>0</v>
      </c>
      <c r="AE100" s="101"/>
      <c r="AF100" s="91" t="s">
        <v>133</v>
      </c>
      <c r="AG100" s="93">
        <v>0</v>
      </c>
      <c r="AH100" s="92">
        <v>0</v>
      </c>
      <c r="AI100" s="92">
        <f t="shared" si="49"/>
        <v>0</v>
      </c>
      <c r="AJ100" s="92">
        <v>0</v>
      </c>
      <c r="AK100" s="92"/>
      <c r="AL100" s="92">
        <v>0</v>
      </c>
      <c r="AM100" s="92">
        <v>0</v>
      </c>
      <c r="AN100" s="92">
        <v>0</v>
      </c>
      <c r="AO100" s="92"/>
      <c r="AP100" s="92">
        <v>0</v>
      </c>
      <c r="AQ100" s="108">
        <v>0</v>
      </c>
      <c r="AR100" s="99"/>
      <c r="AS100" s="99"/>
      <c r="AT100" s="99"/>
      <c r="AU100" s="99"/>
      <c r="AV100" s="101"/>
      <c r="AW100" s="92"/>
      <c r="AX100" s="101"/>
      <c r="AY100" s="99"/>
      <c r="AZ100" s="99"/>
    </row>
    <row r="101" spans="1:53" ht="17.25" hidden="1" customHeight="1" x14ac:dyDescent="0.9">
      <c r="A101" s="91"/>
      <c r="B101" s="74"/>
      <c r="C101" s="92"/>
      <c r="D101" s="92"/>
      <c r="E101" s="94"/>
      <c r="F101" s="93"/>
      <c r="G101" s="93"/>
      <c r="H101" s="101"/>
      <c r="I101" s="101"/>
      <c r="J101" s="94"/>
      <c r="K101" s="93"/>
      <c r="L101" s="101"/>
      <c r="M101" s="101"/>
      <c r="N101" s="93"/>
      <c r="O101" s="101"/>
      <c r="P101" s="92"/>
      <c r="Q101" s="92"/>
      <c r="R101" s="92"/>
      <c r="S101" s="93"/>
      <c r="T101" s="93"/>
      <c r="U101" s="101"/>
      <c r="V101" s="93"/>
      <c r="W101" s="93"/>
      <c r="X101" s="93"/>
      <c r="Y101" s="93"/>
      <c r="AC101" s="93"/>
      <c r="AD101" s="94"/>
      <c r="AE101" s="101"/>
      <c r="AF101" s="91"/>
      <c r="AG101" s="93"/>
      <c r="AH101" s="92"/>
      <c r="AI101" s="92">
        <f t="shared" si="49"/>
        <v>0</v>
      </c>
      <c r="AJ101" s="92"/>
      <c r="AK101" s="92"/>
      <c r="AL101" s="92"/>
      <c r="AM101" s="92"/>
      <c r="AN101" s="92"/>
      <c r="AO101" s="92"/>
      <c r="AP101" s="92"/>
      <c r="AQ101" s="108"/>
      <c r="AR101" s="99"/>
      <c r="AS101" s="99"/>
      <c r="AT101" s="99"/>
      <c r="AU101" s="99"/>
      <c r="AV101" s="101"/>
      <c r="AW101" s="92"/>
      <c r="AX101" s="101"/>
      <c r="AY101" s="99"/>
      <c r="AZ101" s="99"/>
    </row>
    <row r="102" spans="1:53" ht="17.25" hidden="1" customHeight="1" x14ac:dyDescent="0.9">
      <c r="A102" s="91" t="s">
        <v>134</v>
      </c>
      <c r="B102" s="74"/>
      <c r="C102" s="92"/>
      <c r="D102" s="92"/>
      <c r="E102" s="94"/>
      <c r="F102" s="93"/>
      <c r="G102" s="93"/>
      <c r="H102" s="101"/>
      <c r="I102" s="101"/>
      <c r="J102" s="94"/>
      <c r="K102" s="93"/>
      <c r="L102" s="101"/>
      <c r="M102" s="101"/>
      <c r="N102" s="93"/>
      <c r="O102" s="101"/>
      <c r="P102" s="92"/>
      <c r="Q102" s="92"/>
      <c r="R102" s="92"/>
      <c r="S102" s="93"/>
      <c r="T102" s="93"/>
      <c r="U102" s="101"/>
      <c r="V102" s="93"/>
      <c r="W102" s="93"/>
      <c r="X102" s="93"/>
      <c r="Y102" s="93"/>
      <c r="AC102" s="76">
        <f>'[1]2018-19'!E82</f>
        <v>0</v>
      </c>
      <c r="AD102" s="77">
        <v>0</v>
      </c>
      <c r="AE102" s="78"/>
      <c r="AF102" s="91" t="s">
        <v>134</v>
      </c>
      <c r="AG102" s="76">
        <f>'[1]2018-19'!F82</f>
        <v>0</v>
      </c>
      <c r="AH102" s="79"/>
      <c r="AI102" s="79">
        <f t="shared" si="49"/>
        <v>0</v>
      </c>
      <c r="AJ102" s="79">
        <f>'[1]2018-19'!G82</f>
        <v>0</v>
      </c>
      <c r="AK102" s="79"/>
      <c r="AL102" s="79">
        <v>0</v>
      </c>
      <c r="AM102" s="79">
        <v>0</v>
      </c>
      <c r="AN102" s="79">
        <v>0</v>
      </c>
      <c r="AO102" s="79"/>
      <c r="AP102" s="79">
        <v>0</v>
      </c>
      <c r="AQ102" s="87">
        <v>0</v>
      </c>
      <c r="AR102" s="84"/>
      <c r="AS102" s="84"/>
      <c r="AT102" s="84"/>
      <c r="AU102" s="84"/>
      <c r="AV102" s="78"/>
      <c r="AW102" s="79"/>
      <c r="AX102" s="78"/>
      <c r="AY102" s="84"/>
      <c r="AZ102" s="84"/>
    </row>
    <row r="103" spans="1:53" ht="17.25" hidden="1" customHeight="1" x14ac:dyDescent="0.9">
      <c r="A103" s="91"/>
      <c r="B103" s="74"/>
      <c r="C103" s="92"/>
      <c r="D103" s="92"/>
      <c r="E103" s="94"/>
      <c r="F103" s="93"/>
      <c r="G103" s="93"/>
      <c r="H103" s="101"/>
      <c r="I103" s="101"/>
      <c r="J103" s="94"/>
      <c r="K103" s="93"/>
      <c r="L103" s="101"/>
      <c r="M103" s="101"/>
      <c r="N103" s="93"/>
      <c r="O103" s="101"/>
      <c r="P103" s="92"/>
      <c r="Q103" s="92"/>
      <c r="R103" s="92"/>
      <c r="S103" s="93"/>
      <c r="T103" s="93"/>
      <c r="U103" s="101"/>
      <c r="V103" s="93"/>
      <c r="W103" s="93"/>
      <c r="X103" s="93"/>
      <c r="Y103" s="93"/>
      <c r="AC103" s="93"/>
      <c r="AD103" s="94"/>
      <c r="AE103" s="101"/>
      <c r="AF103" s="91"/>
      <c r="AG103" s="93"/>
      <c r="AH103" s="92"/>
      <c r="AI103" s="92">
        <f t="shared" si="49"/>
        <v>0</v>
      </c>
      <c r="AJ103" s="92"/>
      <c r="AK103" s="92"/>
      <c r="AL103" s="92"/>
      <c r="AM103" s="92"/>
      <c r="AN103" s="92"/>
      <c r="AO103" s="92"/>
      <c r="AP103" s="92"/>
      <c r="AQ103" s="108"/>
      <c r="AR103" s="99"/>
      <c r="AS103" s="99"/>
      <c r="AT103" s="99"/>
      <c r="AU103" s="99"/>
      <c r="AV103" s="101"/>
      <c r="AW103" s="92"/>
      <c r="AX103" s="101"/>
      <c r="AY103" s="99"/>
      <c r="AZ103" s="99"/>
    </row>
    <row r="104" spans="1:53" ht="17.25" hidden="1" customHeight="1" x14ac:dyDescent="0.9">
      <c r="A104" s="91" t="s">
        <v>135</v>
      </c>
      <c r="B104" s="74"/>
      <c r="C104" s="92">
        <v>0</v>
      </c>
      <c r="D104" s="92"/>
      <c r="E104" s="94">
        <v>0</v>
      </c>
      <c r="F104" s="93">
        <v>0</v>
      </c>
      <c r="G104" s="93">
        <v>0</v>
      </c>
      <c r="H104" s="101"/>
      <c r="I104" s="101"/>
      <c r="J104" s="94">
        <v>0</v>
      </c>
      <c r="K104" s="93">
        <v>0</v>
      </c>
      <c r="L104" s="101"/>
      <c r="M104" s="101"/>
      <c r="N104" s="93">
        <v>0</v>
      </c>
      <c r="O104" s="101"/>
      <c r="P104" s="92"/>
      <c r="Q104" s="92"/>
      <c r="R104" s="92"/>
      <c r="S104" s="93">
        <v>0</v>
      </c>
      <c r="T104" s="93">
        <v>0</v>
      </c>
      <c r="U104" s="101"/>
      <c r="V104" s="93">
        <v>0</v>
      </c>
      <c r="W104" s="93">
        <v>0</v>
      </c>
      <c r="X104" s="93">
        <v>0</v>
      </c>
      <c r="Y104" s="93">
        <v>0</v>
      </c>
      <c r="AC104" s="93">
        <v>0</v>
      </c>
      <c r="AD104" s="94">
        <v>0</v>
      </c>
      <c r="AE104" s="101"/>
      <c r="AF104" s="91" t="s">
        <v>135</v>
      </c>
      <c r="AG104" s="93">
        <v>0</v>
      </c>
      <c r="AH104" s="92">
        <v>0</v>
      </c>
      <c r="AI104" s="92">
        <f t="shared" si="49"/>
        <v>0</v>
      </c>
      <c r="AJ104" s="92">
        <v>0</v>
      </c>
      <c r="AK104" s="92"/>
      <c r="AL104" s="92">
        <v>0</v>
      </c>
      <c r="AM104" s="92">
        <v>0</v>
      </c>
      <c r="AN104" s="92">
        <v>0</v>
      </c>
      <c r="AO104" s="92"/>
      <c r="AP104" s="92">
        <v>0</v>
      </c>
      <c r="AQ104" s="108">
        <v>0</v>
      </c>
      <c r="AR104" s="99"/>
      <c r="AS104" s="99"/>
      <c r="AT104" s="99"/>
      <c r="AU104" s="99"/>
      <c r="AV104" s="101"/>
      <c r="AW104" s="92"/>
      <c r="AX104" s="101"/>
      <c r="AY104" s="99"/>
      <c r="AZ104" s="99"/>
    </row>
    <row r="105" spans="1:53" ht="18" x14ac:dyDescent="0.9">
      <c r="A105" s="103" t="s">
        <v>136</v>
      </c>
      <c r="B105" s="74"/>
      <c r="C105" s="92">
        <f>C74+C85+C92+SUM(C93:C104)</f>
        <v>97025448.5</v>
      </c>
      <c r="D105" s="92"/>
      <c r="E105" s="108">
        <f>E74+E85+E92+SUM(E93:E104)</f>
        <v>96412579.780000001</v>
      </c>
      <c r="F105" s="92">
        <f>F74+F85+F92+SUM(F93:F99)</f>
        <v>96296173.780000001</v>
      </c>
      <c r="G105" s="92">
        <f>G74+G85+G92+SUM(G93:G99)</f>
        <v>99622497</v>
      </c>
      <c r="H105" s="78"/>
      <c r="I105" s="78"/>
      <c r="J105" s="108">
        <f>J74+J85+J92+SUM(J93:J104)</f>
        <v>94364082.189999998</v>
      </c>
      <c r="K105" s="92">
        <f>K74+K85+K92+SUM(K93:K104)+2</f>
        <v>97639227</v>
      </c>
      <c r="L105" s="78"/>
      <c r="M105" s="78"/>
      <c r="N105" s="92">
        <f>N74+N85+N92+SUM(N93:N104)</f>
        <v>92964655.170000017</v>
      </c>
      <c r="O105" s="78"/>
      <c r="P105" s="92">
        <f>P74+P85+P92+SUM(P93:P104)</f>
        <v>93464655.569999993</v>
      </c>
      <c r="Q105" s="97">
        <f>Q74+Q85+Q92+SUM(Q93:Q104)</f>
        <v>98219826.019999996</v>
      </c>
      <c r="R105" s="97"/>
      <c r="S105" s="97">
        <f>S74+S85+S92+SUM(S93:S104)</f>
        <v>95784118.299999997</v>
      </c>
      <c r="T105" s="97">
        <f>T74+T85+T92+SUM(T93:T104)</f>
        <v>101042620.81</v>
      </c>
      <c r="U105" s="80"/>
      <c r="V105" s="97">
        <f>V74+V85+V92+SUM(V93:V104)</f>
        <v>99126345.080000028</v>
      </c>
      <c r="W105" s="97">
        <f>W74+W85+W92+SUM(W93:W104)</f>
        <v>53634367.820000008</v>
      </c>
      <c r="X105" s="97">
        <f>X74+X85+X92+SUM(X93:X104)</f>
        <v>104066655.58000001</v>
      </c>
      <c r="Y105" s="97">
        <f>Y74+Y85+Y92+SUM(Y93:Y104)</f>
        <v>-4892351.179999995</v>
      </c>
      <c r="Z105" s="114"/>
      <c r="AA105" s="114"/>
      <c r="AB105" s="114"/>
      <c r="AC105" s="97">
        <f>AC74+AC85+AC92+SUM(AC93:AC104)</f>
        <v>99395833.310000002</v>
      </c>
      <c r="AD105" s="98">
        <f>AD74+AD85+AD92+SUM(AD93:AD104)</f>
        <v>103900624.16</v>
      </c>
      <c r="AE105" s="101"/>
      <c r="AF105" s="103" t="s">
        <v>136</v>
      </c>
      <c r="AG105" s="97">
        <f t="shared" ref="AG105" si="77">AG74+AG85+AG92+SUM(AG93:AG104)</f>
        <v>100359115.24000001</v>
      </c>
      <c r="AH105" s="92">
        <f>AH74+AH85+AH92+SUM(AH93:AH104)</f>
        <v>104066656.06999999</v>
      </c>
      <c r="AI105" s="92">
        <f t="shared" si="49"/>
        <v>103900624.16</v>
      </c>
      <c r="AJ105" s="92">
        <f>AJ74+AJ85+AJ92+SUM(AJ93:AJ104)-1</f>
        <v>99346326.409999996</v>
      </c>
      <c r="AK105" s="92"/>
      <c r="AL105" s="92">
        <f>AL74+AL85+AL87+SUM(AL93:AL104)</f>
        <v>100090252.08</v>
      </c>
      <c r="AM105" s="92">
        <f>AM74+AM85+AM87+SUM(AM93:AM104)</f>
        <v>101352869.08</v>
      </c>
      <c r="AN105" s="92">
        <f>AN74+AN85+AN87+SUM(AN93:AN104)+6</f>
        <v>101789294.61</v>
      </c>
      <c r="AO105" s="92"/>
      <c r="AP105" s="92">
        <f>AP74+AP85+AP87+SUM(AP93:AP104)</f>
        <v>102803178.08000001</v>
      </c>
      <c r="AQ105" s="108">
        <f>AQ74+AQ85+AQ87+SUM(AQ93:AQ104)</f>
        <v>109524846.86000001</v>
      </c>
      <c r="AR105" s="108"/>
      <c r="AS105" s="92">
        <f>AS74+AS85+AS87+SUM(AS93:AS104)</f>
        <v>112115372</v>
      </c>
      <c r="AT105" s="108"/>
      <c r="AU105" s="107">
        <f>AU74+AU85+AU87+SUM(AU93:AU104)</f>
        <v>111733982.34999999</v>
      </c>
      <c r="AV105" s="108"/>
      <c r="AW105" s="92">
        <f>AW74+AW85+AW87+SUM(AW93:AW104)</f>
        <v>111733982.34999999</v>
      </c>
      <c r="AX105" s="101"/>
      <c r="AY105" s="99" t="e">
        <f>AY74+AY85+AY87+SUM(AY93:AY104)</f>
        <v>#REF!</v>
      </c>
      <c r="AZ105" s="99">
        <f>AZ74+AZ85+AZ87+SUM(AZ93:AZ104)</f>
        <v>111406676</v>
      </c>
    </row>
    <row r="106" spans="1:53" ht="9.75" customHeight="1" x14ac:dyDescent="0.45">
      <c r="A106" s="91"/>
      <c r="B106" s="74"/>
      <c r="C106" s="119"/>
      <c r="D106" s="119"/>
      <c r="E106" s="120"/>
      <c r="F106" s="121"/>
      <c r="G106" s="121"/>
      <c r="H106" s="122"/>
      <c r="I106" s="122"/>
      <c r="J106" s="120"/>
      <c r="K106" s="121"/>
      <c r="L106" s="122"/>
      <c r="M106" s="122"/>
      <c r="N106" s="121"/>
      <c r="O106" s="122"/>
      <c r="P106" s="121"/>
      <c r="Q106" s="121"/>
      <c r="R106" s="121"/>
      <c r="S106" s="121"/>
      <c r="T106" s="121"/>
      <c r="U106" s="122"/>
      <c r="V106" s="121"/>
      <c r="W106" s="121"/>
      <c r="X106" s="121"/>
      <c r="Y106" s="121"/>
      <c r="AC106" s="121"/>
      <c r="AD106" s="120"/>
      <c r="AE106" s="122"/>
      <c r="AF106" s="9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0"/>
      <c r="AR106" s="124"/>
      <c r="AS106" s="137"/>
      <c r="AT106" s="124"/>
      <c r="AU106" s="137"/>
      <c r="AV106" s="122"/>
      <c r="AW106" s="121"/>
      <c r="AX106" s="122"/>
      <c r="AY106" s="137"/>
      <c r="AZ106" s="137"/>
    </row>
    <row r="107" spans="1:53" ht="17" x14ac:dyDescent="0.75">
      <c r="A107" s="91" t="s">
        <v>137</v>
      </c>
      <c r="B107" s="74"/>
      <c r="C107" s="138">
        <f>C61-C105</f>
        <v>140896.5</v>
      </c>
      <c r="D107" s="138"/>
      <c r="E107" s="139">
        <f>+'[1]2013-14'!E82</f>
        <v>1199999.9000000106</v>
      </c>
      <c r="F107" s="140">
        <f>F61-F105-1</f>
        <v>-1498437.099999994</v>
      </c>
      <c r="G107" s="140">
        <f>G61-G105-1</f>
        <v>-4147843.4300000072</v>
      </c>
      <c r="H107" s="122"/>
      <c r="I107" s="122"/>
      <c r="J107" s="139">
        <f>+'[1]2014-15'!E82</f>
        <v>650000.24999997288</v>
      </c>
      <c r="K107" s="140">
        <f>K61-K105+1</f>
        <v>-900548</v>
      </c>
      <c r="L107" s="122"/>
      <c r="M107" s="122"/>
      <c r="N107" s="140">
        <f>N61-N105</f>
        <v>721048.19999998808</v>
      </c>
      <c r="O107" s="122"/>
      <c r="P107" s="140">
        <f>P61-P105</f>
        <v>48832.800000011921</v>
      </c>
      <c r="Q107" s="140">
        <f>Q61-Q105</f>
        <v>235056.82000000775</v>
      </c>
      <c r="R107" s="140"/>
      <c r="S107" s="140">
        <f>S61-S105</f>
        <v>4428.7900000065565</v>
      </c>
      <c r="T107" s="140">
        <f>T61-T105</f>
        <v>-1054468.8100000024</v>
      </c>
      <c r="U107" s="122"/>
      <c r="V107" s="140">
        <f>V61-V105</f>
        <v>398025.03999997675</v>
      </c>
      <c r="W107" s="140">
        <f>W61-W105</f>
        <v>106417309.97999997</v>
      </c>
      <c r="X107" s="140">
        <f>X61-X105</f>
        <v>-3915333.6200000048</v>
      </c>
      <c r="Y107" s="140">
        <f>Y105+Y61</f>
        <v>-1213693.0199999958</v>
      </c>
      <c r="AC107" s="140">
        <f>AC61-AC105</f>
        <v>970810.62000000477</v>
      </c>
      <c r="AD107" s="139">
        <f>AD61-AD105-2</f>
        <v>-2511077.1599999964</v>
      </c>
      <c r="AE107" s="141"/>
      <c r="AF107" s="96" t="s">
        <v>137</v>
      </c>
      <c r="AG107" s="142">
        <f t="shared" ref="AG107" si="78">AG61-AG105</f>
        <v>-1962641.2199999988</v>
      </c>
      <c r="AH107" s="142">
        <f>AH61-AH105</f>
        <v>-3915334.1099999845</v>
      </c>
      <c r="AI107" s="142">
        <f t="shared" si="49"/>
        <v>-2511077.1599999964</v>
      </c>
      <c r="AJ107" s="142">
        <f t="shared" ref="AJ107" si="79">AJ61-AJ105</f>
        <v>-6078664.4099999964</v>
      </c>
      <c r="AK107" s="142"/>
      <c r="AL107" s="142">
        <f>AL61-AL105</f>
        <v>137745.57016666234</v>
      </c>
      <c r="AM107" s="143">
        <f>AM61-AM105-2</f>
        <v>2573035.5701666623</v>
      </c>
      <c r="AN107" s="143">
        <f>AN61-AN105</f>
        <v>6328336.3900000006</v>
      </c>
      <c r="AO107" s="142"/>
      <c r="AP107" s="142">
        <f t="shared" ref="AP107:AQ107" si="80">AP61-AP105</f>
        <v>-1600666.4298333526</v>
      </c>
      <c r="AQ107" s="144">
        <f t="shared" si="80"/>
        <v>2553354.4799999893</v>
      </c>
      <c r="AR107" s="141"/>
      <c r="AS107" s="145">
        <f>AS61-AS105-1</f>
        <v>559486</v>
      </c>
      <c r="AT107" s="141"/>
      <c r="AU107" s="169">
        <f t="shared" ref="AU107" si="81">AU61-AU105</f>
        <v>264615.62000001967</v>
      </c>
      <c r="AV107" s="146"/>
      <c r="AW107" s="143">
        <f t="shared" ref="AW107" si="82">AW61-AW105</f>
        <v>-2314919.3799999803</v>
      </c>
      <c r="AX107" s="146"/>
      <c r="AY107" s="147" t="e">
        <f t="shared" ref="AY107:AZ107" si="83">AY61-AY105</f>
        <v>#REF!</v>
      </c>
      <c r="AZ107" s="147">
        <f t="shared" si="83"/>
        <v>224523</v>
      </c>
    </row>
    <row r="108" spans="1:53" ht="8.25" customHeight="1" x14ac:dyDescent="0.75">
      <c r="A108" s="91"/>
      <c r="B108" s="74"/>
      <c r="C108" s="138"/>
      <c r="D108" s="138"/>
      <c r="E108" s="139"/>
      <c r="F108" s="140"/>
      <c r="G108" s="140"/>
      <c r="H108" s="122"/>
      <c r="I108" s="122"/>
      <c r="J108" s="139"/>
      <c r="K108" s="140"/>
      <c r="L108" s="122"/>
      <c r="M108" s="122"/>
      <c r="N108" s="140"/>
      <c r="O108" s="122"/>
      <c r="P108" s="140"/>
      <c r="Q108" s="140"/>
      <c r="R108" s="140"/>
      <c r="S108" s="140"/>
      <c r="T108" s="140"/>
      <c r="U108" s="122"/>
      <c r="V108" s="140"/>
      <c r="W108" s="140"/>
      <c r="X108" s="140"/>
      <c r="Y108" s="140"/>
      <c r="AC108" s="140"/>
      <c r="AD108" s="139"/>
      <c r="AE108" s="146"/>
      <c r="AF108" s="91"/>
      <c r="AG108" s="140"/>
      <c r="AH108" s="140"/>
      <c r="AI108" s="140"/>
      <c r="AJ108" s="140"/>
      <c r="AK108" s="140"/>
      <c r="AL108" s="140"/>
      <c r="AM108" s="140"/>
      <c r="AN108" s="140"/>
      <c r="AO108" s="140"/>
      <c r="AP108" s="140"/>
      <c r="AQ108" s="139"/>
      <c r="AR108" s="149"/>
      <c r="AS108" s="148"/>
      <c r="AT108" s="149"/>
      <c r="AU108" s="148"/>
      <c r="AV108" s="146"/>
      <c r="AW108" s="148"/>
      <c r="AX108" s="146"/>
      <c r="AY108" s="148"/>
      <c r="AZ108" s="148"/>
    </row>
    <row r="109" spans="1:53" ht="17" hidden="1" x14ac:dyDescent="0.75">
      <c r="A109" s="91"/>
      <c r="B109" s="74"/>
      <c r="C109" s="138"/>
      <c r="D109" s="138"/>
      <c r="E109" s="139"/>
      <c r="F109" s="140"/>
      <c r="G109" s="140"/>
      <c r="H109" s="122"/>
      <c r="I109" s="122"/>
      <c r="J109" s="139"/>
      <c r="K109" s="140"/>
      <c r="L109" s="122"/>
      <c r="M109" s="122"/>
      <c r="N109" s="140"/>
      <c r="O109" s="122"/>
      <c r="P109" s="140"/>
      <c r="Q109" s="140"/>
      <c r="R109" s="140"/>
      <c r="S109" s="140"/>
      <c r="T109" s="140"/>
      <c r="U109" s="122"/>
      <c r="V109" s="140"/>
      <c r="W109" s="140"/>
      <c r="X109" s="140"/>
      <c r="Y109" s="140"/>
      <c r="AC109" s="140"/>
      <c r="AD109" s="139"/>
      <c r="AE109" s="146"/>
      <c r="AF109" s="91"/>
      <c r="AG109" s="140"/>
      <c r="AH109" s="140"/>
      <c r="AI109" s="140"/>
      <c r="AJ109" s="140"/>
      <c r="AK109" s="140"/>
      <c r="AL109" s="140"/>
      <c r="AM109" s="140"/>
      <c r="AN109" s="140"/>
      <c r="AO109" s="140"/>
      <c r="AP109" s="140"/>
      <c r="AQ109" s="139"/>
      <c r="AR109" s="149"/>
      <c r="AS109" s="149"/>
      <c r="AT109" s="149"/>
      <c r="AU109" s="148"/>
      <c r="AV109" s="146"/>
      <c r="AW109" s="148"/>
      <c r="AX109" s="146"/>
      <c r="AY109" s="148"/>
    </row>
    <row r="110" spans="1:53" ht="17" hidden="1" x14ac:dyDescent="0.75">
      <c r="A110" s="150" t="s">
        <v>138</v>
      </c>
      <c r="B110" s="74"/>
      <c r="C110" s="138">
        <v>-200121</v>
      </c>
      <c r="D110" s="138"/>
      <c r="E110" s="139"/>
      <c r="F110" s="140"/>
      <c r="G110" s="140">
        <v>-17712</v>
      </c>
      <c r="H110" s="122"/>
      <c r="I110" s="122"/>
      <c r="J110" s="139"/>
      <c r="K110" s="140">
        <v>381184</v>
      </c>
      <c r="L110" s="122"/>
      <c r="M110" s="122"/>
      <c r="N110" s="140"/>
      <c r="O110" s="122"/>
      <c r="P110" s="140"/>
      <c r="Q110" s="140">
        <v>-181812</v>
      </c>
      <c r="R110" s="140"/>
      <c r="S110" s="140"/>
      <c r="T110" s="140">
        <v>-291140</v>
      </c>
      <c r="U110" s="122"/>
      <c r="V110" s="140"/>
      <c r="W110" s="140"/>
      <c r="X110" s="140">
        <v>706071</v>
      </c>
      <c r="Y110" s="140"/>
      <c r="AC110" s="140"/>
      <c r="AD110" s="139"/>
      <c r="AE110" s="146"/>
      <c r="AF110" s="150"/>
      <c r="AG110" s="140"/>
      <c r="AH110" s="140"/>
      <c r="AI110" s="140"/>
      <c r="AJ110" s="140"/>
      <c r="AK110" s="140"/>
      <c r="AL110" s="140"/>
      <c r="AM110" s="140"/>
      <c r="AN110" s="140"/>
      <c r="AO110" s="140"/>
      <c r="AP110" s="140"/>
      <c r="AQ110" s="139"/>
      <c r="AR110" s="149"/>
      <c r="AS110" s="149"/>
      <c r="AT110" s="149"/>
      <c r="AU110" s="148"/>
      <c r="AV110" s="146"/>
      <c r="AW110" s="148"/>
      <c r="AX110" s="146"/>
      <c r="AY110" s="148"/>
    </row>
    <row r="111" spans="1:53" ht="17" hidden="1" x14ac:dyDescent="0.75">
      <c r="A111" s="150" t="s">
        <v>139</v>
      </c>
      <c r="B111" s="74"/>
      <c r="C111" s="138"/>
      <c r="D111" s="138"/>
      <c r="E111" s="139"/>
      <c r="F111" s="140"/>
      <c r="G111" s="140"/>
      <c r="H111" s="122"/>
      <c r="I111" s="122"/>
      <c r="J111" s="139"/>
      <c r="K111" s="140"/>
      <c r="L111" s="122"/>
      <c r="M111" s="122"/>
      <c r="N111" s="140"/>
      <c r="O111" s="122"/>
      <c r="P111" s="140"/>
      <c r="Q111" s="140"/>
      <c r="R111" s="140"/>
      <c r="S111" s="140"/>
      <c r="T111" s="140"/>
      <c r="U111" s="122"/>
      <c r="V111" s="140"/>
      <c r="W111" s="140"/>
      <c r="X111" s="140"/>
      <c r="Y111" s="140"/>
      <c r="AC111" s="140"/>
      <c r="AD111" s="139"/>
      <c r="AE111" s="146"/>
      <c r="AF111" s="150"/>
      <c r="AG111" s="140"/>
      <c r="AH111" s="140"/>
      <c r="AI111" s="140"/>
      <c r="AJ111" s="140"/>
      <c r="AK111" s="140"/>
      <c r="AL111" s="140"/>
      <c r="AM111" s="140"/>
      <c r="AN111" s="140"/>
      <c r="AO111" s="140"/>
      <c r="AP111" s="140"/>
      <c r="AQ111" s="139"/>
      <c r="AR111" s="149"/>
      <c r="AS111" s="149"/>
      <c r="AT111" s="149"/>
      <c r="AU111" s="148"/>
      <c r="AV111" s="146"/>
      <c r="AW111" s="148"/>
      <c r="AX111" s="146"/>
      <c r="AY111" s="148"/>
    </row>
    <row r="112" spans="1:53" ht="7.5" hidden="1" customHeight="1" x14ac:dyDescent="0.75">
      <c r="A112" s="150"/>
      <c r="B112" s="74"/>
      <c r="C112" s="138"/>
      <c r="D112" s="138"/>
      <c r="E112" s="139"/>
      <c r="F112" s="140"/>
      <c r="G112" s="140"/>
      <c r="H112" s="122"/>
      <c r="I112" s="122"/>
      <c r="J112" s="139"/>
      <c r="K112" s="140"/>
      <c r="L112" s="122"/>
      <c r="M112" s="122"/>
      <c r="N112" s="140"/>
      <c r="O112" s="122"/>
      <c r="P112" s="140"/>
      <c r="Q112" s="140"/>
      <c r="R112" s="140"/>
      <c r="S112" s="140"/>
      <c r="T112" s="140"/>
      <c r="U112" s="122"/>
      <c r="V112" s="140"/>
      <c r="W112" s="140"/>
      <c r="X112" s="140"/>
      <c r="Y112" s="140"/>
      <c r="AC112" s="140"/>
      <c r="AD112" s="139"/>
      <c r="AE112" s="146"/>
      <c r="AF112" s="150"/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0"/>
      <c r="AQ112" s="139"/>
      <c r="AR112" s="149"/>
      <c r="AS112" s="149"/>
      <c r="AT112" s="149"/>
      <c r="AU112" s="148"/>
      <c r="AV112" s="146"/>
      <c r="AW112" s="148"/>
      <c r="AX112" s="146"/>
      <c r="AY112" s="148"/>
    </row>
    <row r="113" spans="1:51" ht="17" hidden="1" x14ac:dyDescent="0.75">
      <c r="A113" s="150" t="s">
        <v>140</v>
      </c>
      <c r="B113" s="74"/>
      <c r="C113" s="140">
        <f>+C110+C107</f>
        <v>-59224.5</v>
      </c>
      <c r="D113" s="138"/>
      <c r="E113" s="139"/>
      <c r="F113" s="140"/>
      <c r="G113" s="140">
        <f>+G110+G107</f>
        <v>-4165555.4300000072</v>
      </c>
      <c r="H113" s="122"/>
      <c r="I113" s="122"/>
      <c r="J113" s="139"/>
      <c r="K113" s="140">
        <f>+K110+K107</f>
        <v>-519364</v>
      </c>
      <c r="L113" s="122"/>
      <c r="M113" s="122"/>
      <c r="N113" s="140"/>
      <c r="O113" s="122"/>
      <c r="P113" s="140"/>
      <c r="Q113" s="142">
        <f>+Q110+Q107</f>
        <v>53244.820000007749</v>
      </c>
      <c r="R113" s="142"/>
      <c r="S113" s="142"/>
      <c r="T113" s="142">
        <f>+T110+T107</f>
        <v>-1345608.8100000024</v>
      </c>
      <c r="U113" s="151"/>
      <c r="V113" s="142"/>
      <c r="W113" s="142"/>
      <c r="X113" s="142">
        <f>+X110+X107</f>
        <v>-3209262.6200000048</v>
      </c>
      <c r="Y113" s="142"/>
      <c r="Z113" s="114"/>
      <c r="AA113" s="114"/>
      <c r="AB113" s="114"/>
      <c r="AC113" s="142"/>
      <c r="AD113" s="144">
        <f>+AD110+AD107</f>
        <v>-2511077.1599999964</v>
      </c>
      <c r="AE113" s="146"/>
      <c r="AF113" s="150"/>
      <c r="AG113" s="140"/>
      <c r="AH113" s="140"/>
      <c r="AI113" s="140"/>
      <c r="AJ113" s="140"/>
      <c r="AK113" s="140"/>
      <c r="AL113" s="140"/>
      <c r="AM113" s="140"/>
      <c r="AN113" s="140"/>
      <c r="AO113" s="140"/>
      <c r="AP113" s="140"/>
      <c r="AQ113" s="139"/>
      <c r="AR113" s="149"/>
      <c r="AS113" s="149"/>
      <c r="AT113" s="149"/>
      <c r="AU113" s="148"/>
      <c r="AV113" s="146"/>
      <c r="AW113" s="148"/>
      <c r="AX113" s="146"/>
      <c r="AY113" s="148"/>
    </row>
    <row r="114" spans="1:51" ht="3" customHeight="1" thickBot="1" x14ac:dyDescent="0.8">
      <c r="A114" s="150" t="s">
        <v>141</v>
      </c>
      <c r="B114" s="74"/>
      <c r="C114" s="152"/>
      <c r="D114" s="79"/>
      <c r="E114" s="153"/>
      <c r="F114" s="152"/>
      <c r="G114" s="152"/>
      <c r="H114" s="78"/>
      <c r="I114" s="78"/>
      <c r="J114" s="153"/>
      <c r="K114" s="152"/>
      <c r="L114" s="78"/>
      <c r="M114" s="78"/>
      <c r="N114" s="152"/>
      <c r="O114" s="78"/>
      <c r="P114" s="152"/>
      <c r="Q114" s="152"/>
      <c r="R114" s="79"/>
      <c r="S114" s="152"/>
      <c r="T114" s="152"/>
      <c r="U114" s="78"/>
      <c r="V114" s="152"/>
      <c r="W114" s="152"/>
      <c r="X114" s="152"/>
      <c r="Y114" s="152"/>
      <c r="AC114" s="152"/>
      <c r="AD114" s="153"/>
      <c r="AE114" s="78"/>
      <c r="AF114" s="150"/>
      <c r="AG114" s="152"/>
      <c r="AH114" s="152"/>
      <c r="AI114" s="152"/>
      <c r="AJ114" s="152"/>
      <c r="AK114" s="78"/>
      <c r="AL114" s="154"/>
      <c r="AM114" s="154"/>
      <c r="AN114" s="154"/>
      <c r="AO114" s="78"/>
      <c r="AP114" s="154"/>
      <c r="AQ114" s="155"/>
      <c r="AR114" s="156"/>
      <c r="AS114" s="156"/>
      <c r="AT114" s="156"/>
      <c r="AU114" s="155"/>
      <c r="AV114" s="157"/>
      <c r="AW114" s="155"/>
      <c r="AX114" s="146"/>
      <c r="AY114" s="155"/>
    </row>
    <row r="115" spans="1:51" ht="9.75" customHeight="1" x14ac:dyDescent="0.45">
      <c r="A115" s="113" t="s">
        <v>142</v>
      </c>
      <c r="AF115" s="113" t="s">
        <v>142</v>
      </c>
    </row>
    <row r="116" spans="1:51" ht="15.75" customHeight="1" x14ac:dyDescent="0.45">
      <c r="A116" s="113"/>
      <c r="AF116" s="113"/>
    </row>
    <row r="117" spans="1:51" ht="15.75" customHeight="1" x14ac:dyDescent="0.45">
      <c r="A117" s="113"/>
      <c r="AF117" s="113"/>
    </row>
    <row r="118" spans="1:51" ht="15.75" customHeight="1" x14ac:dyDescent="0.45">
      <c r="AE118" s="90" t="s">
        <v>143</v>
      </c>
      <c r="AF118" s="159"/>
    </row>
    <row r="119" spans="1:51" ht="15" x14ac:dyDescent="0.45">
      <c r="AE119" s="90" t="s">
        <v>144</v>
      </c>
      <c r="AF119" s="160"/>
    </row>
    <row r="120" spans="1:51" ht="15" x14ac:dyDescent="0.45">
      <c r="AE120" s="90" t="s">
        <v>145</v>
      </c>
      <c r="AF120" s="160"/>
    </row>
    <row r="121" spans="1:51" ht="15" x14ac:dyDescent="0.45">
      <c r="AE121" s="90" t="s">
        <v>146</v>
      </c>
      <c r="AF121" s="160"/>
    </row>
    <row r="122" spans="1:51" ht="15" x14ac:dyDescent="0.45">
      <c r="AE122" s="90" t="s">
        <v>147</v>
      </c>
      <c r="AF122" s="160"/>
    </row>
    <row r="123" spans="1:51" ht="15" x14ac:dyDescent="0.45">
      <c r="AE123" s="90" t="s">
        <v>148</v>
      </c>
      <c r="AF123" s="160"/>
    </row>
    <row r="124" spans="1:51" ht="15" x14ac:dyDescent="0.45">
      <c r="AE124" s="90" t="s">
        <v>149</v>
      </c>
      <c r="AF124" s="160"/>
    </row>
    <row r="125" spans="1:51" ht="15" x14ac:dyDescent="0.45">
      <c r="AE125" s="90"/>
      <c r="AF125" s="161"/>
      <c r="AH125" s="162"/>
      <c r="AI125" s="162"/>
      <c r="AJ125" s="162"/>
    </row>
    <row r="126" spans="1:51" ht="15" x14ac:dyDescent="0.45">
      <c r="AE126" s="90" t="s">
        <v>150</v>
      </c>
      <c r="AF126" s="161"/>
    </row>
    <row r="127" spans="1:51" ht="15" x14ac:dyDescent="0.45">
      <c r="AE127" s="90" t="s">
        <v>151</v>
      </c>
      <c r="AF127" s="163"/>
    </row>
    <row r="128" spans="1:51" ht="15" x14ac:dyDescent="0.45">
      <c r="AE128" s="90"/>
    </row>
    <row r="129" spans="31:31" ht="15" x14ac:dyDescent="0.45">
      <c r="AE129" s="90"/>
    </row>
    <row r="130" spans="31:31" ht="15" x14ac:dyDescent="0.45">
      <c r="AE130" s="90"/>
    </row>
  </sheetData>
  <mergeCells count="1">
    <mergeCell ref="V4:Y4"/>
  </mergeCells>
  <pageMargins left="0.25" right="0.25" top="0.75" bottom="0.75" header="0.3" footer="0.3"/>
  <pageSetup scale="64" orientation="portrait" r:id="rId1"/>
  <headerFooter alignWithMargins="0">
    <oddHeader xml:space="preserve">&amp;C
&amp;R&amp;16
</oddHeader>
    <oddFooter>&amp;L&amp;D</oddFooter>
  </headerFooter>
  <colBreaks count="1" manualBreakCount="1">
    <brk id="3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ProposedBudget</vt:lpstr>
      <vt:lpstr>ProposedBudget!Print_Area</vt:lpstr>
    </vt:vector>
  </TitlesOfParts>
  <Company>Siena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Ragone, Mary</dc:creator>
  <cp:lastModifiedBy>Rich, Jason</cp:lastModifiedBy>
  <dcterms:created xsi:type="dcterms:W3CDTF">2022-05-18T16:53:59Z</dcterms:created>
  <dcterms:modified xsi:type="dcterms:W3CDTF">2022-05-18T18:25:09Z</dcterms:modified>
</cp:coreProperties>
</file>