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ifert\Google Drive\1 My Documents\Dean\Austen Report\"/>
    </mc:Choice>
  </mc:AlternateContent>
  <bookViews>
    <workbookView xWindow="0" yWindow="0" windowWidth="16845" windowHeight="9180"/>
  </bookViews>
  <sheets>
    <sheet name="Dept Exp" sheetId="1" r:id="rId1"/>
    <sheet name="Chart1" sheetId="5" r:id="rId2"/>
    <sheet name="Sheet1" sheetId="4" r:id="rId3"/>
    <sheet name="Per FTE" sheetId="2" r:id="rId4"/>
    <sheet name="Totals" sheetId="3" r:id="rId5"/>
  </sheets>
  <definedNames>
    <definedName name="_xlnm.Print_Area" localSheetId="0">'Dept Exp'!$A$1:$Y$158</definedName>
    <definedName name="_xlnm.Print_Area" localSheetId="3">'Per FTE'!$A$1:$Q$131</definedName>
    <definedName name="_xlnm.Print_Titles" localSheetId="0">'Dept Exp'!$1:$5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AA28" i="1"/>
  <c r="AA29" i="1"/>
  <c r="AA30" i="1"/>
  <c r="AA32" i="1"/>
  <c r="AA34" i="1"/>
  <c r="AA35" i="1"/>
  <c r="AA37" i="1"/>
  <c r="AA38" i="1"/>
  <c r="AA40" i="1"/>
  <c r="AA41" i="1"/>
  <c r="AA42" i="1"/>
  <c r="AA44" i="1"/>
  <c r="AA46" i="1"/>
  <c r="AA47" i="1"/>
  <c r="AA48" i="1"/>
  <c r="AA49" i="1"/>
  <c r="AA50" i="1"/>
  <c r="AA52" i="1"/>
  <c r="AA53" i="1"/>
  <c r="AA54" i="1"/>
  <c r="AA55" i="1"/>
  <c r="AA56" i="1"/>
  <c r="AA58" i="1"/>
  <c r="AA59" i="1"/>
  <c r="AA60" i="1"/>
  <c r="AA62" i="1"/>
  <c r="AA63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8" i="1"/>
  <c r="AA79" i="1"/>
  <c r="AA80" i="1"/>
  <c r="AA81" i="1"/>
  <c r="AA82" i="1"/>
  <c r="AA84" i="1"/>
  <c r="AA85" i="1"/>
  <c r="AA86" i="1"/>
  <c r="AA88" i="1"/>
  <c r="AA89" i="1"/>
  <c r="AA90" i="1"/>
  <c r="AA91" i="1"/>
  <c r="AA92" i="1"/>
  <c r="AA93" i="1"/>
  <c r="AA94" i="1"/>
  <c r="AA95" i="1"/>
  <c r="AA96" i="1"/>
  <c r="AA97" i="1"/>
  <c r="AA98" i="1"/>
  <c r="AA100" i="1"/>
  <c r="AA101" i="1"/>
  <c r="AA102" i="1"/>
  <c r="AA103" i="1"/>
  <c r="AA104" i="1"/>
  <c r="AA105" i="1"/>
  <c r="AA107" i="1"/>
  <c r="AA108" i="1"/>
  <c r="AA109" i="1"/>
  <c r="AA110" i="1"/>
  <c r="AA111" i="1"/>
  <c r="AA113" i="1"/>
  <c r="AA114" i="1"/>
  <c r="AA115" i="1"/>
  <c r="AA116" i="1"/>
  <c r="AA117" i="1"/>
  <c r="AA118" i="1"/>
  <c r="AA119" i="1"/>
  <c r="AA120" i="1"/>
  <c r="AA121" i="1"/>
  <c r="AA122" i="1"/>
  <c r="AA124" i="1"/>
  <c r="AA125" i="1"/>
  <c r="AA126" i="1"/>
  <c r="AA127" i="1"/>
  <c r="AA128" i="1"/>
  <c r="AA130" i="1"/>
  <c r="AA131" i="1"/>
  <c r="AA132" i="1"/>
  <c r="AA133" i="1"/>
  <c r="AA137" i="1"/>
  <c r="AA138" i="1"/>
  <c r="AA139" i="1"/>
  <c r="AA140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8" i="1" l="1"/>
  <c r="Z25" i="1" l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8" i="1"/>
  <c r="H8" i="4"/>
  <c r="H9" i="4"/>
  <c r="H10" i="4"/>
  <c r="H11" i="4"/>
  <c r="H12" i="4"/>
  <c r="H13" i="4"/>
  <c r="H14" i="4"/>
  <c r="H15" i="4"/>
  <c r="H16" i="4"/>
  <c r="H7" i="4"/>
  <c r="G8" i="4"/>
  <c r="G9" i="4"/>
  <c r="G10" i="4"/>
  <c r="G11" i="4"/>
  <c r="G12" i="4"/>
  <c r="G13" i="4"/>
  <c r="G14" i="4"/>
  <c r="G15" i="4"/>
  <c r="G16" i="4"/>
  <c r="G7" i="4"/>
  <c r="V77" i="1" l="1"/>
  <c r="W77" i="1"/>
  <c r="X156" i="1"/>
  <c r="X148" i="1"/>
  <c r="X143" i="1"/>
  <c r="W15" i="1"/>
  <c r="W114" i="1"/>
  <c r="W88" i="1"/>
  <c r="W130" i="1"/>
  <c r="W20" i="1"/>
  <c r="W9" i="1"/>
  <c r="W124" i="1" l="1"/>
  <c r="W109" i="1"/>
  <c r="W108" i="1"/>
  <c r="W107" i="1"/>
  <c r="W115" i="1"/>
  <c r="W118" i="1"/>
  <c r="W53" i="1"/>
  <c r="W119" i="1"/>
  <c r="W132" i="1"/>
  <c r="W113" i="1"/>
  <c r="W137" i="1"/>
  <c r="W116" i="1"/>
  <c r="W104" i="1"/>
  <c r="W103" i="1"/>
  <c r="W102" i="1"/>
  <c r="W94" i="1"/>
  <c r="W95" i="1"/>
  <c r="W101" i="1"/>
  <c r="W98" i="1"/>
  <c r="W97" i="1"/>
  <c r="W92" i="1"/>
  <c r="W91" i="1"/>
  <c r="W96" i="1"/>
  <c r="W90" i="1"/>
  <c r="W93" i="1"/>
  <c r="W126" i="1"/>
  <c r="W125" i="1"/>
  <c r="W73" i="1"/>
  <c r="W85" i="1"/>
  <c r="W121" i="1"/>
  <c r="W84" i="1"/>
  <c r="W79" i="1"/>
  <c r="W81" i="1"/>
  <c r="W131" i="1"/>
  <c r="W17" i="1"/>
  <c r="W78" i="1"/>
  <c r="W40" i="1"/>
  <c r="W76" i="1"/>
  <c r="W75" i="1"/>
  <c r="W19" i="1"/>
  <c r="W16" i="1"/>
  <c r="W117" i="1"/>
  <c r="W11" i="1"/>
  <c r="W24" i="1"/>
  <c r="W30" i="1"/>
  <c r="W37" i="1"/>
  <c r="W34" i="1"/>
  <c r="W61" i="1"/>
  <c r="W32" i="1"/>
  <c r="W29" i="1"/>
  <c r="W28" i="1"/>
  <c r="W27" i="1"/>
  <c r="W23" i="1"/>
  <c r="W10" i="1"/>
  <c r="W18" i="1"/>
  <c r="W8" i="1"/>
  <c r="W13" i="1"/>
  <c r="W52" i="1"/>
  <c r="W49" i="1"/>
  <c r="W48" i="1"/>
  <c r="W47" i="1"/>
  <c r="W46" i="1"/>
  <c r="W44" i="1"/>
  <c r="W70" i="1"/>
  <c r="W68" i="1"/>
  <c r="W67" i="1"/>
  <c r="W66" i="1"/>
  <c r="W65" i="1"/>
  <c r="W63" i="1"/>
  <c r="W62" i="1"/>
  <c r="W60" i="1"/>
  <c r="W59" i="1"/>
  <c r="W54" i="1"/>
  <c r="W12" i="1"/>
  <c r="W43" i="1"/>
  <c r="W42" i="1"/>
  <c r="W69" i="1"/>
  <c r="W58" i="1"/>
  <c r="W55" i="1"/>
  <c r="W36" i="1"/>
  <c r="W110" i="1"/>
  <c r="W127" i="1"/>
  <c r="W22" i="1"/>
  <c r="V53" i="1" l="1"/>
  <c r="V96" i="1"/>
  <c r="V89" i="1"/>
  <c r="V82" i="1"/>
  <c r="V85" i="1"/>
  <c r="V110" i="1"/>
  <c r="V126" i="1"/>
  <c r="V125" i="1"/>
  <c r="V124" i="1"/>
  <c r="V81" i="1"/>
  <c r="V17" i="1"/>
  <c r="V121" i="1"/>
  <c r="V127" i="1"/>
  <c r="V118" i="1"/>
  <c r="V120" i="1"/>
  <c r="V119" i="1"/>
  <c r="V114" i="1"/>
  <c r="V132" i="1"/>
  <c r="V88" i="1"/>
  <c r="V90" i="1"/>
  <c r="V102" i="1"/>
  <c r="V94" i="1"/>
  <c r="V104" i="1"/>
  <c r="V103" i="1"/>
  <c r="V101" i="1"/>
  <c r="V99" i="1"/>
  <c r="V98" i="1"/>
  <c r="V97" i="1"/>
  <c r="V95" i="1"/>
  <c r="V93" i="1"/>
  <c r="V92" i="1"/>
  <c r="V91" i="1"/>
  <c r="V113" i="1"/>
  <c r="V11" i="1"/>
  <c r="V24" i="1"/>
  <c r="V23" i="1"/>
  <c r="V80" i="1"/>
  <c r="V79" i="1"/>
  <c r="V131" i="1"/>
  <c r="V73" i="1"/>
  <c r="V75" i="1"/>
  <c r="V76" i="1"/>
  <c r="V22" i="1"/>
  <c r="V130" i="1"/>
  <c r="V21" i="1"/>
  <c r="V133" i="1"/>
  <c r="V20" i="1"/>
  <c r="V137" i="1"/>
  <c r="V18" i="1"/>
  <c r="V16" i="1"/>
  <c r="V117" i="1"/>
  <c r="V15" i="1"/>
  <c r="V36" i="1" l="1"/>
  <c r="V27" i="1" l="1"/>
  <c r="V30" i="1"/>
  <c r="V33" i="1"/>
  <c r="V37" i="1"/>
  <c r="V34" i="1"/>
  <c r="V28" i="1"/>
  <c r="V35" i="1"/>
  <c r="V32" i="1"/>
  <c r="V29" i="1"/>
  <c r="V31" i="1"/>
  <c r="V14" i="1"/>
  <c r="V13" i="1"/>
  <c r="V12" i="1"/>
  <c r="V48" i="1"/>
  <c r="V43" i="1"/>
  <c r="X43" i="1" s="1"/>
  <c r="V40" i="1"/>
  <c r="V49" i="1"/>
  <c r="V46" i="1"/>
  <c r="V44" i="1"/>
  <c r="V42" i="1"/>
  <c r="V52" i="1"/>
  <c r="V59" i="1"/>
  <c r="V56" i="1"/>
  <c r="V55" i="1"/>
  <c r="V54" i="1"/>
  <c r="V60" i="1" l="1"/>
  <c r="V58" i="1"/>
  <c r="V61" i="1"/>
  <c r="V67" i="1"/>
  <c r="V70" i="1"/>
  <c r="V69" i="1"/>
  <c r="V68" i="1"/>
  <c r="V65" i="1"/>
  <c r="V63" i="1"/>
  <c r="V66" i="1"/>
  <c r="V62" i="1"/>
  <c r="V41" i="1" l="1"/>
  <c r="V9" i="1"/>
  <c r="V8" i="1"/>
  <c r="X31" i="1" l="1"/>
  <c r="X52" i="1" l="1"/>
  <c r="X61" i="1"/>
  <c r="X70" i="1"/>
  <c r="X69" i="1"/>
  <c r="X65" i="1"/>
  <c r="X66" i="1"/>
  <c r="X62" i="1"/>
  <c r="X59" i="1"/>
  <c r="X56" i="1"/>
  <c r="X9" i="1"/>
  <c r="X11" i="1"/>
  <c r="V138" i="1"/>
  <c r="X137" i="1"/>
  <c r="X134" i="1"/>
  <c r="X133" i="1"/>
  <c r="X132" i="1"/>
  <c r="X131" i="1"/>
  <c r="W138" i="1"/>
  <c r="X127" i="1"/>
  <c r="X126" i="1"/>
  <c r="X125" i="1"/>
  <c r="V128" i="1"/>
  <c r="X124" i="1"/>
  <c r="X121" i="1"/>
  <c r="X120" i="1"/>
  <c r="X119" i="1"/>
  <c r="X118" i="1"/>
  <c r="X117" i="1"/>
  <c r="X116" i="1"/>
  <c r="X115" i="1"/>
  <c r="X114" i="1"/>
  <c r="W122" i="1"/>
  <c r="V122" i="1"/>
  <c r="V111" i="1"/>
  <c r="X110" i="1"/>
  <c r="X109" i="1"/>
  <c r="W111" i="1"/>
  <c r="X107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W105" i="1"/>
  <c r="X89" i="1"/>
  <c r="X88" i="1"/>
  <c r="X87" i="1"/>
  <c r="X85" i="1"/>
  <c r="X84" i="1"/>
  <c r="X83" i="1"/>
  <c r="X82" i="1"/>
  <c r="X81" i="1"/>
  <c r="X80" i="1"/>
  <c r="X79" i="1"/>
  <c r="X78" i="1"/>
  <c r="X77" i="1"/>
  <c r="X76" i="1"/>
  <c r="X75" i="1"/>
  <c r="X74" i="1"/>
  <c r="W86" i="1"/>
  <c r="X73" i="1"/>
  <c r="X68" i="1"/>
  <c r="X67" i="1"/>
  <c r="X64" i="1"/>
  <c r="X63" i="1"/>
  <c r="X60" i="1"/>
  <c r="X58" i="1"/>
  <c r="W71" i="1"/>
  <c r="X54" i="1"/>
  <c r="X53" i="1"/>
  <c r="X51" i="1"/>
  <c r="X49" i="1"/>
  <c r="X48" i="1"/>
  <c r="X47" i="1"/>
  <c r="X46" i="1"/>
  <c r="X45" i="1"/>
  <c r="X44" i="1"/>
  <c r="X42" i="1"/>
  <c r="X41" i="1"/>
  <c r="X40" i="1"/>
  <c r="W50" i="1"/>
  <c r="X39" i="1"/>
  <c r="X37" i="1"/>
  <c r="X36" i="1"/>
  <c r="X35" i="1"/>
  <c r="X34" i="1"/>
  <c r="X33" i="1"/>
  <c r="X32" i="1"/>
  <c r="X30" i="1"/>
  <c r="X29" i="1"/>
  <c r="X28" i="1"/>
  <c r="W38" i="1"/>
  <c r="V38" i="1"/>
  <c r="X26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0" i="1"/>
  <c r="V25" i="1" l="1"/>
  <c r="X128" i="1"/>
  <c r="X50" i="1"/>
  <c r="X86" i="1"/>
  <c r="X105" i="1"/>
  <c r="W25" i="1"/>
  <c r="V50" i="1"/>
  <c r="V86" i="1"/>
  <c r="X108" i="1"/>
  <c r="X111" i="1" s="1"/>
  <c r="X113" i="1"/>
  <c r="X122" i="1" s="1"/>
  <c r="W128" i="1"/>
  <c r="X130" i="1"/>
  <c r="X138" i="1" s="1"/>
  <c r="X55" i="1"/>
  <c r="X71" i="1" s="1"/>
  <c r="V71" i="1"/>
  <c r="V105" i="1"/>
  <c r="X27" i="1"/>
  <c r="X38" i="1" s="1"/>
  <c r="X8" i="1"/>
  <c r="X25" i="1" s="1"/>
  <c r="X140" i="1" l="1"/>
  <c r="X139" i="1"/>
  <c r="W140" i="1"/>
  <c r="V140" i="1"/>
  <c r="X141" i="1" l="1"/>
  <c r="X158" i="1" l="1"/>
  <c r="R77" i="1" l="1"/>
  <c r="R96" i="1"/>
  <c r="R89" i="1"/>
  <c r="R82" i="1"/>
  <c r="R110" i="1"/>
  <c r="R126" i="1"/>
  <c r="R125" i="1"/>
  <c r="R124" i="1"/>
  <c r="R81" i="1"/>
  <c r="R17" i="1"/>
  <c r="R109" i="1"/>
  <c r="R107" i="1"/>
  <c r="R118" i="1" l="1"/>
  <c r="R120" i="1"/>
  <c r="R119" i="1"/>
  <c r="R114" i="1"/>
  <c r="R94" i="1" l="1"/>
  <c r="R100" i="1"/>
  <c r="R104" i="1"/>
  <c r="R103" i="1"/>
  <c r="R102" i="1"/>
  <c r="R101" i="1"/>
  <c r="R98" i="1"/>
  <c r="R97" i="1"/>
  <c r="R92" i="1"/>
  <c r="R90" i="1"/>
  <c r="R95" i="1"/>
  <c r="R93" i="1"/>
  <c r="R88" i="1"/>
  <c r="R99" i="1" l="1"/>
  <c r="R91" i="1"/>
  <c r="R113" i="1"/>
  <c r="R11" i="1"/>
  <c r="R24" i="1"/>
  <c r="R23" i="1"/>
  <c r="R115" i="1"/>
  <c r="R80" i="1"/>
  <c r="R79" i="1"/>
  <c r="R131" i="1"/>
  <c r="R78" i="1"/>
  <c r="R73" i="1"/>
  <c r="R76" i="1"/>
  <c r="R75" i="1"/>
  <c r="R8" i="1"/>
  <c r="R22" i="1"/>
  <c r="R130" i="1"/>
  <c r="R21" i="1"/>
  <c r="R133" i="1"/>
  <c r="R20" i="1"/>
  <c r="R137" i="1"/>
  <c r="R18" i="1"/>
  <c r="R28" i="1"/>
  <c r="R27" i="1"/>
  <c r="R37" i="1" l="1"/>
  <c r="R33" i="1"/>
  <c r="T33" i="1" s="1"/>
  <c r="R30" i="1"/>
  <c r="R34" i="1"/>
  <c r="R29" i="1"/>
  <c r="R35" i="1"/>
  <c r="R32" i="1"/>
  <c r="R14" i="1"/>
  <c r="R13" i="1"/>
  <c r="R12" i="1"/>
  <c r="R40" i="1"/>
  <c r="R48" i="1"/>
  <c r="R47" i="1"/>
  <c r="R46" i="1"/>
  <c r="R45" i="1"/>
  <c r="R44" i="1"/>
  <c r="R42" i="1"/>
  <c r="R52" i="1"/>
  <c r="R62" i="1" l="1"/>
  <c r="R56" i="1"/>
  <c r="R54" i="1"/>
  <c r="R58" i="1"/>
  <c r="R61" i="1" l="1"/>
  <c r="S61" i="1"/>
  <c r="R67" i="1"/>
  <c r="R70" i="1"/>
  <c r="R69" i="1"/>
  <c r="R68" i="1"/>
  <c r="R65" i="1"/>
  <c r="R63" i="1"/>
  <c r="R66" i="1"/>
  <c r="R60" i="1"/>
  <c r="R59" i="1"/>
  <c r="R55" i="1"/>
  <c r="R9" i="1"/>
  <c r="R10" i="1"/>
  <c r="T61" i="1" l="1"/>
  <c r="R71" i="1"/>
  <c r="S114" i="1" l="1"/>
  <c r="S60" i="1"/>
  <c r="S44" i="1"/>
  <c r="S85" i="1"/>
  <c r="S130" i="1"/>
  <c r="S20" i="1"/>
  <c r="S9" i="1"/>
  <c r="S73" i="1" l="1"/>
  <c r="S55" i="1" l="1"/>
  <c r="S77" i="1"/>
  <c r="S124" i="1"/>
  <c r="S109" i="1"/>
  <c r="S108" i="1"/>
  <c r="S107" i="1"/>
  <c r="S115" i="1"/>
  <c r="S118" i="1"/>
  <c r="S119" i="1"/>
  <c r="S132" i="1"/>
  <c r="S113" i="1"/>
  <c r="S137" i="1"/>
  <c r="S116" i="1"/>
  <c r="S117" i="1"/>
  <c r="S104" i="1"/>
  <c r="S103" i="1"/>
  <c r="S102" i="1"/>
  <c r="S94" i="1"/>
  <c r="S95" i="1"/>
  <c r="S101" i="1"/>
  <c r="S100" i="1"/>
  <c r="S98" i="1"/>
  <c r="S97" i="1"/>
  <c r="S92" i="1"/>
  <c r="S91" i="1"/>
  <c r="S96" i="1"/>
  <c r="S90" i="1"/>
  <c r="S93" i="1"/>
  <c r="S88" i="1"/>
  <c r="S125" i="1"/>
  <c r="S126" i="1"/>
  <c r="S121" i="1"/>
  <c r="S84" i="1"/>
  <c r="S79" i="1"/>
  <c r="S81" i="1"/>
  <c r="S131" i="1"/>
  <c r="S17" i="1"/>
  <c r="S78" i="1" l="1"/>
  <c r="S76" i="1"/>
  <c r="S74" i="1"/>
  <c r="S75" i="1"/>
  <c r="S19" i="1"/>
  <c r="S16" i="1"/>
  <c r="S15" i="1"/>
  <c r="S11" i="1"/>
  <c r="S24" i="1"/>
  <c r="S30" i="1"/>
  <c r="S37" i="1"/>
  <c r="S34" i="1"/>
  <c r="S32" i="1"/>
  <c r="S29" i="1"/>
  <c r="S28" i="1"/>
  <c r="S27" i="1"/>
  <c r="S23" i="1"/>
  <c r="S10" i="1"/>
  <c r="S18" i="1"/>
  <c r="S13" i="1"/>
  <c r="S36" i="1"/>
  <c r="S52" i="1"/>
  <c r="S49" i="1"/>
  <c r="S48" i="1"/>
  <c r="S47" i="1"/>
  <c r="S46" i="1"/>
  <c r="S70" i="1"/>
  <c r="S68" i="1"/>
  <c r="S67" i="1"/>
  <c r="S66" i="1"/>
  <c r="S65" i="1"/>
  <c r="S63" i="1"/>
  <c r="S62" i="1"/>
  <c r="S59" i="1"/>
  <c r="S54" i="1"/>
  <c r="S12" i="1"/>
  <c r="S40" i="1"/>
  <c r="S42" i="1"/>
  <c r="S69" i="1"/>
  <c r="S58" i="1"/>
  <c r="S8" i="1"/>
  <c r="S110" i="1"/>
  <c r="S127" i="1"/>
  <c r="S22" i="1"/>
  <c r="T134" i="1" l="1"/>
  <c r="T45" i="1"/>
  <c r="R138" i="1" l="1"/>
  <c r="T137" i="1"/>
  <c r="T133" i="1"/>
  <c r="T132" i="1"/>
  <c r="T131" i="1"/>
  <c r="S138" i="1"/>
  <c r="R128" i="1"/>
  <c r="T127" i="1"/>
  <c r="T126" i="1"/>
  <c r="T125" i="1"/>
  <c r="S128" i="1"/>
  <c r="R122" i="1"/>
  <c r="T121" i="1"/>
  <c r="T120" i="1"/>
  <c r="T119" i="1"/>
  <c r="T118" i="1"/>
  <c r="T117" i="1"/>
  <c r="T116" i="1"/>
  <c r="T115" i="1"/>
  <c r="T114" i="1"/>
  <c r="S122" i="1"/>
  <c r="R111" i="1"/>
  <c r="T110" i="1"/>
  <c r="T109" i="1"/>
  <c r="T108" i="1"/>
  <c r="T107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R105" i="1"/>
  <c r="T87" i="1"/>
  <c r="S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R86" i="1"/>
  <c r="T70" i="1"/>
  <c r="T69" i="1"/>
  <c r="T68" i="1"/>
  <c r="T67" i="1"/>
  <c r="T66" i="1"/>
  <c r="T65" i="1"/>
  <c r="T64" i="1"/>
  <c r="T63" i="1"/>
  <c r="T62" i="1"/>
  <c r="S71" i="1"/>
  <c r="T59" i="1"/>
  <c r="T58" i="1"/>
  <c r="T56" i="1"/>
  <c r="T55" i="1"/>
  <c r="T54" i="1"/>
  <c r="T53" i="1"/>
  <c r="T52" i="1"/>
  <c r="T51" i="1"/>
  <c r="T49" i="1"/>
  <c r="T48" i="1"/>
  <c r="T47" i="1"/>
  <c r="T46" i="1"/>
  <c r="T44" i="1"/>
  <c r="T42" i="1"/>
  <c r="S50" i="1"/>
  <c r="T40" i="1"/>
  <c r="T39" i="1"/>
  <c r="T37" i="1"/>
  <c r="T36" i="1"/>
  <c r="T35" i="1"/>
  <c r="T34" i="1"/>
  <c r="T32" i="1"/>
  <c r="T30" i="1"/>
  <c r="T29" i="1"/>
  <c r="T28" i="1"/>
  <c r="S38" i="1"/>
  <c r="T27" i="1"/>
  <c r="T26" i="1"/>
  <c r="T24" i="1"/>
  <c r="T23" i="1"/>
  <c r="T22" i="1"/>
  <c r="T21" i="1"/>
  <c r="T20" i="1"/>
  <c r="T19" i="1"/>
  <c r="T18" i="1"/>
  <c r="R25" i="1"/>
  <c r="T16" i="1"/>
  <c r="T15" i="1"/>
  <c r="T14" i="1"/>
  <c r="T13" i="1"/>
  <c r="T12" i="1"/>
  <c r="T11" i="1"/>
  <c r="T10" i="1"/>
  <c r="T9" i="1"/>
  <c r="S25" i="1"/>
  <c r="T86" i="1" l="1"/>
  <c r="T111" i="1"/>
  <c r="T38" i="1"/>
  <c r="T105" i="1"/>
  <c r="R38" i="1"/>
  <c r="S105" i="1"/>
  <c r="T8" i="1"/>
  <c r="T41" i="1"/>
  <c r="T50" i="1" s="1"/>
  <c r="R50" i="1"/>
  <c r="R140" i="1" s="1"/>
  <c r="T60" i="1"/>
  <c r="T71" i="1" s="1"/>
  <c r="S111" i="1"/>
  <c r="T113" i="1"/>
  <c r="T122" i="1" s="1"/>
  <c r="T124" i="1"/>
  <c r="T128" i="1" s="1"/>
  <c r="T130" i="1"/>
  <c r="T138" i="1" s="1"/>
  <c r="T17" i="1"/>
  <c r="E88" i="1"/>
  <c r="E94" i="1"/>
  <c r="E100" i="1"/>
  <c r="E104" i="1"/>
  <c r="E103" i="1"/>
  <c r="E102" i="1"/>
  <c r="E101" i="1"/>
  <c r="E98" i="1"/>
  <c r="E97" i="1"/>
  <c r="E92" i="1"/>
  <c r="E90" i="1"/>
  <c r="E96" i="1"/>
  <c r="E95" i="1"/>
  <c r="E93" i="1"/>
  <c r="E91" i="1"/>
  <c r="S140" i="1" l="1"/>
  <c r="T141" i="1" s="1"/>
  <c r="T25" i="1"/>
  <c r="T140" i="1" s="1"/>
  <c r="T139" i="1"/>
  <c r="E76" i="1"/>
  <c r="E20" i="1"/>
  <c r="E15" i="1"/>
  <c r="E9" i="1"/>
  <c r="E53" i="1"/>
  <c r="E74" i="1"/>
  <c r="E77" i="1"/>
  <c r="E89" i="1"/>
  <c r="E82" i="1"/>
  <c r="E110" i="1"/>
  <c r="E126" i="1"/>
  <c r="E125" i="1"/>
  <c r="E124" i="1"/>
  <c r="E81" i="1"/>
  <c r="E17" i="1"/>
  <c r="E121" i="1"/>
  <c r="E127" i="1"/>
  <c r="E107" i="1"/>
  <c r="E108" i="1"/>
  <c r="E118" i="1"/>
  <c r="E120" i="1"/>
  <c r="E119" i="1"/>
  <c r="E114" i="1"/>
  <c r="E132" i="1"/>
  <c r="E116" i="1"/>
  <c r="E113" i="1" l="1"/>
  <c r="E11" i="1"/>
  <c r="E24" i="1"/>
  <c r="E23" i="1"/>
  <c r="E115" i="1"/>
  <c r="E73" i="1"/>
  <c r="E131" i="1"/>
  <c r="E78" i="1"/>
  <c r="E79" i="1"/>
  <c r="E75" i="1"/>
  <c r="E8" i="1"/>
  <c r="E22" i="1"/>
  <c r="E130" i="1"/>
  <c r="E21" i="1"/>
  <c r="G21" i="1" s="1"/>
  <c r="E133" i="1"/>
  <c r="G133" i="1" s="1"/>
  <c r="E137" i="1"/>
  <c r="G137" i="1" s="1"/>
  <c r="E18" i="1"/>
  <c r="E16" i="1"/>
  <c r="G16" i="1" s="1"/>
  <c r="E117" i="1"/>
  <c r="G117" i="1" s="1"/>
  <c r="E37" i="1"/>
  <c r="E27" i="1"/>
  <c r="E35" i="1"/>
  <c r="G35" i="1" s="1"/>
  <c r="E28" i="1"/>
  <c r="E30" i="1"/>
  <c r="E34" i="1"/>
  <c r="E32" i="1"/>
  <c r="E29" i="1"/>
  <c r="E14" i="1"/>
  <c r="E13" i="1"/>
  <c r="G13" i="1" s="1"/>
  <c r="E41" i="1"/>
  <c r="E40" i="1"/>
  <c r="E49" i="1"/>
  <c r="E48" i="1"/>
  <c r="E47" i="1"/>
  <c r="E46" i="1"/>
  <c r="E44" i="1"/>
  <c r="E42" i="1"/>
  <c r="E54" i="1"/>
  <c r="E55" i="1"/>
  <c r="E52" i="1"/>
  <c r="E58" i="1"/>
  <c r="E67" i="1"/>
  <c r="E70" i="1"/>
  <c r="E69" i="1"/>
  <c r="E68" i="1"/>
  <c r="E65" i="1"/>
  <c r="E63" i="1"/>
  <c r="E66" i="1"/>
  <c r="E62" i="1"/>
  <c r="E60" i="1"/>
  <c r="E59" i="1"/>
  <c r="E56" i="1"/>
  <c r="G56" i="1" s="1"/>
  <c r="E10" i="1"/>
  <c r="G120" i="1"/>
  <c r="G99" i="1"/>
  <c r="G89" i="1"/>
  <c r="G87" i="1"/>
  <c r="G83" i="1"/>
  <c r="G80" i="1"/>
  <c r="G74" i="1"/>
  <c r="G64" i="1"/>
  <c r="G51" i="1"/>
  <c r="G39" i="1"/>
  <c r="G26" i="1"/>
  <c r="F52" i="1"/>
  <c r="F8" i="1"/>
  <c r="G8" i="1" l="1"/>
  <c r="G52" i="1"/>
  <c r="F124" i="1"/>
  <c r="G124" i="1" s="1"/>
  <c r="F20" i="1" l="1"/>
  <c r="G20" i="1" s="1"/>
  <c r="F40" i="1"/>
  <c r="G40" i="1" s="1"/>
  <c r="F85" i="1" l="1"/>
  <c r="G85" i="1" s="1"/>
  <c r="F130" i="1"/>
  <c r="G130" i="1" s="1"/>
  <c r="F11" i="1"/>
  <c r="G11" i="1" s="1"/>
  <c r="F113" i="1"/>
  <c r="G113" i="1" s="1"/>
  <c r="F88" i="1"/>
  <c r="G88" i="1" s="1"/>
  <c r="F118" i="1"/>
  <c r="G118" i="1" s="1"/>
  <c r="F9" i="1"/>
  <c r="G9" i="1" s="1"/>
  <c r="F68" i="1"/>
  <c r="G68" i="1" s="1"/>
  <c r="F49" i="1"/>
  <c r="G49" i="1" s="1"/>
  <c r="F30" i="1"/>
  <c r="G30" i="1" s="1"/>
  <c r="F114" i="1"/>
  <c r="G114" i="1" s="1"/>
  <c r="F127" i="1"/>
  <c r="G127" i="1" s="1"/>
  <c r="F104" i="1"/>
  <c r="G104" i="1" s="1"/>
  <c r="F103" i="1"/>
  <c r="G103" i="1" s="1"/>
  <c r="F102" i="1"/>
  <c r="G102" i="1" s="1"/>
  <c r="F94" i="1"/>
  <c r="G94" i="1" s="1"/>
  <c r="F95" i="1"/>
  <c r="G95" i="1" s="1"/>
  <c r="F101" i="1"/>
  <c r="G101" i="1" s="1"/>
  <c r="F100" i="1"/>
  <c r="G100" i="1" s="1"/>
  <c r="F98" i="1"/>
  <c r="G98" i="1" s="1"/>
  <c r="F97" i="1"/>
  <c r="G97" i="1" s="1"/>
  <c r="F92" i="1"/>
  <c r="G92" i="1" s="1"/>
  <c r="F91" i="1"/>
  <c r="G91" i="1" s="1"/>
  <c r="F96" i="1"/>
  <c r="G96" i="1" s="1"/>
  <c r="F90" i="1"/>
  <c r="G90" i="1" s="1"/>
  <c r="F93" i="1"/>
  <c r="G93" i="1" s="1"/>
  <c r="F109" i="1"/>
  <c r="G109" i="1" s="1"/>
  <c r="F108" i="1"/>
  <c r="G108" i="1" s="1"/>
  <c r="F107" i="1"/>
  <c r="G107" i="1" s="1"/>
  <c r="F115" i="1"/>
  <c r="G115" i="1" s="1"/>
  <c r="F119" i="1"/>
  <c r="G119" i="1" s="1"/>
  <c r="F116" i="1"/>
  <c r="G116" i="1" s="1"/>
  <c r="F126" i="1"/>
  <c r="G126" i="1" s="1"/>
  <c r="F125" i="1"/>
  <c r="G125" i="1" s="1"/>
  <c r="F73" i="1"/>
  <c r="G73" i="1" s="1"/>
  <c r="F121" i="1"/>
  <c r="G121" i="1" s="1"/>
  <c r="F131" i="1"/>
  <c r="G131" i="1" s="1"/>
  <c r="F78" i="1"/>
  <c r="G78" i="1" s="1"/>
  <c r="F77" i="1"/>
  <c r="G77" i="1" s="1"/>
  <c r="F84" i="1"/>
  <c r="G84" i="1" s="1"/>
  <c r="F79" i="1"/>
  <c r="G79" i="1" s="1"/>
  <c r="F81" i="1"/>
  <c r="G81" i="1" s="1"/>
  <c r="F76" i="1"/>
  <c r="G76" i="1" s="1"/>
  <c r="F75" i="1"/>
  <c r="G75" i="1" s="1"/>
  <c r="F82" i="1"/>
  <c r="G82" i="1" s="1"/>
  <c r="E86" i="1"/>
  <c r="F24" i="1"/>
  <c r="G24" i="1" s="1"/>
  <c r="F19" i="1"/>
  <c r="G19" i="1" s="1"/>
  <c r="F15" i="1"/>
  <c r="G15" i="1" s="1"/>
  <c r="F37" i="1"/>
  <c r="G37" i="1" s="1"/>
  <c r="F34" i="1"/>
  <c r="G34" i="1" s="1"/>
  <c r="F32" i="1"/>
  <c r="G32" i="1" s="1"/>
  <c r="F29" i="1"/>
  <c r="G29" i="1" s="1"/>
  <c r="F28" i="1"/>
  <c r="G28" i="1" s="1"/>
  <c r="F27" i="1"/>
  <c r="G27" i="1" s="1"/>
  <c r="F23" i="1"/>
  <c r="G23" i="1" s="1"/>
  <c r="F10" i="1"/>
  <c r="G10" i="1" s="1"/>
  <c r="F14" i="1"/>
  <c r="G14" i="1" s="1"/>
  <c r="F18" i="1"/>
  <c r="G18" i="1" s="1"/>
  <c r="F17" i="1"/>
  <c r="G17" i="1" s="1"/>
  <c r="F48" i="1"/>
  <c r="G48" i="1" s="1"/>
  <c r="F47" i="1"/>
  <c r="G47" i="1" s="1"/>
  <c r="F46" i="1"/>
  <c r="G46" i="1" s="1"/>
  <c r="F44" i="1"/>
  <c r="G44" i="1" s="1"/>
  <c r="F70" i="1"/>
  <c r="G70" i="1" s="1"/>
  <c r="F69" i="1"/>
  <c r="G69" i="1" s="1"/>
  <c r="F67" i="1"/>
  <c r="G67" i="1" s="1"/>
  <c r="F66" i="1"/>
  <c r="G66" i="1" s="1"/>
  <c r="F63" i="1"/>
  <c r="G63" i="1" s="1"/>
  <c r="F62" i="1"/>
  <c r="G62" i="1" s="1"/>
  <c r="F60" i="1"/>
  <c r="G60" i="1" s="1"/>
  <c r="F59" i="1"/>
  <c r="G59" i="1" s="1"/>
  <c r="F54" i="1"/>
  <c r="G54" i="1" s="1"/>
  <c r="F12" i="1"/>
  <c r="G12" i="1" s="1"/>
  <c r="F42" i="1"/>
  <c r="G42" i="1" s="1"/>
  <c r="F41" i="1"/>
  <c r="G41" i="1" s="1"/>
  <c r="F53" i="1"/>
  <c r="G53" i="1" s="1"/>
  <c r="E71" i="1"/>
  <c r="F65" i="1"/>
  <c r="G65" i="1" s="1"/>
  <c r="F58" i="1"/>
  <c r="G58" i="1" s="1"/>
  <c r="F55" i="1"/>
  <c r="G55" i="1" s="1"/>
  <c r="E50" i="1"/>
  <c r="E38" i="1"/>
  <c r="E25" i="1"/>
  <c r="F110" i="1"/>
  <c r="G110" i="1" s="1"/>
  <c r="E105" i="1"/>
  <c r="E111" i="1"/>
  <c r="E122" i="1"/>
  <c r="F132" i="1"/>
  <c r="G132" i="1" s="1"/>
  <c r="G50" i="1" l="1"/>
  <c r="G111" i="1"/>
  <c r="G105" i="1"/>
  <c r="G86" i="1"/>
  <c r="F111" i="1"/>
  <c r="G38" i="1"/>
  <c r="G122" i="1"/>
  <c r="G71" i="1"/>
  <c r="G128" i="1"/>
  <c r="G138" i="1"/>
  <c r="F105" i="1"/>
  <c r="F122" i="1"/>
  <c r="F86" i="1"/>
  <c r="F38" i="1"/>
  <c r="F71" i="1"/>
  <c r="F50" i="1"/>
  <c r="F138" i="1"/>
  <c r="F128" i="1"/>
  <c r="E128" i="1"/>
  <c r="E138" i="1"/>
  <c r="F22" i="1"/>
  <c r="G22" i="1" s="1"/>
  <c r="G25" i="1" s="1"/>
  <c r="G140" i="1" l="1"/>
  <c r="F25" i="1"/>
  <c r="G139" i="1" s="1"/>
  <c r="E140" i="1"/>
  <c r="F140" i="1" l="1"/>
  <c r="I113" i="1" l="1"/>
  <c r="J113" i="1"/>
  <c r="J124" i="1" l="1"/>
  <c r="P117" i="1" l="1"/>
  <c r="J117" i="1"/>
  <c r="I117" i="1"/>
  <c r="O124" i="1"/>
  <c r="O9" i="1"/>
  <c r="O44" i="1"/>
  <c r="O8" i="1"/>
  <c r="O78" i="1"/>
  <c r="O49" i="1"/>
  <c r="O30" i="1"/>
  <c r="O34" i="1"/>
  <c r="O28" i="1"/>
  <c r="O67" i="1"/>
  <c r="O70" i="1"/>
  <c r="O63" i="1"/>
  <c r="O54" i="1"/>
  <c r="O85" i="1"/>
  <c r="O130" i="1"/>
  <c r="O20" i="1"/>
  <c r="O114" i="1"/>
  <c r="O60" i="1"/>
  <c r="O65" i="1"/>
  <c r="O46" i="1"/>
  <c r="O48" i="1"/>
  <c r="O29" i="1"/>
  <c r="K117" i="1" l="1"/>
  <c r="O77" i="1"/>
  <c r="O109" i="1"/>
  <c r="O108" i="1"/>
  <c r="O107" i="1"/>
  <c r="O115" i="1"/>
  <c r="O119" i="1"/>
  <c r="O132" i="1"/>
  <c r="O113" i="1"/>
  <c r="O137" i="1"/>
  <c r="O116" i="1"/>
  <c r="O104" i="1"/>
  <c r="O103" i="1"/>
  <c r="O102" i="1"/>
  <c r="O94" i="1"/>
  <c r="O95" i="1"/>
  <c r="O101" i="1"/>
  <c r="O100" i="1"/>
  <c r="O98" i="1"/>
  <c r="O97" i="1"/>
  <c r="O92" i="1"/>
  <c r="O91" i="1"/>
  <c r="O96" i="1"/>
  <c r="O90" i="1"/>
  <c r="O93" i="1"/>
  <c r="O88" i="1"/>
  <c r="O126" i="1"/>
  <c r="O125" i="1"/>
  <c r="O73" i="1"/>
  <c r="O121" i="1"/>
  <c r="O84" i="1"/>
  <c r="O79" i="1"/>
  <c r="O131" i="1"/>
  <c r="O17" i="1"/>
  <c r="O74" i="1"/>
  <c r="O15" i="1"/>
  <c r="O11" i="1"/>
  <c r="O24" i="1"/>
  <c r="O37" i="1"/>
  <c r="O32" i="1"/>
  <c r="O27" i="1"/>
  <c r="O23" i="1"/>
  <c r="O10" i="1"/>
  <c r="O18" i="1"/>
  <c r="O47" i="1"/>
  <c r="O68" i="1"/>
  <c r="O62" i="1"/>
  <c r="O59" i="1"/>
  <c r="O40" i="1"/>
  <c r="O42" i="1"/>
  <c r="O41" i="1"/>
  <c r="O69" i="1"/>
  <c r="O66" i="1"/>
  <c r="O58" i="1"/>
  <c r="O55" i="1"/>
  <c r="O52" i="1"/>
  <c r="O36" i="1"/>
  <c r="P36" i="1" s="1"/>
  <c r="O110" i="1"/>
  <c r="O127" i="1"/>
  <c r="O22" i="1"/>
  <c r="N17" i="1"/>
  <c r="N124" i="1"/>
  <c r="N130" i="1"/>
  <c r="N114" i="1"/>
  <c r="N113" i="1"/>
  <c r="N107" i="1"/>
  <c r="N108" i="1"/>
  <c r="N102" i="1"/>
  <c r="N88" i="1"/>
  <c r="N90" i="1"/>
  <c r="N96" i="1"/>
  <c r="N104" i="1"/>
  <c r="N103" i="1"/>
  <c r="N94" i="1"/>
  <c r="N95" i="1"/>
  <c r="N101" i="1"/>
  <c r="N100" i="1"/>
  <c r="N99" i="1"/>
  <c r="N98" i="1"/>
  <c r="N97" i="1"/>
  <c r="N92" i="1"/>
  <c r="N91" i="1"/>
  <c r="N93" i="1"/>
  <c r="N79" i="1"/>
  <c r="N73" i="1"/>
  <c r="N78" i="1"/>
  <c r="N76" i="1"/>
  <c r="N75" i="1"/>
  <c r="N63" i="1"/>
  <c r="N52" i="1"/>
  <c r="N54" i="1"/>
  <c r="N58" i="1"/>
  <c r="N67" i="1"/>
  <c r="N70" i="1"/>
  <c r="N69" i="1"/>
  <c r="N68" i="1"/>
  <c r="N65" i="1"/>
  <c r="N66" i="1"/>
  <c r="N62" i="1"/>
  <c r="N60" i="1"/>
  <c r="N59" i="1"/>
  <c r="N56" i="1"/>
  <c r="N55" i="1"/>
  <c r="N49" i="1" l="1"/>
  <c r="N40" i="1"/>
  <c r="N48" i="1"/>
  <c r="N42" i="1"/>
  <c r="N41" i="1"/>
  <c r="N27" i="1"/>
  <c r="N37" i="1"/>
  <c r="N30" i="1" l="1"/>
  <c r="N34" i="1"/>
  <c r="N32" i="1"/>
  <c r="N29" i="1"/>
  <c r="N28" i="1"/>
  <c r="N18" i="1" l="1"/>
  <c r="P18" i="1" s="1"/>
  <c r="N11" i="1"/>
  <c r="P11" i="1" s="1"/>
  <c r="N9" i="1"/>
  <c r="P9" i="1" s="1"/>
  <c r="N8" i="1"/>
  <c r="P8" i="1" s="1"/>
  <c r="P137" i="1"/>
  <c r="P133" i="1"/>
  <c r="P132" i="1"/>
  <c r="P131" i="1"/>
  <c r="P130" i="1"/>
  <c r="O138" i="1"/>
  <c r="N138" i="1"/>
  <c r="P127" i="1"/>
  <c r="P126" i="1"/>
  <c r="P125" i="1"/>
  <c r="O128" i="1"/>
  <c r="N128" i="1"/>
  <c r="P121" i="1"/>
  <c r="P120" i="1"/>
  <c r="P119" i="1"/>
  <c r="N122" i="1"/>
  <c r="P118" i="1"/>
  <c r="P116" i="1"/>
  <c r="P115" i="1"/>
  <c r="P114" i="1"/>
  <c r="O122" i="1"/>
  <c r="O111" i="1"/>
  <c r="P110" i="1"/>
  <c r="P109" i="1"/>
  <c r="P108" i="1"/>
  <c r="P107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N105" i="1"/>
  <c r="P87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O86" i="1"/>
  <c r="N86" i="1"/>
  <c r="P70" i="1"/>
  <c r="P69" i="1"/>
  <c r="P68" i="1"/>
  <c r="P67" i="1"/>
  <c r="P66" i="1"/>
  <c r="P65" i="1"/>
  <c r="P64" i="1"/>
  <c r="P63" i="1"/>
  <c r="P62" i="1"/>
  <c r="P60" i="1"/>
  <c r="P59" i="1"/>
  <c r="P58" i="1"/>
  <c r="P56" i="1"/>
  <c r="P55" i="1"/>
  <c r="P54" i="1"/>
  <c r="P53" i="1"/>
  <c r="P52" i="1"/>
  <c r="N71" i="1"/>
  <c r="P51" i="1"/>
  <c r="P49" i="1"/>
  <c r="P48" i="1"/>
  <c r="P47" i="1"/>
  <c r="P46" i="1"/>
  <c r="P44" i="1"/>
  <c r="P42" i="1"/>
  <c r="P41" i="1"/>
  <c r="P40" i="1"/>
  <c r="O50" i="1"/>
  <c r="N50" i="1"/>
  <c r="P39" i="1"/>
  <c r="P37" i="1"/>
  <c r="P35" i="1"/>
  <c r="P34" i="1"/>
  <c r="P32" i="1"/>
  <c r="P30" i="1"/>
  <c r="P29" i="1"/>
  <c r="P28" i="1"/>
  <c r="O38" i="1"/>
  <c r="N38" i="1"/>
  <c r="P26" i="1"/>
  <c r="P24" i="1"/>
  <c r="P23" i="1"/>
  <c r="P22" i="1"/>
  <c r="P21" i="1"/>
  <c r="P20" i="1"/>
  <c r="P19" i="1"/>
  <c r="P17" i="1"/>
  <c r="P16" i="1"/>
  <c r="O25" i="1"/>
  <c r="P14" i="1"/>
  <c r="P13" i="1"/>
  <c r="P12" i="1"/>
  <c r="P10" i="1"/>
  <c r="N25" i="1" l="1"/>
  <c r="P86" i="1"/>
  <c r="P105" i="1"/>
  <c r="P111" i="1"/>
  <c r="P50" i="1"/>
  <c r="P71" i="1"/>
  <c r="P138" i="1"/>
  <c r="O71" i="1"/>
  <c r="N111" i="1"/>
  <c r="N140" i="1" s="1"/>
  <c r="P15" i="1"/>
  <c r="P25" i="1" s="1"/>
  <c r="P27" i="1"/>
  <c r="P38" i="1" s="1"/>
  <c r="P113" i="1"/>
  <c r="P122" i="1" s="1"/>
  <c r="P124" i="1"/>
  <c r="P128" i="1" s="1"/>
  <c r="O105" i="1"/>
  <c r="P139" i="1" l="1"/>
  <c r="O140" i="1"/>
  <c r="P140" i="1"/>
  <c r="C14" i="3" l="1"/>
  <c r="C10" i="3"/>
  <c r="C8" i="3"/>
  <c r="C6" i="3"/>
  <c r="C11" i="3"/>
  <c r="C12" i="3" s="1"/>
  <c r="A23" i="3"/>
  <c r="A30" i="3"/>
  <c r="A29" i="3"/>
  <c r="A28" i="3"/>
  <c r="A27" i="3"/>
  <c r="A26" i="3"/>
  <c r="A25" i="3"/>
  <c r="A24" i="3"/>
  <c r="A22" i="3"/>
  <c r="A21" i="3"/>
  <c r="T122" i="2" l="1"/>
  <c r="H2" i="2"/>
  <c r="G103" i="2" s="1"/>
  <c r="D2" i="2"/>
  <c r="C126" i="2" s="1"/>
  <c r="D14" i="2" l="1"/>
  <c r="C68" i="2"/>
  <c r="D95" i="2"/>
  <c r="D20" i="2"/>
  <c r="E71" i="2"/>
  <c r="D24" i="2"/>
  <c r="C77" i="2"/>
  <c r="D10" i="2"/>
  <c r="C42" i="2"/>
  <c r="D83" i="2"/>
  <c r="C15" i="2"/>
  <c r="E20" i="2"/>
  <c r="C43" i="2"/>
  <c r="D74" i="2"/>
  <c r="C78" i="2"/>
  <c r="C93" i="2"/>
  <c r="C98" i="2"/>
  <c r="C14" i="2"/>
  <c r="C20" i="2"/>
  <c r="C23" i="2"/>
  <c r="C41" i="2"/>
  <c r="D58" i="2"/>
  <c r="D71" i="2"/>
  <c r="C76" i="2"/>
  <c r="C83" i="2"/>
  <c r="E93" i="2"/>
  <c r="D113" i="2"/>
  <c r="C12" i="2"/>
  <c r="D25" i="2"/>
  <c r="C70" i="2"/>
  <c r="C13" i="2"/>
  <c r="C17" i="2"/>
  <c r="D22" i="2"/>
  <c r="D34" i="2"/>
  <c r="D52" i="2"/>
  <c r="C71" i="2"/>
  <c r="C75" i="2"/>
  <c r="C79" i="2"/>
  <c r="D93" i="2"/>
  <c r="C103" i="2"/>
  <c r="K103" i="2" s="1"/>
  <c r="O103" i="2" s="1"/>
  <c r="G93" i="2"/>
  <c r="H98" i="2"/>
  <c r="H113" i="2"/>
  <c r="L113" i="2" s="1"/>
  <c r="G71" i="2"/>
  <c r="K71" i="2" s="1"/>
  <c r="H76" i="2"/>
  <c r="H94" i="2"/>
  <c r="H109" i="2"/>
  <c r="H72" i="2"/>
  <c r="H23" i="2"/>
  <c r="G58" i="2"/>
  <c r="H68" i="2"/>
  <c r="G79" i="2"/>
  <c r="C127" i="2"/>
  <c r="D124" i="2"/>
  <c r="H10" i="2"/>
  <c r="H14" i="2"/>
  <c r="H22" i="2"/>
  <c r="L22" i="2" s="1"/>
  <c r="G25" i="2"/>
  <c r="H49" i="2"/>
  <c r="H51" i="2"/>
  <c r="H52" i="2"/>
  <c r="H53" i="2"/>
  <c r="H58" i="2"/>
  <c r="H71" i="2"/>
  <c r="G74" i="2"/>
  <c r="H75" i="2"/>
  <c r="H93" i="2"/>
  <c r="L93" i="2" s="1"/>
  <c r="H97" i="2"/>
  <c r="G102" i="2"/>
  <c r="H103" i="2"/>
  <c r="H124" i="2"/>
  <c r="H13" i="2"/>
  <c r="H17" i="2"/>
  <c r="G20" i="2"/>
  <c r="G24" i="2"/>
  <c r="H25" i="2"/>
  <c r="H70" i="2"/>
  <c r="H74" i="2"/>
  <c r="L74" i="2" s="1"/>
  <c r="H78" i="2"/>
  <c r="G83" i="2"/>
  <c r="H92" i="2"/>
  <c r="H96" i="2"/>
  <c r="H127" i="2"/>
  <c r="H20" i="2"/>
  <c r="L20" i="2" s="1"/>
  <c r="H24" i="2"/>
  <c r="H34" i="2"/>
  <c r="L34" i="2" s="1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G68" i="2"/>
  <c r="H69" i="2"/>
  <c r="H73" i="2"/>
  <c r="G76" i="2"/>
  <c r="H77" i="2"/>
  <c r="H83" i="2"/>
  <c r="H91" i="2"/>
  <c r="H95" i="2"/>
  <c r="L95" i="2" s="1"/>
  <c r="P95" i="2" s="1"/>
  <c r="H101" i="2"/>
  <c r="H110" i="2"/>
  <c r="H126" i="2"/>
  <c r="J73" i="1"/>
  <c r="K68" i="2" l="1"/>
  <c r="K83" i="2"/>
  <c r="O83" i="2" s="1"/>
  <c r="L25" i="2"/>
  <c r="P25" i="2" s="1"/>
  <c r="L14" i="2"/>
  <c r="P14" i="2" s="1"/>
  <c r="K76" i="2"/>
  <c r="O76" i="2" s="1"/>
  <c r="L10" i="2"/>
  <c r="P10" i="2" s="1"/>
  <c r="L71" i="2"/>
  <c r="K20" i="2"/>
  <c r="K79" i="2"/>
  <c r="L124" i="2"/>
  <c r="P124" i="2" s="1"/>
  <c r="L58" i="2"/>
  <c r="L83" i="2"/>
  <c r="L24" i="2"/>
  <c r="P24" i="2" s="1"/>
  <c r="L52" i="2"/>
  <c r="K93" i="2"/>
  <c r="H67" i="2"/>
  <c r="I9" i="1"/>
  <c r="J20" i="1"/>
  <c r="J132" i="1"/>
  <c r="J118" i="1"/>
  <c r="J114" i="1"/>
  <c r="J85" i="1"/>
  <c r="J8" i="1"/>
  <c r="J27" i="1"/>
  <c r="J11" i="1"/>
  <c r="J88" i="1"/>
  <c r="J130" i="1"/>
  <c r="J68" i="1"/>
  <c r="J30" i="1"/>
  <c r="J49" i="1"/>
  <c r="J9" i="1"/>
  <c r="H9" i="2" l="1"/>
  <c r="H125" i="2"/>
  <c r="H45" i="2"/>
  <c r="H79" i="2"/>
  <c r="H21" i="2"/>
  <c r="H8" i="2"/>
  <c r="H31" i="2"/>
  <c r="H11" i="2"/>
  <c r="H108" i="2"/>
  <c r="G9" i="2"/>
  <c r="H123" i="2"/>
  <c r="H82" i="2"/>
  <c r="H62" i="2"/>
  <c r="H28" i="2"/>
  <c r="H111" i="2"/>
  <c r="J63" i="1"/>
  <c r="K77" i="1"/>
  <c r="J40" i="1"/>
  <c r="J108" i="1"/>
  <c r="J119" i="1"/>
  <c r="J94" i="1"/>
  <c r="J95" i="1"/>
  <c r="J92" i="1"/>
  <c r="J91" i="1"/>
  <c r="J96" i="1"/>
  <c r="J90" i="1"/>
  <c r="J93" i="1"/>
  <c r="J126" i="1"/>
  <c r="J125" i="1"/>
  <c r="J121" i="1"/>
  <c r="J17" i="1"/>
  <c r="K19" i="1"/>
  <c r="J15" i="1"/>
  <c r="J37" i="1"/>
  <c r="J34" i="1"/>
  <c r="J32" i="1"/>
  <c r="J29" i="1"/>
  <c r="J28" i="1"/>
  <c r="J18" i="1"/>
  <c r="J48" i="1"/>
  <c r="J47" i="1"/>
  <c r="J46" i="1"/>
  <c r="J44" i="1"/>
  <c r="J70" i="1"/>
  <c r="J67" i="1"/>
  <c r="J66" i="1"/>
  <c r="J65" i="1"/>
  <c r="J62" i="1"/>
  <c r="J60" i="1"/>
  <c r="J59" i="1"/>
  <c r="J54" i="1"/>
  <c r="J12" i="1"/>
  <c r="J42" i="1"/>
  <c r="J41" i="1"/>
  <c r="J69" i="1"/>
  <c r="J52" i="1"/>
  <c r="J110" i="1"/>
  <c r="J127" i="1"/>
  <c r="H40" i="2" l="1"/>
  <c r="H61" i="2"/>
  <c r="H15" i="2"/>
  <c r="H84" i="2"/>
  <c r="H57" i="2"/>
  <c r="H48" i="2"/>
  <c r="H12" i="2"/>
  <c r="H56" i="2"/>
  <c r="H64" i="2"/>
  <c r="H44" i="2"/>
  <c r="H32" i="2"/>
  <c r="H16" i="2"/>
  <c r="H118" i="2"/>
  <c r="H90" i="2"/>
  <c r="H88" i="2"/>
  <c r="H38" i="2"/>
  <c r="H104" i="2"/>
  <c r="H55" i="2"/>
  <c r="H30" i="2"/>
  <c r="H114" i="2"/>
  <c r="H89" i="2"/>
  <c r="H102" i="2"/>
  <c r="H50" i="2"/>
  <c r="H41" i="2"/>
  <c r="I20" i="2"/>
  <c r="M20" i="2" s="1"/>
  <c r="H119" i="2"/>
  <c r="H85" i="2"/>
  <c r="H107" i="2"/>
  <c r="H117" i="2"/>
  <c r="H43" i="2"/>
  <c r="H63" i="2"/>
  <c r="H59" i="2"/>
  <c r="H19" i="2"/>
  <c r="H33" i="2"/>
  <c r="H120" i="2"/>
  <c r="H39" i="2"/>
  <c r="H54" i="2"/>
  <c r="H60" i="2"/>
  <c r="H42" i="2"/>
  <c r="H29" i="2"/>
  <c r="H35" i="2"/>
  <c r="H18" i="2"/>
  <c r="H87" i="2"/>
  <c r="H86" i="2"/>
  <c r="H112" i="2"/>
  <c r="I71" i="2"/>
  <c r="M71" i="2" s="1"/>
  <c r="I53" i="1"/>
  <c r="I96" i="1"/>
  <c r="I84" i="1"/>
  <c r="I18" i="1"/>
  <c r="I83" i="1"/>
  <c r="I110" i="1"/>
  <c r="I126" i="1"/>
  <c r="I125" i="1"/>
  <c r="I124" i="1"/>
  <c r="I81" i="1"/>
  <c r="I17" i="1"/>
  <c r="I121" i="1"/>
  <c r="I127" i="1"/>
  <c r="I118" i="1"/>
  <c r="I107" i="1"/>
  <c r="I120" i="1"/>
  <c r="I119" i="1"/>
  <c r="I114" i="1"/>
  <c r="I132" i="1"/>
  <c r="I116" i="1"/>
  <c r="I90" i="1"/>
  <c r="I88" i="1"/>
  <c r="I94" i="1"/>
  <c r="I104" i="1"/>
  <c r="I103" i="1"/>
  <c r="I101" i="1"/>
  <c r="I100" i="1"/>
  <c r="I98" i="1"/>
  <c r="I97" i="1"/>
  <c r="I92" i="1"/>
  <c r="I95" i="1"/>
  <c r="I93" i="1"/>
  <c r="I91" i="1"/>
  <c r="G98" i="2" l="1"/>
  <c r="K98" i="2" s="1"/>
  <c r="O98" i="2" s="1"/>
  <c r="G110" i="2"/>
  <c r="G113" i="2"/>
  <c r="G114" i="2"/>
  <c r="G118" i="2"/>
  <c r="G19" i="2"/>
  <c r="G91" i="2"/>
  <c r="G97" i="2"/>
  <c r="G112" i="2"/>
  <c r="G117" i="2"/>
  <c r="K53" i="1"/>
  <c r="G49" i="2"/>
  <c r="G88" i="2"/>
  <c r="G18" i="2"/>
  <c r="G85" i="2"/>
  <c r="G84" i="2"/>
  <c r="G120" i="2"/>
  <c r="G77" i="2"/>
  <c r="K77" i="2" s="1"/>
  <c r="G87" i="2"/>
  <c r="G92" i="2"/>
  <c r="G89" i="2"/>
  <c r="G94" i="2"/>
  <c r="G125" i="2"/>
  <c r="G101" i="2"/>
  <c r="G119" i="2"/>
  <c r="G78" i="2"/>
  <c r="K78" i="2" s="1"/>
  <c r="G86" i="2"/>
  <c r="G95" i="2"/>
  <c r="G82" i="2"/>
  <c r="G108" i="2"/>
  <c r="G111" i="2"/>
  <c r="G75" i="2"/>
  <c r="K75" i="2" s="1"/>
  <c r="O75" i="2" s="1"/>
  <c r="G104" i="2"/>
  <c r="G90" i="2"/>
  <c r="I102" i="1"/>
  <c r="K99" i="1"/>
  <c r="I11" i="1"/>
  <c r="I115" i="1"/>
  <c r="I78" i="1"/>
  <c r="I79" i="1"/>
  <c r="I131" i="1"/>
  <c r="G109" i="2" l="1"/>
  <c r="G124" i="2"/>
  <c r="I49" i="2"/>
  <c r="G96" i="2"/>
  <c r="G11" i="2"/>
  <c r="G73" i="2"/>
  <c r="G107" i="2"/>
  <c r="G72" i="2"/>
  <c r="I93" i="2"/>
  <c r="M93" i="2" s="1"/>
  <c r="I76" i="1"/>
  <c r="I73" i="1"/>
  <c r="I75" i="1"/>
  <c r="I8" i="1"/>
  <c r="I22" i="1"/>
  <c r="I130" i="1"/>
  <c r="I21" i="1"/>
  <c r="I15" i="1"/>
  <c r="I20" i="1"/>
  <c r="I133" i="1"/>
  <c r="I137" i="1"/>
  <c r="I27" i="1"/>
  <c r="I16" i="1"/>
  <c r="I37" i="1"/>
  <c r="I29" i="1"/>
  <c r="I28" i="1"/>
  <c r="I35" i="1"/>
  <c r="I30" i="1"/>
  <c r="I34" i="1"/>
  <c r="I32" i="1"/>
  <c r="I14" i="1"/>
  <c r="I13" i="1"/>
  <c r="I12" i="1"/>
  <c r="I40" i="1"/>
  <c r="I48" i="1"/>
  <c r="I41" i="1"/>
  <c r="I49" i="1"/>
  <c r="I47" i="1"/>
  <c r="I46" i="1"/>
  <c r="I44" i="1"/>
  <c r="I42" i="1"/>
  <c r="I54" i="1"/>
  <c r="I52" i="1"/>
  <c r="I58" i="1"/>
  <c r="I59" i="1"/>
  <c r="I67" i="1"/>
  <c r="I70" i="1"/>
  <c r="I69" i="1"/>
  <c r="I68" i="1"/>
  <c r="I65" i="1"/>
  <c r="I63" i="1"/>
  <c r="I66" i="1"/>
  <c r="I62" i="1"/>
  <c r="I60" i="1"/>
  <c r="I56" i="1"/>
  <c r="I55" i="1"/>
  <c r="G51" i="2" l="1"/>
  <c r="G50" i="2"/>
  <c r="G32" i="2"/>
  <c r="G17" i="2"/>
  <c r="K17" i="2" s="1"/>
  <c r="O17" i="2" s="1"/>
  <c r="G70" i="2"/>
  <c r="K70" i="2" s="1"/>
  <c r="O70" i="2" s="1"/>
  <c r="G52" i="2"/>
  <c r="G56" i="2"/>
  <c r="G62" i="2"/>
  <c r="G54" i="2"/>
  <c r="G40" i="2"/>
  <c r="G45" i="2"/>
  <c r="G12" i="2"/>
  <c r="K12" i="2" s="1"/>
  <c r="O12" i="2" s="1"/>
  <c r="G33" i="2"/>
  <c r="G30" i="2"/>
  <c r="G28" i="2"/>
  <c r="G15" i="2"/>
  <c r="K15" i="2" s="1"/>
  <c r="O15" i="2" s="1"/>
  <c r="G8" i="2"/>
  <c r="G55" i="2"/>
  <c r="G59" i="2"/>
  <c r="G61" i="2"/>
  <c r="G43" i="2"/>
  <c r="K43" i="2" s="1"/>
  <c r="G29" i="2"/>
  <c r="G23" i="2"/>
  <c r="K23" i="2" s="1"/>
  <c r="O23" i="2" s="1"/>
  <c r="G60" i="2"/>
  <c r="G63" i="2"/>
  <c r="G53" i="2"/>
  <c r="G41" i="2"/>
  <c r="K41" i="2" s="1"/>
  <c r="O41" i="2" s="1"/>
  <c r="G39" i="2"/>
  <c r="G13" i="2"/>
  <c r="K13" i="2" s="1"/>
  <c r="O13" i="2" s="1"/>
  <c r="G31" i="2"/>
  <c r="G35" i="2"/>
  <c r="G127" i="2"/>
  <c r="K127" i="2" s="1"/>
  <c r="O127" i="2" s="1"/>
  <c r="G22" i="2"/>
  <c r="G69" i="2"/>
  <c r="G38" i="2"/>
  <c r="G21" i="2"/>
  <c r="C49" i="2"/>
  <c r="K49" i="2" s="1"/>
  <c r="O49" i="2" s="1"/>
  <c r="D49" i="2"/>
  <c r="L49" i="2" s="1"/>
  <c r="P49" i="2" s="1"/>
  <c r="G57" i="2"/>
  <c r="G64" i="2"/>
  <c r="G48" i="2"/>
  <c r="G42" i="2"/>
  <c r="K42" i="2" s="1"/>
  <c r="G44" i="2"/>
  <c r="G14" i="2"/>
  <c r="K14" i="2" s="1"/>
  <c r="O14" i="2" s="1"/>
  <c r="G34" i="2"/>
  <c r="G16" i="2"/>
  <c r="G126" i="2"/>
  <c r="K126" i="2" s="1"/>
  <c r="G123" i="2"/>
  <c r="G67" i="2"/>
  <c r="E49" i="2" l="1"/>
  <c r="M49" i="2" s="1"/>
  <c r="Q49" i="2" s="1"/>
  <c r="K137" i="1"/>
  <c r="K133" i="1"/>
  <c r="K132" i="1"/>
  <c r="K131" i="1"/>
  <c r="K130" i="1"/>
  <c r="K127" i="1"/>
  <c r="K126" i="1"/>
  <c r="K125" i="1"/>
  <c r="K124" i="1"/>
  <c r="K121" i="1"/>
  <c r="K120" i="1"/>
  <c r="K119" i="1"/>
  <c r="K118" i="1"/>
  <c r="K116" i="1"/>
  <c r="K115" i="1"/>
  <c r="K114" i="1"/>
  <c r="K113" i="1"/>
  <c r="K110" i="1"/>
  <c r="K109" i="1"/>
  <c r="K108" i="1"/>
  <c r="K107" i="1"/>
  <c r="K104" i="1"/>
  <c r="K103" i="1"/>
  <c r="K102" i="1"/>
  <c r="K101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80" i="1"/>
  <c r="K79" i="1"/>
  <c r="K78" i="1"/>
  <c r="K76" i="1"/>
  <c r="K75" i="1"/>
  <c r="K74" i="1"/>
  <c r="K73" i="1"/>
  <c r="K70" i="1"/>
  <c r="K69" i="1"/>
  <c r="K68" i="1"/>
  <c r="K67" i="1"/>
  <c r="K66" i="1"/>
  <c r="K65" i="1"/>
  <c r="K64" i="1"/>
  <c r="K63" i="1"/>
  <c r="K62" i="1"/>
  <c r="K60" i="1"/>
  <c r="K59" i="1"/>
  <c r="K58" i="1"/>
  <c r="K56" i="1"/>
  <c r="K55" i="1"/>
  <c r="K54" i="1"/>
  <c r="K52" i="1"/>
  <c r="K51" i="1"/>
  <c r="K49" i="1"/>
  <c r="K48" i="1"/>
  <c r="K47" i="1"/>
  <c r="K46" i="1"/>
  <c r="K44" i="1"/>
  <c r="K42" i="1"/>
  <c r="K41" i="1"/>
  <c r="K40" i="1"/>
  <c r="K39" i="1"/>
  <c r="K37" i="1"/>
  <c r="K35" i="1"/>
  <c r="K34" i="1"/>
  <c r="K32" i="1"/>
  <c r="K30" i="1"/>
  <c r="K29" i="1"/>
  <c r="K28" i="1"/>
  <c r="K27" i="1"/>
  <c r="K26" i="1"/>
  <c r="K24" i="1"/>
  <c r="K23" i="1"/>
  <c r="K22" i="1"/>
  <c r="K21" i="1"/>
  <c r="K20" i="1"/>
  <c r="K18" i="1"/>
  <c r="K17" i="1"/>
  <c r="K16" i="1"/>
  <c r="K15" i="1"/>
  <c r="K14" i="1"/>
  <c r="K13" i="1"/>
  <c r="K12" i="1"/>
  <c r="K9" i="1"/>
  <c r="K8" i="1"/>
  <c r="J138" i="1"/>
  <c r="I138" i="1"/>
  <c r="J128" i="1"/>
  <c r="I128" i="1"/>
  <c r="J122" i="1"/>
  <c r="I122" i="1"/>
  <c r="J111" i="1"/>
  <c r="I111" i="1"/>
  <c r="J105" i="1"/>
  <c r="I105" i="1"/>
  <c r="J86" i="1"/>
  <c r="I86" i="1"/>
  <c r="J71" i="1"/>
  <c r="I71" i="1"/>
  <c r="J50" i="1"/>
  <c r="I50" i="1"/>
  <c r="J38" i="1"/>
  <c r="I38" i="1"/>
  <c r="J25" i="1"/>
  <c r="K11" i="1"/>
  <c r="I10" i="1"/>
  <c r="H46" i="2" l="1"/>
  <c r="I52" i="2"/>
  <c r="I60" i="2"/>
  <c r="I75" i="2"/>
  <c r="I84" i="2"/>
  <c r="I103" i="2"/>
  <c r="I113" i="2"/>
  <c r="G36" i="2"/>
  <c r="G65" i="2"/>
  <c r="G99" i="2"/>
  <c r="G115" i="2"/>
  <c r="G128" i="2"/>
  <c r="I12" i="2"/>
  <c r="I16" i="2"/>
  <c r="I21" i="2"/>
  <c r="I25" i="2"/>
  <c r="I30" i="2"/>
  <c r="I34" i="2"/>
  <c r="I39" i="2"/>
  <c r="I43" i="2"/>
  <c r="I48" i="2"/>
  <c r="I53" i="2"/>
  <c r="I57" i="2"/>
  <c r="I61" i="2"/>
  <c r="I67" i="2"/>
  <c r="I72" i="2"/>
  <c r="I76" i="2"/>
  <c r="I85" i="2"/>
  <c r="I89" i="2"/>
  <c r="I94" i="2"/>
  <c r="I98" i="2"/>
  <c r="I104" i="2"/>
  <c r="I110" i="2"/>
  <c r="I114" i="2"/>
  <c r="I120" i="2"/>
  <c r="I126" i="2"/>
  <c r="H80" i="2"/>
  <c r="H121" i="2"/>
  <c r="I15" i="2"/>
  <c r="I19" i="2"/>
  <c r="I29" i="2"/>
  <c r="I33" i="2"/>
  <c r="I42" i="2"/>
  <c r="I56" i="2"/>
  <c r="I64" i="2"/>
  <c r="I79" i="2"/>
  <c r="I92" i="2"/>
  <c r="I109" i="2"/>
  <c r="I125" i="2"/>
  <c r="K10" i="1"/>
  <c r="G10" i="2"/>
  <c r="H36" i="2"/>
  <c r="H65" i="2"/>
  <c r="H99" i="2"/>
  <c r="H115" i="2"/>
  <c r="H128" i="2"/>
  <c r="I13" i="2"/>
  <c r="I17" i="2"/>
  <c r="I22" i="2"/>
  <c r="I31" i="2"/>
  <c r="I35" i="2"/>
  <c r="I40" i="2"/>
  <c r="I44" i="2"/>
  <c r="I50" i="2"/>
  <c r="I54" i="2"/>
  <c r="I58" i="2"/>
  <c r="I62" i="2"/>
  <c r="I68" i="2"/>
  <c r="I73" i="2"/>
  <c r="I77" i="2"/>
  <c r="I82" i="2"/>
  <c r="I86" i="2"/>
  <c r="I90" i="2"/>
  <c r="I95" i="2"/>
  <c r="I101" i="2"/>
  <c r="I107" i="2"/>
  <c r="I111" i="2"/>
  <c r="I117" i="2"/>
  <c r="I123" i="2"/>
  <c r="I127" i="2"/>
  <c r="H26" i="2"/>
  <c r="H105" i="2"/>
  <c r="I9" i="2"/>
  <c r="I24" i="2"/>
  <c r="I38" i="2"/>
  <c r="I70" i="2"/>
  <c r="I88" i="2"/>
  <c r="I97" i="2"/>
  <c r="I119" i="2"/>
  <c r="I11" i="2"/>
  <c r="G46" i="2"/>
  <c r="G80" i="2"/>
  <c r="G105" i="2"/>
  <c r="G121" i="2"/>
  <c r="I8" i="2"/>
  <c r="I14" i="2"/>
  <c r="I18" i="2"/>
  <c r="I23" i="2"/>
  <c r="I28" i="2"/>
  <c r="I32" i="2"/>
  <c r="I41" i="2"/>
  <c r="I45" i="2"/>
  <c r="I51" i="2"/>
  <c r="I55" i="2"/>
  <c r="I59" i="2"/>
  <c r="I63" i="2"/>
  <c r="I69" i="2"/>
  <c r="I74" i="2"/>
  <c r="I78" i="2"/>
  <c r="I83" i="2"/>
  <c r="I87" i="2"/>
  <c r="I91" i="2"/>
  <c r="I96" i="2"/>
  <c r="I102" i="2"/>
  <c r="I108" i="2"/>
  <c r="I112" i="2"/>
  <c r="I118" i="2"/>
  <c r="I124" i="2"/>
  <c r="J140" i="1"/>
  <c r="K122" i="1"/>
  <c r="K128" i="1"/>
  <c r="K38" i="1"/>
  <c r="K111" i="1"/>
  <c r="I25" i="1"/>
  <c r="K50" i="1"/>
  <c r="K86" i="1"/>
  <c r="K105" i="1"/>
  <c r="K138" i="1"/>
  <c r="K71" i="1"/>
  <c r="E83" i="2"/>
  <c r="K25" i="1" l="1"/>
  <c r="K140" i="1" s="1"/>
  <c r="I10" i="2"/>
  <c r="C34" i="2"/>
  <c r="K34" i="2" s="1"/>
  <c r="O34" i="2" s="1"/>
  <c r="C45" i="2"/>
  <c r="K45" i="2" s="1"/>
  <c r="O45" i="2" s="1"/>
  <c r="C57" i="2"/>
  <c r="K57" i="2" s="1"/>
  <c r="O57" i="2" s="1"/>
  <c r="I65" i="2"/>
  <c r="I36" i="2"/>
  <c r="C51" i="2"/>
  <c r="K51" i="2" s="1"/>
  <c r="O51" i="2" s="1"/>
  <c r="C69" i="2"/>
  <c r="K69" i="2" s="1"/>
  <c r="O69" i="2" s="1"/>
  <c r="C97" i="2"/>
  <c r="K97" i="2" s="1"/>
  <c r="O97" i="2" s="1"/>
  <c r="I46" i="2"/>
  <c r="M83" i="2"/>
  <c r="Q83" i="2" s="1"/>
  <c r="C31" i="2"/>
  <c r="K31" i="2" s="1"/>
  <c r="O31" i="2" s="1"/>
  <c r="C30" i="2"/>
  <c r="K30" i="2" s="1"/>
  <c r="O30" i="2" s="1"/>
  <c r="C44" i="2"/>
  <c r="K44" i="2" s="1"/>
  <c r="O44" i="2" s="1"/>
  <c r="C40" i="2"/>
  <c r="K40" i="2" s="1"/>
  <c r="O40" i="2" s="1"/>
  <c r="C60" i="2"/>
  <c r="K60" i="2" s="1"/>
  <c r="O60" i="2" s="1"/>
  <c r="C63" i="2"/>
  <c r="K63" i="2" s="1"/>
  <c r="O63" i="2" s="1"/>
  <c r="C53" i="2"/>
  <c r="K53" i="2" s="1"/>
  <c r="O53" i="2" s="1"/>
  <c r="C87" i="2"/>
  <c r="K87" i="2" s="1"/>
  <c r="O87" i="2" s="1"/>
  <c r="C92" i="2"/>
  <c r="K92" i="2" s="1"/>
  <c r="O92" i="2" s="1"/>
  <c r="C88" i="2"/>
  <c r="K88" i="2" s="1"/>
  <c r="O88" i="2" s="1"/>
  <c r="C102" i="2"/>
  <c r="K102" i="2" s="1"/>
  <c r="O102" i="2" s="1"/>
  <c r="I99" i="2"/>
  <c r="I105" i="2"/>
  <c r="C33" i="2"/>
  <c r="K33" i="2" s="1"/>
  <c r="O33" i="2" s="1"/>
  <c r="C50" i="2"/>
  <c r="K50" i="2" s="1"/>
  <c r="O50" i="2" s="1"/>
  <c r="C54" i="2"/>
  <c r="K54" i="2" s="1"/>
  <c r="O54" i="2" s="1"/>
  <c r="C58" i="2"/>
  <c r="K58" i="2" s="1"/>
  <c r="O58" i="2" s="1"/>
  <c r="C48" i="2"/>
  <c r="K48" i="2" s="1"/>
  <c r="O48" i="2" s="1"/>
  <c r="C85" i="2"/>
  <c r="K85" i="2" s="1"/>
  <c r="O85" i="2" s="1"/>
  <c r="C94" i="2"/>
  <c r="K94" i="2" s="1"/>
  <c r="O94" i="2" s="1"/>
  <c r="C96" i="2"/>
  <c r="K96" i="2" s="1"/>
  <c r="O96" i="2" s="1"/>
  <c r="C90" i="2"/>
  <c r="K90" i="2" s="1"/>
  <c r="O90" i="2" s="1"/>
  <c r="I80" i="2"/>
  <c r="C28" i="2"/>
  <c r="K28" i="2" s="1"/>
  <c r="O28" i="2" s="1"/>
  <c r="C32" i="2"/>
  <c r="K32" i="2" s="1"/>
  <c r="O32" i="2" s="1"/>
  <c r="C39" i="2"/>
  <c r="K39" i="2" s="1"/>
  <c r="O39" i="2" s="1"/>
  <c r="C55" i="2"/>
  <c r="K55" i="2" s="1"/>
  <c r="O55" i="2" s="1"/>
  <c r="C59" i="2"/>
  <c r="K59" i="2" s="1"/>
  <c r="O59" i="2" s="1"/>
  <c r="C64" i="2"/>
  <c r="K64" i="2" s="1"/>
  <c r="O64" i="2" s="1"/>
  <c r="C86" i="2"/>
  <c r="K86" i="2" s="1"/>
  <c r="O86" i="2" s="1"/>
  <c r="C95" i="2"/>
  <c r="K95" i="2" s="1"/>
  <c r="O95" i="2" s="1"/>
  <c r="C82" i="2"/>
  <c r="K82" i="2" s="1"/>
  <c r="O82" i="2" s="1"/>
  <c r="I26" i="2"/>
  <c r="I121" i="2"/>
  <c r="C35" i="2"/>
  <c r="K35" i="2" s="1"/>
  <c r="O35" i="2" s="1"/>
  <c r="C29" i="2"/>
  <c r="K29" i="2" s="1"/>
  <c r="O29" i="2" s="1"/>
  <c r="C38" i="2"/>
  <c r="K38" i="2" s="1"/>
  <c r="O38" i="2" s="1"/>
  <c r="C52" i="2"/>
  <c r="K52" i="2" s="1"/>
  <c r="O52" i="2" s="1"/>
  <c r="C56" i="2"/>
  <c r="K56" i="2" s="1"/>
  <c r="O56" i="2" s="1"/>
  <c r="C62" i="2"/>
  <c r="K62" i="2" s="1"/>
  <c r="O62" i="2" s="1"/>
  <c r="C61" i="2"/>
  <c r="K61" i="2" s="1"/>
  <c r="O61" i="2" s="1"/>
  <c r="C67" i="2"/>
  <c r="K67" i="2" s="1"/>
  <c r="O67" i="2" s="1"/>
  <c r="C91" i="2"/>
  <c r="K91" i="2" s="1"/>
  <c r="O91" i="2" s="1"/>
  <c r="C89" i="2"/>
  <c r="K89" i="2" s="1"/>
  <c r="O89" i="2" s="1"/>
  <c r="C84" i="2"/>
  <c r="K84" i="2" s="1"/>
  <c r="O84" i="2" s="1"/>
  <c r="C101" i="2"/>
  <c r="K101" i="2" s="1"/>
  <c r="O101" i="2" s="1"/>
  <c r="I128" i="2"/>
  <c r="G26" i="2"/>
  <c r="I115" i="2"/>
  <c r="K139" i="1"/>
  <c r="I140" i="1"/>
  <c r="XEB122" i="1"/>
  <c r="E43" i="2" l="1"/>
  <c r="M43" i="2" s="1"/>
  <c r="Q43" i="2" s="1"/>
  <c r="E52" i="2"/>
  <c r="M52" i="2" s="1"/>
  <c r="Q52" i="2" s="1"/>
  <c r="C19" i="2"/>
  <c r="K19" i="2" s="1"/>
  <c r="O19" i="2" s="1"/>
  <c r="D16" i="2"/>
  <c r="L16" i="2" s="1"/>
  <c r="P16" i="2" s="1"/>
  <c r="D31" i="2"/>
  <c r="L31" i="2" s="1"/>
  <c r="P31" i="2" s="1"/>
  <c r="D60" i="2"/>
  <c r="L60" i="2" s="1"/>
  <c r="P60" i="2" s="1"/>
  <c r="C99" i="2"/>
  <c r="K99" i="2" s="1"/>
  <c r="O99" i="2" s="1"/>
  <c r="C26" i="3" s="1"/>
  <c r="D108" i="2"/>
  <c r="L108" i="2" s="1"/>
  <c r="P108" i="2" s="1"/>
  <c r="D111" i="2"/>
  <c r="L111" i="2" s="1"/>
  <c r="P111" i="2" s="1"/>
  <c r="C124" i="2"/>
  <c r="K124" i="2" s="1"/>
  <c r="O124" i="2" s="1"/>
  <c r="D125" i="2"/>
  <c r="L125" i="2" s="1"/>
  <c r="P125" i="2" s="1"/>
  <c r="C21" i="2"/>
  <c r="K21" i="2" s="1"/>
  <c r="O21" i="2" s="1"/>
  <c r="C25" i="2"/>
  <c r="K25" i="2" s="1"/>
  <c r="O25" i="2" s="1"/>
  <c r="D23" i="2"/>
  <c r="L23" i="2" s="1"/>
  <c r="P23" i="2" s="1"/>
  <c r="D13" i="2"/>
  <c r="L13" i="2" s="1"/>
  <c r="P13" i="2" s="1"/>
  <c r="D17" i="2"/>
  <c r="L17" i="2" s="1"/>
  <c r="P17" i="2" s="1"/>
  <c r="C36" i="2"/>
  <c r="K36" i="2" s="1"/>
  <c r="O36" i="2" s="1"/>
  <c r="C22" i="3" s="1"/>
  <c r="D33" i="2"/>
  <c r="L33" i="2" s="1"/>
  <c r="P33" i="2" s="1"/>
  <c r="D39" i="2"/>
  <c r="L39" i="2" s="1"/>
  <c r="P39" i="2" s="1"/>
  <c r="D41" i="2"/>
  <c r="L41" i="2" s="1"/>
  <c r="P41" i="2" s="1"/>
  <c r="C46" i="2"/>
  <c r="K46" i="2" s="1"/>
  <c r="O46" i="2" s="1"/>
  <c r="C23" i="3" s="1"/>
  <c r="D54" i="2"/>
  <c r="L54" i="2" s="1"/>
  <c r="P54" i="2" s="1"/>
  <c r="D57" i="2"/>
  <c r="L57" i="2" s="1"/>
  <c r="P57" i="2" s="1"/>
  <c r="D59" i="2"/>
  <c r="L59" i="2" s="1"/>
  <c r="P59" i="2" s="1"/>
  <c r="C72" i="2"/>
  <c r="K72" i="2" s="1"/>
  <c r="O72" i="2" s="1"/>
  <c r="D68" i="2"/>
  <c r="L68" i="2" s="1"/>
  <c r="P68" i="2" s="1"/>
  <c r="D72" i="2"/>
  <c r="L72" i="2" s="1"/>
  <c r="P72" i="2" s="1"/>
  <c r="D79" i="2"/>
  <c r="L79" i="2" s="1"/>
  <c r="P79" i="2" s="1"/>
  <c r="D90" i="2"/>
  <c r="L90" i="2" s="1"/>
  <c r="P90" i="2" s="1"/>
  <c r="D92" i="2"/>
  <c r="L92" i="2" s="1"/>
  <c r="P92" i="2" s="1"/>
  <c r="D96" i="2"/>
  <c r="L96" i="2" s="1"/>
  <c r="P96" i="2" s="1"/>
  <c r="C104" i="2"/>
  <c r="K104" i="2" s="1"/>
  <c r="O104" i="2" s="1"/>
  <c r="D103" i="2"/>
  <c r="L103" i="2" s="1"/>
  <c r="P103" i="2" s="1"/>
  <c r="C112" i="2"/>
  <c r="K112" i="2" s="1"/>
  <c r="O112" i="2" s="1"/>
  <c r="C111" i="2"/>
  <c r="K111" i="2" s="1"/>
  <c r="O111" i="2" s="1"/>
  <c r="D112" i="2"/>
  <c r="L112" i="2" s="1"/>
  <c r="P112" i="2" s="1"/>
  <c r="D109" i="2"/>
  <c r="L109" i="2" s="1"/>
  <c r="P109" i="2" s="1"/>
  <c r="C118" i="2"/>
  <c r="K118" i="2" s="1"/>
  <c r="O118" i="2" s="1"/>
  <c r="D117" i="2"/>
  <c r="L117" i="2" s="1"/>
  <c r="P117" i="2" s="1"/>
  <c r="C125" i="2"/>
  <c r="K125" i="2" s="1"/>
  <c r="O125" i="2" s="1"/>
  <c r="D123" i="2"/>
  <c r="L123" i="2" s="1"/>
  <c r="P123" i="2" s="1"/>
  <c r="E34" i="2"/>
  <c r="M34" i="2" s="1"/>
  <c r="Q34" i="2" s="1"/>
  <c r="C24" i="2"/>
  <c r="K24" i="2" s="1"/>
  <c r="O24" i="2" s="1"/>
  <c r="D12" i="2"/>
  <c r="L12" i="2" s="1"/>
  <c r="P12" i="2" s="1"/>
  <c r="D32" i="2"/>
  <c r="L32" i="2" s="1"/>
  <c r="P32" i="2" s="1"/>
  <c r="D45" i="2"/>
  <c r="L45" i="2" s="1"/>
  <c r="P45" i="2" s="1"/>
  <c r="D53" i="2"/>
  <c r="L53" i="2" s="1"/>
  <c r="P53" i="2" s="1"/>
  <c r="D48" i="2"/>
  <c r="L48" i="2" s="1"/>
  <c r="P48" i="2" s="1"/>
  <c r="D67" i="2"/>
  <c r="L67" i="2" s="1"/>
  <c r="P67" i="2" s="1"/>
  <c r="D78" i="2"/>
  <c r="L78" i="2" s="1"/>
  <c r="P78" i="2" s="1"/>
  <c r="D84" i="2"/>
  <c r="L84" i="2" s="1"/>
  <c r="P84" i="2" s="1"/>
  <c r="D88" i="2"/>
  <c r="L88" i="2" s="1"/>
  <c r="P88" i="2" s="1"/>
  <c r="D104" i="2"/>
  <c r="L104" i="2" s="1"/>
  <c r="P104" i="2" s="1"/>
  <c r="C114" i="2"/>
  <c r="K114" i="2" s="1"/>
  <c r="O114" i="2" s="1"/>
  <c r="C117" i="2"/>
  <c r="K117" i="2" s="1"/>
  <c r="O117" i="2" s="1"/>
  <c r="E58" i="2"/>
  <c r="M58" i="2" s="1"/>
  <c r="Q58" i="2" s="1"/>
  <c r="C10" i="2"/>
  <c r="K10" i="2" s="1"/>
  <c r="O10" i="2" s="1"/>
  <c r="C22" i="2"/>
  <c r="K22" i="2" s="1"/>
  <c r="O22" i="2" s="1"/>
  <c r="C11" i="2"/>
  <c r="K11" i="2" s="1"/>
  <c r="O11" i="2" s="1"/>
  <c r="D8" i="2"/>
  <c r="L8" i="2" s="1"/>
  <c r="P8" i="2" s="1"/>
  <c r="D19" i="2"/>
  <c r="L19" i="2" s="1"/>
  <c r="P19" i="2" s="1"/>
  <c r="D18" i="2"/>
  <c r="L18" i="2" s="1"/>
  <c r="P18" i="2" s="1"/>
  <c r="D29" i="2"/>
  <c r="L29" i="2" s="1"/>
  <c r="P29" i="2" s="1"/>
  <c r="D35" i="2"/>
  <c r="L35" i="2" s="1"/>
  <c r="P35" i="2" s="1"/>
  <c r="D40" i="2"/>
  <c r="L40" i="2" s="1"/>
  <c r="P40" i="2" s="1"/>
  <c r="D42" i="2"/>
  <c r="L42" i="2" s="1"/>
  <c r="P42" i="2" s="1"/>
  <c r="D50" i="2"/>
  <c r="L50" i="2" s="1"/>
  <c r="P50" i="2" s="1"/>
  <c r="D55" i="2"/>
  <c r="L55" i="2" s="1"/>
  <c r="P55" i="2" s="1"/>
  <c r="D62" i="2"/>
  <c r="L62" i="2" s="1"/>
  <c r="P62" i="2" s="1"/>
  <c r="D61" i="2"/>
  <c r="L61" i="2" s="1"/>
  <c r="P61" i="2" s="1"/>
  <c r="C73" i="2"/>
  <c r="K73" i="2" s="1"/>
  <c r="O73" i="2" s="1"/>
  <c r="D76" i="2"/>
  <c r="L76" i="2" s="1"/>
  <c r="P76" i="2" s="1"/>
  <c r="D75" i="2"/>
  <c r="L75" i="2" s="1"/>
  <c r="P75" i="2" s="1"/>
  <c r="D82" i="2"/>
  <c r="L82" i="2" s="1"/>
  <c r="P82" i="2" s="1"/>
  <c r="D85" i="2"/>
  <c r="L85" i="2" s="1"/>
  <c r="P85" i="2" s="1"/>
  <c r="D94" i="2"/>
  <c r="L94" i="2" s="1"/>
  <c r="P94" i="2" s="1"/>
  <c r="D97" i="2"/>
  <c r="L97" i="2" s="1"/>
  <c r="P97" i="2" s="1"/>
  <c r="D101" i="2"/>
  <c r="L101" i="2" s="1"/>
  <c r="P101" i="2" s="1"/>
  <c r="C109" i="2"/>
  <c r="K109" i="2" s="1"/>
  <c r="O109" i="2" s="1"/>
  <c r="C113" i="2"/>
  <c r="K113" i="2" s="1"/>
  <c r="O113" i="2" s="1"/>
  <c r="D114" i="2"/>
  <c r="L114" i="2" s="1"/>
  <c r="P114" i="2" s="1"/>
  <c r="D107" i="2"/>
  <c r="L107" i="2" s="1"/>
  <c r="P107" i="2" s="1"/>
  <c r="C119" i="2"/>
  <c r="K119" i="2" s="1"/>
  <c r="O119" i="2" s="1"/>
  <c r="D120" i="2"/>
  <c r="L120" i="2" s="1"/>
  <c r="P120" i="2" s="1"/>
  <c r="D127" i="2"/>
  <c r="L127" i="2" s="1"/>
  <c r="P127" i="2" s="1"/>
  <c r="E14" i="2"/>
  <c r="M14" i="2" s="1"/>
  <c r="Q14" i="2" s="1"/>
  <c r="C16" i="2"/>
  <c r="K16" i="2" s="1"/>
  <c r="O16" i="2" s="1"/>
  <c r="D11" i="2"/>
  <c r="L11" i="2" s="1"/>
  <c r="P11" i="2" s="1"/>
  <c r="D44" i="2"/>
  <c r="L44" i="2" s="1"/>
  <c r="P44" i="2" s="1"/>
  <c r="D64" i="2"/>
  <c r="L64" i="2" s="1"/>
  <c r="P64" i="2" s="1"/>
  <c r="D70" i="2"/>
  <c r="L70" i="2" s="1"/>
  <c r="P70" i="2" s="1"/>
  <c r="D91" i="2"/>
  <c r="L91" i="2" s="1"/>
  <c r="P91" i="2" s="1"/>
  <c r="C108" i="2"/>
  <c r="K108" i="2" s="1"/>
  <c r="O108" i="2" s="1"/>
  <c r="D119" i="2"/>
  <c r="L119" i="2" s="1"/>
  <c r="P119" i="2" s="1"/>
  <c r="E95" i="2"/>
  <c r="M95" i="2" s="1"/>
  <c r="Q95" i="2" s="1"/>
  <c r="C9" i="2"/>
  <c r="K9" i="2" s="1"/>
  <c r="O9" i="2" s="1"/>
  <c r="C8" i="2"/>
  <c r="K8" i="2" s="1"/>
  <c r="O8" i="2" s="1"/>
  <c r="C18" i="2"/>
  <c r="K18" i="2" s="1"/>
  <c r="O18" i="2" s="1"/>
  <c r="D21" i="2"/>
  <c r="L21" i="2" s="1"/>
  <c r="P21" i="2" s="1"/>
  <c r="D15" i="2"/>
  <c r="L15" i="2" s="1"/>
  <c r="P15" i="2" s="1"/>
  <c r="D9" i="2"/>
  <c r="L9" i="2" s="1"/>
  <c r="P9" i="2" s="1"/>
  <c r="D30" i="2"/>
  <c r="L30" i="2" s="1"/>
  <c r="P30" i="2" s="1"/>
  <c r="D28" i="2"/>
  <c r="L28" i="2" s="1"/>
  <c r="P28" i="2" s="1"/>
  <c r="D38" i="2"/>
  <c r="L38" i="2" s="1"/>
  <c r="P38" i="2" s="1"/>
  <c r="D43" i="2"/>
  <c r="L43" i="2" s="1"/>
  <c r="P43" i="2" s="1"/>
  <c r="D51" i="2"/>
  <c r="L51" i="2" s="1"/>
  <c r="P51" i="2" s="1"/>
  <c r="D56" i="2"/>
  <c r="L56" i="2" s="1"/>
  <c r="P56" i="2" s="1"/>
  <c r="D63" i="2"/>
  <c r="L63" i="2" s="1"/>
  <c r="P63" i="2" s="1"/>
  <c r="C65" i="2"/>
  <c r="K65" i="2" s="1"/>
  <c r="O65" i="2" s="1"/>
  <c r="C24" i="3" s="1"/>
  <c r="C74" i="2"/>
  <c r="K74" i="2" s="1"/>
  <c r="O74" i="2" s="1"/>
  <c r="D69" i="2"/>
  <c r="L69" i="2" s="1"/>
  <c r="P69" i="2" s="1"/>
  <c r="D73" i="2"/>
  <c r="L73" i="2" s="1"/>
  <c r="P73" i="2" s="1"/>
  <c r="D87" i="2"/>
  <c r="L87" i="2" s="1"/>
  <c r="P87" i="2" s="1"/>
  <c r="D86" i="2"/>
  <c r="L86" i="2" s="1"/>
  <c r="P86" i="2" s="1"/>
  <c r="D89" i="2"/>
  <c r="L89" i="2" s="1"/>
  <c r="P89" i="2" s="1"/>
  <c r="D98" i="2"/>
  <c r="L98" i="2" s="1"/>
  <c r="P98" i="2" s="1"/>
  <c r="D102" i="2"/>
  <c r="L102" i="2" s="1"/>
  <c r="P102" i="2" s="1"/>
  <c r="C110" i="2"/>
  <c r="K110" i="2" s="1"/>
  <c r="O110" i="2" s="1"/>
  <c r="C107" i="2"/>
  <c r="K107" i="2" s="1"/>
  <c r="O107" i="2" s="1"/>
  <c r="D110" i="2"/>
  <c r="L110" i="2" s="1"/>
  <c r="P110" i="2" s="1"/>
  <c r="D77" i="2"/>
  <c r="L77" i="2" s="1"/>
  <c r="P77" i="2" s="1"/>
  <c r="C120" i="2"/>
  <c r="K120" i="2" s="1"/>
  <c r="O120" i="2" s="1"/>
  <c r="D118" i="2"/>
  <c r="L118" i="2" s="1"/>
  <c r="P118" i="2" s="1"/>
  <c r="C123" i="2"/>
  <c r="K123" i="2" s="1"/>
  <c r="O123" i="2" s="1"/>
  <c r="D126" i="2"/>
  <c r="L126" i="2" s="1"/>
  <c r="P126" i="2" s="1"/>
  <c r="E33" i="2" l="1"/>
  <c r="M33" i="2" s="1"/>
  <c r="Q33" i="2" s="1"/>
  <c r="E123" i="2"/>
  <c r="M123" i="2" s="1"/>
  <c r="Q123" i="2" s="1"/>
  <c r="E39" i="2"/>
  <c r="M39" i="2" s="1"/>
  <c r="Q39" i="2" s="1"/>
  <c r="E108" i="2"/>
  <c r="M108" i="2" s="1"/>
  <c r="Q108" i="2" s="1"/>
  <c r="E77" i="2"/>
  <c r="M77" i="2" s="1"/>
  <c r="Q77" i="2" s="1"/>
  <c r="E51" i="2"/>
  <c r="M51" i="2" s="1"/>
  <c r="Q51" i="2" s="1"/>
  <c r="E55" i="2"/>
  <c r="M55" i="2" s="1"/>
  <c r="Q55" i="2" s="1"/>
  <c r="D36" i="2"/>
  <c r="L36" i="2" s="1"/>
  <c r="P36" i="2" s="1"/>
  <c r="D22" i="3" s="1"/>
  <c r="D128" i="2"/>
  <c r="L128" i="2" s="1"/>
  <c r="P128" i="2" s="1"/>
  <c r="D30" i="3" s="1"/>
  <c r="D121" i="2"/>
  <c r="L121" i="2" s="1"/>
  <c r="P121" i="2" s="1"/>
  <c r="D29" i="3" s="1"/>
  <c r="E117" i="2"/>
  <c r="M117" i="2" s="1"/>
  <c r="Q117" i="2" s="1"/>
  <c r="E120" i="2"/>
  <c r="M120" i="2" s="1"/>
  <c r="Q120" i="2" s="1"/>
  <c r="E73" i="2"/>
  <c r="M73" i="2" s="1"/>
  <c r="Q73" i="2" s="1"/>
  <c r="E109" i="2"/>
  <c r="M109" i="2" s="1"/>
  <c r="Q109" i="2" s="1"/>
  <c r="C121" i="2"/>
  <c r="K121" i="2" s="1"/>
  <c r="O121" i="2" s="1"/>
  <c r="C29" i="3" s="1"/>
  <c r="E102" i="2"/>
  <c r="M102" i="2" s="1"/>
  <c r="Q102" i="2" s="1"/>
  <c r="E87" i="2"/>
  <c r="M87" i="2" s="1"/>
  <c r="Q87" i="2" s="1"/>
  <c r="E74" i="2"/>
  <c r="M74" i="2" s="1"/>
  <c r="Q74" i="2" s="1"/>
  <c r="E56" i="2"/>
  <c r="M56" i="2" s="1"/>
  <c r="Q56" i="2" s="1"/>
  <c r="E38" i="2"/>
  <c r="M38" i="2" s="1"/>
  <c r="Q38" i="2" s="1"/>
  <c r="E91" i="2"/>
  <c r="M91" i="2" s="1"/>
  <c r="Q91" i="2" s="1"/>
  <c r="E94" i="2"/>
  <c r="M94" i="2" s="1"/>
  <c r="Q94" i="2" s="1"/>
  <c r="E76" i="2"/>
  <c r="M76" i="2" s="1"/>
  <c r="Q76" i="2" s="1"/>
  <c r="E62" i="2"/>
  <c r="M62" i="2" s="1"/>
  <c r="Q62" i="2" s="1"/>
  <c r="E40" i="2"/>
  <c r="M40" i="2" s="1"/>
  <c r="Q40" i="2" s="1"/>
  <c r="E19" i="2"/>
  <c r="M19" i="2" s="1"/>
  <c r="Q19" i="2" s="1"/>
  <c r="E22" i="2"/>
  <c r="M22" i="2" s="1"/>
  <c r="Q22" i="2" s="1"/>
  <c r="E84" i="2"/>
  <c r="M84" i="2" s="1"/>
  <c r="Q84" i="2" s="1"/>
  <c r="E53" i="2"/>
  <c r="M53" i="2" s="1"/>
  <c r="Q53" i="2" s="1"/>
  <c r="E24" i="2"/>
  <c r="M24" i="2" s="1"/>
  <c r="Q24" i="2" s="1"/>
  <c r="E103" i="2"/>
  <c r="M103" i="2" s="1"/>
  <c r="Q103" i="2" s="1"/>
  <c r="E90" i="2"/>
  <c r="M90" i="2" s="1"/>
  <c r="Q90" i="2" s="1"/>
  <c r="E68" i="2"/>
  <c r="M68" i="2" s="1"/>
  <c r="Q68" i="2" s="1"/>
  <c r="E57" i="2"/>
  <c r="M57" i="2" s="1"/>
  <c r="Q57" i="2" s="1"/>
  <c r="E41" i="2"/>
  <c r="M41" i="2" s="1"/>
  <c r="Q41" i="2" s="1"/>
  <c r="E13" i="2"/>
  <c r="M13" i="2" s="1"/>
  <c r="Q13" i="2" s="1"/>
  <c r="E125" i="2"/>
  <c r="M125" i="2" s="1"/>
  <c r="Q125" i="2" s="1"/>
  <c r="E31" i="2"/>
  <c r="M31" i="2" s="1"/>
  <c r="Q31" i="2" s="1"/>
  <c r="C26" i="2"/>
  <c r="K26" i="2" s="1"/>
  <c r="O26" i="2" s="1"/>
  <c r="C21" i="3" s="1"/>
  <c r="E21" i="2"/>
  <c r="M21" i="2" s="1"/>
  <c r="Q21" i="2" s="1"/>
  <c r="C115" i="2"/>
  <c r="K115" i="2" s="1"/>
  <c r="O115" i="2" s="1"/>
  <c r="C28" i="3" s="1"/>
  <c r="E119" i="2"/>
  <c r="M119" i="2" s="1"/>
  <c r="Q119" i="2" s="1"/>
  <c r="E98" i="2"/>
  <c r="M98" i="2" s="1"/>
  <c r="Q98" i="2" s="1"/>
  <c r="E28" i="2"/>
  <c r="M28" i="2" s="1"/>
  <c r="Q28" i="2" s="1"/>
  <c r="E15" i="2"/>
  <c r="M15" i="2" s="1"/>
  <c r="Q15" i="2" s="1"/>
  <c r="E70" i="2"/>
  <c r="M70" i="2" s="1"/>
  <c r="Q70" i="2" s="1"/>
  <c r="E85" i="2"/>
  <c r="M85" i="2" s="1"/>
  <c r="Q85" i="2" s="1"/>
  <c r="E35" i="2"/>
  <c r="M35" i="2" s="1"/>
  <c r="Q35" i="2" s="1"/>
  <c r="E8" i="2"/>
  <c r="M8" i="2" s="1"/>
  <c r="Q8" i="2" s="1"/>
  <c r="E10" i="2"/>
  <c r="M10" i="2" s="1"/>
  <c r="Q10" i="2" s="1"/>
  <c r="E78" i="2"/>
  <c r="M78" i="2" s="1"/>
  <c r="Q78" i="2" s="1"/>
  <c r="C105" i="2"/>
  <c r="K105" i="2" s="1"/>
  <c r="O105" i="2" s="1"/>
  <c r="C27" i="3" s="1"/>
  <c r="E79" i="2"/>
  <c r="M79" i="2" s="1"/>
  <c r="Q79" i="2" s="1"/>
  <c r="E54" i="2"/>
  <c r="M54" i="2" s="1"/>
  <c r="Q54" i="2" s="1"/>
  <c r="D99" i="2"/>
  <c r="L99" i="2" s="1"/>
  <c r="P99" i="2" s="1"/>
  <c r="D26" i="3" s="1"/>
  <c r="E107" i="2"/>
  <c r="M107" i="2" s="1"/>
  <c r="Q107" i="2" s="1"/>
  <c r="E118" i="2"/>
  <c r="M118" i="2" s="1"/>
  <c r="Q118" i="2" s="1"/>
  <c r="E11" i="2"/>
  <c r="M11" i="2" s="1"/>
  <c r="Q11" i="2" s="1"/>
  <c r="C128" i="2"/>
  <c r="K128" i="2" s="1"/>
  <c r="O128" i="2" s="1"/>
  <c r="C30" i="3" s="1"/>
  <c r="E86" i="2"/>
  <c r="M86" i="2" s="1"/>
  <c r="Q86" i="2" s="1"/>
  <c r="E69" i="2"/>
  <c r="M69" i="2" s="1"/>
  <c r="Q69" i="2" s="1"/>
  <c r="E63" i="2"/>
  <c r="M63" i="2" s="1"/>
  <c r="Q63" i="2" s="1"/>
  <c r="E44" i="2"/>
  <c r="M44" i="2" s="1"/>
  <c r="Q44" i="2" s="1"/>
  <c r="E113" i="2"/>
  <c r="M113" i="2" s="1"/>
  <c r="Q113" i="2" s="1"/>
  <c r="E97" i="2"/>
  <c r="M97" i="2" s="1"/>
  <c r="Q97" i="2" s="1"/>
  <c r="E75" i="2"/>
  <c r="M75" i="2" s="1"/>
  <c r="Q75" i="2" s="1"/>
  <c r="E61" i="2"/>
  <c r="M61" i="2" s="1"/>
  <c r="Q61" i="2" s="1"/>
  <c r="E42" i="2"/>
  <c r="M42" i="2" s="1"/>
  <c r="Q42" i="2" s="1"/>
  <c r="E18" i="2"/>
  <c r="M18" i="2" s="1"/>
  <c r="Q18" i="2" s="1"/>
  <c r="E88" i="2"/>
  <c r="M88" i="2" s="1"/>
  <c r="Q88" i="2" s="1"/>
  <c r="E48" i="2"/>
  <c r="M48" i="2" s="1"/>
  <c r="Q48" i="2" s="1"/>
  <c r="E12" i="2"/>
  <c r="M12" i="2" s="1"/>
  <c r="Q12" i="2" s="1"/>
  <c r="E92" i="2"/>
  <c r="M92" i="2" s="1"/>
  <c r="Q92" i="2" s="1"/>
  <c r="E59" i="2"/>
  <c r="M59" i="2" s="1"/>
  <c r="Q59" i="2" s="1"/>
  <c r="E17" i="2"/>
  <c r="M17" i="2" s="1"/>
  <c r="Q17" i="2" s="1"/>
  <c r="E60" i="2"/>
  <c r="M60" i="2" s="1"/>
  <c r="Q60" i="2" s="1"/>
  <c r="E45" i="2"/>
  <c r="M45" i="2" s="1"/>
  <c r="Q45" i="2" s="1"/>
  <c r="E23" i="2"/>
  <c r="M23" i="2" s="1"/>
  <c r="Q23" i="2" s="1"/>
  <c r="E124" i="2"/>
  <c r="M124" i="2" s="1"/>
  <c r="Q124" i="2" s="1"/>
  <c r="E105" i="2"/>
  <c r="M105" i="2" s="1"/>
  <c r="Q105" i="2" s="1"/>
  <c r="E27" i="3" s="1"/>
  <c r="D115" i="2"/>
  <c r="L115" i="2" s="1"/>
  <c r="P115" i="2" s="1"/>
  <c r="D28" i="3" s="1"/>
  <c r="E112" i="2"/>
  <c r="M112" i="2" s="1"/>
  <c r="Q112" i="2" s="1"/>
  <c r="C80" i="2"/>
  <c r="K80" i="2" s="1"/>
  <c r="O80" i="2" s="1"/>
  <c r="C25" i="3" s="1"/>
  <c r="D26" i="2"/>
  <c r="L26" i="2" s="1"/>
  <c r="P26" i="2" s="1"/>
  <c r="D21" i="3" s="1"/>
  <c r="D80" i="2"/>
  <c r="L80" i="2" s="1"/>
  <c r="P80" i="2" s="1"/>
  <c r="D25" i="3" s="1"/>
  <c r="D65" i="2"/>
  <c r="L65" i="2" s="1"/>
  <c r="P65" i="2" s="1"/>
  <c r="D24" i="3" s="1"/>
  <c r="D105" i="2"/>
  <c r="L105" i="2" s="1"/>
  <c r="P105" i="2" s="1"/>
  <c r="D27" i="3" s="1"/>
  <c r="E114" i="2"/>
  <c r="M114" i="2" s="1"/>
  <c r="Q114" i="2" s="1"/>
  <c r="E72" i="2"/>
  <c r="M72" i="2" s="1"/>
  <c r="Q72" i="2" s="1"/>
  <c r="E110" i="2"/>
  <c r="M110" i="2" s="1"/>
  <c r="Q110" i="2" s="1"/>
  <c r="E16" i="2"/>
  <c r="M16" i="2" s="1"/>
  <c r="Q16" i="2" s="1"/>
  <c r="D46" i="2"/>
  <c r="L46" i="2" s="1"/>
  <c r="P46" i="2" s="1"/>
  <c r="D23" i="3" s="1"/>
  <c r="E9" i="2"/>
  <c r="M9" i="2" s="1"/>
  <c r="Q9" i="2" s="1"/>
  <c r="E126" i="2"/>
  <c r="M126" i="2" s="1"/>
  <c r="Q126" i="2" s="1"/>
  <c r="E89" i="2"/>
  <c r="M89" i="2" s="1"/>
  <c r="Q89" i="2" s="1"/>
  <c r="E30" i="2"/>
  <c r="M30" i="2" s="1"/>
  <c r="Q30" i="2" s="1"/>
  <c r="E64" i="2"/>
  <c r="M64" i="2" s="1"/>
  <c r="Q64" i="2" s="1"/>
  <c r="E127" i="2"/>
  <c r="M127" i="2" s="1"/>
  <c r="Q127" i="2" s="1"/>
  <c r="E101" i="2"/>
  <c r="M101" i="2" s="1"/>
  <c r="Q101" i="2" s="1"/>
  <c r="E82" i="2"/>
  <c r="M82" i="2" s="1"/>
  <c r="Q82" i="2" s="1"/>
  <c r="E50" i="2"/>
  <c r="M50" i="2" s="1"/>
  <c r="Q50" i="2" s="1"/>
  <c r="E29" i="2"/>
  <c r="M29" i="2" s="1"/>
  <c r="Q29" i="2" s="1"/>
  <c r="E104" i="2"/>
  <c r="M104" i="2" s="1"/>
  <c r="Q104" i="2" s="1"/>
  <c r="E67" i="2"/>
  <c r="M67" i="2" s="1"/>
  <c r="Q67" i="2" s="1"/>
  <c r="E32" i="2"/>
  <c r="M32" i="2" s="1"/>
  <c r="Q32" i="2" s="1"/>
  <c r="E96" i="2"/>
  <c r="M96" i="2" s="1"/>
  <c r="Q96" i="2" s="1"/>
  <c r="E25" i="2"/>
  <c r="M25" i="2" s="1"/>
  <c r="Q25" i="2" s="1"/>
  <c r="E111" i="2"/>
  <c r="M111" i="2" s="1"/>
  <c r="Q111" i="2" s="1"/>
  <c r="E99" i="2" l="1"/>
  <c r="M99" i="2" s="1"/>
  <c r="Q99" i="2" s="1"/>
  <c r="E26" i="3" s="1"/>
  <c r="E65" i="2"/>
  <c r="M65" i="2" s="1"/>
  <c r="Q65" i="2" s="1"/>
  <c r="E24" i="3" s="1"/>
  <c r="E80" i="2"/>
  <c r="M80" i="2" s="1"/>
  <c r="Q80" i="2" s="1"/>
  <c r="E25" i="3" s="1"/>
  <c r="E46" i="2"/>
  <c r="M46" i="2" s="1"/>
  <c r="Q46" i="2" s="1"/>
  <c r="E23" i="3" s="1"/>
  <c r="E128" i="2"/>
  <c r="M128" i="2" s="1"/>
  <c r="Q128" i="2" s="1"/>
  <c r="E30" i="3" s="1"/>
  <c r="E121" i="2"/>
  <c r="M121" i="2" s="1"/>
  <c r="Q121" i="2" s="1"/>
  <c r="E29" i="3" s="1"/>
  <c r="E26" i="2"/>
  <c r="M26" i="2" s="1"/>
  <c r="Q26" i="2" s="1"/>
  <c r="E21" i="3" s="1"/>
  <c r="E115" i="2"/>
  <c r="M115" i="2" s="1"/>
  <c r="Q115" i="2" s="1"/>
  <c r="E28" i="3" s="1"/>
  <c r="E36" i="2"/>
  <c r="M36" i="2" s="1"/>
  <c r="Q36" i="2" s="1"/>
  <c r="E22" i="3" s="1"/>
</calcChain>
</file>

<file path=xl/sharedStrings.xml><?xml version="1.0" encoding="utf-8"?>
<sst xmlns="http://schemas.openxmlformats.org/spreadsheetml/2006/main" count="366" uniqueCount="165">
  <si>
    <t>2009-10</t>
  </si>
  <si>
    <t>Program &amp; Admin</t>
  </si>
  <si>
    <t>Salaries</t>
  </si>
  <si>
    <t>Total</t>
  </si>
  <si>
    <t>2014-15</t>
  </si>
  <si>
    <t>Academic Affairs</t>
  </si>
  <si>
    <t>VPAA</t>
  </si>
  <si>
    <t>Academic Programs</t>
  </si>
  <si>
    <t>Military Science</t>
  </si>
  <si>
    <t>HEOP</t>
  </si>
  <si>
    <t>Academic Advising</t>
  </si>
  <si>
    <t>Faculty Support</t>
  </si>
  <si>
    <t>Audio Visual</t>
  </si>
  <si>
    <t>International Studies</t>
  </si>
  <si>
    <t>ADA</t>
  </si>
  <si>
    <t>Writing Center</t>
  </si>
  <si>
    <t>ITS</t>
  </si>
  <si>
    <t>Library</t>
  </si>
  <si>
    <t>ACE</t>
  </si>
  <si>
    <t>Office of Foundations &amp; Govt Relations</t>
  </si>
  <si>
    <t>OIE</t>
  </si>
  <si>
    <t>Registrar</t>
  </si>
  <si>
    <t>Career Center</t>
  </si>
  <si>
    <t>School of Science</t>
  </si>
  <si>
    <t>Administrative Offices</t>
  </si>
  <si>
    <t>Biology</t>
  </si>
  <si>
    <t>Chemistry</t>
  </si>
  <si>
    <t>Environmental Science</t>
  </si>
  <si>
    <t>Computer Science</t>
  </si>
  <si>
    <t>Math</t>
  </si>
  <si>
    <t>Physics</t>
  </si>
  <si>
    <t>School of Business</t>
  </si>
  <si>
    <t>Trading Center</t>
  </si>
  <si>
    <t>MS Accounting</t>
  </si>
  <si>
    <t>Accounting</t>
  </si>
  <si>
    <t>Economics</t>
  </si>
  <si>
    <t>Finance</t>
  </si>
  <si>
    <t>Marketing/Management</t>
  </si>
  <si>
    <t>Quantative Business</t>
  </si>
  <si>
    <t>School of Liberal Arts</t>
  </si>
  <si>
    <t>Creative Arts</t>
  </si>
  <si>
    <t>Education</t>
  </si>
  <si>
    <t>English</t>
  </si>
  <si>
    <t>History</t>
  </si>
  <si>
    <t>Modern Language</t>
  </si>
  <si>
    <t>Pyschology</t>
  </si>
  <si>
    <t>Religious Studies</t>
  </si>
  <si>
    <t>Sociology</t>
  </si>
  <si>
    <t>Social Work</t>
  </si>
  <si>
    <t>Theatre</t>
  </si>
  <si>
    <t>TV Studio</t>
  </si>
  <si>
    <t>Political Science</t>
  </si>
  <si>
    <t>Philosophy</t>
  </si>
  <si>
    <t>VPFA</t>
  </si>
  <si>
    <t>Finance &amp; Administration</t>
  </si>
  <si>
    <t>Human Resources</t>
  </si>
  <si>
    <t>Purchasing</t>
  </si>
  <si>
    <t>Photocopiers</t>
  </si>
  <si>
    <t>Postal Services</t>
  </si>
  <si>
    <t>Saint Card</t>
  </si>
  <si>
    <t>Facilities Management</t>
  </si>
  <si>
    <t>Auxiliary Services</t>
  </si>
  <si>
    <t>Business Affairs</t>
  </si>
  <si>
    <t>Business Services</t>
  </si>
  <si>
    <t>Transportation</t>
  </si>
  <si>
    <t>VPAthletics</t>
  </si>
  <si>
    <t>Men's Basketball</t>
  </si>
  <si>
    <t>Tennis</t>
  </si>
  <si>
    <t>Soccer</t>
  </si>
  <si>
    <t>Baseball</t>
  </si>
  <si>
    <t>Lacrosse</t>
  </si>
  <si>
    <t>Golf</t>
  </si>
  <si>
    <t>MAC Facility</t>
  </si>
  <si>
    <t>Softball</t>
  </si>
  <si>
    <t>Cross Country</t>
  </si>
  <si>
    <t>Field Hockey</t>
  </si>
  <si>
    <t>Volleyball</t>
  </si>
  <si>
    <t>Women's Basketball</t>
  </si>
  <si>
    <t>Swimming &amp; Diving</t>
  </si>
  <si>
    <t>Water Polo</t>
  </si>
  <si>
    <t>VPEM</t>
  </si>
  <si>
    <t>Enrollment Management</t>
  </si>
  <si>
    <t>Marketing and Communications</t>
  </si>
  <si>
    <t>Admissions</t>
  </si>
  <si>
    <t>Financial Aid</t>
  </si>
  <si>
    <t>VPSA</t>
  </si>
  <si>
    <t>Community Living</t>
  </si>
  <si>
    <t>Women's Center</t>
  </si>
  <si>
    <t>Counseling Center</t>
  </si>
  <si>
    <t>Damietta Center</t>
  </si>
  <si>
    <t>Student Activities &amp; Leadership Develop</t>
  </si>
  <si>
    <t>Student Activities Clubs</t>
  </si>
  <si>
    <t>Public Safety</t>
  </si>
  <si>
    <t>Scheduling</t>
  </si>
  <si>
    <t>VPD</t>
  </si>
  <si>
    <t>WVCR</t>
  </si>
  <si>
    <t>Alumni Relations</t>
  </si>
  <si>
    <t>Siena Research Institute</t>
  </si>
  <si>
    <t>Annual Fund</t>
  </si>
  <si>
    <t>President</t>
  </si>
  <si>
    <t>President's Office</t>
  </si>
  <si>
    <t>College Counsel</t>
  </si>
  <si>
    <t>Campus Ministry</t>
  </si>
  <si>
    <t>Franciscan Center for Social Concerns</t>
  </si>
  <si>
    <t>Mentoring Program</t>
  </si>
  <si>
    <t>Software Engineering</t>
  </si>
  <si>
    <t>Studio Arts</t>
  </si>
  <si>
    <t>Peace Studies</t>
  </si>
  <si>
    <t>Athletic Camps</t>
  </si>
  <si>
    <t>Track</t>
  </si>
  <si>
    <t>Tutoring</t>
  </si>
  <si>
    <t>Conference Services</t>
  </si>
  <si>
    <t>Vice President</t>
  </si>
  <si>
    <t>Department</t>
  </si>
  <si>
    <t>Area</t>
  </si>
  <si>
    <t>FTE</t>
  </si>
  <si>
    <t xml:space="preserve"> </t>
  </si>
  <si>
    <t>2015-16</t>
  </si>
  <si>
    <t>COST BY DEPARTMENT PER FTE STUDENT</t>
  </si>
  <si>
    <t>Increase/(Decrease) 2010-16 per FTE</t>
  </si>
  <si>
    <t>% Increase/(Decrease) 2010-16 per FTE</t>
  </si>
  <si>
    <t>Total Cost Per Department</t>
  </si>
  <si>
    <t>Dept Costs</t>
  </si>
  <si>
    <t>Revenue</t>
  </si>
  <si>
    <t>net-tuition/fees</t>
  </si>
  <si>
    <t>2009/10</t>
  </si>
  <si>
    <t>2015/16</t>
  </si>
  <si>
    <t xml:space="preserve">        per FTE</t>
  </si>
  <si>
    <t>Room and Board</t>
  </si>
  <si>
    <t>Investment returns</t>
  </si>
  <si>
    <t>All Other</t>
  </si>
  <si>
    <t>TOTAL</t>
  </si>
  <si>
    <t xml:space="preserve">       per FTE</t>
  </si>
  <si>
    <t>% Inc/(Dec)</t>
  </si>
  <si>
    <t>Fav</t>
  </si>
  <si>
    <t>Fav/(UnFav) Revenue</t>
  </si>
  <si>
    <t>Psychology</t>
  </si>
  <si>
    <t>2016-17</t>
  </si>
  <si>
    <t>Nursing</t>
  </si>
  <si>
    <t>Board of Trustees</t>
  </si>
  <si>
    <t>Actuary Science</t>
  </si>
  <si>
    <t xml:space="preserve">2017-18 </t>
  </si>
  <si>
    <t>Health Studies</t>
  </si>
  <si>
    <t>Health Professions</t>
  </si>
  <si>
    <t>Data Science</t>
  </si>
  <si>
    <t>Food</t>
  </si>
  <si>
    <t>Other Payroll items</t>
  </si>
  <si>
    <t>Staff/Admin salary items</t>
  </si>
  <si>
    <t>Faculty salary items</t>
  </si>
  <si>
    <t>Benefits</t>
  </si>
  <si>
    <t>Utilities</t>
  </si>
  <si>
    <t>Interest Expense</t>
  </si>
  <si>
    <t>ARO</t>
  </si>
  <si>
    <t>Depreciation</t>
  </si>
  <si>
    <t>Targeted Surplus</t>
  </si>
  <si>
    <t>Designated Activities</t>
  </si>
  <si>
    <t>Commencement</t>
  </si>
  <si>
    <t>General Expenses</t>
  </si>
  <si>
    <t>Dorm Cable Cost</t>
  </si>
  <si>
    <t>Total Expense Budget</t>
  </si>
  <si>
    <t>2018-19</t>
  </si>
  <si>
    <t>MBA</t>
  </si>
  <si>
    <t>Communications</t>
  </si>
  <si>
    <t>% Change</t>
  </si>
  <si>
    <t>$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</si>
</sst>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9FFB9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0" applyNumberFormat="1"/>
    <xf numFmtId="43" fontId="1" fillId="0" borderId="0" xfId="0" applyNumberFormat="1" applyFont="1"/>
    <xf numFmtId="43" fontId="0" fillId="0" borderId="1" xfId="0" applyNumberFormat="1" applyBorder="1"/>
    <xf numFmtId="43" fontId="0" fillId="0" borderId="0" xfId="0" applyNumberFormat="1" applyFont="1"/>
    <xf numFmtId="43" fontId="0" fillId="0" borderId="0" xfId="0" applyNumberFormat="1" applyAlignment="1">
      <alignment horizontal="center"/>
    </xf>
    <xf numFmtId="43" fontId="1" fillId="0" borderId="0" xfId="0" applyNumberFormat="1" applyFont="1" applyAlignment="1">
      <alignment horizontal="center"/>
    </xf>
    <xf numFmtId="37" fontId="0" fillId="0" borderId="0" xfId="0" applyNumberFormat="1" applyAlignment="1">
      <alignment horizontal="center"/>
    </xf>
    <xf numFmtId="43" fontId="1" fillId="0" borderId="2" xfId="0" applyNumberFormat="1" applyFont="1" applyBorder="1"/>
    <xf numFmtId="43" fontId="0" fillId="0" borderId="2" xfId="0" applyNumberFormat="1" applyBorder="1"/>
    <xf numFmtId="43" fontId="0" fillId="0" borderId="2" xfId="0" applyNumberFormat="1" applyBorder="1" applyAlignment="1">
      <alignment horizontal="center"/>
    </xf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3" borderId="2" xfId="1" applyNumberFormat="1" applyFont="1" applyFill="1" applyBorder="1"/>
    <xf numFmtId="164" fontId="0" fillId="4" borderId="0" xfId="1" applyNumberFormat="1" applyFont="1" applyFill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2" applyNumberFormat="1" applyFont="1"/>
    <xf numFmtId="0" fontId="0" fillId="0" borderId="1" xfId="0" quotePrefix="1" applyBorder="1"/>
    <xf numFmtId="0" fontId="0" fillId="5" borderId="0" xfId="0" applyFill="1"/>
    <xf numFmtId="44" fontId="0" fillId="5" borderId="0" xfId="2" applyFont="1" applyFill="1"/>
    <xf numFmtId="44" fontId="0" fillId="5" borderId="1" xfId="2" applyFont="1" applyFill="1" applyBorder="1"/>
    <xf numFmtId="0" fontId="0" fillId="5" borderId="1" xfId="0" applyFill="1" applyBorder="1"/>
    <xf numFmtId="43" fontId="0" fillId="5" borderId="2" xfId="0" applyNumberFormat="1" applyFill="1" applyBorder="1" applyAlignment="1">
      <alignment horizontal="center"/>
    </xf>
    <xf numFmtId="164" fontId="0" fillId="5" borderId="0" xfId="1" applyNumberFormat="1" applyFont="1" applyFill="1"/>
    <xf numFmtId="0" fontId="0" fillId="0" borderId="2" xfId="0" quotePrefix="1" applyBorder="1"/>
    <xf numFmtId="41" fontId="0" fillId="0" borderId="0" xfId="0" applyNumberFormat="1"/>
    <xf numFmtId="43" fontId="4" fillId="0" borderId="0" xfId="0" applyNumberFormat="1" applyFont="1"/>
    <xf numFmtId="9" fontId="0" fillId="0" borderId="0" xfId="1" applyFont="1"/>
    <xf numFmtId="43" fontId="0" fillId="0" borderId="1" xfId="0" applyNumberFormat="1" applyBorder="1" applyAlignment="1">
      <alignment horizontal="center"/>
    </xf>
    <xf numFmtId="43" fontId="0" fillId="0" borderId="1" xfId="0" quotePrefix="1" applyNumberFormat="1" applyBorder="1" applyAlignment="1">
      <alignment horizontal="center"/>
    </xf>
    <xf numFmtId="167" fontId="0" fillId="0" borderId="0" xfId="3" applyNumberFormat="1" applyFont="1"/>
    <xf numFmtId="9" fontId="0" fillId="0" borderId="0" xfId="1" applyFont="1" applyAlignment="1">
      <alignment horizontal="center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81"/>
      <color rgb="FFB9FFB9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VPAA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_(* #,##0_);_(* \(#,##0\);_(* "-"??_);_(@_)</c:formatCode>
                <c:ptCount val="5"/>
                <c:pt idx="0">
                  <c:v>8602621.5899999999</c:v>
                </c:pt>
                <c:pt idx="1">
                  <c:v>8450697.5999999996</c:v>
                </c:pt>
                <c:pt idx="2">
                  <c:v>8640881.5999999996</c:v>
                </c:pt>
                <c:pt idx="3">
                  <c:v>8957255.410000002</c:v>
                </c:pt>
                <c:pt idx="4">
                  <c:v>9285570.9500000011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4-4AD4-B62B-57D1D21331DE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School of 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Sheet1!$B$8:$F$8</c:f>
              <c:numCache>
                <c:formatCode>_(* #,##0_);_(* \(#,##0\);_(* "-"??_);_(@_)</c:formatCode>
                <c:ptCount val="5"/>
                <c:pt idx="0">
                  <c:v>6667587.0700000003</c:v>
                </c:pt>
                <c:pt idx="1">
                  <c:v>6409944.5200000005</c:v>
                </c:pt>
                <c:pt idx="2">
                  <c:v>6809013.6199999992</c:v>
                </c:pt>
                <c:pt idx="3">
                  <c:v>7047700.120000001</c:v>
                </c:pt>
                <c:pt idx="4">
                  <c:v>7389603.2800000003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4-4AD4-B62B-57D1D21331DE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School of Business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Sheet1!$B$9:$F$9</c:f>
              <c:numCache>
                <c:formatCode>_(* #,##0_);_(* \(#,##0\);_(* "-"??_);_(@_)</c:formatCode>
                <c:ptCount val="5"/>
                <c:pt idx="0">
                  <c:v>6236581.9800000004</c:v>
                </c:pt>
                <c:pt idx="1">
                  <c:v>6208495.9800000004</c:v>
                </c:pt>
                <c:pt idx="2">
                  <c:v>6649777.5800000001</c:v>
                </c:pt>
                <c:pt idx="3">
                  <c:v>6418203.9100000001</c:v>
                </c:pt>
                <c:pt idx="4">
                  <c:v>6681780.1600000001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4-4AD4-B62B-57D1D21331DE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School of Liberal Arts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Sheet1!$B$10:$F$10</c:f>
              <c:numCache>
                <c:formatCode>_(* #,##0_);_(* \(#,##0\);_(* "-"??_);_(@_)</c:formatCode>
                <c:ptCount val="5"/>
                <c:pt idx="0">
                  <c:v>9139530.9100000001</c:v>
                </c:pt>
                <c:pt idx="1">
                  <c:v>8434234.3300000001</c:v>
                </c:pt>
                <c:pt idx="2">
                  <c:v>8331959.5900000008</c:v>
                </c:pt>
                <c:pt idx="3">
                  <c:v>8602685.3300000001</c:v>
                </c:pt>
                <c:pt idx="4">
                  <c:v>8933431.1899999995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4-4AD4-B62B-57D1D21331DE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VPFA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Sheet1!$B$11:$F$11</c:f>
              <c:numCache>
                <c:formatCode>_(* #,##0_);_(* \(#,##0\);_(* "-"??_);_(@_)</c:formatCode>
                <c:ptCount val="5"/>
                <c:pt idx="0">
                  <c:v>9806350.2100000009</c:v>
                </c:pt>
                <c:pt idx="1">
                  <c:v>9939178.7300000004</c:v>
                </c:pt>
                <c:pt idx="2">
                  <c:v>10754591.470000001</c:v>
                </c:pt>
                <c:pt idx="3">
                  <c:v>10785422.17</c:v>
                </c:pt>
                <c:pt idx="4">
                  <c:v>10103777.459999999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4-4AD4-B62B-57D1D21331DE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VPAthletics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Sheet1!$B$12:$F$12</c:f>
              <c:numCache>
                <c:formatCode>_(* #,##0_);_(* \(#,##0\);_(* "-"??_);_(@_)</c:formatCode>
                <c:ptCount val="5"/>
                <c:pt idx="0">
                  <c:v>5021389.4400000004</c:v>
                </c:pt>
                <c:pt idx="1">
                  <c:v>5599986.2100000009</c:v>
                </c:pt>
                <c:pt idx="2">
                  <c:v>5507069.7400000002</c:v>
                </c:pt>
                <c:pt idx="3">
                  <c:v>6812914.2600000007</c:v>
                </c:pt>
                <c:pt idx="4">
                  <c:v>6521148.8600000003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4-4AD4-B62B-57D1D21331DE}"/>
            </c:ext>
          </c:extLst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VPEM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Sheet1!$B$13:$F$13</c:f>
              <c:numCache>
                <c:formatCode>_(* #,##0_);_(* \(#,##0\);_(* "-"??_);_(@_)</c:formatCode>
                <c:ptCount val="5"/>
                <c:pt idx="0">
                  <c:v>3740831.62</c:v>
                </c:pt>
                <c:pt idx="1">
                  <c:v>3802235.2699999996</c:v>
                </c:pt>
                <c:pt idx="2">
                  <c:v>4029313.57</c:v>
                </c:pt>
                <c:pt idx="3">
                  <c:v>4463346.96</c:v>
                </c:pt>
                <c:pt idx="4">
                  <c:v>4445095.0500000007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C4-4AD4-B62B-57D1D21331DE}"/>
            </c:ext>
          </c:extLst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VPSA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Sheet1!$B$14:$F$14</c:f>
              <c:numCache>
                <c:formatCode>_(* #,##0_);_(* \(#,##0\);_(* "-"??_);_(@_)</c:formatCode>
                <c:ptCount val="5"/>
                <c:pt idx="0">
                  <c:v>4653577.5199999996</c:v>
                </c:pt>
                <c:pt idx="1">
                  <c:v>4805132.17</c:v>
                </c:pt>
                <c:pt idx="2">
                  <c:v>4966284.5699999994</c:v>
                </c:pt>
                <c:pt idx="3">
                  <c:v>5126804.66</c:v>
                </c:pt>
                <c:pt idx="4">
                  <c:v>5074894.08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C4-4AD4-B62B-57D1D21331DE}"/>
            </c:ext>
          </c:extLst>
        </c:ser>
        <c:ser>
          <c:idx val="8"/>
          <c:order val="8"/>
          <c:tx>
            <c:strRef>
              <c:f>Sheet1!$A$15</c:f>
              <c:strCache>
                <c:ptCount val="1"/>
                <c:pt idx="0">
                  <c:v>VPD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_(* #,##0_);_(* \(#,##0\);_(* "-"??_);_(@_)</c:formatCode>
                <c:ptCount val="5"/>
                <c:pt idx="0">
                  <c:v>2872557.3899999997</c:v>
                </c:pt>
                <c:pt idx="1">
                  <c:v>3239499.51</c:v>
                </c:pt>
                <c:pt idx="2">
                  <c:v>3297032.93</c:v>
                </c:pt>
                <c:pt idx="3">
                  <c:v>3507348.12</c:v>
                </c:pt>
                <c:pt idx="4">
                  <c:v>4567459.3499999996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4-4AD4-B62B-57D1D21331DE}"/>
            </c:ext>
          </c:extLst>
        </c:ser>
        <c:ser>
          <c:idx val="9"/>
          <c:order val="9"/>
          <c:tx>
            <c:strRef>
              <c:f>Sheet1!$A$16</c:f>
              <c:strCache>
                <c:ptCount val="1"/>
                <c:pt idx="0">
                  <c:v>President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Sheet1!$B$16:$F$16</c:f>
              <c:numCache>
                <c:formatCode>_(* #,##0_);_(* \(#,##0\);_(* "-"??_);_(@_)</c:formatCode>
                <c:ptCount val="5"/>
                <c:pt idx="0">
                  <c:v>951218.12999999989</c:v>
                </c:pt>
                <c:pt idx="1">
                  <c:v>1124598.56</c:v>
                </c:pt>
                <c:pt idx="2">
                  <c:v>1205957.01</c:v>
                </c:pt>
                <c:pt idx="3">
                  <c:v>1166015.45</c:v>
                </c:pt>
                <c:pt idx="4">
                  <c:v>1272048.06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C4-4AD4-B62B-57D1D213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21544"/>
        <c:axId val="370676168"/>
      </c:lineChart>
      <c:catAx>
        <c:axId val="37322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76168"/>
        <c:crosses val="autoZero"/>
        <c:auto val="1"/>
        <c:lblAlgn val="ctr"/>
        <c:lblOffset val="100"/>
        <c:noMultiLvlLbl val="0"/>
      </c:catAx>
      <c:valAx>
        <c:axId val="3706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B158"/>
  <sheetViews>
    <sheetView tabSelected="1" workbookViewId="0">
      <pane xSplit="2" ySplit="5" topLeftCell="T10" activePane="bottomRight" state="frozen"/>
      <selection pane="topRight" activeCell="C1" sqref="C1"/>
      <selection pane="bottomLeft" activeCell="A6" sqref="A6"/>
      <selection pane="bottomRight" activeCell="AC26" sqref="AC26"/>
    </sheetView>
  </sheetViews>
  <sheetFormatPr defaultColWidth="9.1328125" defaultRowHeight="15" customHeight="1" x14ac:dyDescent="0.45"/>
  <cols>
    <col min="1" max="1" width="17.59765625" style="1" customWidth="1"/>
    <col min="2" max="2" width="39" style="1" bestFit="1" customWidth="1"/>
    <col min="3" max="4" width="2.73046875" style="1" customWidth="1"/>
    <col min="5" max="5" width="16.73046875" style="1" customWidth="1"/>
    <col min="6" max="7" width="14.265625" style="1" bestFit="1" customWidth="1"/>
    <col min="8" max="8" width="2.73046875" style="1" customWidth="1"/>
    <col min="9" max="9" width="16.73046875" style="1" bestFit="1" customWidth="1"/>
    <col min="10" max="11" width="14.265625" style="1" bestFit="1" customWidth="1"/>
    <col min="12" max="12" width="3" style="1" customWidth="1"/>
    <col min="13" max="13" width="2.73046875" style="1" customWidth="1"/>
    <col min="14" max="14" width="16.73046875" style="1" bestFit="1" customWidth="1"/>
    <col min="15" max="16" width="14.265625" style="1" bestFit="1" customWidth="1"/>
    <col min="17" max="17" width="2.1328125" style="1" customWidth="1"/>
    <col min="18" max="18" width="16.73046875" style="1" bestFit="1" customWidth="1"/>
    <col min="19" max="20" width="14.265625" style="1" bestFit="1" customWidth="1"/>
    <col min="21" max="21" width="2.1328125" style="1" customWidth="1"/>
    <col min="22" max="22" width="16.73046875" style="1" bestFit="1" customWidth="1"/>
    <col min="23" max="23" width="14.265625" style="1" bestFit="1" customWidth="1"/>
    <col min="24" max="24" width="15.265625" style="1" bestFit="1" customWidth="1"/>
    <col min="25" max="25" width="2.1328125" style="1" customWidth="1"/>
    <col min="26" max="26" width="13.3984375" style="1" bestFit="1" customWidth="1"/>
    <col min="27" max="27" width="10.86328125" style="32" bestFit="1" customWidth="1"/>
    <col min="28" max="16384" width="9.1328125" style="1"/>
  </cols>
  <sheetData>
    <row r="1" spans="1:27" ht="15" customHeight="1" x14ac:dyDescent="0.45">
      <c r="B1" s="1" t="s">
        <v>121</v>
      </c>
    </row>
    <row r="2" spans="1:27" ht="15" customHeight="1" x14ac:dyDescent="0.45">
      <c r="A2" s="1" t="s">
        <v>115</v>
      </c>
      <c r="D2" s="30"/>
      <c r="E2" s="30"/>
      <c r="F2" s="30">
        <v>2846</v>
      </c>
      <c r="J2" s="7">
        <v>2863</v>
      </c>
      <c r="O2" s="7">
        <v>2930</v>
      </c>
      <c r="S2" s="7">
        <v>2930</v>
      </c>
      <c r="W2" s="7">
        <v>2931</v>
      </c>
    </row>
    <row r="4" spans="1:27" ht="15" customHeight="1" x14ac:dyDescent="0.45">
      <c r="A4" s="5" t="s">
        <v>112</v>
      </c>
      <c r="E4" s="33" t="s">
        <v>4</v>
      </c>
      <c r="F4" s="33"/>
      <c r="G4" s="33"/>
      <c r="I4" s="33" t="s">
        <v>117</v>
      </c>
      <c r="J4" s="33"/>
      <c r="K4" s="33"/>
      <c r="N4" s="33" t="s">
        <v>137</v>
      </c>
      <c r="O4" s="33"/>
      <c r="P4" s="33"/>
      <c r="R4" s="33" t="s">
        <v>141</v>
      </c>
      <c r="S4" s="33"/>
      <c r="T4" s="33"/>
      <c r="V4" s="33" t="s">
        <v>160</v>
      </c>
      <c r="W4" s="33"/>
      <c r="X4" s="33"/>
    </row>
    <row r="5" spans="1:27" ht="33.75" customHeight="1" x14ac:dyDescent="0.75">
      <c r="A5" s="6" t="s">
        <v>114</v>
      </c>
      <c r="B5" s="6" t="s">
        <v>113</v>
      </c>
      <c r="C5" s="5"/>
      <c r="D5" s="5"/>
      <c r="E5" s="5" t="s">
        <v>1</v>
      </c>
      <c r="F5" s="5" t="s">
        <v>2</v>
      </c>
      <c r="G5" s="5" t="s">
        <v>3</v>
      </c>
      <c r="H5" s="5"/>
      <c r="I5" s="6" t="s">
        <v>1</v>
      </c>
      <c r="J5" s="6" t="s">
        <v>2</v>
      </c>
      <c r="K5" s="6" t="s">
        <v>3</v>
      </c>
      <c r="M5" s="5"/>
      <c r="N5" s="6" t="s">
        <v>1</v>
      </c>
      <c r="O5" s="6" t="s">
        <v>2</v>
      </c>
      <c r="P5" s="6" t="s">
        <v>3</v>
      </c>
      <c r="Q5" s="5"/>
      <c r="R5" s="6" t="s">
        <v>1</v>
      </c>
      <c r="S5" s="6" t="s">
        <v>2</v>
      </c>
      <c r="T5" s="6" t="s">
        <v>3</v>
      </c>
      <c r="U5" s="5"/>
      <c r="V5" s="6" t="s">
        <v>1</v>
      </c>
      <c r="W5" s="6" t="s">
        <v>2</v>
      </c>
      <c r="X5" s="6" t="s">
        <v>3</v>
      </c>
      <c r="Y5" s="5"/>
    </row>
    <row r="7" spans="1:27" ht="15" customHeight="1" x14ac:dyDescent="0.45">
      <c r="A7" s="1" t="s">
        <v>6</v>
      </c>
    </row>
    <row r="8" spans="1:27" ht="15" customHeight="1" x14ac:dyDescent="0.45">
      <c r="B8" s="1" t="s">
        <v>5</v>
      </c>
      <c r="E8" s="1">
        <f>66218+98831</f>
        <v>165049</v>
      </c>
      <c r="F8" s="1">
        <f>914218.94-19500+10740.4+1500+19500+40000</f>
        <v>966459.34</v>
      </c>
      <c r="G8" s="1">
        <f>F8+E8</f>
        <v>1131508.3399999999</v>
      </c>
      <c r="I8" s="1">
        <f>24181+340+61380</f>
        <v>85901</v>
      </c>
      <c r="J8" s="1">
        <f>857083.8+20750</f>
        <v>877833.8</v>
      </c>
      <c r="K8" s="1">
        <f>J8+I8</f>
        <v>963734.8</v>
      </c>
      <c r="N8" s="1">
        <f>54983+1820+62944</f>
        <v>119747</v>
      </c>
      <c r="O8" s="1">
        <f>788037.36+28583.38+22000</f>
        <v>838620.74</v>
      </c>
      <c r="P8" s="1">
        <f>O8+N8</f>
        <v>958367.74</v>
      </c>
      <c r="R8" s="1">
        <f>85939</f>
        <v>85939</v>
      </c>
      <c r="S8" s="1">
        <f>836816.92+78799.26</f>
        <v>915616.18</v>
      </c>
      <c r="T8" s="1">
        <f>S8+R8</f>
        <v>1001555.18</v>
      </c>
      <c r="V8" s="1">
        <f>70450+9625</f>
        <v>80075</v>
      </c>
      <c r="W8" s="1">
        <f>845236.82+165590.6+13323.2+13800+499.5</f>
        <v>1038450.1199999999</v>
      </c>
      <c r="X8" s="1">
        <f>W8+V8</f>
        <v>1118525.1199999999</v>
      </c>
      <c r="Z8" s="1">
        <f>+X8-G8</f>
        <v>-12983.219999999972</v>
      </c>
      <c r="AA8" s="32">
        <f>+Z8/G8</f>
        <v>-1.1474259217567917E-2</v>
      </c>
    </row>
    <row r="9" spans="1:27" ht="15" customHeight="1" x14ac:dyDescent="0.45">
      <c r="B9" s="1" t="s">
        <v>7</v>
      </c>
      <c r="E9" s="1">
        <f>71500+65673+71132+11500+20192+3146+14514+10394+83970+13120+154857</f>
        <v>519998</v>
      </c>
      <c r="F9" s="1">
        <f>75205.55+33900+27300+258302.79+70+51450+10000+12600</f>
        <v>468828.33999999997</v>
      </c>
      <c r="G9" s="1">
        <f t="shared" ref="G9:G24" si="0">F9+E9</f>
        <v>988826.34</v>
      </c>
      <c r="I9" s="1">
        <f>77446+67562+73799+3000+15000+21800+4543+16542+12820+83713+5806+10164+156511.39</f>
        <v>548706.39</v>
      </c>
      <c r="J9" s="1">
        <f>75042.22+95833.4+22600+290888.28+19425+15090+61450</f>
        <v>580328.9</v>
      </c>
      <c r="K9" s="1">
        <f t="shared" ref="K9:K24" si="1">J9+I9</f>
        <v>1129035.29</v>
      </c>
      <c r="N9" s="1">
        <f>78764+64829+76332+1500+15000+226183+2705+17115+12784+111012+9190+12199</f>
        <v>627613</v>
      </c>
      <c r="O9" s="1">
        <f>2000+5987.72+37278.14+298635.44+17850+80900+2450+15000+7599.59</f>
        <v>467700.89</v>
      </c>
      <c r="P9" s="1">
        <f t="shared" ref="P9:P24" si="2">O9+N9</f>
        <v>1095313.8900000001</v>
      </c>
      <c r="R9" s="1">
        <f>74390+65611+92843+349050+10080+20331+45157+213897+4050+19246</f>
        <v>894655</v>
      </c>
      <c r="S9" s="1">
        <f>53298+18000+36947.15+26817.4+342507.34+16800+11092</f>
        <v>505461.89</v>
      </c>
      <c r="T9" s="1">
        <f t="shared" ref="T9:T24" si="3">S9+R9</f>
        <v>1400116.8900000001</v>
      </c>
      <c r="V9" s="1">
        <f>118672+57516+93741+261562+3451+15117+25080+204250+15233</f>
        <v>794622</v>
      </c>
      <c r="W9" s="1">
        <f>29733.28+105850+379140.37+25200+7500</f>
        <v>547423.65</v>
      </c>
      <c r="X9" s="1">
        <f t="shared" ref="X9:X24" si="4">W9+V9</f>
        <v>1342045.6499999999</v>
      </c>
      <c r="Z9" s="1">
        <f t="shared" ref="Z9:Z72" si="5">+X9-G9</f>
        <v>353219.30999999994</v>
      </c>
      <c r="AA9" s="32">
        <f t="shared" ref="AA9:AA72" si="6">+Z9/G9</f>
        <v>0.35721066046844985</v>
      </c>
    </row>
    <row r="10" spans="1:27" ht="15" customHeight="1" x14ac:dyDescent="0.45">
      <c r="B10" s="1" t="s">
        <v>8</v>
      </c>
      <c r="E10" s="1">
        <f>15211</f>
        <v>15211</v>
      </c>
      <c r="F10" s="1">
        <f>28410.22</f>
        <v>28410.22</v>
      </c>
      <c r="G10" s="1">
        <f t="shared" si="0"/>
        <v>43621.22</v>
      </c>
      <c r="I10" s="1">
        <f>15205</f>
        <v>15205</v>
      </c>
      <c r="J10" s="1">
        <v>28628.75</v>
      </c>
      <c r="K10" s="1">
        <f t="shared" si="1"/>
        <v>43833.75</v>
      </c>
      <c r="N10" s="1">
        <v>15463</v>
      </c>
      <c r="O10" s="1">
        <f>29075.02</f>
        <v>29075.02</v>
      </c>
      <c r="P10" s="1">
        <f t="shared" si="2"/>
        <v>44538.020000000004</v>
      </c>
      <c r="R10" s="1">
        <f>15156</f>
        <v>15156</v>
      </c>
      <c r="S10" s="1">
        <f>30540.44</f>
        <v>30540.44</v>
      </c>
      <c r="T10" s="1">
        <f t="shared" si="3"/>
        <v>45696.44</v>
      </c>
      <c r="V10" s="1">
        <v>13076</v>
      </c>
      <c r="W10" s="1">
        <f>32044.18</f>
        <v>32044.18</v>
      </c>
      <c r="X10" s="1">
        <f t="shared" si="4"/>
        <v>45120.18</v>
      </c>
      <c r="Z10" s="1">
        <f t="shared" si="5"/>
        <v>1498.9599999999991</v>
      </c>
      <c r="AA10" s="32">
        <f t="shared" si="6"/>
        <v>3.4363092091417871E-2</v>
      </c>
    </row>
    <row r="11" spans="1:27" ht="15" customHeight="1" x14ac:dyDescent="0.45">
      <c r="B11" s="1" t="s">
        <v>9</v>
      </c>
      <c r="E11" s="1">
        <f>60412+10025+54992</f>
        <v>125429</v>
      </c>
      <c r="F11" s="1">
        <f>82635.13+2284.63+-15737.52+435.84+27118.03+40120.08</f>
        <v>136856.19</v>
      </c>
      <c r="G11" s="1">
        <f t="shared" si="0"/>
        <v>262285.19</v>
      </c>
      <c r="I11" s="1">
        <f>37169+7408+85289</f>
        <v>129866</v>
      </c>
      <c r="J11" s="1">
        <f>99815.24+3796.01+9257.83+536.44+27326.64+37691.49</f>
        <v>178423.65</v>
      </c>
      <c r="K11" s="1">
        <f t="shared" si="1"/>
        <v>308289.65000000002</v>
      </c>
      <c r="N11" s="1">
        <f>63377+35351+4580</f>
        <v>103308</v>
      </c>
      <c r="O11" s="1">
        <f>116668.4+4568.89</f>
        <v>121237.29</v>
      </c>
      <c r="P11" s="1">
        <f t="shared" si="2"/>
        <v>224545.28999999998</v>
      </c>
      <c r="R11" s="1">
        <f>62120+2759+38951</f>
        <v>103830</v>
      </c>
      <c r="S11" s="1">
        <f>95869.82+869.57</f>
        <v>96739.390000000014</v>
      </c>
      <c r="T11" s="1">
        <f t="shared" si="3"/>
        <v>200569.39</v>
      </c>
      <c r="V11" s="1">
        <f>59206+1972+29901</f>
        <v>91079</v>
      </c>
      <c r="W11" s="1">
        <f>102439.08+1245.22</f>
        <v>103684.3</v>
      </c>
      <c r="X11" s="1">
        <f t="shared" si="4"/>
        <v>194763.3</v>
      </c>
      <c r="Z11" s="1">
        <f t="shared" si="5"/>
        <v>-67521.890000000014</v>
      </c>
      <c r="AA11" s="32">
        <f t="shared" si="6"/>
        <v>-0.25743691437553151</v>
      </c>
    </row>
    <row r="12" spans="1:27" ht="15" customHeight="1" x14ac:dyDescent="0.45">
      <c r="B12" s="1" t="s">
        <v>10</v>
      </c>
      <c r="E12" s="1">
        <v>7697</v>
      </c>
      <c r="F12" s="1">
        <f>12340.74</f>
        <v>12340.74</v>
      </c>
      <c r="G12" s="1">
        <f t="shared" si="0"/>
        <v>20037.739999999998</v>
      </c>
      <c r="I12" s="1">
        <f>10133</f>
        <v>10133</v>
      </c>
      <c r="J12" s="1">
        <f>29408.89</f>
        <v>29408.89</v>
      </c>
      <c r="K12" s="1">
        <f t="shared" si="1"/>
        <v>39541.89</v>
      </c>
      <c r="N12" s="1">
        <v>13264</v>
      </c>
      <c r="O12" s="1">
        <v>24312.639999999999</v>
      </c>
      <c r="P12" s="1">
        <f t="shared" si="2"/>
        <v>37576.639999999999</v>
      </c>
      <c r="R12" s="1">
        <f>12296</f>
        <v>12296</v>
      </c>
      <c r="S12" s="1">
        <f>20509.18</f>
        <v>20509.18</v>
      </c>
      <c r="T12" s="1">
        <f t="shared" si="3"/>
        <v>32805.18</v>
      </c>
      <c r="V12" s="1">
        <f>7066</f>
        <v>7066</v>
      </c>
      <c r="W12" s="1">
        <f>9192.09</f>
        <v>9192.09</v>
      </c>
      <c r="X12" s="1">
        <f t="shared" si="4"/>
        <v>16258.09</v>
      </c>
      <c r="Z12" s="1">
        <f t="shared" si="5"/>
        <v>-3779.6499999999978</v>
      </c>
      <c r="AA12" s="32">
        <f t="shared" si="6"/>
        <v>-0.18862656167811331</v>
      </c>
    </row>
    <row r="13" spans="1:27" ht="15" customHeight="1" x14ac:dyDescent="0.45">
      <c r="B13" s="1" t="s">
        <v>11</v>
      </c>
      <c r="E13" s="1">
        <f>2824</f>
        <v>2824</v>
      </c>
      <c r="F13" s="1">
        <v>29975.47</v>
      </c>
      <c r="G13" s="1">
        <f t="shared" si="0"/>
        <v>32799.47</v>
      </c>
      <c r="I13" s="1">
        <f>2446</f>
        <v>2446</v>
      </c>
      <c r="J13" s="1">
        <v>30206.07</v>
      </c>
      <c r="K13" s="1">
        <f t="shared" si="1"/>
        <v>32652.07</v>
      </c>
      <c r="N13" s="1">
        <v>2065</v>
      </c>
      <c r="O13" s="1">
        <v>30663.58</v>
      </c>
      <c r="P13" s="1">
        <f t="shared" si="2"/>
        <v>32728.58</v>
      </c>
      <c r="R13" s="1">
        <f>2785</f>
        <v>2785</v>
      </c>
      <c r="S13" s="1">
        <f>31546.95</f>
        <v>31546.95</v>
      </c>
      <c r="T13" s="1">
        <f t="shared" si="3"/>
        <v>34331.949999999997</v>
      </c>
      <c r="V13" s="1">
        <f>2346</f>
        <v>2346</v>
      </c>
      <c r="W13" s="1">
        <f>24587.82</f>
        <v>24587.82</v>
      </c>
      <c r="X13" s="1">
        <f t="shared" si="4"/>
        <v>26933.82</v>
      </c>
      <c r="Z13" s="1">
        <f t="shared" si="5"/>
        <v>-5865.6500000000015</v>
      </c>
      <c r="AA13" s="32">
        <f t="shared" si="6"/>
        <v>-0.1788336823735262</v>
      </c>
    </row>
    <row r="14" spans="1:27" ht="15" customHeight="1" x14ac:dyDescent="0.45">
      <c r="B14" s="1" t="s">
        <v>12</v>
      </c>
      <c r="E14" s="1">
        <f>9087</f>
        <v>9087</v>
      </c>
      <c r="F14" s="1">
        <f>5461.52</f>
        <v>5461.52</v>
      </c>
      <c r="G14" s="1">
        <f t="shared" si="0"/>
        <v>14548.52</v>
      </c>
      <c r="I14" s="1">
        <f>7245</f>
        <v>7245</v>
      </c>
      <c r="K14" s="1">
        <f t="shared" si="1"/>
        <v>7245</v>
      </c>
      <c r="N14" s="1">
        <v>8260</v>
      </c>
      <c r="O14" s="1">
        <v>0</v>
      </c>
      <c r="P14" s="1">
        <f t="shared" si="2"/>
        <v>8260</v>
      </c>
      <c r="R14" s="1">
        <f>12188</f>
        <v>12188</v>
      </c>
      <c r="S14" s="1">
        <v>0</v>
      </c>
      <c r="T14" s="1">
        <f t="shared" si="3"/>
        <v>12188</v>
      </c>
      <c r="V14" s="1">
        <f>14817</f>
        <v>14817</v>
      </c>
      <c r="W14" s="1">
        <v>0</v>
      </c>
      <c r="X14" s="1">
        <f t="shared" si="4"/>
        <v>14817</v>
      </c>
      <c r="Z14" s="1">
        <f t="shared" si="5"/>
        <v>268.47999999999956</v>
      </c>
      <c r="AA14" s="32">
        <f t="shared" si="6"/>
        <v>1.845411079614968E-2</v>
      </c>
    </row>
    <row r="15" spans="1:27" ht="15" customHeight="1" x14ac:dyDescent="0.45">
      <c r="B15" s="1" t="s">
        <v>13</v>
      </c>
      <c r="E15" s="1">
        <f>14291+4922</f>
        <v>19213</v>
      </c>
      <c r="F15" s="1">
        <f>58386.71+184453.56</f>
        <v>242840.27</v>
      </c>
      <c r="G15" s="1">
        <f t="shared" si="0"/>
        <v>262053.27</v>
      </c>
      <c r="I15" s="1">
        <f>46945+5042.62</f>
        <v>51987.62</v>
      </c>
      <c r="J15" s="1">
        <f>73030.53+189914.75</f>
        <v>262945.28000000003</v>
      </c>
      <c r="K15" s="1">
        <f t="shared" si="1"/>
        <v>314932.90000000002</v>
      </c>
      <c r="N15" s="1">
        <v>79988</v>
      </c>
      <c r="O15" s="1">
        <f>180681.96+144225.89</f>
        <v>324907.84999999998</v>
      </c>
      <c r="P15" s="1">
        <f t="shared" si="2"/>
        <v>404895.85</v>
      </c>
      <c r="R15" s="1">
        <v>79648</v>
      </c>
      <c r="S15" s="1">
        <f>203157.1+153660.13</f>
        <v>356817.23</v>
      </c>
      <c r="T15" s="1">
        <f t="shared" si="3"/>
        <v>436465.23</v>
      </c>
      <c r="V15" s="1">
        <f>60632</f>
        <v>60632</v>
      </c>
      <c r="W15" s="1">
        <f>215596.95+156979.63</f>
        <v>372576.58</v>
      </c>
      <c r="X15" s="1">
        <f t="shared" si="4"/>
        <v>433208.58</v>
      </c>
      <c r="Z15" s="1">
        <f t="shared" si="5"/>
        <v>171155.31000000003</v>
      </c>
      <c r="AA15" s="32">
        <f t="shared" si="6"/>
        <v>0.65313174683910658</v>
      </c>
    </row>
    <row r="16" spans="1:27" ht="15" customHeight="1" x14ac:dyDescent="0.45">
      <c r="B16" s="1" t="s">
        <v>15</v>
      </c>
      <c r="E16" s="1">
        <f>1215</f>
        <v>1215</v>
      </c>
      <c r="F16" s="1">
        <v>77481.37</v>
      </c>
      <c r="G16" s="1">
        <f t="shared" si="0"/>
        <v>78696.37</v>
      </c>
      <c r="I16" s="1">
        <f>4527</f>
        <v>4527</v>
      </c>
      <c r="J16" s="1">
        <v>70516.179999999993</v>
      </c>
      <c r="K16" s="1">
        <f t="shared" si="1"/>
        <v>75043.179999999993</v>
      </c>
      <c r="N16" s="1">
        <v>2241</v>
      </c>
      <c r="O16" s="1">
        <v>80360.36</v>
      </c>
      <c r="P16" s="1">
        <f t="shared" si="2"/>
        <v>82601.36</v>
      </c>
      <c r="R16" s="1">
        <v>4296</v>
      </c>
      <c r="S16" s="1">
        <f>89569.63</f>
        <v>89569.63</v>
      </c>
      <c r="T16" s="1">
        <f t="shared" si="3"/>
        <v>93865.63</v>
      </c>
      <c r="V16" s="1">
        <f>2346</f>
        <v>2346</v>
      </c>
      <c r="W16" s="1">
        <f>85979.57</f>
        <v>85979.57</v>
      </c>
      <c r="X16" s="1">
        <f t="shared" si="4"/>
        <v>88325.57</v>
      </c>
      <c r="Z16" s="1">
        <f t="shared" si="5"/>
        <v>9629.2000000000116</v>
      </c>
      <c r="AA16" s="32">
        <f t="shared" si="6"/>
        <v>0.12235888389769455</v>
      </c>
    </row>
    <row r="17" spans="1:27" ht="15" customHeight="1" x14ac:dyDescent="0.45">
      <c r="B17" s="1" t="s">
        <v>16</v>
      </c>
      <c r="E17" s="1">
        <f>33122+571198+475508+123720</f>
        <v>1203548</v>
      </c>
      <c r="F17" s="1">
        <f>1344955.56+278344.2+86512.89</f>
        <v>1709812.65</v>
      </c>
      <c r="G17" s="1">
        <f t="shared" si="0"/>
        <v>2913360.65</v>
      </c>
      <c r="I17" s="1">
        <f>410517+542429+159692</f>
        <v>1112638</v>
      </c>
      <c r="J17" s="1">
        <f>1366957.01+260430.65+86774.83</f>
        <v>1714162.49</v>
      </c>
      <c r="K17" s="1">
        <f t="shared" si="1"/>
        <v>2826800.49</v>
      </c>
      <c r="N17" s="1">
        <f>459814+578828+73975</f>
        <v>1112617</v>
      </c>
      <c r="O17" s="1">
        <f>1387100.12+291623.13+87870.89</f>
        <v>1766594.14</v>
      </c>
      <c r="P17" s="1">
        <f t="shared" si="2"/>
        <v>2879211.1399999997</v>
      </c>
      <c r="R17" s="1">
        <f>467644+533317-12680</f>
        <v>988281</v>
      </c>
      <c r="S17" s="1">
        <f>1421530.15+296646.74+90483.22</f>
        <v>1808660.1099999999</v>
      </c>
      <c r="T17" s="1">
        <f t="shared" si="3"/>
        <v>2796941.11</v>
      </c>
      <c r="V17" s="1">
        <f>411723+872114+16233</f>
        <v>1300070</v>
      </c>
      <c r="W17" s="1">
        <f>1491878.36+299155.26+81040.77</f>
        <v>1872074.3900000001</v>
      </c>
      <c r="X17" s="1">
        <f t="shared" si="4"/>
        <v>3172144.39</v>
      </c>
      <c r="Z17" s="1">
        <f t="shared" si="5"/>
        <v>258783.74000000022</v>
      </c>
      <c r="AA17" s="32">
        <f t="shared" si="6"/>
        <v>8.8826537833549796E-2</v>
      </c>
    </row>
    <row r="18" spans="1:27" ht="15" customHeight="1" x14ac:dyDescent="0.45">
      <c r="B18" s="1" t="s">
        <v>17</v>
      </c>
      <c r="E18" s="1">
        <f>20000+563610+76000</f>
        <v>659610</v>
      </c>
      <c r="F18" s="1">
        <f>857169.48</f>
        <v>857169.48</v>
      </c>
      <c r="G18" s="1">
        <f t="shared" si="0"/>
        <v>1516779.48</v>
      </c>
      <c r="I18" s="1">
        <f>23100+619411+76000+2863</f>
        <v>721374</v>
      </c>
      <c r="J18" s="1">
        <f>841193.18</f>
        <v>841193.18</v>
      </c>
      <c r="K18" s="1">
        <f t="shared" si="1"/>
        <v>1562567.1800000002</v>
      </c>
      <c r="N18" s="1">
        <f>20000+704296</f>
        <v>724296</v>
      </c>
      <c r="O18" s="1">
        <f>890262.39</f>
        <v>890262.39</v>
      </c>
      <c r="P18" s="1">
        <f t="shared" si="2"/>
        <v>1614558.3900000001</v>
      </c>
      <c r="R18" s="1">
        <f>26200+710997</f>
        <v>737197</v>
      </c>
      <c r="S18" s="1">
        <f>924394.79</f>
        <v>924394.79</v>
      </c>
      <c r="T18" s="1">
        <f t="shared" si="3"/>
        <v>1661591.79</v>
      </c>
      <c r="V18" s="1">
        <f>23100+743383</f>
        <v>766483</v>
      </c>
      <c r="W18" s="1">
        <f>916598.99</f>
        <v>916598.99</v>
      </c>
      <c r="X18" s="1">
        <f t="shared" si="4"/>
        <v>1683081.99</v>
      </c>
      <c r="Z18" s="1">
        <f t="shared" si="5"/>
        <v>166302.51</v>
      </c>
      <c r="AA18" s="32">
        <f t="shared" si="6"/>
        <v>0.10964185116744855</v>
      </c>
    </row>
    <row r="19" spans="1:27" ht="15" customHeight="1" x14ac:dyDescent="0.45">
      <c r="B19" s="1" t="s">
        <v>110</v>
      </c>
      <c r="F19" s="1">
        <f>96781.9</f>
        <v>96781.9</v>
      </c>
      <c r="G19" s="1">
        <f t="shared" si="0"/>
        <v>96781.9</v>
      </c>
      <c r="J19" s="1">
        <v>83433.399999999994</v>
      </c>
      <c r="K19" s="1">
        <f t="shared" si="1"/>
        <v>83433.399999999994</v>
      </c>
      <c r="N19" s="1">
        <v>0</v>
      </c>
      <c r="O19" s="1">
        <v>92427.73</v>
      </c>
      <c r="P19" s="1">
        <f t="shared" si="2"/>
        <v>92427.73</v>
      </c>
      <c r="R19" s="1">
        <v>0</v>
      </c>
      <c r="S19" s="1">
        <f>48604.94</f>
        <v>48604.94</v>
      </c>
      <c r="T19" s="1">
        <f t="shared" si="3"/>
        <v>48604.94</v>
      </c>
      <c r="V19" s="1">
        <v>0</v>
      </c>
      <c r="W19" s="1">
        <f>46619.86</f>
        <v>46619.86</v>
      </c>
      <c r="X19" s="1">
        <f t="shared" si="4"/>
        <v>46619.86</v>
      </c>
      <c r="Z19" s="1">
        <f t="shared" si="5"/>
        <v>-50162.039999999994</v>
      </c>
      <c r="AA19" s="32">
        <f t="shared" si="6"/>
        <v>-0.51829980605877746</v>
      </c>
    </row>
    <row r="20" spans="1:27" ht="15" customHeight="1" x14ac:dyDescent="0.45">
      <c r="B20" s="1" t="s">
        <v>18</v>
      </c>
      <c r="E20" s="1">
        <f>110661+29740</f>
        <v>140401</v>
      </c>
      <c r="F20" s="1">
        <f>114016.61+75593.8+25010+67417.47+831.29+17668.25+4055.66+20000+957+48716.33</f>
        <v>374266.41</v>
      </c>
      <c r="G20" s="1">
        <f t="shared" si="0"/>
        <v>514667.41</v>
      </c>
      <c r="I20" s="1">
        <f>101003+44267.1</f>
        <v>145270.1</v>
      </c>
      <c r="J20" s="1">
        <f>175029.6+525+169.75+2625+53040.04</f>
        <v>231389.39</v>
      </c>
      <c r="K20" s="1">
        <f t="shared" si="1"/>
        <v>376659.49</v>
      </c>
      <c r="N20" s="1">
        <v>158731</v>
      </c>
      <c r="O20" s="1">
        <f>262054.62+961.89+6750</f>
        <v>269766.51</v>
      </c>
      <c r="P20" s="1">
        <f t="shared" si="2"/>
        <v>428497.51</v>
      </c>
      <c r="R20" s="1">
        <f>178547</f>
        <v>178547</v>
      </c>
      <c r="S20" s="1">
        <f>261331.72+6000+7125</f>
        <v>274456.71999999997</v>
      </c>
      <c r="T20" s="1">
        <f t="shared" si="3"/>
        <v>453003.72</v>
      </c>
      <c r="V20" s="1">
        <f>169322</f>
        <v>169322</v>
      </c>
      <c r="W20" s="1">
        <f>185941.14+3275.04+12625</f>
        <v>201841.18000000002</v>
      </c>
      <c r="X20" s="1">
        <f t="shared" si="4"/>
        <v>371163.18000000005</v>
      </c>
      <c r="Z20" s="1">
        <f t="shared" si="5"/>
        <v>-143504.22999999992</v>
      </c>
      <c r="AA20" s="32">
        <f t="shared" si="6"/>
        <v>-0.27882905972227762</v>
      </c>
    </row>
    <row r="21" spans="1:27" ht="15" customHeight="1" x14ac:dyDescent="0.45">
      <c r="B21" s="1" t="s">
        <v>19</v>
      </c>
      <c r="E21" s="1">
        <f>6463</f>
        <v>6463</v>
      </c>
      <c r="G21" s="1">
        <f t="shared" si="0"/>
        <v>6463</v>
      </c>
      <c r="I21" s="1">
        <f>2559</f>
        <v>2559</v>
      </c>
      <c r="K21" s="1">
        <f t="shared" si="1"/>
        <v>2559</v>
      </c>
      <c r="N21" s="1">
        <v>8410</v>
      </c>
      <c r="O21" s="1">
        <v>0</v>
      </c>
      <c r="P21" s="1">
        <f t="shared" si="2"/>
        <v>8410</v>
      </c>
      <c r="R21" s="1">
        <f>10481</f>
        <v>10481</v>
      </c>
      <c r="S21" s="1">
        <v>0</v>
      </c>
      <c r="T21" s="1">
        <f t="shared" si="3"/>
        <v>10481</v>
      </c>
      <c r="V21" s="1">
        <f>7428</f>
        <v>7428</v>
      </c>
      <c r="W21" s="1">
        <v>0</v>
      </c>
      <c r="X21" s="1">
        <f t="shared" si="4"/>
        <v>7428</v>
      </c>
      <c r="Z21" s="1">
        <f t="shared" si="5"/>
        <v>965</v>
      </c>
      <c r="AA21" s="32">
        <f t="shared" si="6"/>
        <v>0.14931146526380937</v>
      </c>
    </row>
    <row r="22" spans="1:27" ht="15" customHeight="1" x14ac:dyDescent="0.45">
      <c r="B22" s="1" t="s">
        <v>20</v>
      </c>
      <c r="E22" s="1">
        <f>2979</f>
        <v>2979</v>
      </c>
      <c r="F22" s="1">
        <f>152612.19</f>
        <v>152612.19</v>
      </c>
      <c r="G22" s="1">
        <f t="shared" si="0"/>
        <v>155591.19</v>
      </c>
      <c r="I22" s="1">
        <f>2613</f>
        <v>2613</v>
      </c>
      <c r="J22" s="1">
        <v>112416.57</v>
      </c>
      <c r="K22" s="1">
        <f t="shared" si="1"/>
        <v>115029.57</v>
      </c>
      <c r="N22" s="1">
        <v>7683</v>
      </c>
      <c r="O22" s="1">
        <f>118393.29</f>
        <v>118393.29</v>
      </c>
      <c r="P22" s="1">
        <f t="shared" si="2"/>
        <v>126076.29</v>
      </c>
      <c r="R22" s="1">
        <f>12588</f>
        <v>12588</v>
      </c>
      <c r="S22" s="1">
        <f>114032.74</f>
        <v>114032.74</v>
      </c>
      <c r="T22" s="1">
        <f t="shared" si="3"/>
        <v>126620.74</v>
      </c>
      <c r="V22" s="1">
        <f>6426</f>
        <v>6426</v>
      </c>
      <c r="W22" s="1">
        <f>123917.21</f>
        <v>123917.21</v>
      </c>
      <c r="X22" s="1">
        <f t="shared" si="4"/>
        <v>130343.21</v>
      </c>
      <c r="Z22" s="1">
        <f t="shared" si="5"/>
        <v>-25247.979999999996</v>
      </c>
      <c r="AA22" s="32">
        <f t="shared" si="6"/>
        <v>-0.16227126998643043</v>
      </c>
    </row>
    <row r="23" spans="1:27" ht="15" customHeight="1" x14ac:dyDescent="0.45">
      <c r="B23" s="1" t="s">
        <v>21</v>
      </c>
      <c r="E23" s="1">
        <f>27809</f>
        <v>27809</v>
      </c>
      <c r="F23" s="1">
        <f>284809.26</f>
        <v>284809.26</v>
      </c>
      <c r="G23" s="1">
        <f t="shared" si="0"/>
        <v>312618.26</v>
      </c>
      <c r="I23" s="1">
        <v>25054</v>
      </c>
      <c r="J23" s="1">
        <v>278708.92</v>
      </c>
      <c r="K23" s="1">
        <f t="shared" si="1"/>
        <v>303762.92</v>
      </c>
      <c r="N23" s="1">
        <v>29608</v>
      </c>
      <c r="O23" s="1">
        <f>290505.23</f>
        <v>290505.23</v>
      </c>
      <c r="P23" s="1">
        <f t="shared" si="2"/>
        <v>320113.23</v>
      </c>
      <c r="R23" s="1">
        <f>22035</f>
        <v>22035</v>
      </c>
      <c r="S23" s="1">
        <f>278779.34</f>
        <v>278779.34000000003</v>
      </c>
      <c r="T23" s="1">
        <f t="shared" si="3"/>
        <v>300814.34000000003</v>
      </c>
      <c r="V23" s="1">
        <f>22730</f>
        <v>22730</v>
      </c>
      <c r="W23" s="1">
        <f>279522.27</f>
        <v>279522.27</v>
      </c>
      <c r="X23" s="1">
        <f t="shared" si="4"/>
        <v>302252.27</v>
      </c>
      <c r="Z23" s="1">
        <f t="shared" si="5"/>
        <v>-10365.989999999991</v>
      </c>
      <c r="AA23" s="32">
        <f t="shared" si="6"/>
        <v>-3.3158619717223142E-2</v>
      </c>
    </row>
    <row r="24" spans="1:27" ht="15" customHeight="1" x14ac:dyDescent="0.75">
      <c r="B24" s="1" t="s">
        <v>22</v>
      </c>
      <c r="E24" s="1">
        <f>15723</f>
        <v>15723</v>
      </c>
      <c r="F24" s="1">
        <f>236260.24</f>
        <v>236260.24</v>
      </c>
      <c r="G24" s="4">
        <f t="shared" si="0"/>
        <v>251983.24</v>
      </c>
      <c r="I24" s="1">
        <v>18440</v>
      </c>
      <c r="J24" s="1">
        <v>247137.02</v>
      </c>
      <c r="K24" s="2">
        <f t="shared" si="1"/>
        <v>265577.02</v>
      </c>
      <c r="N24" s="1">
        <v>17895</v>
      </c>
      <c r="O24" s="1">
        <f>264864.94</f>
        <v>264864.94</v>
      </c>
      <c r="P24" s="2">
        <f t="shared" si="2"/>
        <v>282759.94</v>
      </c>
      <c r="R24" s="1">
        <f>18297</f>
        <v>18297</v>
      </c>
      <c r="S24" s="1">
        <f>283306.88</f>
        <v>283306.88</v>
      </c>
      <c r="T24" s="2">
        <f t="shared" si="3"/>
        <v>301603.88</v>
      </c>
      <c r="V24" s="1">
        <f>-3196</f>
        <v>-3196</v>
      </c>
      <c r="W24" s="1">
        <f>295736.74</f>
        <v>295736.74</v>
      </c>
      <c r="X24" s="2">
        <f t="shared" si="4"/>
        <v>292540.74</v>
      </c>
      <c r="Z24" s="1">
        <f t="shared" si="5"/>
        <v>40557.5</v>
      </c>
      <c r="AA24" s="32">
        <f t="shared" si="6"/>
        <v>0.1609531649803376</v>
      </c>
    </row>
    <row r="25" spans="1:27" ht="15" customHeight="1" x14ac:dyDescent="0.75">
      <c r="E25" s="8">
        <f>SUM(E8:E24)</f>
        <v>2922256</v>
      </c>
      <c r="F25" s="8">
        <f>SUM(F8:F24)</f>
        <v>5680365.5900000008</v>
      </c>
      <c r="G25" s="8">
        <f>SUM(G8:G24)</f>
        <v>8602621.5899999999</v>
      </c>
      <c r="I25" s="8">
        <f>SUM(I8:I24)</f>
        <v>2883965.11</v>
      </c>
      <c r="J25" s="8">
        <f>SUM(J8:J24)</f>
        <v>5566732.4899999993</v>
      </c>
      <c r="K25" s="8">
        <f>SUM(K8:K24)</f>
        <v>8450697.5999999996</v>
      </c>
      <c r="N25" s="8">
        <f>SUM(N8:N24)</f>
        <v>3031189</v>
      </c>
      <c r="O25" s="8">
        <f>SUM(O8:O24)</f>
        <v>5609692.6000000006</v>
      </c>
      <c r="P25" s="8">
        <f>SUM(P8:P24)</f>
        <v>8640881.5999999996</v>
      </c>
      <c r="R25" s="8">
        <f>SUM(R8:R24)</f>
        <v>3178219</v>
      </c>
      <c r="S25" s="8">
        <f>SUM(S8:S24)</f>
        <v>5779036.4099999992</v>
      </c>
      <c r="T25" s="8">
        <f>SUM(T8:T24)</f>
        <v>8957255.410000002</v>
      </c>
      <c r="V25" s="8">
        <f>SUM(V8:V24)</f>
        <v>3335322</v>
      </c>
      <c r="W25" s="8">
        <f>SUM(W8:W24)</f>
        <v>5950248.9500000011</v>
      </c>
      <c r="X25" s="8">
        <f>SUM(X8:X24)</f>
        <v>9285570.9500000011</v>
      </c>
      <c r="Z25" s="1">
        <f t="shared" si="5"/>
        <v>682949.36000000127</v>
      </c>
      <c r="AA25" s="32">
        <f t="shared" si="6"/>
        <v>7.9388515797775699E-2</v>
      </c>
    </row>
    <row r="26" spans="1:27" ht="15" customHeight="1" x14ac:dyDescent="0.45">
      <c r="A26" s="1" t="s">
        <v>23</v>
      </c>
      <c r="G26" s="1">
        <f>F26+E26</f>
        <v>0</v>
      </c>
      <c r="K26" s="1">
        <f>J26+I26</f>
        <v>0</v>
      </c>
      <c r="P26" s="1">
        <f>O26+N26</f>
        <v>0</v>
      </c>
      <c r="T26" s="1">
        <f>S26+R26</f>
        <v>0</v>
      </c>
      <c r="X26" s="1">
        <f>W26+V26</f>
        <v>0</v>
      </c>
      <c r="Z26" s="1">
        <f t="shared" si="5"/>
        <v>0</v>
      </c>
    </row>
    <row r="27" spans="1:27" ht="15" customHeight="1" x14ac:dyDescent="0.45">
      <c r="B27" s="1" t="s">
        <v>24</v>
      </c>
      <c r="E27" s="1">
        <f>189805.18+12694.1+14600</f>
        <v>217099.28</v>
      </c>
      <c r="F27" s="1">
        <f>448966.53</f>
        <v>448966.53</v>
      </c>
      <c r="G27" s="1">
        <f t="shared" ref="G27:G37" si="7">F27+E27</f>
        <v>666065.81000000006</v>
      </c>
      <c r="I27" s="1">
        <f>-2741.86+137248.77+4955.77+30112</f>
        <v>169574.68</v>
      </c>
      <c r="J27" s="1">
        <f>513442.91+63500</f>
        <v>576942.90999999992</v>
      </c>
      <c r="K27" s="1">
        <f t="shared" ref="K27:K37" si="8">J27+I27</f>
        <v>746517.58999999985</v>
      </c>
      <c r="N27" s="1">
        <f>-7269.73+125043.79+1942.48+4859.22+1000+402</f>
        <v>125977.76</v>
      </c>
      <c r="O27" s="1">
        <f>483967.12</f>
        <v>483967.12</v>
      </c>
      <c r="P27" s="1">
        <f t="shared" ref="P27:P37" si="9">O27+N27</f>
        <v>609944.88</v>
      </c>
      <c r="R27" s="1">
        <f>-36605.31+139337.35+146.74+1000+20000</f>
        <v>123878.78000000001</v>
      </c>
      <c r="S27" s="1">
        <f>1000+489160</f>
        <v>490160</v>
      </c>
      <c r="T27" s="1">
        <f t="shared" ref="T27:T37" si="10">S27+R27</f>
        <v>614038.78</v>
      </c>
      <c r="V27" s="1">
        <f>38328.81+121847.71+471.16</f>
        <v>160647.68000000002</v>
      </c>
      <c r="W27" s="1">
        <f>19026.42+457255.99</f>
        <v>476282.41</v>
      </c>
      <c r="X27" s="1">
        <f t="shared" ref="X27:X37" si="11">W27+V27</f>
        <v>636930.09</v>
      </c>
      <c r="Z27" s="1">
        <f t="shared" si="5"/>
        <v>-29135.720000000088</v>
      </c>
      <c r="AA27" s="32">
        <f t="shared" si="6"/>
        <v>-4.3743004914184209E-2</v>
      </c>
    </row>
    <row r="28" spans="1:27" ht="15" customHeight="1" x14ac:dyDescent="0.45">
      <c r="B28" s="1" t="s">
        <v>25</v>
      </c>
      <c r="E28" s="1">
        <f>148990.81+3249.41+1254.17+2650.46+5742.69</f>
        <v>161887.54</v>
      </c>
      <c r="F28" s="1">
        <f>5130.08+1535650.82+63310.08</f>
        <v>1604090.9800000002</v>
      </c>
      <c r="G28" s="1">
        <f t="shared" si="7"/>
        <v>1765978.5200000003</v>
      </c>
      <c r="I28" s="1">
        <f>158083.25+391.26+2250.15</f>
        <v>160724.66</v>
      </c>
      <c r="J28" s="1">
        <f>10260.08+1381145.15+64576.3</f>
        <v>1455981.53</v>
      </c>
      <c r="K28" s="1">
        <f t="shared" si="8"/>
        <v>1616706.19</v>
      </c>
      <c r="N28" s="1">
        <f>143677.15</f>
        <v>143677.15</v>
      </c>
      <c r="O28" s="1">
        <f>2565.04+1484207.92+65740.32-23780-23780</f>
        <v>1504953.28</v>
      </c>
      <c r="P28" s="1">
        <f t="shared" si="9"/>
        <v>1648630.43</v>
      </c>
      <c r="R28" s="1">
        <f>152586.47+2635.63+74500+15750+14750+3250</f>
        <v>263472.09999999998</v>
      </c>
      <c r="S28" s="1">
        <f>15000+1427205.59+66358.4</f>
        <v>1508563.99</v>
      </c>
      <c r="T28" s="1">
        <f t="shared" si="10"/>
        <v>1772036.0899999999</v>
      </c>
      <c r="V28" s="1">
        <f>142619.28+48004.88+1704.87+7706.09</f>
        <v>200035.12</v>
      </c>
      <c r="W28" s="1">
        <f>29475.12+1438311.93+70078.38+45840.54</f>
        <v>1583705.9700000002</v>
      </c>
      <c r="X28" s="1">
        <f t="shared" si="11"/>
        <v>1783741.0900000003</v>
      </c>
      <c r="Z28" s="1">
        <f t="shared" si="5"/>
        <v>17762.570000000065</v>
      </c>
      <c r="AA28" s="32">
        <f t="shared" si="6"/>
        <v>1.0058202746429816E-2</v>
      </c>
    </row>
    <row r="29" spans="1:27" ht="15" customHeight="1" x14ac:dyDescent="0.45">
      <c r="B29" s="1" t="s">
        <v>26</v>
      </c>
      <c r="E29" s="1">
        <f>501.1+51255.73</f>
        <v>51756.83</v>
      </c>
      <c r="F29" s="1">
        <f>913340.37</f>
        <v>913340.37</v>
      </c>
      <c r="G29" s="1">
        <f t="shared" si="7"/>
        <v>965097.2</v>
      </c>
      <c r="I29" s="1">
        <f>304.98+243.54+63943.24+391.46</f>
        <v>64883.219999999994</v>
      </c>
      <c r="J29" s="1">
        <f>934682.64</f>
        <v>934682.64</v>
      </c>
      <c r="K29" s="1">
        <f t="shared" si="8"/>
        <v>999565.86</v>
      </c>
      <c r="N29" s="1">
        <f>507.22+58158.22</f>
        <v>58665.440000000002</v>
      </c>
      <c r="O29" s="1">
        <f>1087676.95</f>
        <v>1087676.95</v>
      </c>
      <c r="P29" s="1">
        <f t="shared" si="9"/>
        <v>1146342.3899999999</v>
      </c>
      <c r="R29" s="1">
        <f>7594.24+56469.54+518.92</f>
        <v>64582.7</v>
      </c>
      <c r="S29" s="1">
        <f>959912.83</f>
        <v>959912.83</v>
      </c>
      <c r="T29" s="1">
        <f t="shared" si="10"/>
        <v>1024495.5299999999</v>
      </c>
      <c r="V29" s="1">
        <f>268.8+67.57+47305</f>
        <v>47641.37</v>
      </c>
      <c r="W29" s="1">
        <f>1066916.36</f>
        <v>1066916.3600000001</v>
      </c>
      <c r="X29" s="1">
        <f t="shared" si="11"/>
        <v>1114557.7300000002</v>
      </c>
      <c r="Z29" s="1">
        <f t="shared" si="5"/>
        <v>149460.53000000026</v>
      </c>
      <c r="AA29" s="32">
        <f t="shared" si="6"/>
        <v>0.15486577932253898</v>
      </c>
    </row>
    <row r="30" spans="1:27" ht="15" customHeight="1" x14ac:dyDescent="0.45">
      <c r="B30" s="1" t="s">
        <v>28</v>
      </c>
      <c r="E30" s="1">
        <f>43974.13</f>
        <v>43974.13</v>
      </c>
      <c r="F30" s="1">
        <f>50598.08+1128469.46+47320.08</f>
        <v>1226387.6200000001</v>
      </c>
      <c r="G30" s="1">
        <f t="shared" si="7"/>
        <v>1270361.75</v>
      </c>
      <c r="I30" s="1">
        <f>39902.38</f>
        <v>39902.379999999997</v>
      </c>
      <c r="J30" s="1">
        <f>59422.57+1018941.34+47320.08+855</f>
        <v>1126538.99</v>
      </c>
      <c r="K30" s="1">
        <f t="shared" si="8"/>
        <v>1166441.3699999999</v>
      </c>
      <c r="N30" s="1">
        <f>73803.16+17.9</f>
        <v>73821.06</v>
      </c>
      <c r="O30" s="1">
        <f>2565.04+34428+1345213.71-22175-28187.5</f>
        <v>1331844.25</v>
      </c>
      <c r="P30" s="1">
        <f t="shared" si="9"/>
        <v>1405665.31</v>
      </c>
      <c r="R30" s="1">
        <f>52470.67+51.68+676.12</f>
        <v>53198.47</v>
      </c>
      <c r="S30" s="1">
        <f>55000+1324050.28</f>
        <v>1379050.28</v>
      </c>
      <c r="T30" s="1">
        <f t="shared" si="10"/>
        <v>1432248.75</v>
      </c>
      <c r="V30" s="1">
        <f>47893.3+3736+5242.38</f>
        <v>56871.68</v>
      </c>
      <c r="W30" s="1">
        <f>50216.88+1385618.54</f>
        <v>1435835.42</v>
      </c>
      <c r="X30" s="1">
        <f t="shared" si="11"/>
        <v>1492707.0999999999</v>
      </c>
      <c r="Z30" s="1">
        <f t="shared" si="5"/>
        <v>222345.34999999986</v>
      </c>
      <c r="AA30" s="32">
        <f t="shared" si="6"/>
        <v>0.17502522411431221</v>
      </c>
    </row>
    <row r="31" spans="1:27" ht="15" customHeight="1" x14ac:dyDescent="0.45">
      <c r="B31" s="1" t="s">
        <v>144</v>
      </c>
      <c r="V31" s="1">
        <f>2377.09</f>
        <v>2377.09</v>
      </c>
      <c r="W31" s="1">
        <v>0</v>
      </c>
      <c r="X31" s="1">
        <f t="shared" si="11"/>
        <v>2377.09</v>
      </c>
      <c r="Z31" s="1">
        <f t="shared" si="5"/>
        <v>2377.09</v>
      </c>
    </row>
    <row r="32" spans="1:27" ht="15" customHeight="1" x14ac:dyDescent="0.45">
      <c r="B32" s="1" t="s">
        <v>27</v>
      </c>
      <c r="E32" s="1">
        <f>29769.04</f>
        <v>29769.040000000001</v>
      </c>
      <c r="F32" s="1">
        <f>5130.08+285620</f>
        <v>290750.08000000002</v>
      </c>
      <c r="G32" s="1">
        <f t="shared" si="7"/>
        <v>320519.12</v>
      </c>
      <c r="I32" s="1">
        <f>26832.99</f>
        <v>26832.99</v>
      </c>
      <c r="J32" s="1">
        <f>5130.08+309662.67</f>
        <v>314792.75</v>
      </c>
      <c r="K32" s="1">
        <f t="shared" si="8"/>
        <v>341625.74</v>
      </c>
      <c r="N32" s="1">
        <f>23737.66</f>
        <v>23737.66</v>
      </c>
      <c r="O32" s="1">
        <f>32036.08+322855.2</f>
        <v>354891.28</v>
      </c>
      <c r="P32" s="1">
        <f t="shared" si="9"/>
        <v>378628.94</v>
      </c>
      <c r="R32" s="1">
        <f>26892.34</f>
        <v>26892.34</v>
      </c>
      <c r="S32" s="1">
        <f>5001+314263.85</f>
        <v>319264.84999999998</v>
      </c>
      <c r="T32" s="1">
        <f t="shared" si="10"/>
        <v>346157.19</v>
      </c>
      <c r="V32" s="1">
        <f>14942.28</f>
        <v>14942.28</v>
      </c>
      <c r="W32" s="1">
        <f>377580.3+3286.4</f>
        <v>380866.7</v>
      </c>
      <c r="X32" s="1">
        <f t="shared" si="11"/>
        <v>395808.98000000004</v>
      </c>
      <c r="Z32" s="1">
        <f t="shared" si="5"/>
        <v>75289.860000000044</v>
      </c>
      <c r="AA32" s="32">
        <f t="shared" si="6"/>
        <v>0.23489974638642477</v>
      </c>
    </row>
    <row r="33" spans="1:27" ht="15" customHeight="1" x14ac:dyDescent="0.45">
      <c r="B33" s="1" t="s">
        <v>143</v>
      </c>
      <c r="R33" s="1">
        <f>5001.61</f>
        <v>5001.6099999999997</v>
      </c>
      <c r="T33" s="1">
        <f t="shared" si="10"/>
        <v>5001.6099999999997</v>
      </c>
      <c r="V33" s="1">
        <f>4292.98</f>
        <v>4292.9799999999996</v>
      </c>
      <c r="W33" s="1">
        <v>0</v>
      </c>
      <c r="X33" s="1">
        <f t="shared" si="11"/>
        <v>4292.9799999999996</v>
      </c>
      <c r="Z33" s="1">
        <f t="shared" si="5"/>
        <v>4292.9799999999996</v>
      </c>
    </row>
    <row r="34" spans="1:27" ht="15" customHeight="1" x14ac:dyDescent="0.45">
      <c r="B34" s="1" t="s">
        <v>29</v>
      </c>
      <c r="E34" s="1">
        <f>10098.76</f>
        <v>10098.76</v>
      </c>
      <c r="F34" s="1">
        <f>16852.52+634415.28</f>
        <v>651267.80000000005</v>
      </c>
      <c r="G34" s="1">
        <f t="shared" si="7"/>
        <v>661366.56000000006</v>
      </c>
      <c r="I34" s="1">
        <f>5228.98</f>
        <v>5228.9799999999996</v>
      </c>
      <c r="J34" s="1">
        <f>26085.04+568447.38</f>
        <v>594532.42000000004</v>
      </c>
      <c r="K34" s="1">
        <f t="shared" si="8"/>
        <v>599761.4</v>
      </c>
      <c r="N34" s="1">
        <f>7982.91</f>
        <v>7982.91</v>
      </c>
      <c r="O34" s="1">
        <f>588048.82-23690</f>
        <v>564358.81999999995</v>
      </c>
      <c r="P34" s="1">
        <f t="shared" si="9"/>
        <v>572341.73</v>
      </c>
      <c r="R34" s="1">
        <f>7501.02+706.4</f>
        <v>8207.42</v>
      </c>
      <c r="S34" s="1">
        <f>44748+667610.38-36084.99</f>
        <v>676273.39</v>
      </c>
      <c r="T34" s="1">
        <f t="shared" si="10"/>
        <v>684480.81</v>
      </c>
      <c r="V34" s="1">
        <f>4701.71+289</f>
        <v>4990.71</v>
      </c>
      <c r="W34" s="1">
        <f>26200.21+765736.63-3275.01</f>
        <v>788661.83</v>
      </c>
      <c r="X34" s="1">
        <f t="shared" si="11"/>
        <v>793652.53999999992</v>
      </c>
      <c r="Z34" s="1">
        <f t="shared" si="5"/>
        <v>132285.97999999986</v>
      </c>
      <c r="AA34" s="32">
        <f t="shared" si="6"/>
        <v>0.20001915427958719</v>
      </c>
    </row>
    <row r="35" spans="1:27" ht="15" customHeight="1" x14ac:dyDescent="0.45">
      <c r="B35" s="1" t="s">
        <v>105</v>
      </c>
      <c r="E35" s="1">
        <f>12724.68-4576.12</f>
        <v>8148.56</v>
      </c>
      <c r="G35" s="1">
        <f t="shared" si="7"/>
        <v>8148.56</v>
      </c>
      <c r="I35" s="1">
        <f>7413.41</f>
        <v>7413.41</v>
      </c>
      <c r="K35" s="1">
        <f t="shared" si="8"/>
        <v>7413.41</v>
      </c>
      <c r="N35" s="1">
        <v>9354.56</v>
      </c>
      <c r="O35" s="1">
        <v>0</v>
      </c>
      <c r="P35" s="1">
        <f t="shared" si="9"/>
        <v>9354.56</v>
      </c>
      <c r="R35" s="1">
        <f>9389.52</f>
        <v>9389.52</v>
      </c>
      <c r="S35" s="1">
        <v>0</v>
      </c>
      <c r="T35" s="1">
        <f t="shared" si="10"/>
        <v>9389.52</v>
      </c>
      <c r="V35" s="1">
        <f>8388.38</f>
        <v>8388.3799999999992</v>
      </c>
      <c r="W35" s="1">
        <v>0</v>
      </c>
      <c r="X35" s="1">
        <f t="shared" si="11"/>
        <v>8388.3799999999992</v>
      </c>
      <c r="Z35" s="1">
        <f t="shared" si="5"/>
        <v>239.8199999999988</v>
      </c>
      <c r="AA35" s="32">
        <f t="shared" si="6"/>
        <v>2.9430966943852506E-2</v>
      </c>
    </row>
    <row r="36" spans="1:27" ht="15" customHeight="1" x14ac:dyDescent="0.45">
      <c r="B36" s="1" t="s">
        <v>138</v>
      </c>
      <c r="O36" s="1">
        <f>202560.07</f>
        <v>202560.07</v>
      </c>
      <c r="P36" s="1">
        <f t="shared" si="9"/>
        <v>202560.07</v>
      </c>
      <c r="R36" s="1">
        <v>0</v>
      </c>
      <c r="S36" s="1">
        <f>280144.72+2000</f>
        <v>282144.71999999997</v>
      </c>
      <c r="T36" s="1">
        <f t="shared" si="10"/>
        <v>282144.71999999997</v>
      </c>
      <c r="V36" s="1">
        <f>13826.39+20000</f>
        <v>33826.39</v>
      </c>
      <c r="W36" s="1">
        <f>290841.38</f>
        <v>290841.38</v>
      </c>
      <c r="X36" s="1">
        <f t="shared" si="11"/>
        <v>324667.77</v>
      </c>
      <c r="Z36" s="1">
        <f t="shared" si="5"/>
        <v>324667.77</v>
      </c>
    </row>
    <row r="37" spans="1:27" ht="15" customHeight="1" x14ac:dyDescent="0.75">
      <c r="B37" s="1" t="s">
        <v>30</v>
      </c>
      <c r="E37" s="2">
        <f>35943.63+9150.03+91.48+1700.67+4521.2+2056.71+2390.05+2000</f>
        <v>57853.77</v>
      </c>
      <c r="F37" s="2">
        <f>28188.04+862462.32+61545.42</f>
        <v>952195.78</v>
      </c>
      <c r="G37" s="2">
        <f t="shared" si="7"/>
        <v>1010049.55</v>
      </c>
      <c r="I37" s="2">
        <f>35245.07+9284.25+1211.48+650+1166.46+649.76</f>
        <v>48207.020000000004</v>
      </c>
      <c r="J37" s="2">
        <f>21375.12+804768.74+57562.08</f>
        <v>883705.94</v>
      </c>
      <c r="K37" s="2">
        <f t="shared" si="8"/>
        <v>931912.96</v>
      </c>
      <c r="N37" s="2">
        <f>30113.88+6017.42+1799.78+107.39+601.56+1000</f>
        <v>39640.03</v>
      </c>
      <c r="O37" s="2">
        <f>20100.16+717207.06+58598.06</f>
        <v>795905.28</v>
      </c>
      <c r="P37" s="2">
        <f t="shared" si="9"/>
        <v>835545.31</v>
      </c>
      <c r="R37" s="2">
        <f>27856.94+3013.85+926.82+4070.86+1912+1000</f>
        <v>38780.469999999994</v>
      </c>
      <c r="S37" s="2">
        <f>13275.01+766515.8+59135.84</f>
        <v>838926.65</v>
      </c>
      <c r="T37" s="2">
        <f t="shared" si="10"/>
        <v>877707.12</v>
      </c>
      <c r="V37" s="2">
        <f>32841.23+1302.07+580.59+2448.36+1440.1</f>
        <v>38612.35</v>
      </c>
      <c r="W37" s="2">
        <f>36998.24+697093.14+59775.8</f>
        <v>793867.18</v>
      </c>
      <c r="X37" s="2">
        <f t="shared" si="11"/>
        <v>832479.53</v>
      </c>
      <c r="Z37" s="1">
        <f t="shared" si="5"/>
        <v>-177570.02000000002</v>
      </c>
      <c r="AA37" s="32">
        <f t="shared" si="6"/>
        <v>-0.17580327618580693</v>
      </c>
    </row>
    <row r="38" spans="1:27" ht="15" customHeight="1" x14ac:dyDescent="0.75">
      <c r="E38" s="2">
        <f>SUM(E26:E37)</f>
        <v>580587.91</v>
      </c>
      <c r="F38" s="2">
        <f>SUM(F26:F37)</f>
        <v>6086999.1600000001</v>
      </c>
      <c r="G38" s="2">
        <f>SUM(G26:G37)</f>
        <v>6667587.0700000003</v>
      </c>
      <c r="I38" s="2">
        <f>SUM(I26:I37)</f>
        <v>522767.33999999991</v>
      </c>
      <c r="J38" s="2">
        <f>SUM(J26:J37)</f>
        <v>5887177.1799999997</v>
      </c>
      <c r="K38" s="2">
        <f>SUM(K26:K37)</f>
        <v>6409944.5200000005</v>
      </c>
      <c r="N38" s="2">
        <f>SUM(N26:N37)</f>
        <v>482856.56999999995</v>
      </c>
      <c r="O38" s="2">
        <f>SUM(O26:O37)</f>
        <v>6326157.0500000007</v>
      </c>
      <c r="P38" s="2">
        <f>SUM(P26:P37)</f>
        <v>6809013.6199999992</v>
      </c>
      <c r="R38" s="2">
        <f>SUM(R26:R37)</f>
        <v>593403.41</v>
      </c>
      <c r="S38" s="2">
        <f>SUM(S26:S37)</f>
        <v>6454296.709999999</v>
      </c>
      <c r="T38" s="2">
        <f>SUM(T26:T37)</f>
        <v>7047700.120000001</v>
      </c>
      <c r="V38" s="2">
        <f>SUM(V26:V37)</f>
        <v>572626.03</v>
      </c>
      <c r="W38" s="2">
        <f>SUM(W26:W37)</f>
        <v>6816977.25</v>
      </c>
      <c r="X38" s="2">
        <f>SUM(X26:X37)</f>
        <v>7389603.2800000003</v>
      </c>
      <c r="Z38" s="1">
        <f t="shared" si="5"/>
        <v>722016.21</v>
      </c>
      <c r="AA38" s="32">
        <f t="shared" si="6"/>
        <v>0.10828748127619126</v>
      </c>
    </row>
    <row r="39" spans="1:27" ht="15" customHeight="1" x14ac:dyDescent="0.45">
      <c r="A39" s="1" t="s">
        <v>31</v>
      </c>
      <c r="G39" s="1">
        <f t="shared" ref="G39:G49" si="12">F39+E39</f>
        <v>0</v>
      </c>
      <c r="K39" s="1">
        <f t="shared" ref="K39:K49" si="13">J39+I39</f>
        <v>0</v>
      </c>
      <c r="P39" s="1">
        <f t="shared" ref="P39:P49" si="14">O39+N39</f>
        <v>0</v>
      </c>
      <c r="T39" s="1">
        <f t="shared" ref="T39:T49" si="15">S39+R39</f>
        <v>0</v>
      </c>
      <c r="X39" s="1">
        <f t="shared" ref="X39:X49" si="16">W39+V39</f>
        <v>0</v>
      </c>
      <c r="Z39" s="1">
        <f t="shared" si="5"/>
        <v>0</v>
      </c>
    </row>
    <row r="40" spans="1:27" ht="15" customHeight="1" x14ac:dyDescent="0.45">
      <c r="B40" s="1" t="s">
        <v>24</v>
      </c>
      <c r="E40" s="1">
        <f>32187.77+2705.73+3241.94+42774.88+8000</f>
        <v>88910.32</v>
      </c>
      <c r="F40" s="1">
        <f>294152.67+16758.92-63500+10000+1611+63500</f>
        <v>322522.58999999997</v>
      </c>
      <c r="G40" s="1">
        <f t="shared" si="12"/>
        <v>411432.91</v>
      </c>
      <c r="I40" s="1">
        <f>68.34+33192.35+3735.94+3769.81+6290.21+50461.83+5000</f>
        <v>102518.48</v>
      </c>
      <c r="J40" s="1">
        <f>349294.41+3865+21952.63</f>
        <v>375112.04</v>
      </c>
      <c r="K40" s="1">
        <f t="shared" si="13"/>
        <v>477630.51999999996</v>
      </c>
      <c r="N40" s="1">
        <f>34791.44+2140.59+8108.38+40251.92+5000</f>
        <v>90292.329999999987</v>
      </c>
      <c r="O40" s="1">
        <f>342344.68+90976.14</f>
        <v>433320.82</v>
      </c>
      <c r="P40" s="1">
        <f t="shared" si="14"/>
        <v>523613.15</v>
      </c>
      <c r="R40" s="1">
        <f>2706.94+37454.27+7475.54+578.73+2819.48+37787.26+5000+11660.54+5089.46+1519.69+4621.32</f>
        <v>116713.23000000001</v>
      </c>
      <c r="S40" s="1">
        <f>343391.08+6784.65+96757.5</f>
        <v>446933.23000000004</v>
      </c>
      <c r="T40" s="1">
        <f t="shared" si="15"/>
        <v>563646.46000000008</v>
      </c>
      <c r="V40" s="1">
        <f>4676.56+7808.26+28937.92+6574.27+1361.6+77+56546.22</f>
        <v>105981.82999999999</v>
      </c>
      <c r="W40" s="1">
        <f>412423.01+5266.2+99770.9+3000-87133.95</f>
        <v>433326.16</v>
      </c>
      <c r="X40" s="1">
        <f t="shared" si="16"/>
        <v>539307.99</v>
      </c>
      <c r="Z40" s="1">
        <f t="shared" si="5"/>
        <v>127875.08000000002</v>
      </c>
      <c r="AA40" s="32">
        <f t="shared" si="6"/>
        <v>0.31080420863756386</v>
      </c>
    </row>
    <row r="41" spans="1:27" ht="15" customHeight="1" x14ac:dyDescent="0.45">
      <c r="B41" s="1" t="s">
        <v>32</v>
      </c>
      <c r="E41" s="1">
        <f>176813+7929.77+12271.8</f>
        <v>197014.56999999998</v>
      </c>
      <c r="F41" s="1">
        <f>7000.01</f>
        <v>7000.01</v>
      </c>
      <c r="G41" s="1">
        <f t="shared" si="12"/>
        <v>204014.58</v>
      </c>
      <c r="I41" s="1">
        <f>220176</f>
        <v>220176</v>
      </c>
      <c r="J41" s="1">
        <f>8674.77</f>
        <v>8674.77</v>
      </c>
      <c r="K41" s="1">
        <f t="shared" si="13"/>
        <v>228850.77</v>
      </c>
      <c r="N41" s="1">
        <f>7462.69+196677.26</f>
        <v>204139.95</v>
      </c>
      <c r="O41" s="1">
        <f>6720.4</f>
        <v>6720.4</v>
      </c>
      <c r="P41" s="1">
        <f t="shared" si="14"/>
        <v>210860.35</v>
      </c>
      <c r="R41" s="1">
        <v>200776</v>
      </c>
      <c r="S41" s="1">
        <v>0</v>
      </c>
      <c r="T41" s="1">
        <f t="shared" si="15"/>
        <v>200776</v>
      </c>
      <c r="V41" s="1">
        <f>115155</f>
        <v>115155</v>
      </c>
      <c r="W41" s="1">
        <v>0</v>
      </c>
      <c r="X41" s="1">
        <f t="shared" si="16"/>
        <v>115155</v>
      </c>
      <c r="Z41" s="1">
        <f t="shared" si="5"/>
        <v>-88859.579999999987</v>
      </c>
      <c r="AA41" s="32">
        <f t="shared" si="6"/>
        <v>-0.43555504709516346</v>
      </c>
    </row>
    <row r="42" spans="1:27" ht="15" customHeight="1" x14ac:dyDescent="0.45">
      <c r="B42" s="1" t="s">
        <v>33</v>
      </c>
      <c r="E42" s="1">
        <f>605.24</f>
        <v>605.24</v>
      </c>
      <c r="F42" s="1">
        <f>40810.88</f>
        <v>40810.879999999997</v>
      </c>
      <c r="G42" s="1">
        <f t="shared" si="12"/>
        <v>41416.119999999995</v>
      </c>
      <c r="I42" s="1">
        <f>669.08</f>
        <v>669.08</v>
      </c>
      <c r="J42" s="1">
        <f>20564.56</f>
        <v>20564.560000000001</v>
      </c>
      <c r="K42" s="1">
        <f t="shared" si="13"/>
        <v>21233.640000000003</v>
      </c>
      <c r="N42" s="1">
        <f>1088.45</f>
        <v>1088.45</v>
      </c>
      <c r="O42" s="1">
        <f>36880.19</f>
        <v>36880.19</v>
      </c>
      <c r="P42" s="1">
        <f t="shared" si="14"/>
        <v>37968.639999999999</v>
      </c>
      <c r="R42" s="1">
        <f>1077.01</f>
        <v>1077.01</v>
      </c>
      <c r="S42" s="1">
        <f>46755.9</f>
        <v>46755.9</v>
      </c>
      <c r="T42" s="1">
        <f t="shared" si="15"/>
        <v>47832.91</v>
      </c>
      <c r="V42" s="1">
        <f>173.25</f>
        <v>173.25</v>
      </c>
      <c r="W42" s="1">
        <f>17576.28</f>
        <v>17576.28</v>
      </c>
      <c r="X42" s="1">
        <f t="shared" si="16"/>
        <v>17749.53</v>
      </c>
      <c r="Z42" s="1">
        <f t="shared" si="5"/>
        <v>-23666.589999999997</v>
      </c>
      <c r="AA42" s="32">
        <f t="shared" si="6"/>
        <v>-0.57143426279429366</v>
      </c>
    </row>
    <row r="43" spans="1:27" ht="15" customHeight="1" x14ac:dyDescent="0.45">
      <c r="B43" s="1" t="s">
        <v>161</v>
      </c>
      <c r="V43" s="1">
        <f>1143.74</f>
        <v>1143.74</v>
      </c>
      <c r="W43" s="1">
        <f>743161.75</f>
        <v>743161.75</v>
      </c>
      <c r="X43" s="1">
        <f t="shared" si="16"/>
        <v>744305.49</v>
      </c>
      <c r="Z43" s="1">
        <f t="shared" si="5"/>
        <v>744305.49</v>
      </c>
    </row>
    <row r="44" spans="1:27" ht="15" customHeight="1" x14ac:dyDescent="0.45">
      <c r="B44" s="1" t="s">
        <v>34</v>
      </c>
      <c r="E44" s="1">
        <f>180.74</f>
        <v>180.74</v>
      </c>
      <c r="F44" s="1">
        <f>-51180+1478801.23+73125.6</f>
        <v>1500746.83</v>
      </c>
      <c r="G44" s="1">
        <f t="shared" si="12"/>
        <v>1500927.57</v>
      </c>
      <c r="I44" s="1">
        <f>771.87</f>
        <v>771.87</v>
      </c>
      <c r="J44" s="1">
        <f>1446166.25+70926.56</f>
        <v>1517092.81</v>
      </c>
      <c r="K44" s="1">
        <f t="shared" si="13"/>
        <v>1517864.6800000002</v>
      </c>
      <c r="N44" s="1">
        <v>692.55</v>
      </c>
      <c r="O44" s="1">
        <f>1575007.09+55983.6-28267.5+66000</f>
        <v>1668723.1900000002</v>
      </c>
      <c r="P44" s="1">
        <f t="shared" si="14"/>
        <v>1669415.7400000002</v>
      </c>
      <c r="R44" s="1">
        <f>690.55</f>
        <v>690.55</v>
      </c>
      <c r="S44" s="1">
        <f>1479783.49+48747.96-66000+66000</f>
        <v>1528531.45</v>
      </c>
      <c r="T44" s="1">
        <f t="shared" si="15"/>
        <v>1529222</v>
      </c>
      <c r="V44" s="1">
        <f>772.26</f>
        <v>772.26</v>
      </c>
      <c r="W44" s="1">
        <f>1518879.62+30448.13</f>
        <v>1549327.75</v>
      </c>
      <c r="X44" s="1">
        <f t="shared" si="16"/>
        <v>1550100.01</v>
      </c>
      <c r="Z44" s="1">
        <f t="shared" si="5"/>
        <v>49172.439999999944</v>
      </c>
      <c r="AA44" s="32">
        <f t="shared" si="6"/>
        <v>3.2761367692113179E-2</v>
      </c>
    </row>
    <row r="45" spans="1:27" ht="15" customHeight="1" x14ac:dyDescent="0.45">
      <c r="B45" s="1" t="s">
        <v>140</v>
      </c>
      <c r="R45" s="1">
        <f>276.82</f>
        <v>276.82</v>
      </c>
      <c r="S45" s="1">
        <v>0</v>
      </c>
      <c r="T45" s="1">
        <f t="shared" si="15"/>
        <v>276.82</v>
      </c>
      <c r="V45" s="1">
        <v>0</v>
      </c>
      <c r="W45" s="1">
        <v>0</v>
      </c>
      <c r="X45" s="1">
        <f t="shared" si="16"/>
        <v>0</v>
      </c>
      <c r="Z45" s="1">
        <f t="shared" si="5"/>
        <v>0</v>
      </c>
    </row>
    <row r="46" spans="1:27" ht="15" customHeight="1" x14ac:dyDescent="0.45">
      <c r="B46" s="1" t="s">
        <v>35</v>
      </c>
      <c r="E46" s="1">
        <f>975.82</f>
        <v>975.82</v>
      </c>
      <c r="F46" s="1">
        <f>620681.06+17955.28</f>
        <v>638636.34000000008</v>
      </c>
      <c r="G46" s="1">
        <f t="shared" si="12"/>
        <v>639612.16000000003</v>
      </c>
      <c r="I46" s="1">
        <f>138.57</f>
        <v>138.57</v>
      </c>
      <c r="J46" s="1">
        <f>597060.06+15390.16</f>
        <v>612450.22000000009</v>
      </c>
      <c r="K46" s="1">
        <f t="shared" si="13"/>
        <v>612588.79</v>
      </c>
      <c r="N46" s="1">
        <v>688.73</v>
      </c>
      <c r="O46" s="1">
        <f>593567.65+17955.24</f>
        <v>611522.89</v>
      </c>
      <c r="P46" s="1">
        <f t="shared" si="14"/>
        <v>612211.62</v>
      </c>
      <c r="R46" s="1">
        <f>673.28</f>
        <v>673.28</v>
      </c>
      <c r="S46" s="1">
        <f>656037.87+12000</f>
        <v>668037.87</v>
      </c>
      <c r="T46" s="1">
        <f t="shared" si="15"/>
        <v>668711.15</v>
      </c>
      <c r="V46" s="1">
        <f>367.3</f>
        <v>367.3</v>
      </c>
      <c r="W46" s="1">
        <f>661506.54+16525.01</f>
        <v>678031.55</v>
      </c>
      <c r="X46" s="1">
        <f t="shared" si="16"/>
        <v>678398.85000000009</v>
      </c>
      <c r="Z46" s="1">
        <f t="shared" si="5"/>
        <v>38786.690000000061</v>
      </c>
      <c r="AA46" s="32">
        <f t="shared" si="6"/>
        <v>6.0640951541634319E-2</v>
      </c>
    </row>
    <row r="47" spans="1:27" ht="15" customHeight="1" x14ac:dyDescent="0.45">
      <c r="B47" s="1" t="s">
        <v>36</v>
      </c>
      <c r="E47" s="1">
        <f>55</f>
        <v>55</v>
      </c>
      <c r="F47" s="1">
        <f>786167.62+28650.4</f>
        <v>814818.02</v>
      </c>
      <c r="G47" s="1">
        <f t="shared" si="12"/>
        <v>814873.02</v>
      </c>
      <c r="I47" s="1">
        <f>750</f>
        <v>750</v>
      </c>
      <c r="J47" s="1">
        <f>912577.56+28086.36</f>
        <v>940663.92</v>
      </c>
      <c r="K47" s="1">
        <f t="shared" si="13"/>
        <v>941413.92</v>
      </c>
      <c r="N47" s="1">
        <v>0</v>
      </c>
      <c r="O47" s="1">
        <f>860632.96+25650.4</f>
        <v>886283.36</v>
      </c>
      <c r="P47" s="1">
        <f t="shared" si="14"/>
        <v>886283.36</v>
      </c>
      <c r="R47" s="1">
        <f>365.18</f>
        <v>365.18</v>
      </c>
      <c r="S47" s="1">
        <f>796470.61+39000</f>
        <v>835470.61</v>
      </c>
      <c r="T47" s="1">
        <f t="shared" si="15"/>
        <v>835835.79</v>
      </c>
      <c r="V47" s="1">
        <v>0</v>
      </c>
      <c r="W47" s="1">
        <f>904514.28+52400.56</f>
        <v>956914.84000000008</v>
      </c>
      <c r="X47" s="1">
        <f t="shared" si="16"/>
        <v>956914.84000000008</v>
      </c>
      <c r="Z47" s="1">
        <f t="shared" si="5"/>
        <v>142041.82000000007</v>
      </c>
      <c r="AA47" s="32">
        <f t="shared" si="6"/>
        <v>0.17431160010672592</v>
      </c>
    </row>
    <row r="48" spans="1:27" ht="15" customHeight="1" x14ac:dyDescent="0.45">
      <c r="B48" s="1" t="s">
        <v>37</v>
      </c>
      <c r="E48" s="1">
        <f>739.11+1271.21</f>
        <v>2010.3200000000002</v>
      </c>
      <c r="F48" s="1">
        <f>1579639.17+8445.52</f>
        <v>1588084.69</v>
      </c>
      <c r="G48" s="1">
        <f t="shared" si="12"/>
        <v>1590095.01</v>
      </c>
      <c r="I48" s="1">
        <f>1725.11+626.97</f>
        <v>2352.08</v>
      </c>
      <c r="J48" s="1">
        <f>1486105.39+51300.56</f>
        <v>1537405.95</v>
      </c>
      <c r="K48" s="1">
        <f t="shared" si="13"/>
        <v>1539758.03</v>
      </c>
      <c r="N48" s="1">
        <f>650+1168.28</f>
        <v>1818.28</v>
      </c>
      <c r="O48" s="1">
        <f>1423384.1+327751.84+48735.52</f>
        <v>1799871.4600000002</v>
      </c>
      <c r="P48" s="1">
        <f t="shared" si="14"/>
        <v>1801689.7400000002</v>
      </c>
      <c r="R48" s="1">
        <f>649.91+151.86</f>
        <v>801.77</v>
      </c>
      <c r="S48" s="1">
        <f>650698.81+904317.1+36000+38000</f>
        <v>1629015.9100000001</v>
      </c>
      <c r="T48" s="1">
        <f t="shared" si="15"/>
        <v>1629817.6800000002</v>
      </c>
      <c r="V48" s="1">
        <f>116.03</f>
        <v>116.03</v>
      </c>
      <c r="W48" s="1">
        <f>959675.71+42575.12+28383.68</f>
        <v>1030634.51</v>
      </c>
      <c r="X48" s="1">
        <f t="shared" si="16"/>
        <v>1030750.54</v>
      </c>
      <c r="Z48" s="1">
        <f t="shared" si="5"/>
        <v>-559344.47</v>
      </c>
      <c r="AA48" s="32">
        <f t="shared" si="6"/>
        <v>-0.35176795504817032</v>
      </c>
    </row>
    <row r="49" spans="1:27" ht="15" customHeight="1" x14ac:dyDescent="0.75">
      <c r="B49" s="1" t="s">
        <v>38</v>
      </c>
      <c r="E49" s="2">
        <f>29.98</f>
        <v>29.98</v>
      </c>
      <c r="F49" s="2">
        <f>967350.51+5130.08+61700.04</f>
        <v>1034180.63</v>
      </c>
      <c r="G49" s="2">
        <f t="shared" si="12"/>
        <v>1034210.61</v>
      </c>
      <c r="I49" s="2">
        <f>57.99</f>
        <v>57.99</v>
      </c>
      <c r="J49" s="2">
        <f>798452.44+7695.12+62950.08</f>
        <v>869097.6399999999</v>
      </c>
      <c r="K49" s="2">
        <f t="shared" si="13"/>
        <v>869155.62999999989</v>
      </c>
      <c r="N49" s="2">
        <f>80</f>
        <v>80</v>
      </c>
      <c r="O49" s="2">
        <f>916499.82+10260.16-19105</f>
        <v>907654.98</v>
      </c>
      <c r="P49" s="2">
        <f t="shared" si="14"/>
        <v>907734.98</v>
      </c>
      <c r="R49" s="1">
        <v>0</v>
      </c>
      <c r="S49" s="1">
        <f>934585.1+7500</f>
        <v>942085.1</v>
      </c>
      <c r="T49" s="2">
        <f t="shared" si="15"/>
        <v>942085.1</v>
      </c>
      <c r="V49" s="2">
        <f>23.91</f>
        <v>23.91</v>
      </c>
      <c r="W49" s="2">
        <f>1042523.92+6550.08</f>
        <v>1049074</v>
      </c>
      <c r="X49" s="2">
        <f t="shared" si="16"/>
        <v>1049097.9099999999</v>
      </c>
      <c r="Z49" s="1">
        <f t="shared" si="5"/>
        <v>14887.29999999993</v>
      </c>
      <c r="AA49" s="32">
        <f t="shared" si="6"/>
        <v>1.439484361894134E-2</v>
      </c>
    </row>
    <row r="50" spans="1:27" ht="15" customHeight="1" x14ac:dyDescent="0.75">
      <c r="E50" s="2">
        <f>SUM(E39:E49)</f>
        <v>289781.99</v>
      </c>
      <c r="F50" s="2">
        <f>SUM(F39:F49)</f>
        <v>5946799.9900000002</v>
      </c>
      <c r="G50" s="2">
        <f>SUM(G39:G49)</f>
        <v>6236581.9800000004</v>
      </c>
      <c r="I50" s="2">
        <f>SUM(I39:I49)</f>
        <v>327434.07</v>
      </c>
      <c r="J50" s="2">
        <f>SUM(J39:J49)</f>
        <v>5881061.9100000001</v>
      </c>
      <c r="K50" s="2">
        <f>SUM(K39:K49)</f>
        <v>6208495.9800000004</v>
      </c>
      <c r="N50" s="2">
        <f>SUM(N39:N49)</f>
        <v>298800.29000000004</v>
      </c>
      <c r="O50" s="2">
        <f>SUM(O39:O49)</f>
        <v>6350977.290000001</v>
      </c>
      <c r="P50" s="2">
        <f>SUM(P39:P49)</f>
        <v>6649777.5800000001</v>
      </c>
      <c r="R50" s="2">
        <f>SUM(R39:R49)</f>
        <v>321373.84000000003</v>
      </c>
      <c r="S50" s="2">
        <f>SUM(S39:S49)</f>
        <v>6096830.0700000003</v>
      </c>
      <c r="T50" s="2">
        <f>SUM(T39:T49)</f>
        <v>6418203.9100000001</v>
      </c>
      <c r="V50" s="2">
        <f>SUM(V39:V49)</f>
        <v>223733.31999999998</v>
      </c>
      <c r="W50" s="2">
        <f>SUM(W39:W49)</f>
        <v>6458046.8399999999</v>
      </c>
      <c r="X50" s="2">
        <f>SUM(X39:X49)</f>
        <v>6681780.1600000001</v>
      </c>
      <c r="Z50" s="1">
        <f t="shared" si="5"/>
        <v>445198.1799999997</v>
      </c>
      <c r="AA50" s="32">
        <f t="shared" si="6"/>
        <v>7.1384963979901003E-2</v>
      </c>
    </row>
    <row r="51" spans="1:27" ht="15" customHeight="1" x14ac:dyDescent="0.45">
      <c r="A51" s="1" t="s">
        <v>39</v>
      </c>
      <c r="G51" s="1">
        <f t="shared" ref="G51:G70" si="17">F51+E51</f>
        <v>0</v>
      </c>
      <c r="K51" s="1">
        <f t="shared" ref="K51:K70" si="18">J51+I51</f>
        <v>0</v>
      </c>
      <c r="P51" s="1">
        <f t="shared" ref="P51:P70" si="19">O51+N51</f>
        <v>0</v>
      </c>
      <c r="T51" s="1">
        <f t="shared" ref="T51:T70" si="20">S51+R51</f>
        <v>0</v>
      </c>
      <c r="X51" s="1">
        <f t="shared" ref="X51:X70" si="21">W51+V51</f>
        <v>0</v>
      </c>
      <c r="Z51" s="1">
        <f t="shared" si="5"/>
        <v>0</v>
      </c>
    </row>
    <row r="52" spans="1:27" ht="15" customHeight="1" x14ac:dyDescent="0.45">
      <c r="B52" s="1" t="s">
        <v>24</v>
      </c>
      <c r="E52" s="1">
        <f>2000+54482.52+80482.73+5188.63</f>
        <v>142153.88</v>
      </c>
      <c r="F52" s="1">
        <f>264446.68+12740.66-23224.98+5130.08+2565.04+18512.5+6338.25+1536</f>
        <v>288044.23</v>
      </c>
      <c r="G52" s="1">
        <f t="shared" si="17"/>
        <v>430198.11</v>
      </c>
      <c r="I52" s="1">
        <f>2000+50719.19+68046.7+5070.46+310.31</f>
        <v>126146.66</v>
      </c>
      <c r="J52" s="1">
        <f>284127.08</f>
        <v>284127.08</v>
      </c>
      <c r="K52" s="1">
        <f t="shared" si="18"/>
        <v>410273.74</v>
      </c>
      <c r="N52" s="1">
        <f>48391.16+67868.15+5227.3+3126.14-4950</f>
        <v>119662.75</v>
      </c>
      <c r="O52" s="1">
        <f>289384.07</f>
        <v>289384.07</v>
      </c>
      <c r="P52" s="1">
        <f t="shared" si="19"/>
        <v>409046.82</v>
      </c>
      <c r="R52" s="1">
        <f>2250+47901.49+70382.8+5051.84+3000+5000+18742.09</f>
        <v>152328.22</v>
      </c>
      <c r="S52" s="1">
        <f>317963.29+6000</f>
        <v>323963.28999999998</v>
      </c>
      <c r="T52" s="1">
        <f t="shared" si="20"/>
        <v>476291.51</v>
      </c>
      <c r="V52" s="1">
        <f>2250+45379.53+7387.29+59707.8+7628.64+5000+1000+2994.32</f>
        <v>131347.57999999999</v>
      </c>
      <c r="W52" s="1">
        <f>311020.38+2565+3275.04</f>
        <v>316860.42</v>
      </c>
      <c r="X52" s="1">
        <f t="shared" si="21"/>
        <v>448208</v>
      </c>
      <c r="Z52" s="1">
        <f t="shared" si="5"/>
        <v>18009.890000000014</v>
      </c>
      <c r="AA52" s="32">
        <f t="shared" si="6"/>
        <v>4.1864177413517729E-2</v>
      </c>
    </row>
    <row r="53" spans="1:27" ht="15" customHeight="1" x14ac:dyDescent="0.45">
      <c r="B53" s="1" t="s">
        <v>95</v>
      </c>
      <c r="E53" s="1">
        <f>39039</f>
        <v>39039</v>
      </c>
      <c r="F53" s="1">
        <f>81607.63</f>
        <v>81607.63</v>
      </c>
      <c r="G53" s="1">
        <f t="shared" si="17"/>
        <v>120646.63</v>
      </c>
      <c r="I53" s="1">
        <f>38272</f>
        <v>38272</v>
      </c>
      <c r="J53" s="1">
        <v>87283.7</v>
      </c>
      <c r="K53" s="1">
        <f t="shared" si="18"/>
        <v>125555.7</v>
      </c>
      <c r="N53" s="1">
        <v>38550</v>
      </c>
      <c r="O53" s="1">
        <v>91741.72</v>
      </c>
      <c r="P53" s="1">
        <f t="shared" si="19"/>
        <v>130291.72</v>
      </c>
      <c r="R53" s="1">
        <v>35703</v>
      </c>
      <c r="S53" s="1">
        <v>0</v>
      </c>
      <c r="T53" s="1">
        <f t="shared" si="20"/>
        <v>35703</v>
      </c>
      <c r="V53" s="1">
        <f>35230</f>
        <v>35230</v>
      </c>
      <c r="W53" s="1">
        <f>89784.87</f>
        <v>89784.87</v>
      </c>
      <c r="X53" s="1">
        <f t="shared" si="21"/>
        <v>125014.87</v>
      </c>
      <c r="Z53" s="1">
        <f t="shared" si="5"/>
        <v>4368.2399999999907</v>
      </c>
      <c r="AA53" s="32">
        <f t="shared" si="6"/>
        <v>3.6206896122999793E-2</v>
      </c>
    </row>
    <row r="54" spans="1:27" ht="15" customHeight="1" x14ac:dyDescent="0.45">
      <c r="B54" s="1" t="s">
        <v>40</v>
      </c>
      <c r="E54" s="1">
        <f>5072.96+3000+2060+1000</f>
        <v>11132.96</v>
      </c>
      <c r="F54" s="1">
        <f>739711.5+33267.49</f>
        <v>772978.99</v>
      </c>
      <c r="G54" s="1">
        <f t="shared" si="17"/>
        <v>784111.95</v>
      </c>
      <c r="I54" s="1">
        <f>5943.25+3000+1082.51+1300+371.75</f>
        <v>11697.51</v>
      </c>
      <c r="J54" s="1">
        <f>707570.12+7833.48+37593.12</f>
        <v>752996.72</v>
      </c>
      <c r="K54" s="1">
        <f t="shared" si="18"/>
        <v>764694.23</v>
      </c>
      <c r="N54" s="1">
        <f>7395.68+2905.61+21027.82+400</f>
        <v>31729.11</v>
      </c>
      <c r="O54" s="1">
        <f>700721.72+36818.08-19105</f>
        <v>718434.79999999993</v>
      </c>
      <c r="P54" s="1">
        <f t="shared" si="19"/>
        <v>750163.90999999992</v>
      </c>
      <c r="R54" s="1">
        <f>301+9070.6+1352.26+300</f>
        <v>11023.86</v>
      </c>
      <c r="S54" s="1">
        <f>768951.37+46000</f>
        <v>814951.37</v>
      </c>
      <c r="T54" s="1">
        <f t="shared" si="20"/>
        <v>825975.23</v>
      </c>
      <c r="V54" s="1">
        <f>6401.06+3250+1896.26+150</f>
        <v>11697.320000000002</v>
      </c>
      <c r="W54" s="1">
        <f>828841.39+42575.2</f>
        <v>871416.59</v>
      </c>
      <c r="X54" s="1">
        <f t="shared" si="21"/>
        <v>883113.90999999992</v>
      </c>
      <c r="Z54" s="1">
        <f t="shared" si="5"/>
        <v>99001.959999999963</v>
      </c>
      <c r="AA54" s="32">
        <f t="shared" si="6"/>
        <v>0.12625998111621684</v>
      </c>
    </row>
    <row r="55" spans="1:27" ht="15" customHeight="1" x14ac:dyDescent="0.45">
      <c r="B55" s="1" t="s">
        <v>49</v>
      </c>
      <c r="E55" s="1">
        <f>1500+30660.34+150</f>
        <v>32310.34</v>
      </c>
      <c r="F55" s="1">
        <f>109371.85</f>
        <v>109371.85</v>
      </c>
      <c r="G55" s="1">
        <f t="shared" si="17"/>
        <v>141682.19</v>
      </c>
      <c r="I55" s="1">
        <f>28413.13</f>
        <v>28413.13</v>
      </c>
      <c r="J55" s="1">
        <v>114089.86</v>
      </c>
      <c r="K55" s="1">
        <f t="shared" si="18"/>
        <v>142502.99</v>
      </c>
      <c r="N55" s="1">
        <f>19576.11</f>
        <v>19576.11</v>
      </c>
      <c r="O55" s="1">
        <f>161397.38</f>
        <v>161397.38</v>
      </c>
      <c r="P55" s="1">
        <f t="shared" si="19"/>
        <v>180973.49</v>
      </c>
      <c r="R55" s="1">
        <f>23621.43</f>
        <v>23621.43</v>
      </c>
      <c r="S55" s="1">
        <f>167160.38</f>
        <v>167160.38</v>
      </c>
      <c r="T55" s="1">
        <f t="shared" si="20"/>
        <v>190781.81</v>
      </c>
      <c r="V55" s="1">
        <f>250+32796.82+200</f>
        <v>33246.82</v>
      </c>
      <c r="W55" s="1">
        <f>178140.52</f>
        <v>178140.52</v>
      </c>
      <c r="X55" s="1">
        <f t="shared" si="21"/>
        <v>211387.34</v>
      </c>
      <c r="Z55" s="1">
        <f t="shared" si="5"/>
        <v>69705.149999999994</v>
      </c>
      <c r="AA55" s="32">
        <f t="shared" si="6"/>
        <v>0.49198244324145463</v>
      </c>
    </row>
    <row r="56" spans="1:27" ht="15" customHeight="1" x14ac:dyDescent="0.45">
      <c r="B56" s="1" t="s">
        <v>106</v>
      </c>
      <c r="E56" s="1">
        <f>25818.94</f>
        <v>25818.94</v>
      </c>
      <c r="G56" s="1">
        <f t="shared" si="17"/>
        <v>25818.94</v>
      </c>
      <c r="I56" s="1">
        <f>22721.34</f>
        <v>22721.34</v>
      </c>
      <c r="K56" s="1">
        <f t="shared" si="18"/>
        <v>22721.34</v>
      </c>
      <c r="N56" s="1">
        <f>23218.36</f>
        <v>23218.36</v>
      </c>
      <c r="O56" s="1">
        <v>0</v>
      </c>
      <c r="P56" s="1">
        <f t="shared" si="19"/>
        <v>23218.36</v>
      </c>
      <c r="R56" s="1">
        <f>21241.91+1400</f>
        <v>22641.91</v>
      </c>
      <c r="S56" s="1">
        <v>0</v>
      </c>
      <c r="T56" s="1">
        <f t="shared" si="20"/>
        <v>22641.91</v>
      </c>
      <c r="V56" s="1">
        <f>21286.92+800</f>
        <v>22086.92</v>
      </c>
      <c r="W56" s="1">
        <v>0</v>
      </c>
      <c r="X56" s="1">
        <f t="shared" si="21"/>
        <v>22086.92</v>
      </c>
      <c r="Z56" s="1">
        <f t="shared" si="5"/>
        <v>-3732.0200000000004</v>
      </c>
      <c r="AA56" s="32">
        <f t="shared" si="6"/>
        <v>-0.14454582566131688</v>
      </c>
    </row>
    <row r="57" spans="1:27" ht="15" customHeight="1" x14ac:dyDescent="0.45">
      <c r="B57" s="1" t="s">
        <v>162</v>
      </c>
      <c r="Z57" s="1">
        <f t="shared" si="5"/>
        <v>0</v>
      </c>
    </row>
    <row r="58" spans="1:27" ht="15" customHeight="1" x14ac:dyDescent="0.45">
      <c r="B58" s="1" t="s">
        <v>50</v>
      </c>
      <c r="E58" s="1">
        <f>3722.38</f>
        <v>3722.38</v>
      </c>
      <c r="F58" s="1">
        <f>6548.85</f>
        <v>6548.85</v>
      </c>
      <c r="G58" s="1">
        <f t="shared" si="17"/>
        <v>10271.23</v>
      </c>
      <c r="I58" s="1">
        <f>3419.57</f>
        <v>3419.57</v>
      </c>
      <c r="J58" s="1">
        <v>5206.75</v>
      </c>
      <c r="K58" s="1">
        <f t="shared" si="18"/>
        <v>8626.32</v>
      </c>
      <c r="N58" s="1">
        <f>3558.21</f>
        <v>3558.21</v>
      </c>
      <c r="O58" s="1">
        <f>6040.53</f>
        <v>6040.53</v>
      </c>
      <c r="P58" s="1">
        <f t="shared" si="19"/>
        <v>9598.74</v>
      </c>
      <c r="R58" s="1">
        <f>3817.11</f>
        <v>3817.11</v>
      </c>
      <c r="S58" s="1">
        <f>6433.41</f>
        <v>6433.41</v>
      </c>
      <c r="T58" s="1">
        <f t="shared" si="20"/>
        <v>10250.52</v>
      </c>
      <c r="V58" s="1">
        <f>3179.42</f>
        <v>3179.42</v>
      </c>
      <c r="W58" s="1">
        <f>6674.97</f>
        <v>6674.97</v>
      </c>
      <c r="X58" s="1">
        <f t="shared" si="21"/>
        <v>9854.39</v>
      </c>
      <c r="Z58" s="1">
        <f t="shared" si="5"/>
        <v>-416.84000000000015</v>
      </c>
      <c r="AA58" s="32">
        <f t="shared" si="6"/>
        <v>-4.0583260232708272E-2</v>
      </c>
    </row>
    <row r="59" spans="1:27" ht="15" customHeight="1" x14ac:dyDescent="0.45">
      <c r="B59" s="1" t="s">
        <v>41</v>
      </c>
      <c r="E59" s="1">
        <f>5374.94+9200</f>
        <v>14574.939999999999</v>
      </c>
      <c r="F59" s="1">
        <f>356431.85+23085.36</f>
        <v>379517.20999999996</v>
      </c>
      <c r="G59" s="1">
        <f t="shared" si="17"/>
        <v>394092.14999999997</v>
      </c>
      <c r="I59" s="1">
        <f>7034.12+8200</f>
        <v>15234.119999999999</v>
      </c>
      <c r="J59" s="1">
        <f>356801.54+28215.44</f>
        <v>385016.98</v>
      </c>
      <c r="K59" s="1">
        <f t="shared" si="18"/>
        <v>400251.1</v>
      </c>
      <c r="N59" s="1">
        <f>8702.7+6400</f>
        <v>15102.7</v>
      </c>
      <c r="O59" s="1">
        <f>324970.41+15390.24</f>
        <v>340360.64999999997</v>
      </c>
      <c r="P59" s="1">
        <f t="shared" si="19"/>
        <v>355463.35</v>
      </c>
      <c r="R59" s="1">
        <f>15448.9+6200</f>
        <v>21648.9</v>
      </c>
      <c r="S59" s="1">
        <f>348759.52+21000</f>
        <v>369759.52</v>
      </c>
      <c r="T59" s="1">
        <f t="shared" si="20"/>
        <v>391408.42000000004</v>
      </c>
      <c r="V59" s="1">
        <f>7405.04+7000+200+500</f>
        <v>15105.04</v>
      </c>
      <c r="W59" s="1">
        <f>340369.49+42575.52</f>
        <v>382945.01</v>
      </c>
      <c r="X59" s="1">
        <f t="shared" si="21"/>
        <v>398050.05</v>
      </c>
      <c r="Z59" s="1">
        <f t="shared" si="5"/>
        <v>3957.9000000000233</v>
      </c>
      <c r="AA59" s="32">
        <f t="shared" si="6"/>
        <v>1.00430825633041E-2</v>
      </c>
    </row>
    <row r="60" spans="1:27" ht="15" customHeight="1" x14ac:dyDescent="0.45">
      <c r="B60" s="1" t="s">
        <v>42</v>
      </c>
      <c r="E60" s="1">
        <f>863.31</f>
        <v>863.31</v>
      </c>
      <c r="F60" s="1">
        <f>1257577.53+16245.12</f>
        <v>1273822.6500000001</v>
      </c>
      <c r="G60" s="1">
        <f t="shared" si="17"/>
        <v>1274685.9600000002</v>
      </c>
      <c r="I60" s="1">
        <f>1047.07</f>
        <v>1047.07</v>
      </c>
      <c r="J60" s="1">
        <f>1021397.91+17672.72</f>
        <v>1039070.63</v>
      </c>
      <c r="K60" s="1">
        <f t="shared" si="18"/>
        <v>1040117.7</v>
      </c>
      <c r="N60" s="1">
        <f>617.5</f>
        <v>617.5</v>
      </c>
      <c r="O60" s="1">
        <f>1191653.86+12825.12</f>
        <v>1204478.9800000002</v>
      </c>
      <c r="P60" s="1">
        <f t="shared" si="19"/>
        <v>1205096.4800000002</v>
      </c>
      <c r="R60" s="1">
        <f>166.94</f>
        <v>166.94</v>
      </c>
      <c r="S60" s="1">
        <f>1192956.39+7000-21750+21750</f>
        <v>1199956.3899999999</v>
      </c>
      <c r="T60" s="1">
        <f t="shared" si="20"/>
        <v>1200123.3299999998</v>
      </c>
      <c r="V60" s="1">
        <f>941.7</f>
        <v>941.7</v>
      </c>
      <c r="W60" s="1">
        <f>1154247.52+22925.28</f>
        <v>1177172.8</v>
      </c>
      <c r="X60" s="1">
        <f t="shared" si="21"/>
        <v>1178114.5</v>
      </c>
      <c r="Z60" s="1">
        <f t="shared" si="5"/>
        <v>-96571.460000000196</v>
      </c>
      <c r="AA60" s="32">
        <f t="shared" si="6"/>
        <v>-7.5760981944133263E-2</v>
      </c>
    </row>
    <row r="61" spans="1:27" ht="15" customHeight="1" x14ac:dyDescent="0.45">
      <c r="B61" s="1" t="s">
        <v>142</v>
      </c>
      <c r="R61" s="1">
        <f>911.75</f>
        <v>911.75</v>
      </c>
      <c r="S61" s="1">
        <f>22740.46</f>
        <v>22740.46</v>
      </c>
      <c r="T61" s="1">
        <f t="shared" si="20"/>
        <v>23652.21</v>
      </c>
      <c r="V61" s="1">
        <f>1645.09</f>
        <v>1645.09</v>
      </c>
      <c r="W61" s="1">
        <f>12416.8+46730.83</f>
        <v>59147.630000000005</v>
      </c>
      <c r="X61" s="1">
        <f t="shared" si="21"/>
        <v>60792.72</v>
      </c>
      <c r="Z61" s="1">
        <f t="shared" si="5"/>
        <v>60792.72</v>
      </c>
    </row>
    <row r="62" spans="1:27" ht="15" customHeight="1" x14ac:dyDescent="0.45">
      <c r="B62" s="1" t="s">
        <v>43</v>
      </c>
      <c r="E62" s="1">
        <f>2664.43</f>
        <v>2664.43</v>
      </c>
      <c r="F62" s="1">
        <f>953335.23+7695.12</f>
        <v>961030.35</v>
      </c>
      <c r="G62" s="1">
        <f t="shared" si="17"/>
        <v>963694.78</v>
      </c>
      <c r="I62" s="1">
        <f>2229.19</f>
        <v>2229.19</v>
      </c>
      <c r="J62" s="1">
        <f>804612.78+20520.16</f>
        <v>825132.94000000006</v>
      </c>
      <c r="K62" s="1">
        <f t="shared" si="18"/>
        <v>827362.13</v>
      </c>
      <c r="N62" s="1">
        <f>1492.4</f>
        <v>1492.4</v>
      </c>
      <c r="O62" s="1">
        <f>712451.96+20520.24</f>
        <v>732972.2</v>
      </c>
      <c r="P62" s="1">
        <f t="shared" si="19"/>
        <v>734464.6</v>
      </c>
      <c r="R62" s="1">
        <f>3251.57+246.4+1182</f>
        <v>4679.97</v>
      </c>
      <c r="S62" s="1">
        <f>720682.09+39000</f>
        <v>759682.09</v>
      </c>
      <c r="T62" s="1">
        <f t="shared" si="20"/>
        <v>764362.05999999994</v>
      </c>
      <c r="V62" s="1">
        <f>1683.14</f>
        <v>1683.14</v>
      </c>
      <c r="W62" s="1">
        <f>703086.12+22925.28</f>
        <v>726011.4</v>
      </c>
      <c r="X62" s="1">
        <f t="shared" si="21"/>
        <v>727694.54</v>
      </c>
      <c r="Z62" s="1">
        <f t="shared" si="5"/>
        <v>-236000.24</v>
      </c>
      <c r="AA62" s="32">
        <f t="shared" si="6"/>
        <v>-0.24489106395284199</v>
      </c>
    </row>
    <row r="63" spans="1:27" ht="15" customHeight="1" x14ac:dyDescent="0.45">
      <c r="B63" s="1" t="s">
        <v>44</v>
      </c>
      <c r="E63" s="1">
        <f>1643.4</f>
        <v>1643.4</v>
      </c>
      <c r="F63" s="1">
        <f>517486.82+95499.94+56430.44</f>
        <v>669417.19999999995</v>
      </c>
      <c r="G63" s="1">
        <f t="shared" si="17"/>
        <v>671060.6</v>
      </c>
      <c r="I63" s="1">
        <f>1986.27</f>
        <v>1986.27</v>
      </c>
      <c r="J63" s="1">
        <f>454395.36+95499.92+44040.4+5130.08</f>
        <v>599065.76</v>
      </c>
      <c r="K63" s="1">
        <f t="shared" si="18"/>
        <v>601052.03</v>
      </c>
      <c r="N63" s="1">
        <f>1457.91</f>
        <v>1457.91</v>
      </c>
      <c r="O63" s="1">
        <f>463488.36+100459.92+33345.28-19105</f>
        <v>578188.56000000006</v>
      </c>
      <c r="P63" s="1">
        <f t="shared" si="19"/>
        <v>579646.47000000009</v>
      </c>
      <c r="R63" s="1">
        <f>1401.98</f>
        <v>1401.98</v>
      </c>
      <c r="S63" s="1">
        <f>458854.96+115833.93+50975.01</f>
        <v>625663.9</v>
      </c>
      <c r="T63" s="1">
        <f t="shared" si="20"/>
        <v>627065.88</v>
      </c>
      <c r="V63" s="1">
        <f>1389.52</f>
        <v>1389.52</v>
      </c>
      <c r="W63" s="1">
        <f>496629.15+109854.91+39300.24</f>
        <v>645784.30000000005</v>
      </c>
      <c r="X63" s="1">
        <f t="shared" si="21"/>
        <v>647173.82000000007</v>
      </c>
      <c r="Z63" s="1">
        <f t="shared" si="5"/>
        <v>-23886.779999999912</v>
      </c>
      <c r="AA63" s="32">
        <f t="shared" si="6"/>
        <v>-3.5595563202488585E-2</v>
      </c>
    </row>
    <row r="64" spans="1:27" ht="15" customHeight="1" x14ac:dyDescent="0.45">
      <c r="B64" s="1" t="s">
        <v>107</v>
      </c>
      <c r="G64" s="1">
        <f t="shared" si="17"/>
        <v>0</v>
      </c>
      <c r="K64" s="1">
        <f t="shared" si="18"/>
        <v>0</v>
      </c>
      <c r="N64" s="1">
        <v>0</v>
      </c>
      <c r="O64" s="1">
        <v>0</v>
      </c>
      <c r="P64" s="1">
        <f t="shared" si="19"/>
        <v>0</v>
      </c>
      <c r="R64" s="1">
        <v>0</v>
      </c>
      <c r="S64" s="1">
        <v>0</v>
      </c>
      <c r="T64" s="1">
        <f t="shared" si="20"/>
        <v>0</v>
      </c>
      <c r="V64" s="1">
        <v>0</v>
      </c>
      <c r="W64" s="1">
        <v>0</v>
      </c>
      <c r="X64" s="1">
        <f t="shared" si="21"/>
        <v>0</v>
      </c>
      <c r="Z64" s="1">
        <f t="shared" si="5"/>
        <v>0</v>
      </c>
    </row>
    <row r="65" spans="1:27" ht="15" customHeight="1" x14ac:dyDescent="0.45">
      <c r="B65" s="1" t="s">
        <v>52</v>
      </c>
      <c r="E65" s="1">
        <f>2274.03</f>
        <v>2274.0300000000002</v>
      </c>
      <c r="F65" s="1">
        <f>723632.54</f>
        <v>723632.54</v>
      </c>
      <c r="G65" s="1">
        <f t="shared" si="17"/>
        <v>725906.57000000007</v>
      </c>
      <c r="I65" s="1">
        <f>3311.53</f>
        <v>3311.53</v>
      </c>
      <c r="J65" s="1">
        <f>559501.66+2565.04</f>
        <v>562066.70000000007</v>
      </c>
      <c r="K65" s="1">
        <f t="shared" si="18"/>
        <v>565378.2300000001</v>
      </c>
      <c r="N65" s="1">
        <f>1641.64</f>
        <v>1641.64</v>
      </c>
      <c r="O65" s="1">
        <f>500441.2+2565.04</f>
        <v>503006.24</v>
      </c>
      <c r="P65" s="1">
        <f t="shared" si="19"/>
        <v>504647.88</v>
      </c>
      <c r="R65" s="1">
        <f>2058.43</f>
        <v>2058.4299999999998</v>
      </c>
      <c r="S65" s="1">
        <f>554361.62+12000</f>
        <v>566361.62</v>
      </c>
      <c r="T65" s="1">
        <f t="shared" si="20"/>
        <v>568420.05000000005</v>
      </c>
      <c r="V65" s="1">
        <f>1506.46</f>
        <v>1506.46</v>
      </c>
      <c r="W65" s="1">
        <f>507421.58+3275.04</f>
        <v>510696.62</v>
      </c>
      <c r="X65" s="1">
        <f t="shared" si="21"/>
        <v>512203.08</v>
      </c>
      <c r="Z65" s="1">
        <f t="shared" si="5"/>
        <v>-213703.49000000005</v>
      </c>
      <c r="AA65" s="32">
        <f t="shared" si="6"/>
        <v>-0.29439531040475364</v>
      </c>
    </row>
    <row r="66" spans="1:27" ht="15" customHeight="1" x14ac:dyDescent="0.45">
      <c r="B66" s="1" t="s">
        <v>51</v>
      </c>
      <c r="E66" s="1">
        <f>2279.12</f>
        <v>2279.12</v>
      </c>
      <c r="F66" s="1">
        <f>581315.08+5000</f>
        <v>586315.07999999996</v>
      </c>
      <c r="G66" s="1">
        <f t="shared" si="17"/>
        <v>588594.19999999995</v>
      </c>
      <c r="I66" s="1">
        <f>2130.31</f>
        <v>2130.31</v>
      </c>
      <c r="J66" s="1">
        <f>549173.78+10000</f>
        <v>559173.78</v>
      </c>
      <c r="K66" s="1">
        <f t="shared" si="18"/>
        <v>561304.09000000008</v>
      </c>
      <c r="N66" s="1">
        <f>1697.44</f>
        <v>1697.44</v>
      </c>
      <c r="O66" s="1">
        <f>605070.18</f>
        <v>605070.18000000005</v>
      </c>
      <c r="P66" s="1">
        <f t="shared" si="19"/>
        <v>606767.62</v>
      </c>
      <c r="R66" s="1">
        <f>1782.78</f>
        <v>1782.78</v>
      </c>
      <c r="S66" s="1">
        <f>598415.08+13435</f>
        <v>611850.07999999996</v>
      </c>
      <c r="T66" s="1">
        <f t="shared" si="20"/>
        <v>613632.86</v>
      </c>
      <c r="V66" s="1">
        <f>1397.71</f>
        <v>1397.71</v>
      </c>
      <c r="W66" s="1">
        <f>679017.35+3275.04</f>
        <v>682292.39</v>
      </c>
      <c r="X66" s="1">
        <f t="shared" si="21"/>
        <v>683690.1</v>
      </c>
      <c r="Z66" s="1">
        <f t="shared" si="5"/>
        <v>95095.900000000023</v>
      </c>
      <c r="AA66" s="32">
        <f t="shared" si="6"/>
        <v>0.16156445306460721</v>
      </c>
    </row>
    <row r="67" spans="1:27" ht="15" customHeight="1" x14ac:dyDescent="0.45">
      <c r="B67" s="1" t="s">
        <v>136</v>
      </c>
      <c r="E67" s="1">
        <f>5592.9</f>
        <v>5592.9</v>
      </c>
      <c r="F67" s="1">
        <f>972860.53+5130.08</f>
        <v>977990.61</v>
      </c>
      <c r="G67" s="1">
        <f t="shared" si="17"/>
        <v>983583.51</v>
      </c>
      <c r="I67" s="1">
        <f>7180.66</f>
        <v>7180.66</v>
      </c>
      <c r="J67" s="1">
        <f>1003276.15+17955.12</f>
        <v>1021231.27</v>
      </c>
      <c r="K67" s="1">
        <f t="shared" si="18"/>
        <v>1028411.93</v>
      </c>
      <c r="N67" s="1">
        <f>3983.65</f>
        <v>3983.65</v>
      </c>
      <c r="O67" s="1">
        <f>987296.68+7695.12-19105</f>
        <v>975886.8</v>
      </c>
      <c r="P67" s="1">
        <f t="shared" si="19"/>
        <v>979870.45000000007</v>
      </c>
      <c r="R67" s="1">
        <f>6049.9</f>
        <v>6049.9</v>
      </c>
      <c r="S67" s="1">
        <f>1052930.84+6000</f>
        <v>1058930.8400000001</v>
      </c>
      <c r="T67" s="1">
        <f t="shared" si="20"/>
        <v>1064980.74</v>
      </c>
      <c r="V67" s="1">
        <f>6528.06</f>
        <v>6528.06</v>
      </c>
      <c r="W67" s="1">
        <f>1153771.78+13100.16</f>
        <v>1166871.94</v>
      </c>
      <c r="X67" s="1">
        <f t="shared" si="21"/>
        <v>1173400</v>
      </c>
      <c r="Z67" s="1">
        <f t="shared" si="5"/>
        <v>189816.49</v>
      </c>
      <c r="AA67" s="32">
        <f t="shared" si="6"/>
        <v>0.1929846200857922</v>
      </c>
    </row>
    <row r="68" spans="1:27" ht="15" customHeight="1" x14ac:dyDescent="0.45">
      <c r="B68" s="1" t="s">
        <v>46</v>
      </c>
      <c r="E68" s="1">
        <f>1202.91</f>
        <v>1202.9100000000001</v>
      </c>
      <c r="F68" s="1">
        <f>903927.87+12825.2+43462.46</f>
        <v>960215.52999999991</v>
      </c>
      <c r="G68" s="1">
        <f t="shared" si="17"/>
        <v>961418.44</v>
      </c>
      <c r="I68" s="1">
        <f>1390.04</f>
        <v>1390.04</v>
      </c>
      <c r="J68" s="1">
        <f>843836.43+5130.08+61700.04</f>
        <v>910666.55</v>
      </c>
      <c r="K68" s="1">
        <f t="shared" si="18"/>
        <v>912056.59000000008</v>
      </c>
      <c r="N68" s="1">
        <f>1239.38</f>
        <v>1239.3800000000001</v>
      </c>
      <c r="O68" s="1">
        <f>884682.65+2565.04</f>
        <v>887247.69000000006</v>
      </c>
      <c r="P68" s="1">
        <f t="shared" si="19"/>
        <v>888487.07000000007</v>
      </c>
      <c r="R68" s="1">
        <f>695.29</f>
        <v>695.29</v>
      </c>
      <c r="S68" s="1">
        <f>882396.96+12000</f>
        <v>894396.96</v>
      </c>
      <c r="T68" s="1">
        <f t="shared" si="20"/>
        <v>895092.25</v>
      </c>
      <c r="V68" s="1">
        <f>1107.75</f>
        <v>1107.75</v>
      </c>
      <c r="W68" s="1">
        <f>859750.05+14410.16</f>
        <v>874160.21000000008</v>
      </c>
      <c r="X68" s="1">
        <f t="shared" si="21"/>
        <v>875267.96000000008</v>
      </c>
      <c r="Z68" s="1">
        <f t="shared" si="5"/>
        <v>-86150.479999999865</v>
      </c>
      <c r="AA68" s="32">
        <f t="shared" si="6"/>
        <v>-8.9607684246205924E-2</v>
      </c>
    </row>
    <row r="69" spans="1:27" ht="15" customHeight="1" x14ac:dyDescent="0.45">
      <c r="B69" s="1" t="s">
        <v>47</v>
      </c>
      <c r="E69" s="1">
        <f>1331.07</f>
        <v>1331.07</v>
      </c>
      <c r="F69" s="1">
        <f>500718.02+5130.08</f>
        <v>505848.10000000003</v>
      </c>
      <c r="G69" s="1">
        <f t="shared" si="17"/>
        <v>507179.17000000004</v>
      </c>
      <c r="I69" s="1">
        <f>2340.87</f>
        <v>2340.87</v>
      </c>
      <c r="J69" s="1">
        <f>489689.6</f>
        <v>489689.59999999998</v>
      </c>
      <c r="K69" s="1">
        <f t="shared" si="18"/>
        <v>492030.47</v>
      </c>
      <c r="N69" s="1">
        <f>3495.79</f>
        <v>3495.79</v>
      </c>
      <c r="O69" s="1">
        <f>391440.16</f>
        <v>391440.16</v>
      </c>
      <c r="P69" s="1">
        <f t="shared" si="19"/>
        <v>394935.94999999995</v>
      </c>
      <c r="R69" s="1">
        <f>2370.66</f>
        <v>2370.66</v>
      </c>
      <c r="S69" s="1">
        <f>376836.64</f>
        <v>376836.64</v>
      </c>
      <c r="T69" s="1">
        <f t="shared" si="20"/>
        <v>379207.3</v>
      </c>
      <c r="V69" s="1">
        <f>1613.37</f>
        <v>1613.37</v>
      </c>
      <c r="W69" s="1">
        <f>455778.63</f>
        <v>455778.63</v>
      </c>
      <c r="X69" s="1">
        <f t="shared" si="21"/>
        <v>457392</v>
      </c>
      <c r="Z69" s="1">
        <f t="shared" si="5"/>
        <v>-49787.170000000042</v>
      </c>
      <c r="AA69" s="32">
        <f t="shared" si="6"/>
        <v>-9.8164855626858727E-2</v>
      </c>
    </row>
    <row r="70" spans="1:27" ht="15" customHeight="1" x14ac:dyDescent="0.75">
      <c r="B70" s="1" t="s">
        <v>48</v>
      </c>
      <c r="E70" s="2">
        <f>16279</f>
        <v>16279</v>
      </c>
      <c r="F70" s="2">
        <f>527482.28+12825.2</f>
        <v>540307.48</v>
      </c>
      <c r="G70" s="2">
        <f t="shared" si="17"/>
        <v>556586.48</v>
      </c>
      <c r="I70" s="2">
        <f>17004.15</f>
        <v>17004.150000000001</v>
      </c>
      <c r="J70" s="2">
        <f>493730.18+21161.41</f>
        <v>514891.58999999997</v>
      </c>
      <c r="K70" s="2">
        <f t="shared" si="18"/>
        <v>531895.74</v>
      </c>
      <c r="N70" s="2">
        <f>17438.13</f>
        <v>17438.13</v>
      </c>
      <c r="O70" s="2">
        <f>568688.43+17955.12-24795</f>
        <v>561848.55000000005</v>
      </c>
      <c r="P70" s="2">
        <f t="shared" si="19"/>
        <v>579286.68000000005</v>
      </c>
      <c r="R70" s="1">
        <f>14555.91</f>
        <v>14555.91</v>
      </c>
      <c r="S70" s="1">
        <f>477540.34+21000</f>
        <v>498540.34</v>
      </c>
      <c r="T70" s="2">
        <f t="shared" si="20"/>
        <v>513096.25</v>
      </c>
      <c r="V70" s="2">
        <f>14348.61</f>
        <v>14348.61</v>
      </c>
      <c r="W70" s="2">
        <f>476163.18+29475.2</f>
        <v>505638.38</v>
      </c>
      <c r="X70" s="2">
        <f t="shared" si="21"/>
        <v>519986.99</v>
      </c>
      <c r="Z70" s="1">
        <f t="shared" si="5"/>
        <v>-36599.489999999991</v>
      </c>
      <c r="AA70" s="32">
        <f t="shared" si="6"/>
        <v>-6.5757058992881021E-2</v>
      </c>
    </row>
    <row r="71" spans="1:27" ht="15" customHeight="1" x14ac:dyDescent="0.75">
      <c r="E71" s="2">
        <f>SUM(E51:E70)</f>
        <v>302882.61000000004</v>
      </c>
      <c r="F71" s="2">
        <f>SUM(F51:F70)</f>
        <v>8836648.3000000007</v>
      </c>
      <c r="G71" s="2">
        <f>SUM(G51:G70)</f>
        <v>9139530.9100000001</v>
      </c>
      <c r="I71" s="2">
        <f>SUM(I51:I70)</f>
        <v>284524.42</v>
      </c>
      <c r="J71" s="2">
        <f>SUM(J51:J70)</f>
        <v>8149709.9099999992</v>
      </c>
      <c r="K71" s="2">
        <f>SUM(K51:K70)</f>
        <v>8434234.3300000001</v>
      </c>
      <c r="N71" s="2">
        <f>SUM(N51:N70)</f>
        <v>284461.07999999996</v>
      </c>
      <c r="O71" s="2">
        <f>SUM(O51:O70)</f>
        <v>8047498.5099999998</v>
      </c>
      <c r="P71" s="2">
        <f>SUM(P51:P70)</f>
        <v>8331959.5900000008</v>
      </c>
      <c r="R71" s="2">
        <f>SUM(R51:R70)</f>
        <v>305458.03999999992</v>
      </c>
      <c r="S71" s="2">
        <f>SUM(S51:S70)</f>
        <v>8297227.2899999991</v>
      </c>
      <c r="T71" s="2">
        <f>SUM(T51:T70)</f>
        <v>8602685.3300000001</v>
      </c>
      <c r="V71" s="2">
        <f>SUM(V51:V70)</f>
        <v>284054.51</v>
      </c>
      <c r="W71" s="2">
        <f>SUM(W51:W70)</f>
        <v>8649376.6799999997</v>
      </c>
      <c r="X71" s="2">
        <f>SUM(X51:X70)</f>
        <v>8933431.1899999995</v>
      </c>
      <c r="Z71" s="1">
        <f t="shared" si="5"/>
        <v>-206099.72000000067</v>
      </c>
      <c r="AA71" s="32">
        <f t="shared" si="6"/>
        <v>-2.2550360847786735E-2</v>
      </c>
    </row>
    <row r="72" spans="1:27" ht="15" customHeight="1" x14ac:dyDescent="0.45">
      <c r="A72" s="1" t="s">
        <v>53</v>
      </c>
      <c r="Z72" s="1">
        <f t="shared" si="5"/>
        <v>0</v>
      </c>
    </row>
    <row r="73" spans="1:27" ht="15" customHeight="1" x14ac:dyDescent="0.45">
      <c r="B73" s="1" t="s">
        <v>54</v>
      </c>
      <c r="E73" s="1">
        <f>18462.78+510</f>
        <v>18972.78</v>
      </c>
      <c r="F73" s="1">
        <f>615722.27+158030.16+57199.92</f>
        <v>830952.35000000009</v>
      </c>
      <c r="G73" s="1">
        <f t="shared" ref="G73:G85" si="22">F73+E73</f>
        <v>849925.13000000012</v>
      </c>
      <c r="I73" s="1">
        <f>16472.54+533.19</f>
        <v>17005.73</v>
      </c>
      <c r="J73" s="1">
        <f>585918.57+162690.74+58343.96</f>
        <v>806953.2699999999</v>
      </c>
      <c r="K73" s="1">
        <f t="shared" ref="K73:K85" si="23">J73+I73</f>
        <v>823958.99999999988</v>
      </c>
      <c r="N73" s="1">
        <f>26794.14+698.07</f>
        <v>27492.21</v>
      </c>
      <c r="O73" s="1">
        <f>584857.49+164096.5+59398.2</f>
        <v>808352.19</v>
      </c>
      <c r="P73" s="1">
        <f t="shared" ref="P73:P85" si="24">O73+N73</f>
        <v>835844.39999999991</v>
      </c>
      <c r="R73" s="1">
        <f>38114.72+630.68</f>
        <v>38745.4</v>
      </c>
      <c r="S73" s="1">
        <f>562475.11+165645.84+59936.26+27</f>
        <v>788084.21</v>
      </c>
      <c r="T73" s="1">
        <f t="shared" ref="T73:T85" si="25">S73+R73</f>
        <v>826829.61</v>
      </c>
      <c r="V73" s="1">
        <f>20629.9+706.05</f>
        <v>21335.95</v>
      </c>
      <c r="W73" s="1">
        <f>537352.68+167437.5+60614.12</f>
        <v>765404.3</v>
      </c>
      <c r="X73" s="1">
        <f t="shared" ref="X73:X85" si="26">W73+V73</f>
        <v>786740.25</v>
      </c>
      <c r="Z73" s="1">
        <f t="shared" ref="Z73:Z136" si="27">+X73-G73</f>
        <v>-63184.880000000121</v>
      </c>
      <c r="AA73" s="32">
        <f t="shared" ref="AA73:AA136" si="28">+Z73/G73</f>
        <v>-7.4341701133134055E-2</v>
      </c>
    </row>
    <row r="74" spans="1:27" ht="15" customHeight="1" x14ac:dyDescent="0.45">
      <c r="B74" s="1" t="s">
        <v>61</v>
      </c>
      <c r="E74" s="1">
        <f>36549</f>
        <v>36549</v>
      </c>
      <c r="G74" s="1">
        <f t="shared" si="22"/>
        <v>36549</v>
      </c>
      <c r="J74" s="1">
        <v>132441.62</v>
      </c>
      <c r="K74" s="1">
        <f t="shared" si="23"/>
        <v>132441.62</v>
      </c>
      <c r="N74" s="1">
        <v>0</v>
      </c>
      <c r="O74" s="1">
        <f>104610.52</f>
        <v>104610.52</v>
      </c>
      <c r="P74" s="1">
        <f t="shared" si="24"/>
        <v>104610.52</v>
      </c>
      <c r="R74" s="1">
        <v>0</v>
      </c>
      <c r="S74" s="1">
        <f>111692.92</f>
        <v>111692.92</v>
      </c>
      <c r="T74" s="1">
        <f t="shared" si="25"/>
        <v>111692.92</v>
      </c>
      <c r="V74" s="1">
        <v>0</v>
      </c>
      <c r="W74" s="1">
        <v>0</v>
      </c>
      <c r="X74" s="1">
        <f t="shared" si="26"/>
        <v>0</v>
      </c>
      <c r="Z74" s="1">
        <f t="shared" si="27"/>
        <v>-36549</v>
      </c>
      <c r="AA74" s="32">
        <f t="shared" si="28"/>
        <v>-1</v>
      </c>
    </row>
    <row r="75" spans="1:27" ht="15" customHeight="1" x14ac:dyDescent="0.45">
      <c r="B75" s="1" t="s">
        <v>62</v>
      </c>
      <c r="E75" s="1">
        <f>20801.85</f>
        <v>20801.849999999999</v>
      </c>
      <c r="F75" s="1">
        <f>409787.1</f>
        <v>409787.1</v>
      </c>
      <c r="G75" s="1">
        <f t="shared" si="22"/>
        <v>430588.94999999995</v>
      </c>
      <c r="I75" s="1">
        <f>20045.6</f>
        <v>20045.599999999999</v>
      </c>
      <c r="J75" s="1">
        <v>421424.37</v>
      </c>
      <c r="K75" s="1">
        <f t="shared" si="23"/>
        <v>441469.97</v>
      </c>
      <c r="N75" s="1">
        <f>14030.33</f>
        <v>14030.33</v>
      </c>
      <c r="O75" s="1">
        <v>440155.98</v>
      </c>
      <c r="P75" s="1">
        <f t="shared" si="24"/>
        <v>454186.31</v>
      </c>
      <c r="R75" s="1">
        <f>11307.14</f>
        <v>11307.14</v>
      </c>
      <c r="S75" s="1">
        <f>377315.55</f>
        <v>377315.55</v>
      </c>
      <c r="T75" s="1">
        <f t="shared" si="25"/>
        <v>388622.69</v>
      </c>
      <c r="V75" s="1">
        <f>15996.46</f>
        <v>15996.46</v>
      </c>
      <c r="W75" s="1">
        <f>337817.04</f>
        <v>337817.04</v>
      </c>
      <c r="X75" s="1">
        <f t="shared" si="26"/>
        <v>353813.5</v>
      </c>
      <c r="Z75" s="1">
        <f t="shared" si="27"/>
        <v>-76775.449999999953</v>
      </c>
      <c r="AA75" s="32">
        <f t="shared" si="28"/>
        <v>-0.17830334475606019</v>
      </c>
    </row>
    <row r="76" spans="1:27" ht="15" customHeight="1" x14ac:dyDescent="0.45">
      <c r="B76" s="1" t="s">
        <v>63</v>
      </c>
      <c r="E76" s="1">
        <f>43292.87-4.14</f>
        <v>43288.73</v>
      </c>
      <c r="F76" s="1">
        <f>93981.52+31972.15</f>
        <v>125953.67000000001</v>
      </c>
      <c r="G76" s="1">
        <f t="shared" si="22"/>
        <v>169242.40000000002</v>
      </c>
      <c r="I76" s="1">
        <f>40888.57</f>
        <v>40888.57</v>
      </c>
      <c r="J76" s="1">
        <v>97582.03</v>
      </c>
      <c r="K76" s="1">
        <f t="shared" si="23"/>
        <v>138470.6</v>
      </c>
      <c r="N76" s="1">
        <f>47.18+40526.81</f>
        <v>40573.99</v>
      </c>
      <c r="O76" s="1">
        <v>121634.35</v>
      </c>
      <c r="P76" s="1">
        <f t="shared" si="24"/>
        <v>162208.34</v>
      </c>
      <c r="R76" s="1">
        <f>25+44420</f>
        <v>44445</v>
      </c>
      <c r="S76" s="1">
        <f>115529.22</f>
        <v>115529.22</v>
      </c>
      <c r="T76" s="1">
        <f t="shared" si="25"/>
        <v>159974.22</v>
      </c>
      <c r="V76" s="1">
        <f>58.59+43927.47</f>
        <v>43986.06</v>
      </c>
      <c r="W76" s="1">
        <f>146189.11+119912.22</f>
        <v>266101.32999999996</v>
      </c>
      <c r="X76" s="1">
        <f t="shared" si="26"/>
        <v>310087.38999999996</v>
      </c>
      <c r="Z76" s="1">
        <f t="shared" si="27"/>
        <v>140844.98999999993</v>
      </c>
      <c r="AA76" s="32">
        <f t="shared" si="28"/>
        <v>0.83220865456883097</v>
      </c>
    </row>
    <row r="77" spans="1:27" ht="15" customHeight="1" x14ac:dyDescent="0.45">
      <c r="B77" s="1" t="s">
        <v>111</v>
      </c>
      <c r="E77" s="1">
        <f>170468</f>
        <v>170468</v>
      </c>
      <c r="F77" s="1">
        <f>18464.4+967.5</f>
        <v>19431.900000000001</v>
      </c>
      <c r="G77" s="1">
        <f t="shared" si="22"/>
        <v>189899.9</v>
      </c>
      <c r="J77" s="1">
        <v>4220.63</v>
      </c>
      <c r="K77" s="1">
        <f t="shared" si="23"/>
        <v>4220.63</v>
      </c>
      <c r="N77" s="1">
        <v>106399</v>
      </c>
      <c r="O77" s="1">
        <f>148.5</f>
        <v>148.5</v>
      </c>
      <c r="P77" s="1">
        <f t="shared" si="24"/>
        <v>106547.5</v>
      </c>
      <c r="R77" s="1">
        <f>423976</f>
        <v>423976</v>
      </c>
      <c r="S77" s="1">
        <f>78206.56</f>
        <v>78206.559999999998</v>
      </c>
      <c r="T77" s="1">
        <f t="shared" si="25"/>
        <v>502182.56</v>
      </c>
      <c r="V77" s="1">
        <f>188983-12866</f>
        <v>176117</v>
      </c>
      <c r="W77" s="1">
        <f>265.2+118289.04</f>
        <v>118554.23999999999</v>
      </c>
      <c r="X77" s="1">
        <f t="shared" si="26"/>
        <v>294671.24</v>
      </c>
      <c r="Z77" s="1">
        <f t="shared" si="27"/>
        <v>104771.34</v>
      </c>
      <c r="AA77" s="32">
        <f t="shared" si="28"/>
        <v>0.55171877394353552</v>
      </c>
    </row>
    <row r="78" spans="1:27" ht="15" customHeight="1" x14ac:dyDescent="0.45">
      <c r="B78" s="1" t="s">
        <v>55</v>
      </c>
      <c r="E78" s="1">
        <f>74490.79</f>
        <v>74490.789999999994</v>
      </c>
      <c r="F78" s="1">
        <f>484510.57-75775.02</f>
        <v>408735.55</v>
      </c>
      <c r="G78" s="1">
        <f t="shared" si="22"/>
        <v>483226.33999999997</v>
      </c>
      <c r="I78" s="1">
        <f>92666+18312</f>
        <v>110978</v>
      </c>
      <c r="J78" s="1">
        <v>424455.43</v>
      </c>
      <c r="K78" s="1">
        <f t="shared" si="23"/>
        <v>535433.42999999993</v>
      </c>
      <c r="N78" s="1">
        <f>40243.99+32002.96+43701.29</f>
        <v>115948.23999999999</v>
      </c>
      <c r="O78" s="1">
        <f>457474.15+18896</f>
        <v>476370.15</v>
      </c>
      <c r="P78" s="1">
        <f t="shared" si="24"/>
        <v>592318.39</v>
      </c>
      <c r="R78" s="1">
        <f>121257</f>
        <v>121257</v>
      </c>
      <c r="S78" s="1">
        <f>499449.31</f>
        <v>499449.31</v>
      </c>
      <c r="T78" s="1">
        <f t="shared" si="25"/>
        <v>620706.31000000006</v>
      </c>
      <c r="V78" s="1">
        <v>136072</v>
      </c>
      <c r="W78" s="1">
        <f>507031.68</f>
        <v>507031.68</v>
      </c>
      <c r="X78" s="1">
        <f t="shared" si="26"/>
        <v>643103.67999999993</v>
      </c>
      <c r="Z78" s="1">
        <f t="shared" si="27"/>
        <v>159877.33999999997</v>
      </c>
      <c r="AA78" s="32">
        <f t="shared" si="28"/>
        <v>0.33085394310252203</v>
      </c>
    </row>
    <row r="79" spans="1:27" ht="15" customHeight="1" x14ac:dyDescent="0.45">
      <c r="B79" s="1" t="s">
        <v>56</v>
      </c>
      <c r="E79" s="1">
        <f>3430.97</f>
        <v>3430.97</v>
      </c>
      <c r="F79" s="1">
        <f>35000.23</f>
        <v>35000.230000000003</v>
      </c>
      <c r="G79" s="1">
        <f t="shared" si="22"/>
        <v>38431.200000000004</v>
      </c>
      <c r="I79" s="1">
        <f>3804</f>
        <v>3804</v>
      </c>
      <c r="J79" s="1">
        <v>35337.31</v>
      </c>
      <c r="K79" s="1">
        <f t="shared" si="23"/>
        <v>39141.31</v>
      </c>
      <c r="N79" s="1">
        <f>3652.69+47402.94</f>
        <v>51055.630000000005</v>
      </c>
      <c r="O79" s="1">
        <f>36153.07</f>
        <v>36153.07</v>
      </c>
      <c r="P79" s="1">
        <f t="shared" si="24"/>
        <v>87208.700000000012</v>
      </c>
      <c r="R79" s="1">
        <f>3849.45</f>
        <v>3849.45</v>
      </c>
      <c r="S79" s="1">
        <f>36887.62</f>
        <v>36887.620000000003</v>
      </c>
      <c r="T79" s="1">
        <f t="shared" si="25"/>
        <v>40737.07</v>
      </c>
      <c r="V79" s="1">
        <f>4164</f>
        <v>4164</v>
      </c>
      <c r="W79" s="1">
        <f>37294.21</f>
        <v>37294.21</v>
      </c>
      <c r="X79" s="1">
        <f t="shared" si="26"/>
        <v>41458.21</v>
      </c>
      <c r="Z79" s="1">
        <f t="shared" si="27"/>
        <v>3027.0099999999948</v>
      </c>
      <c r="AA79" s="32">
        <f t="shared" si="28"/>
        <v>7.8764389350319389E-2</v>
      </c>
    </row>
    <row r="80" spans="1:27" ht="15" customHeight="1" x14ac:dyDescent="0.45">
      <c r="B80" s="1" t="s">
        <v>57</v>
      </c>
      <c r="E80" s="1">
        <v>50145.83</v>
      </c>
      <c r="G80" s="1">
        <f t="shared" si="22"/>
        <v>50145.83</v>
      </c>
      <c r="I80" s="1">
        <v>41470</v>
      </c>
      <c r="K80" s="1">
        <f t="shared" si="23"/>
        <v>41470</v>
      </c>
      <c r="N80" s="1">
        <v>0</v>
      </c>
      <c r="O80" s="1">
        <v>0</v>
      </c>
      <c r="P80" s="1">
        <f t="shared" si="24"/>
        <v>0</v>
      </c>
      <c r="R80" s="1">
        <f>45393.29+13652</f>
        <v>59045.29</v>
      </c>
      <c r="S80" s="1">
        <v>0</v>
      </c>
      <c r="T80" s="1">
        <f t="shared" si="25"/>
        <v>59045.29</v>
      </c>
      <c r="V80" s="1">
        <f>82235</f>
        <v>82235</v>
      </c>
      <c r="W80" s="1">
        <v>0</v>
      </c>
      <c r="X80" s="1">
        <f t="shared" si="26"/>
        <v>82235</v>
      </c>
      <c r="Z80" s="1">
        <f t="shared" si="27"/>
        <v>32089.17</v>
      </c>
      <c r="AA80" s="32">
        <f t="shared" si="28"/>
        <v>0.6399170180252276</v>
      </c>
    </row>
    <row r="81" spans="1:27" ht="15" customHeight="1" x14ac:dyDescent="0.45">
      <c r="B81" s="1" t="s">
        <v>58</v>
      </c>
      <c r="E81" s="1">
        <f>47311</f>
        <v>47311</v>
      </c>
      <c r="F81" s="1">
        <f>45511.88</f>
        <v>45511.88</v>
      </c>
      <c r="G81" s="1">
        <f t="shared" si="22"/>
        <v>92822.88</v>
      </c>
      <c r="I81" s="1">
        <f>1902</f>
        <v>1902</v>
      </c>
      <c r="J81" s="1">
        <v>36700.230000000003</v>
      </c>
      <c r="K81" s="1">
        <f t="shared" si="23"/>
        <v>38602.230000000003</v>
      </c>
      <c r="N81" s="1">
        <v>32168</v>
      </c>
      <c r="O81" s="1">
        <v>36594.76</v>
      </c>
      <c r="P81" s="1">
        <f t="shared" si="24"/>
        <v>68762.760000000009</v>
      </c>
      <c r="R81" s="1">
        <f>24356</f>
        <v>24356</v>
      </c>
      <c r="S81" s="1">
        <f>39706.9</f>
        <v>39706.9</v>
      </c>
      <c r="T81" s="1">
        <f t="shared" si="25"/>
        <v>64062.9</v>
      </c>
      <c r="V81" s="1">
        <f>33711</f>
        <v>33711</v>
      </c>
      <c r="W81" s="1">
        <f>28981.66</f>
        <v>28981.66</v>
      </c>
      <c r="X81" s="1">
        <f t="shared" si="26"/>
        <v>62692.66</v>
      </c>
      <c r="Z81" s="1">
        <f t="shared" si="27"/>
        <v>-30130.22</v>
      </c>
      <c r="AA81" s="32">
        <f t="shared" si="28"/>
        <v>-0.32459906436861258</v>
      </c>
    </row>
    <row r="82" spans="1:27" ht="15" customHeight="1" x14ac:dyDescent="0.45">
      <c r="B82" s="1" t="s">
        <v>59</v>
      </c>
      <c r="E82" s="1">
        <f>91415</f>
        <v>91415</v>
      </c>
      <c r="F82" s="1">
        <f>63556</f>
        <v>63556</v>
      </c>
      <c r="G82" s="1">
        <f t="shared" si="22"/>
        <v>154971</v>
      </c>
      <c r="I82" s="1">
        <v>66705</v>
      </c>
      <c r="K82" s="1">
        <f t="shared" si="23"/>
        <v>66705</v>
      </c>
      <c r="N82" s="1">
        <v>73040</v>
      </c>
      <c r="O82" s="1">
        <v>0</v>
      </c>
      <c r="P82" s="1">
        <f t="shared" si="24"/>
        <v>73040</v>
      </c>
      <c r="R82" s="1">
        <f>123739</f>
        <v>123739</v>
      </c>
      <c r="S82" s="1">
        <v>0</v>
      </c>
      <c r="T82" s="1">
        <f t="shared" si="25"/>
        <v>123739</v>
      </c>
      <c r="V82" s="1">
        <f>74455</f>
        <v>74455</v>
      </c>
      <c r="W82" s="1">
        <v>0</v>
      </c>
      <c r="X82" s="1">
        <f t="shared" si="26"/>
        <v>74455</v>
      </c>
      <c r="Z82" s="1">
        <f t="shared" si="27"/>
        <v>-80516</v>
      </c>
      <c r="AA82" s="32">
        <f t="shared" si="28"/>
        <v>-0.51955527163146653</v>
      </c>
    </row>
    <row r="83" spans="1:27" ht="15" customHeight="1" x14ac:dyDescent="0.45">
      <c r="B83" s="1" t="s">
        <v>93</v>
      </c>
      <c r="G83" s="1">
        <f t="shared" si="22"/>
        <v>0</v>
      </c>
      <c r="I83" s="1">
        <f>69628</f>
        <v>69628</v>
      </c>
      <c r="J83" s="1">
        <v>300</v>
      </c>
      <c r="K83" s="1">
        <f t="shared" si="23"/>
        <v>69928</v>
      </c>
      <c r="N83" s="1">
        <v>0</v>
      </c>
      <c r="O83" s="1">
        <v>2366.25</v>
      </c>
      <c r="P83" s="1">
        <f t="shared" si="24"/>
        <v>2366.25</v>
      </c>
      <c r="R83" s="1">
        <v>0</v>
      </c>
      <c r="S83" s="1">
        <v>0</v>
      </c>
      <c r="T83" s="1">
        <f t="shared" si="25"/>
        <v>0</v>
      </c>
      <c r="V83" s="1">
        <v>0</v>
      </c>
      <c r="W83" s="1">
        <v>0</v>
      </c>
      <c r="X83" s="1">
        <f t="shared" si="26"/>
        <v>0</v>
      </c>
      <c r="Z83" s="1">
        <f t="shared" si="27"/>
        <v>0</v>
      </c>
    </row>
    <row r="84" spans="1:27" ht="15" customHeight="1" x14ac:dyDescent="0.45">
      <c r="B84" s="1" t="s">
        <v>64</v>
      </c>
      <c r="E84" s="1">
        <v>-80312</v>
      </c>
      <c r="F84" s="1">
        <f>38662.54+19324.49</f>
        <v>57987.03</v>
      </c>
      <c r="G84" s="1">
        <f t="shared" si="22"/>
        <v>-22324.97</v>
      </c>
      <c r="I84" s="1">
        <f>47175.08-87017</f>
        <v>-39841.919999999998</v>
      </c>
      <c r="K84" s="1">
        <f t="shared" si="23"/>
        <v>-39841.919999999998</v>
      </c>
      <c r="N84" s="1">
        <v>-104899</v>
      </c>
      <c r="O84" s="1">
        <f>88878.83+24117.82</f>
        <v>112996.65</v>
      </c>
      <c r="P84" s="1">
        <f t="shared" si="24"/>
        <v>8097.6499999999942</v>
      </c>
      <c r="R84" s="1">
        <v>-96680</v>
      </c>
      <c r="S84" s="1">
        <f>90064.55+25236.76</f>
        <v>115301.31</v>
      </c>
      <c r="T84" s="1">
        <f t="shared" si="25"/>
        <v>18621.309999999998</v>
      </c>
      <c r="V84" s="1">
        <v>-61805</v>
      </c>
      <c r="W84" s="1">
        <f>38481.55+20188.02</f>
        <v>58669.570000000007</v>
      </c>
      <c r="X84" s="1">
        <f t="shared" si="26"/>
        <v>-3135.429999999993</v>
      </c>
      <c r="Z84" s="1">
        <f t="shared" si="27"/>
        <v>19189.540000000008</v>
      </c>
      <c r="AA84" s="32">
        <f t="shared" si="28"/>
        <v>-0.85955501843899484</v>
      </c>
    </row>
    <row r="85" spans="1:27" ht="15" customHeight="1" x14ac:dyDescent="0.75">
      <c r="B85" s="1" t="s">
        <v>60</v>
      </c>
      <c r="E85" s="2">
        <v>2926237</v>
      </c>
      <c r="F85" s="2">
        <f>74208.7+29624.43+333482.58+81310.08+472385.04+292650.98+491815.59+75946.84+74860.38+1441586.69+247713.08+212047.56+112666.66+256386.62+133039.74+65466.97+11443.61</f>
        <v>4406635.5500000007</v>
      </c>
      <c r="G85" s="2">
        <f t="shared" si="22"/>
        <v>7332872.5500000007</v>
      </c>
      <c r="I85" s="2">
        <v>3228621</v>
      </c>
      <c r="J85" s="2">
        <f>77372.38+39868.95+41782.9+20129.57+341144.27+82936.3+474479.25+309045.54+471828.9+85021.19+77012.01+1400235.94+247033.67+214737.36+82311.37+255593.95+113167.98+75285.59+9570.74</f>
        <v>4418557.8600000003</v>
      </c>
      <c r="K85" s="2">
        <f t="shared" si="23"/>
        <v>7647178.8600000003</v>
      </c>
      <c r="N85" s="2">
        <v>3890255</v>
      </c>
      <c r="O85" s="2">
        <f>80176.27+38053.28+348142.04+84430.32+480159+314647.54+462499.76+87284.3+70581.98+1416728.22+244532.33+220019.12+59361.71+266856.97+112803.69+82869.12</f>
        <v>4369145.6500000004</v>
      </c>
      <c r="P85" s="2">
        <f t="shared" si="24"/>
        <v>8259400.6500000004</v>
      </c>
      <c r="R85" s="2">
        <v>3381247</v>
      </c>
      <c r="S85" s="2">
        <f>83738.93+39425.86+354714.35+85222.42+461481.39+420700.53+490927.31+89467.36+72570.69+1423679.85+236699.7+217536.72+99029.84+282772.32+129726.02+268</f>
        <v>4487961.29</v>
      </c>
      <c r="T85" s="2">
        <f t="shared" si="25"/>
        <v>7869208.29</v>
      </c>
      <c r="V85" s="2">
        <f>3132729</f>
        <v>3132729</v>
      </c>
      <c r="W85" s="2">
        <f>87375.59+39463.52+342380.36+86142.42+387741.6+390239.82+463778.62+90711.51+61845.18+1407604.26+246918.75+227452.37+114709.16+278093.8+100470</f>
        <v>4324926.96</v>
      </c>
      <c r="X85" s="2">
        <f t="shared" si="26"/>
        <v>7457655.96</v>
      </c>
      <c r="Z85" s="1">
        <f t="shared" si="27"/>
        <v>124783.40999999922</v>
      </c>
      <c r="AA85" s="32">
        <f t="shared" si="28"/>
        <v>1.7016988792475221E-2</v>
      </c>
    </row>
    <row r="86" spans="1:27" ht="15" customHeight="1" x14ac:dyDescent="0.75">
      <c r="E86" s="2">
        <f>SUM(E73:E85)</f>
        <v>3402798.95</v>
      </c>
      <c r="F86" s="2">
        <f>SUM(F73:F85)</f>
        <v>6403551.2600000007</v>
      </c>
      <c r="G86" s="2">
        <f>SUM(G73:G85)</f>
        <v>9806350.2100000009</v>
      </c>
      <c r="I86" s="2">
        <f>SUM(I73:I85)</f>
        <v>3561205.98</v>
      </c>
      <c r="J86" s="2">
        <f>SUM(J73:J85)</f>
        <v>6377972.75</v>
      </c>
      <c r="K86" s="2">
        <f>SUM(K73:K85)</f>
        <v>9939178.7300000004</v>
      </c>
      <c r="N86" s="2">
        <f>SUM(N73:N85)</f>
        <v>4246063.4000000004</v>
      </c>
      <c r="O86" s="2">
        <f>SUM(O73:O85)</f>
        <v>6508528.0700000003</v>
      </c>
      <c r="P86" s="2">
        <f>SUM(P73:P85)</f>
        <v>10754591.470000001</v>
      </c>
      <c r="R86" s="2">
        <f>SUM(R73:R85)</f>
        <v>4135287.2800000003</v>
      </c>
      <c r="S86" s="2">
        <f>SUM(S73:S85)</f>
        <v>6650134.8900000006</v>
      </c>
      <c r="T86" s="2">
        <f>SUM(T73:T85)</f>
        <v>10785422.17</v>
      </c>
      <c r="V86" s="2">
        <f>SUM(V73:V85)</f>
        <v>3658996.4699999997</v>
      </c>
      <c r="W86" s="2">
        <f>SUM(W73:W85)</f>
        <v>6444780.9900000002</v>
      </c>
      <c r="X86" s="2">
        <f>SUM(X73:X85)</f>
        <v>10103777.459999999</v>
      </c>
      <c r="Z86" s="1">
        <f t="shared" si="27"/>
        <v>297427.24999999814</v>
      </c>
      <c r="AA86" s="32">
        <f t="shared" si="28"/>
        <v>3.0330066092958567E-2</v>
      </c>
    </row>
    <row r="87" spans="1:27" ht="15" customHeight="1" x14ac:dyDescent="0.45">
      <c r="A87" s="1" t="s">
        <v>65</v>
      </c>
      <c r="G87" s="1">
        <f t="shared" ref="G87:G104" si="29">F87+E87</f>
        <v>0</v>
      </c>
      <c r="K87" s="1">
        <f t="shared" ref="K87:K104" si="30">J87+I87</f>
        <v>0</v>
      </c>
      <c r="P87" s="1">
        <f t="shared" ref="P87:P104" si="31">O87+N87</f>
        <v>0</v>
      </c>
      <c r="T87" s="1">
        <f t="shared" ref="T87:T104" si="32">S87+R87</f>
        <v>0</v>
      </c>
      <c r="X87" s="1">
        <f t="shared" ref="X87:X104" si="33">W87+V87</f>
        <v>0</v>
      </c>
      <c r="Z87" s="1">
        <f t="shared" si="27"/>
        <v>0</v>
      </c>
    </row>
    <row r="88" spans="1:27" ht="15" customHeight="1" x14ac:dyDescent="0.45">
      <c r="B88" s="1" t="s">
        <v>24</v>
      </c>
      <c r="E88" s="1">
        <f>256346.82+24214.09+12297.73+29872.75+14960.77+5020+868.8+9026.67+16316.23+1510.04</f>
        <v>370433.89999999997</v>
      </c>
      <c r="F88" s="1">
        <f>428017.18+102534.66+209996.55+33795.32+3135.99+81970.08</f>
        <v>859449.7799999998</v>
      </c>
      <c r="G88" s="1">
        <f t="shared" si="29"/>
        <v>1229883.6799999997</v>
      </c>
      <c r="I88" s="1">
        <f>4725+296202.14+1083.79+980+34965.33+12548.41+53608.03+27135.11+1953.74+2087+2685+23356.46+144.62+35762.72</f>
        <v>497237.35</v>
      </c>
      <c r="J88" s="1">
        <f>437922.5+46476.46+92053.21+214005.46+35766.77+83819.5</f>
        <v>910043.9</v>
      </c>
      <c r="K88" s="1">
        <f t="shared" si="30"/>
        <v>1407281.25</v>
      </c>
      <c r="N88" s="1">
        <f>330412.1+1086.64+27199.83+23075.46+400+15863.06+4542.3+4911+3776.1+5724+650+2060+380.1</f>
        <v>420080.58999999997</v>
      </c>
      <c r="O88" s="1">
        <f>548001.28+91090.65+265420.18+36396.7</f>
        <v>940908.81</v>
      </c>
      <c r="P88" s="1">
        <f t="shared" si="31"/>
        <v>1360989.4</v>
      </c>
      <c r="R88" s="1">
        <f>328198.36+5997.16+277216.07+21200.74+25052.2+14000+19905.56+2525.39+5087.4+4107.31+23368.6+13663.3+10858.43+14199.68+10525.13</f>
        <v>775905.33000000019</v>
      </c>
      <c r="S88" s="1">
        <f>592625.86+92228.39+297605.86+39537.5</f>
        <v>1021997.61</v>
      </c>
      <c r="T88" s="1">
        <f t="shared" si="32"/>
        <v>1797902.9400000002</v>
      </c>
      <c r="V88" s="1">
        <f>343000.84+8866.92+4723.28+355990.8+17081.5+25601.28+7457.25+17612.54+2978.69+2026.27+2770.51+6985.35+20580+6667.74+1625+2350.37</f>
        <v>826318.34000000008</v>
      </c>
      <c r="W88" s="1">
        <f>534227.38+127242.87+272228.61+42790.85+25400</f>
        <v>1001889.71</v>
      </c>
      <c r="X88" s="1">
        <f t="shared" si="33"/>
        <v>1828208.05</v>
      </c>
      <c r="Z88" s="1">
        <f t="shared" si="27"/>
        <v>598324.37000000034</v>
      </c>
      <c r="AA88" s="32">
        <f t="shared" si="28"/>
        <v>0.48648858402609302</v>
      </c>
    </row>
    <row r="89" spans="1:27" ht="15" customHeight="1" x14ac:dyDescent="0.45">
      <c r="B89" s="1" t="s">
        <v>108</v>
      </c>
      <c r="E89" s="1">
        <f>598682</f>
        <v>598682</v>
      </c>
      <c r="G89" s="1">
        <f t="shared" si="29"/>
        <v>598682</v>
      </c>
      <c r="I89" s="1">
        <v>468059</v>
      </c>
      <c r="K89" s="1">
        <f t="shared" si="30"/>
        <v>468059</v>
      </c>
      <c r="N89" s="1">
        <v>538975</v>
      </c>
      <c r="O89" s="1">
        <v>0</v>
      </c>
      <c r="P89" s="1">
        <f t="shared" si="31"/>
        <v>538975</v>
      </c>
      <c r="R89" s="1">
        <f>532827</f>
        <v>532827</v>
      </c>
      <c r="S89" s="1">
        <v>0</v>
      </c>
      <c r="T89" s="1">
        <f t="shared" si="32"/>
        <v>532827</v>
      </c>
      <c r="V89" s="1">
        <f>444972</f>
        <v>444972</v>
      </c>
      <c r="W89" s="1">
        <v>0</v>
      </c>
      <c r="X89" s="1">
        <f t="shared" si="33"/>
        <v>444972</v>
      </c>
      <c r="Z89" s="1">
        <f t="shared" si="27"/>
        <v>-153710</v>
      </c>
      <c r="AA89" s="32">
        <f t="shared" si="28"/>
        <v>-0.25674732161648423</v>
      </c>
    </row>
    <row r="90" spans="1:27" ht="15" customHeight="1" x14ac:dyDescent="0.45">
      <c r="B90" s="1" t="s">
        <v>66</v>
      </c>
      <c r="E90" s="1">
        <f>451670.03+93235.89-5877.82-60.4</f>
        <v>538967.70000000007</v>
      </c>
      <c r="F90" s="1">
        <f>89315.82+602996.1</f>
        <v>692311.91999999993</v>
      </c>
      <c r="G90" s="1">
        <f t="shared" si="29"/>
        <v>1231279.6200000001</v>
      </c>
      <c r="I90" s="1">
        <f>773856.97+150683.15+4557.16+2704.91+6350.77+4755.57+3408.84-11771.4+7619.42+12146.91</f>
        <v>954312.3</v>
      </c>
      <c r="J90" s="1">
        <f>164.48+630721.2</f>
        <v>630885.67999999993</v>
      </c>
      <c r="K90" s="1">
        <f t="shared" si="30"/>
        <v>1585197.98</v>
      </c>
      <c r="N90" s="1">
        <f>857695.14+142084.59+19968.27+19896.89</f>
        <v>1039644.89</v>
      </c>
      <c r="O90" s="1">
        <f>615116.2</f>
        <v>615116.19999999995</v>
      </c>
      <c r="P90" s="1">
        <f t="shared" si="31"/>
        <v>1654761.0899999999</v>
      </c>
      <c r="R90" s="1">
        <f>886575.33+186431.02+11556.64+13963.57</f>
        <v>1098526.5599999998</v>
      </c>
      <c r="S90" s="1">
        <f>938805.99</f>
        <v>938805.99</v>
      </c>
      <c r="T90" s="1">
        <f t="shared" si="32"/>
        <v>2037332.5499999998</v>
      </c>
      <c r="V90" s="1">
        <f>847993.83+329578.68+14068.91</f>
        <v>1191641.42</v>
      </c>
      <c r="W90" s="1">
        <f>641256.07</f>
        <v>641256.06999999995</v>
      </c>
      <c r="X90" s="1">
        <f t="shared" si="33"/>
        <v>1832897.4899999998</v>
      </c>
      <c r="Z90" s="1">
        <f t="shared" si="27"/>
        <v>601617.86999999965</v>
      </c>
      <c r="AA90" s="32">
        <f t="shared" si="28"/>
        <v>0.48861189629695939</v>
      </c>
    </row>
    <row r="91" spans="1:27" ht="15" customHeight="1" x14ac:dyDescent="0.45">
      <c r="B91" s="1" t="s">
        <v>67</v>
      </c>
      <c r="E91" s="1">
        <f>8325.14+10047.86+801.57</f>
        <v>19174.57</v>
      </c>
      <c r="F91" s="1">
        <f>17310.02+17310.02</f>
        <v>34620.04</v>
      </c>
      <c r="G91" s="1">
        <f t="shared" si="29"/>
        <v>53794.61</v>
      </c>
      <c r="I91" s="1">
        <f>10477.23+11022.92-500</f>
        <v>21000.15</v>
      </c>
      <c r="J91" s="1">
        <f>13700.16+13700.16</f>
        <v>27400.32</v>
      </c>
      <c r="K91" s="1">
        <f t="shared" si="30"/>
        <v>48400.47</v>
      </c>
      <c r="N91" s="1">
        <f>9133.37+12911.3</f>
        <v>22044.67</v>
      </c>
      <c r="O91" s="1">
        <f>18045.6+18045.4</f>
        <v>36091</v>
      </c>
      <c r="P91" s="1">
        <f t="shared" si="31"/>
        <v>58135.67</v>
      </c>
      <c r="R91" s="1">
        <f>12045.39+12518.95</f>
        <v>24564.34</v>
      </c>
      <c r="S91" s="1">
        <f>30334.37+24250.49</f>
        <v>54584.86</v>
      </c>
      <c r="T91" s="1">
        <f t="shared" si="32"/>
        <v>79149.2</v>
      </c>
      <c r="V91" s="1">
        <f>29447.77+34838.3</f>
        <v>64286.070000000007</v>
      </c>
      <c r="W91" s="1">
        <f>23777.7+23371.2</f>
        <v>47148.9</v>
      </c>
      <c r="X91" s="1">
        <f t="shared" si="33"/>
        <v>111434.97</v>
      </c>
      <c r="Z91" s="1">
        <f t="shared" si="27"/>
        <v>57640.36</v>
      </c>
      <c r="AA91" s="32">
        <f t="shared" si="28"/>
        <v>1.0714895042458714</v>
      </c>
    </row>
    <row r="92" spans="1:27" ht="15" customHeight="1" x14ac:dyDescent="0.45">
      <c r="B92" s="1" t="s">
        <v>68</v>
      </c>
      <c r="E92" s="1">
        <f>40739.42+41837.44+20180.36+8928.23</f>
        <v>111685.45</v>
      </c>
      <c r="F92" s="1">
        <f>64250.76+61183.44</f>
        <v>125434.20000000001</v>
      </c>
      <c r="G92" s="1">
        <f t="shared" si="29"/>
        <v>237119.65000000002</v>
      </c>
      <c r="I92" s="1">
        <f>43258.87+53533.35+4402.47+9789.45</f>
        <v>110984.14</v>
      </c>
      <c r="J92" s="1">
        <f>63980.84+62229.38</f>
        <v>126210.22</v>
      </c>
      <c r="K92" s="1">
        <f t="shared" si="30"/>
        <v>237194.36</v>
      </c>
      <c r="N92" s="1">
        <f>32702.95+34942.73</f>
        <v>67645.680000000008</v>
      </c>
      <c r="O92" s="1">
        <f>66805.12+65718.66</f>
        <v>132523.78</v>
      </c>
      <c r="P92" s="1">
        <f t="shared" si="31"/>
        <v>200169.46000000002</v>
      </c>
      <c r="R92" s="1">
        <f>57439.77+26020.01+6312.3+28958.25</f>
        <v>118730.33</v>
      </c>
      <c r="S92" s="1">
        <f>69159.7+61389.28</f>
        <v>130548.98</v>
      </c>
      <c r="T92" s="1">
        <f t="shared" si="32"/>
        <v>249279.31</v>
      </c>
      <c r="V92" s="1">
        <f>28953.47+30840</f>
        <v>59793.47</v>
      </c>
      <c r="W92" s="1">
        <f>67965.7+70122.78</f>
        <v>138088.47999999998</v>
      </c>
      <c r="X92" s="1">
        <f t="shared" si="33"/>
        <v>197881.94999999998</v>
      </c>
      <c r="Z92" s="1">
        <f t="shared" si="27"/>
        <v>-39237.700000000041</v>
      </c>
      <c r="AA92" s="32">
        <f t="shared" si="28"/>
        <v>-0.1654763744801413</v>
      </c>
    </row>
    <row r="93" spans="1:27" ht="15" customHeight="1" x14ac:dyDescent="0.45">
      <c r="B93" s="1" t="s">
        <v>69</v>
      </c>
      <c r="E93" s="1">
        <f>81569.93+87780.27</f>
        <v>169350.2</v>
      </c>
      <c r="F93" s="1">
        <f>78139.92</f>
        <v>78139.92</v>
      </c>
      <c r="G93" s="1">
        <f t="shared" si="29"/>
        <v>247490.12</v>
      </c>
      <c r="I93" s="1">
        <f>54150.24+81421.47</f>
        <v>135571.71</v>
      </c>
      <c r="J93" s="1">
        <f>81929.7</f>
        <v>81929.7</v>
      </c>
      <c r="K93" s="1">
        <f t="shared" si="30"/>
        <v>217501.40999999997</v>
      </c>
      <c r="N93" s="1">
        <f>25136.8</f>
        <v>25136.799999999999</v>
      </c>
      <c r="O93" s="1">
        <f>81360.15</f>
        <v>81360.149999999994</v>
      </c>
      <c r="P93" s="1">
        <f t="shared" si="31"/>
        <v>106496.95</v>
      </c>
      <c r="R93" s="1">
        <f>51556.22+84943.81</f>
        <v>136500.03</v>
      </c>
      <c r="S93" s="1">
        <f>80798.25</f>
        <v>80798.25</v>
      </c>
      <c r="T93" s="1">
        <f t="shared" si="32"/>
        <v>217298.28</v>
      </c>
      <c r="V93" s="1">
        <f>124926.35</f>
        <v>124926.35</v>
      </c>
      <c r="W93" s="1">
        <f>86740.58</f>
        <v>86740.58</v>
      </c>
      <c r="X93" s="1">
        <f t="shared" si="33"/>
        <v>211666.93</v>
      </c>
      <c r="Z93" s="1">
        <f t="shared" si="27"/>
        <v>-35823.19</v>
      </c>
      <c r="AA93" s="32">
        <f t="shared" si="28"/>
        <v>-0.14474593975711031</v>
      </c>
    </row>
    <row r="94" spans="1:27" ht="15" customHeight="1" x14ac:dyDescent="0.45">
      <c r="B94" s="1" t="s">
        <v>70</v>
      </c>
      <c r="E94" s="1">
        <f>46918.95+22996.23+21550.18+3670.07+7090+609.74</f>
        <v>102835.17</v>
      </c>
      <c r="F94" s="1">
        <f>114946.34+57710.35</f>
        <v>172656.69</v>
      </c>
      <c r="G94" s="1">
        <f t="shared" si="29"/>
        <v>275491.86</v>
      </c>
      <c r="I94" s="1">
        <f>39324.21+29342.92+26625.33+31976.25+10708+736.37</f>
        <v>138713.08000000002</v>
      </c>
      <c r="J94" s="1">
        <f>122970.08+63700.06</f>
        <v>186670.14</v>
      </c>
      <c r="K94" s="1">
        <f t="shared" si="30"/>
        <v>325383.22000000003</v>
      </c>
      <c r="N94" s="1">
        <f>27426.11+17218.37</f>
        <v>44644.479999999996</v>
      </c>
      <c r="O94" s="1">
        <f>150838.87+98248.29</f>
        <v>249087.15999999997</v>
      </c>
      <c r="P94" s="1">
        <f t="shared" si="31"/>
        <v>293731.63999999996</v>
      </c>
      <c r="R94" s="1">
        <f>36970.95+15958.64+34639.1+14298.15+1370+117.82</f>
        <v>103354.66</v>
      </c>
      <c r="S94" s="1">
        <f>251247.9+134769.31</f>
        <v>386017.20999999996</v>
      </c>
      <c r="T94" s="1">
        <f t="shared" si="32"/>
        <v>489371.87</v>
      </c>
      <c r="V94" s="1">
        <f>76928.81+83073.31+740</f>
        <v>160742.12</v>
      </c>
      <c r="W94" s="1">
        <f>35774.89+132612.6</f>
        <v>168387.49</v>
      </c>
      <c r="X94" s="1">
        <f t="shared" si="33"/>
        <v>329129.61</v>
      </c>
      <c r="Z94" s="1">
        <f t="shared" si="27"/>
        <v>53637.75</v>
      </c>
      <c r="AA94" s="32">
        <f t="shared" si="28"/>
        <v>0.19469813010083131</v>
      </c>
    </row>
    <row r="95" spans="1:27" ht="15" customHeight="1" x14ac:dyDescent="0.45">
      <c r="B95" s="1" t="s">
        <v>71</v>
      </c>
      <c r="E95" s="1">
        <f>16384+19056.13+2841.8</f>
        <v>38281.930000000008</v>
      </c>
      <c r="F95" s="1">
        <f>17310.02+17310.02</f>
        <v>34620.04</v>
      </c>
      <c r="G95" s="1">
        <f t="shared" si="29"/>
        <v>72901.97</v>
      </c>
      <c r="I95" s="1">
        <f>8510.64+14746.09+3142.6</f>
        <v>26399.329999999998</v>
      </c>
      <c r="J95" s="1">
        <f>20089.98+17310.02</f>
        <v>37400</v>
      </c>
      <c r="K95" s="1">
        <f t="shared" si="30"/>
        <v>63799.33</v>
      </c>
      <c r="N95" s="1">
        <f>26606.82+15035.81</f>
        <v>41642.629999999997</v>
      </c>
      <c r="O95" s="1">
        <f>20832.96+18191.1</f>
        <v>39024.06</v>
      </c>
      <c r="P95" s="1">
        <f t="shared" si="31"/>
        <v>80666.69</v>
      </c>
      <c r="R95" s="1">
        <f>21147.3+17238.09+1450.95</f>
        <v>39836.339999999997</v>
      </c>
      <c r="S95" s="1">
        <f>22709.96+20369.96</f>
        <v>43079.92</v>
      </c>
      <c r="T95" s="1">
        <f t="shared" si="32"/>
        <v>82916.259999999995</v>
      </c>
      <c r="V95" s="1">
        <f>29233.09+29784.98</f>
        <v>59018.07</v>
      </c>
      <c r="W95" s="1">
        <f>23594.06+20911.92</f>
        <v>44505.979999999996</v>
      </c>
      <c r="X95" s="1">
        <f t="shared" si="33"/>
        <v>103524.04999999999</v>
      </c>
      <c r="Z95" s="1">
        <f t="shared" si="27"/>
        <v>30622.079999999987</v>
      </c>
      <c r="AA95" s="32">
        <f t="shared" si="28"/>
        <v>0.42004461607827587</v>
      </c>
    </row>
    <row r="96" spans="1:27" ht="15" customHeight="1" x14ac:dyDescent="0.45">
      <c r="B96" s="1" t="s">
        <v>72</v>
      </c>
      <c r="E96" s="1">
        <f>3396.32+488.7+5491+17535+15898-44.9</f>
        <v>42764.12</v>
      </c>
      <c r="F96" s="1">
        <f>6406.6+69237</f>
        <v>75643.600000000006</v>
      </c>
      <c r="G96" s="1">
        <f t="shared" si="29"/>
        <v>118407.72</v>
      </c>
      <c r="I96" s="1">
        <f>19635.22+234.25+5266+21887+13069</f>
        <v>60091.47</v>
      </c>
      <c r="J96" s="1">
        <f>11216.25+92287.65</f>
        <v>103503.9</v>
      </c>
      <c r="K96" s="1">
        <f t="shared" si="30"/>
        <v>163595.37</v>
      </c>
      <c r="N96" s="1">
        <f>22059+11315+4727.09</f>
        <v>38101.089999999997</v>
      </c>
      <c r="O96" s="1">
        <f>11445.23+127263.18</f>
        <v>138708.41</v>
      </c>
      <c r="P96" s="1">
        <f t="shared" si="31"/>
        <v>176809.5</v>
      </c>
      <c r="R96" s="1">
        <f>9866.78+12530+29487</f>
        <v>51883.78</v>
      </c>
      <c r="S96" s="1">
        <f>14717.18+112779.68</f>
        <v>127496.85999999999</v>
      </c>
      <c r="T96" s="1">
        <f t="shared" si="32"/>
        <v>179380.63999999998</v>
      </c>
      <c r="V96" s="1">
        <f>7390.78+678+22913+6533</f>
        <v>37514.78</v>
      </c>
      <c r="W96" s="1">
        <f>9488.53+59622.61</f>
        <v>69111.14</v>
      </c>
      <c r="X96" s="1">
        <f t="shared" si="33"/>
        <v>106625.92</v>
      </c>
      <c r="Z96" s="1">
        <f t="shared" si="27"/>
        <v>-11781.800000000003</v>
      </c>
      <c r="AA96" s="32">
        <f t="shared" si="28"/>
        <v>-9.9501958149350422E-2</v>
      </c>
    </row>
    <row r="97" spans="1:27" ht="15" customHeight="1" x14ac:dyDescent="0.45">
      <c r="B97" s="1" t="s">
        <v>73</v>
      </c>
      <c r="E97" s="1">
        <f>42129.74+437.11</f>
        <v>42566.85</v>
      </c>
      <c r="F97" s="1">
        <f>53739.5</f>
        <v>53739.5</v>
      </c>
      <c r="G97" s="1">
        <f t="shared" si="29"/>
        <v>96306.35</v>
      </c>
      <c r="I97" s="1">
        <f>22005.01+1366.44</f>
        <v>23371.449999999997</v>
      </c>
      <c r="J97" s="1">
        <v>54477.27</v>
      </c>
      <c r="K97" s="1">
        <f t="shared" si="30"/>
        <v>77848.72</v>
      </c>
      <c r="N97" s="1">
        <f>29461.29</f>
        <v>29461.29</v>
      </c>
      <c r="O97" s="1">
        <f>58275.42</f>
        <v>58275.42</v>
      </c>
      <c r="P97" s="1">
        <f t="shared" si="31"/>
        <v>87736.709999999992</v>
      </c>
      <c r="R97" s="1">
        <f>33870.99+31787.38</f>
        <v>65658.37</v>
      </c>
      <c r="S97" s="1">
        <f>87195.12</f>
        <v>87195.12</v>
      </c>
      <c r="T97" s="1">
        <f t="shared" si="32"/>
        <v>152853.49</v>
      </c>
      <c r="V97" s="1">
        <f>69442.79</f>
        <v>69442.789999999994</v>
      </c>
      <c r="W97" s="1">
        <f>92105.82</f>
        <v>92105.82</v>
      </c>
      <c r="X97" s="1">
        <f t="shared" si="33"/>
        <v>161548.60999999999</v>
      </c>
      <c r="Z97" s="1">
        <f t="shared" si="27"/>
        <v>65242.25999999998</v>
      </c>
      <c r="AA97" s="32">
        <f t="shared" si="28"/>
        <v>0.67744504905439751</v>
      </c>
    </row>
    <row r="98" spans="1:27" ht="15" customHeight="1" x14ac:dyDescent="0.45">
      <c r="B98" s="1" t="s">
        <v>74</v>
      </c>
      <c r="E98" s="1">
        <f>34694.07+4733</f>
        <v>39427.07</v>
      </c>
      <c r="F98" s="1">
        <f>19653.72</f>
        <v>19653.72</v>
      </c>
      <c r="G98" s="1">
        <f t="shared" si="29"/>
        <v>59080.79</v>
      </c>
      <c r="I98" s="1">
        <f>29445.11+9101.47</f>
        <v>38546.58</v>
      </c>
      <c r="J98" s="1">
        <v>39630</v>
      </c>
      <c r="K98" s="1">
        <f t="shared" si="30"/>
        <v>78176.58</v>
      </c>
      <c r="N98" s="1">
        <f>97720.03</f>
        <v>97720.03</v>
      </c>
      <c r="O98" s="1">
        <f>43698.44</f>
        <v>43698.44</v>
      </c>
      <c r="P98" s="1">
        <f t="shared" si="31"/>
        <v>141418.47</v>
      </c>
      <c r="R98" s="1">
        <f>87275+16137.42</f>
        <v>103412.42</v>
      </c>
      <c r="S98" s="1">
        <f>53608.92</f>
        <v>53608.92</v>
      </c>
      <c r="T98" s="1">
        <f t="shared" si="32"/>
        <v>157021.34</v>
      </c>
      <c r="V98" s="1">
        <f>69286.87</f>
        <v>69286.87</v>
      </c>
      <c r="W98" s="1">
        <f>45928.03</f>
        <v>45928.03</v>
      </c>
      <c r="X98" s="1">
        <f t="shared" si="33"/>
        <v>115214.9</v>
      </c>
      <c r="Z98" s="1">
        <f t="shared" si="27"/>
        <v>56134.109999999993</v>
      </c>
      <c r="AA98" s="32">
        <f t="shared" si="28"/>
        <v>0.95012456671618628</v>
      </c>
    </row>
    <row r="99" spans="1:27" ht="15" customHeight="1" x14ac:dyDescent="0.45">
      <c r="B99" s="1" t="s">
        <v>109</v>
      </c>
      <c r="G99" s="1">
        <f t="shared" si="29"/>
        <v>0</v>
      </c>
      <c r="I99" s="1">
        <v>73927.41</v>
      </c>
      <c r="K99" s="1">
        <f t="shared" si="30"/>
        <v>73927.41</v>
      </c>
      <c r="N99" s="1">
        <f>12516.79</f>
        <v>12516.79</v>
      </c>
      <c r="O99" s="1">
        <v>0</v>
      </c>
      <c r="P99" s="1">
        <f t="shared" si="31"/>
        <v>12516.79</v>
      </c>
      <c r="R99" s="1">
        <f>7918.54</f>
        <v>7918.54</v>
      </c>
      <c r="S99" s="1">
        <v>0</v>
      </c>
      <c r="T99" s="1">
        <f t="shared" si="32"/>
        <v>7918.54</v>
      </c>
      <c r="V99" s="1">
        <f>63422.45</f>
        <v>63422.45</v>
      </c>
      <c r="W99" s="1">
        <v>0</v>
      </c>
      <c r="X99" s="1">
        <f t="shared" si="33"/>
        <v>63422.45</v>
      </c>
      <c r="Z99" s="1">
        <f t="shared" si="27"/>
        <v>63422.45</v>
      </c>
    </row>
    <row r="100" spans="1:27" ht="15" customHeight="1" x14ac:dyDescent="0.45">
      <c r="B100" s="1" t="s">
        <v>75</v>
      </c>
      <c r="E100" s="1">
        <f>22739.24+7067.98-100+100</f>
        <v>29807.22</v>
      </c>
      <c r="F100" s="1">
        <f>17310.02</f>
        <v>17310.02</v>
      </c>
      <c r="G100" s="1">
        <f t="shared" si="29"/>
        <v>47117.240000000005</v>
      </c>
      <c r="I100" s="1">
        <f>13988.3+6481.07</f>
        <v>20469.37</v>
      </c>
      <c r="J100" s="1">
        <v>11983.86</v>
      </c>
      <c r="K100" s="1">
        <f t="shared" si="30"/>
        <v>32453.23</v>
      </c>
      <c r="N100" s="1">
        <f>9175.51</f>
        <v>9175.51</v>
      </c>
      <c r="O100" s="1">
        <f>18287.61</f>
        <v>18287.61</v>
      </c>
      <c r="P100" s="1">
        <f t="shared" si="31"/>
        <v>27463.120000000003</v>
      </c>
      <c r="R100" s="1">
        <f>13348.13+5305.29+1450+232.8+136.34</f>
        <v>20472.559999999998</v>
      </c>
      <c r="S100" s="1">
        <f>22176.72</f>
        <v>22176.720000000001</v>
      </c>
      <c r="T100" s="1">
        <f t="shared" si="32"/>
        <v>42649.279999999999</v>
      </c>
      <c r="V100" s="1">
        <v>0</v>
      </c>
      <c r="W100" s="1">
        <v>0</v>
      </c>
      <c r="X100" s="1">
        <f t="shared" si="33"/>
        <v>0</v>
      </c>
      <c r="Z100" s="1">
        <f t="shared" si="27"/>
        <v>-47117.240000000005</v>
      </c>
      <c r="AA100" s="32">
        <f t="shared" si="28"/>
        <v>-1</v>
      </c>
    </row>
    <row r="101" spans="1:27" ht="15" customHeight="1" x14ac:dyDescent="0.45">
      <c r="B101" s="1" t="s">
        <v>76</v>
      </c>
      <c r="E101" s="1">
        <f>47942.62+24985.76</f>
        <v>72928.38</v>
      </c>
      <c r="F101" s="1">
        <f>68632.32</f>
        <v>68632.320000000007</v>
      </c>
      <c r="G101" s="1">
        <f t="shared" si="29"/>
        <v>141560.70000000001</v>
      </c>
      <c r="I101" s="1">
        <f>25634.81+38099.59</f>
        <v>63734.399999999994</v>
      </c>
      <c r="J101" s="1">
        <v>69936.479999999996</v>
      </c>
      <c r="K101" s="1">
        <f t="shared" si="30"/>
        <v>133670.88</v>
      </c>
      <c r="N101" s="1">
        <f>21587.11</f>
        <v>21587.11</v>
      </c>
      <c r="O101" s="1">
        <f>71801.58</f>
        <v>71801.58</v>
      </c>
      <c r="P101" s="1">
        <f t="shared" si="31"/>
        <v>93388.69</v>
      </c>
      <c r="R101" s="1">
        <f>24066.11+575</f>
        <v>24641.11</v>
      </c>
      <c r="S101" s="1">
        <f>69694.21</f>
        <v>69694.210000000006</v>
      </c>
      <c r="T101" s="1">
        <f t="shared" si="32"/>
        <v>94335.32</v>
      </c>
      <c r="V101" s="1">
        <f>54512.15</f>
        <v>54512.15</v>
      </c>
      <c r="W101" s="1">
        <f>66216.93</f>
        <v>66216.929999999993</v>
      </c>
      <c r="X101" s="1">
        <f t="shared" si="33"/>
        <v>120729.07999999999</v>
      </c>
      <c r="Z101" s="1">
        <f t="shared" si="27"/>
        <v>-20831.620000000024</v>
      </c>
      <c r="AA101" s="32">
        <f t="shared" si="28"/>
        <v>-0.14715680270018461</v>
      </c>
    </row>
    <row r="102" spans="1:27" ht="15" customHeight="1" x14ac:dyDescent="0.45">
      <c r="B102" s="1" t="s">
        <v>77</v>
      </c>
      <c r="E102" s="1">
        <f>16202.26+129333.17+10933.44-914</f>
        <v>155554.87</v>
      </c>
      <c r="F102" s="1">
        <f>293551.66</f>
        <v>293551.65999999997</v>
      </c>
      <c r="G102" s="1">
        <f t="shared" si="29"/>
        <v>449106.52999999997</v>
      </c>
      <c r="I102" s="1">
        <f>11893.86+156671.58+11229.55</f>
        <v>179794.99</v>
      </c>
      <c r="J102" s="1">
        <v>335228.43</v>
      </c>
      <c r="K102" s="1">
        <f t="shared" si="30"/>
        <v>515023.42</v>
      </c>
      <c r="N102" s="1">
        <f>19118.32+145652.32+18534.21</f>
        <v>183304.85</v>
      </c>
      <c r="O102" s="1">
        <f>347954.45</f>
        <v>347954.45</v>
      </c>
      <c r="P102" s="1">
        <f t="shared" si="31"/>
        <v>531259.30000000005</v>
      </c>
      <c r="R102" s="1">
        <f>14744.87+146401.62+20759.56+62.04</f>
        <v>181968.09</v>
      </c>
      <c r="S102" s="1">
        <f>363182.53</f>
        <v>363182.53</v>
      </c>
      <c r="T102" s="1">
        <f t="shared" si="32"/>
        <v>545150.62</v>
      </c>
      <c r="V102" s="1">
        <f>56750.08+243443.04+260+18119.18</f>
        <v>318572.3</v>
      </c>
      <c r="W102" s="1">
        <f>386413.01</f>
        <v>386413.01</v>
      </c>
      <c r="X102" s="1">
        <f t="shared" si="33"/>
        <v>704985.31</v>
      </c>
      <c r="Z102" s="1">
        <f t="shared" si="27"/>
        <v>255878.78000000009</v>
      </c>
      <c r="AA102" s="32">
        <f t="shared" si="28"/>
        <v>0.56975074488451571</v>
      </c>
    </row>
    <row r="103" spans="1:27" ht="15" customHeight="1" x14ac:dyDescent="0.45">
      <c r="B103" s="1" t="s">
        <v>78</v>
      </c>
      <c r="E103" s="1">
        <f>52821.71+11026.56</f>
        <v>63848.27</v>
      </c>
      <c r="F103" s="1">
        <f>43660.44</f>
        <v>43660.44</v>
      </c>
      <c r="G103" s="1">
        <f t="shared" si="29"/>
        <v>107508.70999999999</v>
      </c>
      <c r="I103" s="1">
        <f>45042.21+9771.2</f>
        <v>54813.41</v>
      </c>
      <c r="J103" s="1">
        <v>44114.7</v>
      </c>
      <c r="K103" s="1">
        <f t="shared" si="30"/>
        <v>98928.11</v>
      </c>
      <c r="N103" s="1">
        <f>43500.65</f>
        <v>43500.65</v>
      </c>
      <c r="O103" s="1">
        <f>44762.84</f>
        <v>44762.84</v>
      </c>
      <c r="P103" s="1">
        <f t="shared" si="31"/>
        <v>88263.489999999991</v>
      </c>
      <c r="R103" s="1">
        <f>48655.92+7045.5</f>
        <v>55701.42</v>
      </c>
      <c r="S103" s="1">
        <f>46027.4</f>
        <v>46027.4</v>
      </c>
      <c r="T103" s="1">
        <f t="shared" si="32"/>
        <v>101728.82</v>
      </c>
      <c r="V103" s="1">
        <f>44464.77</f>
        <v>44464.77</v>
      </c>
      <c r="W103" s="1">
        <f>47978.3</f>
        <v>47978.3</v>
      </c>
      <c r="X103" s="1">
        <f t="shared" si="33"/>
        <v>92443.07</v>
      </c>
      <c r="Z103" s="1">
        <f t="shared" si="27"/>
        <v>-15065.639999999985</v>
      </c>
      <c r="AA103" s="32">
        <f t="shared" si="28"/>
        <v>-0.14013413424828541</v>
      </c>
    </row>
    <row r="104" spans="1:27" ht="15" customHeight="1" x14ac:dyDescent="0.75">
      <c r="B104" s="1" t="s">
        <v>79</v>
      </c>
      <c r="E104" s="2">
        <f>19181.54+-4705.97</f>
        <v>14475.57</v>
      </c>
      <c r="F104" s="2">
        <f>41182.32</f>
        <v>41182.32</v>
      </c>
      <c r="G104" s="2">
        <f t="shared" si="29"/>
        <v>55657.89</v>
      </c>
      <c r="I104" s="2">
        <f>26009.53+5291.1</f>
        <v>31300.629999999997</v>
      </c>
      <c r="J104" s="2">
        <v>42244.84</v>
      </c>
      <c r="K104" s="2">
        <f t="shared" si="30"/>
        <v>73545.47</v>
      </c>
      <c r="N104" s="2">
        <f>10925.37</f>
        <v>10925.37</v>
      </c>
      <c r="O104" s="2">
        <f>43362.4</f>
        <v>43362.400000000001</v>
      </c>
      <c r="P104" s="2">
        <f t="shared" si="31"/>
        <v>54287.770000000004</v>
      </c>
      <c r="R104" s="1">
        <f>16844.54+1552.25</f>
        <v>18396.79</v>
      </c>
      <c r="S104" s="1">
        <f>27402.01</f>
        <v>27402.01</v>
      </c>
      <c r="T104" s="2">
        <f t="shared" si="32"/>
        <v>45798.8</v>
      </c>
      <c r="V104" s="2">
        <f>53668.44</f>
        <v>53668.44</v>
      </c>
      <c r="W104" s="2">
        <f>42796.03</f>
        <v>42796.03</v>
      </c>
      <c r="X104" s="2">
        <f t="shared" si="33"/>
        <v>96464.47</v>
      </c>
      <c r="Z104" s="1">
        <f t="shared" si="27"/>
        <v>40806.58</v>
      </c>
      <c r="AA104" s="32">
        <f t="shared" si="28"/>
        <v>0.73316793000956382</v>
      </c>
    </row>
    <row r="105" spans="1:27" ht="15" customHeight="1" x14ac:dyDescent="0.75">
      <c r="E105" s="2">
        <f>SUM(E87:E104)</f>
        <v>2410783.27</v>
      </c>
      <c r="F105" s="2">
        <f>SUM(F87:F104)</f>
        <v>2610606.1699999995</v>
      </c>
      <c r="G105" s="2">
        <f>SUM(G87:G104)</f>
        <v>5021389.4400000004</v>
      </c>
      <c r="I105" s="2">
        <f>SUM(I87:I104)</f>
        <v>2898326.7700000005</v>
      </c>
      <c r="J105" s="2">
        <f>SUM(J87:J104)</f>
        <v>2701659.44</v>
      </c>
      <c r="K105" s="2">
        <f>SUM(K87:K104)</f>
        <v>5599986.2100000009</v>
      </c>
      <c r="N105" s="2">
        <f>SUM(N87:N104)</f>
        <v>2646107.4299999992</v>
      </c>
      <c r="O105" s="2">
        <f>SUM(O87:O104)</f>
        <v>2860962.3099999996</v>
      </c>
      <c r="P105" s="2">
        <f>SUM(P87:P104)</f>
        <v>5507069.7400000002</v>
      </c>
      <c r="R105" s="2">
        <f>SUM(R87:R104)</f>
        <v>3360297.669999999</v>
      </c>
      <c r="S105" s="2">
        <f>SUM(S87:S104)</f>
        <v>3452616.5900000003</v>
      </c>
      <c r="T105" s="2">
        <f>SUM(T87:T104)</f>
        <v>6812914.2600000007</v>
      </c>
      <c r="V105" s="2">
        <f>SUM(V87:V104)</f>
        <v>3642582.3899999997</v>
      </c>
      <c r="W105" s="2">
        <f>SUM(W87:W104)</f>
        <v>2878566.4699999993</v>
      </c>
      <c r="X105" s="2">
        <f>SUM(X87:X104)</f>
        <v>6521148.8600000003</v>
      </c>
      <c r="Z105" s="1">
        <f t="shared" si="27"/>
        <v>1499759.42</v>
      </c>
      <c r="AA105" s="32">
        <f t="shared" si="28"/>
        <v>0.29867418926981287</v>
      </c>
    </row>
    <row r="106" spans="1:27" ht="15" customHeight="1" x14ac:dyDescent="0.45">
      <c r="A106" s="1" t="s">
        <v>80</v>
      </c>
      <c r="Z106" s="1">
        <f t="shared" si="27"/>
        <v>0</v>
      </c>
    </row>
    <row r="107" spans="1:27" ht="15" customHeight="1" x14ac:dyDescent="0.45">
      <c r="B107" s="1" t="s">
        <v>81</v>
      </c>
      <c r="E107" s="1">
        <f>219656.75+7350.5</f>
        <v>227007.25</v>
      </c>
      <c r="F107" s="1">
        <f>670026.14</f>
        <v>670026.14</v>
      </c>
      <c r="G107" s="1">
        <f t="shared" ref="G107:G110" si="34">F107+E107</f>
        <v>897033.39</v>
      </c>
      <c r="I107" s="1">
        <f>208868.34+160.35</f>
        <v>209028.69</v>
      </c>
      <c r="J107" s="1">
        <v>681543.47</v>
      </c>
      <c r="K107" s="1">
        <f t="shared" ref="K107:K110" si="35">J107+I107</f>
        <v>890572.15999999992</v>
      </c>
      <c r="N107" s="1">
        <f>269279.93+300+158.95</f>
        <v>269738.88</v>
      </c>
      <c r="O107" s="1">
        <f>39842.42+689607.79</f>
        <v>729450.21000000008</v>
      </c>
      <c r="P107" s="1">
        <f t="shared" ref="P107:P110" si="36">O107+N107</f>
        <v>999189.09000000008</v>
      </c>
      <c r="R107" s="1">
        <f>271853.5</f>
        <v>271853.5</v>
      </c>
      <c r="S107" s="1">
        <f>707306.6</f>
        <v>707306.6</v>
      </c>
      <c r="T107" s="1">
        <f t="shared" ref="T107:T110" si="37">S107+R107</f>
        <v>979160.1</v>
      </c>
      <c r="V107" s="1">
        <v>189185</v>
      </c>
      <c r="W107" s="1">
        <f>740740.85</f>
        <v>740740.85</v>
      </c>
      <c r="X107" s="1">
        <f t="shared" ref="X107:X110" si="38">W107+V107</f>
        <v>929925.85</v>
      </c>
      <c r="Z107" s="1">
        <f t="shared" si="27"/>
        <v>32892.459999999963</v>
      </c>
      <c r="AA107" s="32">
        <f t="shared" si="28"/>
        <v>3.666804420736218E-2</v>
      </c>
    </row>
    <row r="108" spans="1:27" ht="15" customHeight="1" x14ac:dyDescent="0.45">
      <c r="B108" s="1" t="s">
        <v>83</v>
      </c>
      <c r="E108" s="1">
        <f>1483311.07</f>
        <v>1483311.07</v>
      </c>
      <c r="F108" s="1">
        <f>623644.76+14417.62</f>
        <v>638062.38</v>
      </c>
      <c r="G108" s="1">
        <f t="shared" si="34"/>
        <v>2121373.4500000002</v>
      </c>
      <c r="I108" s="1">
        <v>1548494.32</v>
      </c>
      <c r="J108" s="1">
        <f>576875.59+22646.95</f>
        <v>599522.53999999992</v>
      </c>
      <c r="K108" s="1">
        <f t="shared" si="35"/>
        <v>2148016.86</v>
      </c>
      <c r="N108" s="1">
        <f>1662975.09</f>
        <v>1662975.09</v>
      </c>
      <c r="O108" s="1">
        <f>602857.35+20795.09</f>
        <v>623652.43999999994</v>
      </c>
      <c r="P108" s="1">
        <f t="shared" si="36"/>
        <v>2286627.5300000003</v>
      </c>
      <c r="R108" s="1">
        <v>1653963.78</v>
      </c>
      <c r="S108" s="1">
        <f>590539.58+14207.56</f>
        <v>604747.14</v>
      </c>
      <c r="T108" s="1">
        <f t="shared" si="37"/>
        <v>2258710.92</v>
      </c>
      <c r="V108" s="1">
        <v>1269735</v>
      </c>
      <c r="W108" s="1">
        <f>565828.94+14120.23</f>
        <v>579949.16999999993</v>
      </c>
      <c r="X108" s="1">
        <f t="shared" si="38"/>
        <v>1849684.17</v>
      </c>
      <c r="Z108" s="1">
        <f t="shared" si="27"/>
        <v>-271689.28000000026</v>
      </c>
      <c r="AA108" s="32">
        <f t="shared" si="28"/>
        <v>-0.12807234860038444</v>
      </c>
    </row>
    <row r="109" spans="1:27" ht="15" customHeight="1" x14ac:dyDescent="0.45">
      <c r="B109" s="1" t="s">
        <v>84</v>
      </c>
      <c r="E109" s="1">
        <v>-22809.79</v>
      </c>
      <c r="F109" s="1">
        <f>198133.65</f>
        <v>198133.65</v>
      </c>
      <c r="G109" s="1">
        <f t="shared" si="34"/>
        <v>175323.86</v>
      </c>
      <c r="I109" s="1">
        <v>-14840.07</v>
      </c>
      <c r="J109" s="1">
        <v>216313.12</v>
      </c>
      <c r="K109" s="1">
        <f t="shared" si="35"/>
        <v>201473.05</v>
      </c>
      <c r="N109" s="1">
        <v>-20899.23</v>
      </c>
      <c r="O109" s="1">
        <f>234516.32</f>
        <v>234516.32</v>
      </c>
      <c r="P109" s="1">
        <f t="shared" si="36"/>
        <v>213617.09</v>
      </c>
      <c r="R109" s="1">
        <f>-486.63+5434</f>
        <v>4947.37</v>
      </c>
      <c r="S109" s="1">
        <f>226220.06</f>
        <v>226220.06</v>
      </c>
      <c r="T109" s="1">
        <f t="shared" si="37"/>
        <v>231167.43</v>
      </c>
      <c r="V109" s="1">
        <v>2080</v>
      </c>
      <c r="W109" s="1">
        <f>241515.26</f>
        <v>241515.26</v>
      </c>
      <c r="X109" s="1">
        <f t="shared" si="38"/>
        <v>243595.26</v>
      </c>
      <c r="Z109" s="1">
        <f t="shared" si="27"/>
        <v>68271.400000000023</v>
      </c>
      <c r="AA109" s="32">
        <f t="shared" si="28"/>
        <v>0.38940164789892279</v>
      </c>
    </row>
    <row r="110" spans="1:27" ht="15" customHeight="1" x14ac:dyDescent="0.75">
      <c r="B110" s="1" t="s">
        <v>82</v>
      </c>
      <c r="E110" s="2">
        <f>239870</f>
        <v>239870</v>
      </c>
      <c r="F110" s="2">
        <f>307230.92</f>
        <v>307230.92</v>
      </c>
      <c r="G110" s="2">
        <f t="shared" si="34"/>
        <v>547100.91999999993</v>
      </c>
      <c r="I110" s="2">
        <f>324479</f>
        <v>324479</v>
      </c>
      <c r="J110" s="2">
        <f>237694.2</f>
        <v>237694.2</v>
      </c>
      <c r="K110" s="2">
        <f t="shared" si="35"/>
        <v>562173.19999999995</v>
      </c>
      <c r="N110" s="2">
        <v>225434</v>
      </c>
      <c r="O110" s="2">
        <f>304445.86</f>
        <v>304445.86</v>
      </c>
      <c r="P110" s="2">
        <f t="shared" si="36"/>
        <v>529879.86</v>
      </c>
      <c r="R110" s="1">
        <f>642211</f>
        <v>642211</v>
      </c>
      <c r="S110" s="1">
        <f>352097.51</f>
        <v>352097.51</v>
      </c>
      <c r="T110" s="2">
        <f t="shared" si="37"/>
        <v>994308.51</v>
      </c>
      <c r="V110" s="2">
        <f>1061490</f>
        <v>1061490</v>
      </c>
      <c r="W110" s="2">
        <f>360399.77</f>
        <v>360399.77</v>
      </c>
      <c r="X110" s="2">
        <f t="shared" si="38"/>
        <v>1421889.77</v>
      </c>
      <c r="Z110" s="1">
        <f t="shared" si="27"/>
        <v>874788.85000000009</v>
      </c>
      <c r="AA110" s="32">
        <f t="shared" si="28"/>
        <v>1.5989533521530181</v>
      </c>
    </row>
    <row r="111" spans="1:27" ht="15" customHeight="1" x14ac:dyDescent="0.75">
      <c r="E111" s="2">
        <f>SUM(E107:E110)</f>
        <v>1927378.53</v>
      </c>
      <c r="F111" s="2">
        <f>SUM(F107:F110)</f>
        <v>1813453.0899999999</v>
      </c>
      <c r="G111" s="2">
        <f>SUM(G107:G110)</f>
        <v>3740831.62</v>
      </c>
      <c r="I111" s="2">
        <f>SUM(I107:I110)</f>
        <v>2067161.94</v>
      </c>
      <c r="J111" s="2">
        <f>SUM(J107:J110)</f>
        <v>1735073.3299999998</v>
      </c>
      <c r="K111" s="2">
        <f>SUM(K107:K110)</f>
        <v>3802235.2699999996</v>
      </c>
      <c r="N111" s="2">
        <f>SUM(N107:N110)</f>
        <v>2137248.7400000002</v>
      </c>
      <c r="O111" s="2">
        <f>SUM(O107:O110)</f>
        <v>1892064.83</v>
      </c>
      <c r="P111" s="2">
        <f>SUM(P107:P110)</f>
        <v>4029313.57</v>
      </c>
      <c r="R111" s="2">
        <f>SUM(R107:R110)</f>
        <v>2572975.6500000004</v>
      </c>
      <c r="S111" s="2">
        <f>SUM(S107:S110)</f>
        <v>1890371.31</v>
      </c>
      <c r="T111" s="2">
        <f>SUM(T107:T110)</f>
        <v>4463346.96</v>
      </c>
      <c r="V111" s="2">
        <f>SUM(V107:V110)</f>
        <v>2522490</v>
      </c>
      <c r="W111" s="2">
        <f>SUM(W107:W110)</f>
        <v>1922605.05</v>
      </c>
      <c r="X111" s="2">
        <f>SUM(X107:X110)</f>
        <v>4445095.0500000007</v>
      </c>
      <c r="Z111" s="1">
        <f t="shared" si="27"/>
        <v>704263.43000000063</v>
      </c>
      <c r="AA111" s="32">
        <f t="shared" si="28"/>
        <v>0.18826386791501742</v>
      </c>
    </row>
    <row r="112" spans="1:27" ht="15" customHeight="1" x14ac:dyDescent="0.45">
      <c r="A112" s="1" t="s">
        <v>85</v>
      </c>
      <c r="Z112" s="1">
        <f t="shared" si="27"/>
        <v>0</v>
      </c>
    </row>
    <row r="113" spans="1:27 16356:16356" ht="15" customHeight="1" x14ac:dyDescent="0.45">
      <c r="B113" s="1" t="s">
        <v>24</v>
      </c>
      <c r="E113" s="1">
        <f>47722</f>
        <v>47722</v>
      </c>
      <c r="F113" s="1">
        <f>479194.71+88270.08+46742.65</f>
        <v>614207.44000000006</v>
      </c>
      <c r="G113" s="1">
        <f t="shared" ref="G113:G121" si="39">F113+E113</f>
        <v>661929.44000000006</v>
      </c>
      <c r="I113" s="1">
        <f>72991+490</f>
        <v>73481</v>
      </c>
      <c r="J113" s="1">
        <f>493784.79+90035.5</f>
        <v>583820.29</v>
      </c>
      <c r="K113" s="1">
        <f t="shared" ref="K113:K121" si="40">J113+I113</f>
        <v>657301.29</v>
      </c>
      <c r="N113" s="1">
        <f>65325</f>
        <v>65325</v>
      </c>
      <c r="O113" s="1">
        <f>464272.8+77209.17</f>
        <v>541481.97</v>
      </c>
      <c r="P113" s="1">
        <f t="shared" ref="P113:P121" si="41">O113+N113</f>
        <v>606806.97</v>
      </c>
      <c r="R113" s="1">
        <f>97254</f>
        <v>97254</v>
      </c>
      <c r="S113" s="1">
        <f>496328.34+78608.26</f>
        <v>574936.6</v>
      </c>
      <c r="T113" s="1">
        <f t="shared" ref="T113:T121" si="42">S113+R113</f>
        <v>672190.6</v>
      </c>
      <c r="V113" s="1">
        <f>63110</f>
        <v>63110</v>
      </c>
      <c r="W113" s="1">
        <f>537896.53+79533.65</f>
        <v>617430.18000000005</v>
      </c>
      <c r="X113" s="1">
        <f t="shared" ref="X113:X121" si="43">W113+V113</f>
        <v>680540.18</v>
      </c>
      <c r="Z113" s="1">
        <f t="shared" si="27"/>
        <v>18610.739999999991</v>
      </c>
      <c r="AA113" s="32">
        <f t="shared" si="28"/>
        <v>2.8115897066007502E-2</v>
      </c>
    </row>
    <row r="114" spans="1:27 16356:16356" ht="15" customHeight="1" x14ac:dyDescent="0.45">
      <c r="B114" s="1" t="s">
        <v>86</v>
      </c>
      <c r="E114" s="1">
        <f>20000+40764</f>
        <v>60764</v>
      </c>
      <c r="F114" s="1">
        <f>37748.18+57411.19+51146.32+65333.08+67365.6+50777.46+19095.57+133154.8+120.09+497221</f>
        <v>979373.29</v>
      </c>
      <c r="G114" s="1">
        <f t="shared" si="39"/>
        <v>1040137.29</v>
      </c>
      <c r="I114" s="1">
        <f>58184</f>
        <v>58184</v>
      </c>
      <c r="J114" s="1">
        <f>53224.8+77043.17+38722.94+72023.27+59305.06+48029.67+18810.53+169038.25+510701.65</f>
        <v>1046899.34</v>
      </c>
      <c r="K114" s="1">
        <f t="shared" si="40"/>
        <v>1105083.3399999999</v>
      </c>
      <c r="N114" s="1">
        <f>58892</f>
        <v>58892</v>
      </c>
      <c r="O114" s="1">
        <f>74526.74+61838.95+48382.17+75624.33+62694.62+46216.45+18582.34+175670.93+534262.5</f>
        <v>1097799.03</v>
      </c>
      <c r="P114" s="1">
        <f t="shared" si="41"/>
        <v>1156691.03</v>
      </c>
      <c r="R114" s="1">
        <f>32000+42812</f>
        <v>74812</v>
      </c>
      <c r="S114" s="1">
        <f>29856.89+64323.23+79356.95+68756.52+70260.12+49804.99+15575.02+184567.95+527670.15</f>
        <v>1090171.82</v>
      </c>
      <c r="T114" s="1">
        <f t="shared" si="42"/>
        <v>1164983.82</v>
      </c>
      <c r="V114" s="1">
        <f>52711</f>
        <v>52711</v>
      </c>
      <c r="W114" s="1">
        <f>61475.97+54495.98+58841.97+59750.94+70491.51+53762.65+17772.2+172784.99+541600.4</f>
        <v>1090976.6099999999</v>
      </c>
      <c r="X114" s="1">
        <f t="shared" si="43"/>
        <v>1143687.6099999999</v>
      </c>
      <c r="Z114" s="1">
        <f t="shared" si="27"/>
        <v>103550.31999999983</v>
      </c>
      <c r="AA114" s="32">
        <f t="shared" si="28"/>
        <v>9.9554473236893398E-2</v>
      </c>
    </row>
    <row r="115" spans="1:27 16356:16356" ht="15" customHeight="1" x14ac:dyDescent="0.45">
      <c r="B115" s="1" t="s">
        <v>87</v>
      </c>
      <c r="E115" s="1">
        <f>20893</f>
        <v>20893</v>
      </c>
      <c r="F115" s="1">
        <f>69279.92</f>
        <v>69279.92</v>
      </c>
      <c r="G115" s="1">
        <f t="shared" si="39"/>
        <v>90172.92</v>
      </c>
      <c r="I115" s="1">
        <f>21453</f>
        <v>21453</v>
      </c>
      <c r="J115" s="1">
        <v>46803.45</v>
      </c>
      <c r="K115" s="1">
        <f t="shared" si="40"/>
        <v>68256.45</v>
      </c>
      <c r="N115" s="1">
        <v>22141</v>
      </c>
      <c r="O115" s="1">
        <f>52726.22</f>
        <v>52726.22</v>
      </c>
      <c r="P115" s="1">
        <f t="shared" si="41"/>
        <v>74867.22</v>
      </c>
      <c r="R115" s="1">
        <f>29540</f>
        <v>29540</v>
      </c>
      <c r="S115" s="1">
        <f>63297.05</f>
        <v>63297.05</v>
      </c>
      <c r="T115" s="1">
        <f t="shared" si="42"/>
        <v>92837.05</v>
      </c>
      <c r="V115" s="1">
        <v>20469</v>
      </c>
      <c r="W115" s="1">
        <f>66100.13</f>
        <v>66100.13</v>
      </c>
      <c r="X115" s="1">
        <f t="shared" si="43"/>
        <v>86569.13</v>
      </c>
      <c r="Z115" s="1">
        <f t="shared" si="27"/>
        <v>-3603.7899999999936</v>
      </c>
      <c r="AA115" s="32">
        <f t="shared" si="28"/>
        <v>-3.9965324401161607E-2</v>
      </c>
    </row>
    <row r="116" spans="1:27 16356:16356" ht="15" customHeight="1" x14ac:dyDescent="0.45">
      <c r="B116" s="1" t="s">
        <v>88</v>
      </c>
      <c r="E116" s="1">
        <f>12931</f>
        <v>12931</v>
      </c>
      <c r="F116" s="1">
        <f>212222.21</f>
        <v>212222.21</v>
      </c>
      <c r="G116" s="1">
        <f t="shared" si="39"/>
        <v>225153.21</v>
      </c>
      <c r="I116" s="1">
        <f>15279</f>
        <v>15279</v>
      </c>
      <c r="J116" s="1">
        <v>211478.6</v>
      </c>
      <c r="K116" s="1">
        <f t="shared" si="40"/>
        <v>226757.6</v>
      </c>
      <c r="N116" s="1">
        <v>36110</v>
      </c>
      <c r="O116" s="1">
        <f>218027.93</f>
        <v>218027.93</v>
      </c>
      <c r="P116" s="1">
        <f t="shared" si="41"/>
        <v>254137.93</v>
      </c>
      <c r="R116" s="1">
        <v>37749</v>
      </c>
      <c r="S116" s="1">
        <f>250299.49</f>
        <v>250299.49</v>
      </c>
      <c r="T116" s="1">
        <f t="shared" si="42"/>
        <v>288048.49</v>
      </c>
      <c r="V116" s="1">
        <v>36373</v>
      </c>
      <c r="W116" s="1">
        <f>220536.91</f>
        <v>220536.91</v>
      </c>
      <c r="X116" s="1">
        <f t="shared" si="43"/>
        <v>256909.91</v>
      </c>
      <c r="Z116" s="1">
        <f t="shared" si="27"/>
        <v>31756.700000000012</v>
      </c>
      <c r="AA116" s="32">
        <f t="shared" si="28"/>
        <v>0.14104484675124113</v>
      </c>
    </row>
    <row r="117" spans="1:27 16356:16356" ht="15" customHeight="1" x14ac:dyDescent="0.45">
      <c r="B117" s="1" t="s">
        <v>14</v>
      </c>
      <c r="E117" s="1">
        <f>9664</f>
        <v>9664</v>
      </c>
      <c r="F117" s="1">
        <v>66056.89</v>
      </c>
      <c r="G117" s="1">
        <f t="shared" si="39"/>
        <v>75720.89</v>
      </c>
      <c r="I117" s="1">
        <f>7714</f>
        <v>7714</v>
      </c>
      <c r="J117" s="1">
        <f>67929.61</f>
        <v>67929.61</v>
      </c>
      <c r="K117" s="1">
        <f t="shared" si="40"/>
        <v>75643.61</v>
      </c>
      <c r="N117" s="1">
        <v>9713</v>
      </c>
      <c r="O117" s="1">
        <v>70333.919999999998</v>
      </c>
      <c r="P117" s="1">
        <f t="shared" si="41"/>
        <v>80046.92</v>
      </c>
      <c r="R117" s="1">
        <v>7426</v>
      </c>
      <c r="S117" s="1">
        <f>75848.73</f>
        <v>75848.73</v>
      </c>
      <c r="T117" s="1">
        <f t="shared" si="42"/>
        <v>83274.73</v>
      </c>
      <c r="V117" s="1">
        <f>5822</f>
        <v>5822</v>
      </c>
      <c r="W117" s="1">
        <f>66302.59</f>
        <v>66302.59</v>
      </c>
      <c r="X117" s="1">
        <f t="shared" si="43"/>
        <v>72124.59</v>
      </c>
      <c r="Z117" s="1">
        <f t="shared" si="27"/>
        <v>-3596.3000000000029</v>
      </c>
      <c r="AA117" s="32">
        <f t="shared" si="28"/>
        <v>-4.7494159141552653E-2</v>
      </c>
    </row>
    <row r="118" spans="1:27 16356:16356" ht="15" customHeight="1" x14ac:dyDescent="0.45">
      <c r="B118" s="1" t="s">
        <v>89</v>
      </c>
      <c r="E118" s="1">
        <f>21680+27601</f>
        <v>49281</v>
      </c>
      <c r="F118" s="1">
        <f>60251.76+1750+1500+37819.92+3000</f>
        <v>104321.68</v>
      </c>
      <c r="G118" s="1">
        <f t="shared" si="39"/>
        <v>153602.68</v>
      </c>
      <c r="I118" s="1">
        <f>30587+32553.7</f>
        <v>63140.7</v>
      </c>
      <c r="J118" s="1">
        <f>67147.39+500+500+27607.99+2000+1000</f>
        <v>98755.38</v>
      </c>
      <c r="K118" s="1">
        <f t="shared" si="40"/>
        <v>161896.08000000002</v>
      </c>
      <c r="N118" s="1">
        <v>65621</v>
      </c>
      <c r="O118" s="1">
        <v>96828.24</v>
      </c>
      <c r="P118" s="1">
        <f t="shared" si="41"/>
        <v>162449.24</v>
      </c>
      <c r="R118" s="1">
        <f>48085</f>
        <v>48085</v>
      </c>
      <c r="S118" s="1">
        <f>103225.65</f>
        <v>103225.65</v>
      </c>
      <c r="T118" s="1">
        <f t="shared" si="42"/>
        <v>151310.65</v>
      </c>
      <c r="V118" s="1">
        <f>34265</f>
        <v>34265</v>
      </c>
      <c r="W118" s="1">
        <f>103267.44</f>
        <v>103267.44</v>
      </c>
      <c r="X118" s="1">
        <f t="shared" si="43"/>
        <v>137532.44</v>
      </c>
      <c r="Z118" s="1">
        <f t="shared" si="27"/>
        <v>-16070.239999999991</v>
      </c>
      <c r="AA118" s="32">
        <f t="shared" si="28"/>
        <v>-0.10462213289507703</v>
      </c>
    </row>
    <row r="119" spans="1:27 16356:16356" ht="15" customHeight="1" x14ac:dyDescent="0.45">
      <c r="B119" s="1" t="s">
        <v>90</v>
      </c>
      <c r="E119" s="1">
        <f>300088</f>
        <v>300088</v>
      </c>
      <c r="F119" s="1">
        <f>130166.3+119.52+5614.04</f>
        <v>135899.86000000002</v>
      </c>
      <c r="G119" s="1">
        <f t="shared" si="39"/>
        <v>435987.86</v>
      </c>
      <c r="I119" s="1">
        <f>316566</f>
        <v>316566</v>
      </c>
      <c r="J119" s="1">
        <f>149904.6+1772.03</f>
        <v>151676.63</v>
      </c>
      <c r="K119" s="1">
        <f t="shared" si="40"/>
        <v>468242.63</v>
      </c>
      <c r="N119" s="1">
        <v>260321</v>
      </c>
      <c r="O119" s="1">
        <f>181260.8</f>
        <v>181260.79999999999</v>
      </c>
      <c r="P119" s="1">
        <f t="shared" si="41"/>
        <v>441581.8</v>
      </c>
      <c r="R119" s="1">
        <f>315887</f>
        <v>315887</v>
      </c>
      <c r="S119" s="1">
        <f>185021.3+458.55+300+2464</f>
        <v>188243.84999999998</v>
      </c>
      <c r="T119" s="1">
        <f t="shared" si="42"/>
        <v>504130.85</v>
      </c>
      <c r="V119" s="1">
        <f>291320</f>
        <v>291320</v>
      </c>
      <c r="W119" s="1">
        <f>180066.76</f>
        <v>180066.76</v>
      </c>
      <c r="X119" s="1">
        <f t="shared" si="43"/>
        <v>471386.76</v>
      </c>
      <c r="Z119" s="1">
        <f t="shared" si="27"/>
        <v>35398.900000000023</v>
      </c>
      <c r="AA119" s="32">
        <f t="shared" si="28"/>
        <v>8.1192398338797836E-2</v>
      </c>
    </row>
    <row r="120" spans="1:27 16356:16356" ht="15" customHeight="1" x14ac:dyDescent="0.45">
      <c r="B120" s="1" t="s">
        <v>91</v>
      </c>
      <c r="E120" s="1">
        <f>803323</f>
        <v>803323</v>
      </c>
      <c r="G120" s="1">
        <f t="shared" si="39"/>
        <v>803323</v>
      </c>
      <c r="I120" s="1">
        <f>867815</f>
        <v>867815</v>
      </c>
      <c r="K120" s="1">
        <f t="shared" si="40"/>
        <v>867815</v>
      </c>
      <c r="N120" s="1">
        <v>1004496</v>
      </c>
      <c r="O120" s="1">
        <v>0</v>
      </c>
      <c r="P120" s="1">
        <f t="shared" si="41"/>
        <v>1004496</v>
      </c>
      <c r="R120" s="1">
        <f>928050</f>
        <v>928050</v>
      </c>
      <c r="S120" s="1">
        <v>0</v>
      </c>
      <c r="T120" s="1">
        <f t="shared" si="42"/>
        <v>928050</v>
      </c>
      <c r="V120" s="1">
        <f>956543</f>
        <v>956543</v>
      </c>
      <c r="W120" s="1">
        <v>0</v>
      </c>
      <c r="X120" s="1">
        <f t="shared" si="43"/>
        <v>956543</v>
      </c>
      <c r="Z120" s="1">
        <f t="shared" si="27"/>
        <v>153220</v>
      </c>
      <c r="AA120" s="32">
        <f t="shared" si="28"/>
        <v>0.19073274386517006</v>
      </c>
    </row>
    <row r="121" spans="1:27 16356:16356" ht="15" customHeight="1" x14ac:dyDescent="0.75">
      <c r="B121" s="1" t="s">
        <v>92</v>
      </c>
      <c r="E121" s="2">
        <f>77364</f>
        <v>77364</v>
      </c>
      <c r="F121" s="2">
        <f>996706.19+56880+31674.86+4925.18</f>
        <v>1090186.23</v>
      </c>
      <c r="G121" s="2">
        <f t="shared" si="39"/>
        <v>1167550.23</v>
      </c>
      <c r="I121" s="2">
        <f>81753</f>
        <v>81753</v>
      </c>
      <c r="J121" s="2">
        <f>995802.14+58017.6+33597.01+4966.42</f>
        <v>1092383.17</v>
      </c>
      <c r="K121" s="2">
        <f t="shared" si="40"/>
        <v>1174136.17</v>
      </c>
      <c r="N121" s="2">
        <v>91476</v>
      </c>
      <c r="O121" s="2">
        <f>999567.44+59062.6+30836.99+4264.43</f>
        <v>1093731.46</v>
      </c>
      <c r="P121" s="2">
        <f t="shared" si="41"/>
        <v>1185207.46</v>
      </c>
      <c r="R121" s="1">
        <v>115302</v>
      </c>
      <c r="S121" s="1">
        <f>1032428.28+60020.04+31480.79+2747.36</f>
        <v>1126676.4700000002</v>
      </c>
      <c r="T121" s="2">
        <f t="shared" si="42"/>
        <v>1241978.4700000002</v>
      </c>
      <c r="V121" s="2">
        <f>115014</f>
        <v>115014</v>
      </c>
      <c r="W121" s="2">
        <f>1051109.95+62970.7+35197.26+5308.55</f>
        <v>1154586.46</v>
      </c>
      <c r="X121" s="2">
        <f t="shared" si="43"/>
        <v>1269600.46</v>
      </c>
      <c r="Z121" s="1">
        <f t="shared" si="27"/>
        <v>102050.22999999998</v>
      </c>
      <c r="AA121" s="32">
        <f t="shared" si="28"/>
        <v>8.7405430085864474E-2</v>
      </c>
    </row>
    <row r="122" spans="1:27 16356:16356" ht="15" customHeight="1" x14ac:dyDescent="0.75">
      <c r="E122" s="2">
        <f>SUM(E113:E121)</f>
        <v>1382030</v>
      </c>
      <c r="F122" s="2">
        <f>SUM(F113:F121)</f>
        <v>3271547.5199999996</v>
      </c>
      <c r="G122" s="2">
        <f>SUM(G113:G121)</f>
        <v>4653577.5199999996</v>
      </c>
      <c r="I122" s="2">
        <f>SUM(I113:I121)</f>
        <v>1505385.7</v>
      </c>
      <c r="J122" s="2">
        <f>SUM(J113:J121)</f>
        <v>3299746.4699999997</v>
      </c>
      <c r="K122" s="2">
        <f>SUM(K113:K121)</f>
        <v>4805132.17</v>
      </c>
      <c r="N122" s="2">
        <f>SUM(N113:N121)</f>
        <v>1614095</v>
      </c>
      <c r="O122" s="2">
        <f>SUM(O113:O121)</f>
        <v>3352189.57</v>
      </c>
      <c r="P122" s="2">
        <f>SUM(P113:P121)</f>
        <v>4966284.5699999994</v>
      </c>
      <c r="R122" s="2">
        <f>SUM(R113:R121)</f>
        <v>1654105</v>
      </c>
      <c r="S122" s="2">
        <f>SUM(S113:S121)</f>
        <v>3472699.66</v>
      </c>
      <c r="T122" s="2">
        <f>SUM(T113:T121)</f>
        <v>5126804.66</v>
      </c>
      <c r="V122" s="2">
        <f>SUM(V113:V121)</f>
        <v>1575627</v>
      </c>
      <c r="W122" s="2">
        <f>SUM(W113:W121)</f>
        <v>3499267.08</v>
      </c>
      <c r="X122" s="2">
        <f>SUM(X113:X121)</f>
        <v>5074894.08</v>
      </c>
      <c r="Z122" s="1">
        <f t="shared" si="27"/>
        <v>421316.56000000052</v>
      </c>
      <c r="AA122" s="32">
        <f t="shared" si="28"/>
        <v>9.053605708495871E-2</v>
      </c>
      <c r="XEB122" s="1">
        <f>SUM(XEB113:XFD121)</f>
        <v>0</v>
      </c>
    </row>
    <row r="123" spans="1:27 16356:16356" ht="15" customHeight="1" x14ac:dyDescent="0.45">
      <c r="A123" s="1" t="s">
        <v>94</v>
      </c>
      <c r="Z123" s="1">
        <f t="shared" si="27"/>
        <v>0</v>
      </c>
    </row>
    <row r="124" spans="1:27 16356:16356" ht="15" customHeight="1" x14ac:dyDescent="0.45">
      <c r="B124" s="1" t="s">
        <v>24</v>
      </c>
      <c r="E124" s="1">
        <f>8359+199922</f>
        <v>208281</v>
      </c>
      <c r="F124" s="1">
        <f>20571.44+125786.02+489385.93+181050+40114.23+75002.71+194249.51-247033.08</f>
        <v>879126.75999999989</v>
      </c>
      <c r="G124" s="1">
        <f t="shared" ref="G124:G127" si="44">F124+E124</f>
        <v>1087407.7599999998</v>
      </c>
      <c r="I124" s="1">
        <f>9526+159161</f>
        <v>168687</v>
      </c>
      <c r="J124" s="1">
        <f>23927.04+366528.18+208703.42+75157.21+44045.37+60965.5+198948.64-178464.44</f>
        <v>799810.91999999993</v>
      </c>
      <c r="K124" s="1">
        <f t="shared" ref="K124:K127" si="45">J124+I124</f>
        <v>968497.91999999993</v>
      </c>
      <c r="N124" s="1">
        <f>247308+9914</f>
        <v>257222</v>
      </c>
      <c r="O124" s="1">
        <f>29488.43+322214.78+1105.4+189991.75+69609.37+77045.06+62065.5+202045.05-45699</f>
        <v>907866.34000000008</v>
      </c>
      <c r="P124" s="1">
        <f t="shared" ref="P124:P127" si="46">O124+N124</f>
        <v>1165088.3400000001</v>
      </c>
      <c r="R124" s="1">
        <f>10163+272188</f>
        <v>282351</v>
      </c>
      <c r="S124" s="1">
        <f>32403.64+320813.31+276598.63+65563.74+79963.34+62647.58+91893.36+203183.8</f>
        <v>1133067.3999999999</v>
      </c>
      <c r="T124" s="1">
        <f t="shared" ref="T124:T127" si="47">S124+R124</f>
        <v>1415418.4</v>
      </c>
      <c r="V124" s="1">
        <f>12194+270303</f>
        <v>282497</v>
      </c>
      <c r="W124" s="1">
        <f>48103.8+313202.32+221902.64+68129.88+63325.08+203073.51</f>
        <v>917737.23</v>
      </c>
      <c r="X124" s="1">
        <f t="shared" ref="X124:X127" si="48">W124+V124</f>
        <v>1200234.23</v>
      </c>
      <c r="Z124" s="1">
        <f t="shared" si="27"/>
        <v>112826.4700000002</v>
      </c>
      <c r="AA124" s="32">
        <f t="shared" si="28"/>
        <v>0.10375727868633219</v>
      </c>
    </row>
    <row r="125" spans="1:27 16356:16356" ht="15" customHeight="1" x14ac:dyDescent="0.45">
      <c r="B125" s="1" t="s">
        <v>96</v>
      </c>
      <c r="E125" s="1">
        <f>7676+74355</f>
        <v>82031</v>
      </c>
      <c r="F125" s="1">
        <f>221117.64+748</f>
        <v>221865.64</v>
      </c>
      <c r="G125" s="1">
        <f t="shared" si="44"/>
        <v>303896.64</v>
      </c>
      <c r="I125" s="1">
        <f>9496+69004</f>
        <v>78500</v>
      </c>
      <c r="J125" s="1">
        <f>242566.42</f>
        <v>242566.42</v>
      </c>
      <c r="K125" s="1">
        <f t="shared" si="45"/>
        <v>321066.42000000004</v>
      </c>
      <c r="N125" s="1">
        <v>81382</v>
      </c>
      <c r="O125" s="1">
        <f>226336.27</f>
        <v>226336.27</v>
      </c>
      <c r="P125" s="1">
        <f t="shared" si="46"/>
        <v>307718.27</v>
      </c>
      <c r="R125" s="1">
        <f>82108</f>
        <v>82108</v>
      </c>
      <c r="S125" s="1">
        <f>219035.87+1117.02</f>
        <v>220152.88999999998</v>
      </c>
      <c r="T125" s="1">
        <f t="shared" si="47"/>
        <v>302260.89</v>
      </c>
      <c r="V125" s="1">
        <f>58088</f>
        <v>58088</v>
      </c>
      <c r="W125" s="1">
        <f>245109.66</f>
        <v>245109.66</v>
      </c>
      <c r="X125" s="1">
        <f t="shared" si="48"/>
        <v>303197.66000000003</v>
      </c>
      <c r="Z125" s="1">
        <f t="shared" si="27"/>
        <v>-698.97999999998137</v>
      </c>
      <c r="AA125" s="32">
        <f t="shared" si="28"/>
        <v>-2.3000583356235244E-3</v>
      </c>
    </row>
    <row r="126" spans="1:27 16356:16356" ht="15" customHeight="1" x14ac:dyDescent="0.45">
      <c r="B126" s="1" t="s">
        <v>98</v>
      </c>
      <c r="E126" s="1">
        <f>78975</f>
        <v>78975</v>
      </c>
      <c r="F126" s="1">
        <f>248314.49+20344.69</f>
        <v>268659.18</v>
      </c>
      <c r="G126" s="1">
        <f t="shared" si="44"/>
        <v>347634.18</v>
      </c>
      <c r="I126" s="1">
        <f>85469</f>
        <v>85469</v>
      </c>
      <c r="J126" s="1">
        <f>224330.67+34129.92+988.77</f>
        <v>259449.36000000002</v>
      </c>
      <c r="K126" s="1">
        <f t="shared" si="45"/>
        <v>344918.36</v>
      </c>
      <c r="N126" s="1">
        <v>81748</v>
      </c>
      <c r="O126" s="1">
        <f>226322.58+23203.8</f>
        <v>249526.37999999998</v>
      </c>
      <c r="P126" s="1">
        <f t="shared" si="46"/>
        <v>331274.38</v>
      </c>
      <c r="R126" s="1">
        <f>76382</f>
        <v>76382</v>
      </c>
      <c r="S126" s="1">
        <f>201872.61+36772.75</f>
        <v>238645.36</v>
      </c>
      <c r="T126" s="1">
        <f t="shared" si="47"/>
        <v>315027.36</v>
      </c>
      <c r="V126" s="1">
        <f>82336</f>
        <v>82336</v>
      </c>
      <c r="W126" s="1">
        <f>181965.36+29441+689+82014.25</f>
        <v>294109.61</v>
      </c>
      <c r="X126" s="1">
        <f t="shared" si="48"/>
        <v>376445.61</v>
      </c>
      <c r="Z126" s="1">
        <f t="shared" si="27"/>
        <v>28811.429999999993</v>
      </c>
      <c r="AA126" s="32">
        <f t="shared" si="28"/>
        <v>8.2878588060587122E-2</v>
      </c>
    </row>
    <row r="127" spans="1:27 16356:16356" ht="15" customHeight="1" x14ac:dyDescent="0.75">
      <c r="B127" s="1" t="s">
        <v>97</v>
      </c>
      <c r="C127" s="2"/>
      <c r="D127" s="2"/>
      <c r="E127" s="2">
        <f>205833</f>
        <v>205833</v>
      </c>
      <c r="F127" s="2">
        <f>895079.61+32706.2</f>
        <v>927785.80999999994</v>
      </c>
      <c r="G127" s="2">
        <f t="shared" si="44"/>
        <v>1133618.81</v>
      </c>
      <c r="H127" s="2"/>
      <c r="I127" s="2">
        <f>470369</f>
        <v>470369</v>
      </c>
      <c r="J127" s="2">
        <f>1097908.43+36739.38</f>
        <v>1134647.8099999998</v>
      </c>
      <c r="K127" s="2">
        <f t="shared" si="45"/>
        <v>1605016.8099999998</v>
      </c>
      <c r="M127" s="2"/>
      <c r="N127" s="2">
        <v>485129</v>
      </c>
      <c r="O127" s="2">
        <f>992946.17+14876.77</f>
        <v>1007822.9400000001</v>
      </c>
      <c r="P127" s="2">
        <f t="shared" si="46"/>
        <v>1492951.94</v>
      </c>
      <c r="Q127" s="2"/>
      <c r="R127" s="1">
        <v>511982</v>
      </c>
      <c r="S127" s="1">
        <f>912531.97+50127.5</f>
        <v>962659.47</v>
      </c>
      <c r="T127" s="2">
        <f t="shared" si="47"/>
        <v>1474641.47</v>
      </c>
      <c r="U127" s="2"/>
      <c r="V127" s="2">
        <f>1490147</f>
        <v>1490147</v>
      </c>
      <c r="W127" s="2">
        <f>1146764.05+50670.8</f>
        <v>1197434.8500000001</v>
      </c>
      <c r="X127" s="2">
        <f t="shared" si="48"/>
        <v>2687581.85</v>
      </c>
      <c r="Y127" s="2"/>
      <c r="Z127" s="1">
        <f t="shared" si="27"/>
        <v>1553963.04</v>
      </c>
      <c r="AA127" s="32">
        <f t="shared" si="28"/>
        <v>1.3707985667598441</v>
      </c>
    </row>
    <row r="128" spans="1:27 16356:16356" ht="15" customHeight="1" x14ac:dyDescent="0.75">
      <c r="E128" s="2">
        <f>SUM(E124:E127)</f>
        <v>575120</v>
      </c>
      <c r="F128" s="2">
        <f>SUM(F124:F127)</f>
        <v>2297437.3899999997</v>
      </c>
      <c r="G128" s="2">
        <f>SUM(G124:G127)</f>
        <v>2872557.3899999997</v>
      </c>
      <c r="I128" s="2">
        <f>SUM(I124:I127)</f>
        <v>803025</v>
      </c>
      <c r="J128" s="2">
        <f>SUM(J124:J127)</f>
        <v>2436474.5099999998</v>
      </c>
      <c r="K128" s="2">
        <f>SUM(K124:K127)</f>
        <v>3239499.51</v>
      </c>
      <c r="N128" s="2">
        <f>SUM(N124:N127)</f>
        <v>905481</v>
      </c>
      <c r="O128" s="2">
        <f>SUM(O124:O127)</f>
        <v>2391551.9300000002</v>
      </c>
      <c r="P128" s="2">
        <f>SUM(P124:P127)</f>
        <v>3297032.93</v>
      </c>
      <c r="R128" s="2">
        <f>SUM(R124:R127)</f>
        <v>952823</v>
      </c>
      <c r="S128" s="2">
        <f>SUM(S124:S127)</f>
        <v>2554525.12</v>
      </c>
      <c r="T128" s="2">
        <f>SUM(T124:T127)</f>
        <v>3507348.12</v>
      </c>
      <c r="V128" s="2">
        <f>SUM(V124:V127)</f>
        <v>1913068</v>
      </c>
      <c r="W128" s="2">
        <f>SUM(W124:W127)</f>
        <v>2654391.35</v>
      </c>
      <c r="X128" s="2">
        <f>SUM(X124:X127)</f>
        <v>4567459.3499999996</v>
      </c>
      <c r="Z128" s="1">
        <f t="shared" si="27"/>
        <v>1694901.96</v>
      </c>
      <c r="AA128" s="32">
        <f t="shared" si="28"/>
        <v>0.59003241010965501</v>
      </c>
    </row>
    <row r="129" spans="1:27" ht="15" customHeight="1" x14ac:dyDescent="0.45">
      <c r="A129" s="1" t="s">
        <v>99</v>
      </c>
      <c r="Z129" s="1">
        <f t="shared" si="27"/>
        <v>0</v>
      </c>
    </row>
    <row r="130" spans="1:27" ht="15" customHeight="1" x14ac:dyDescent="0.45">
      <c r="B130" s="1" t="s">
        <v>100</v>
      </c>
      <c r="E130" s="1">
        <f>122051</f>
        <v>122051</v>
      </c>
      <c r="F130" s="1">
        <f>369069.68+4999.92+44915.74+1500+3000</f>
        <v>423485.33999999997</v>
      </c>
      <c r="G130" s="1">
        <f t="shared" ref="G130:G137" si="49">F130+E130</f>
        <v>545536.34</v>
      </c>
      <c r="I130" s="1">
        <f>3625+87190.78+7338.45+44753.43+57390</f>
        <v>200297.66</v>
      </c>
      <c r="J130" s="1">
        <f>443887.37+4999.92+446.16+1500+3000</f>
        <v>453833.44999999995</v>
      </c>
      <c r="K130" s="1">
        <f t="shared" ref="K130:K137" si="50">J130+I130</f>
        <v>654131.11</v>
      </c>
      <c r="N130" s="1">
        <f>98226</f>
        <v>98226</v>
      </c>
      <c r="O130" s="1">
        <f>518511.69+4999.92+81017.83+3000+1500</f>
        <v>609029.43999999994</v>
      </c>
      <c r="P130" s="1">
        <f t="shared" ref="P130:P137" si="51">O130+N130</f>
        <v>707255.44</v>
      </c>
      <c r="R130" s="1">
        <f>90833</f>
        <v>90833</v>
      </c>
      <c r="S130" s="1">
        <f>470279.12+4999.92+109170.92+4500</f>
        <v>588949.96</v>
      </c>
      <c r="T130" s="1">
        <f t="shared" ref="T130:T137" si="52">S130+R130</f>
        <v>679782.96</v>
      </c>
      <c r="V130" s="1">
        <f>107792</f>
        <v>107792</v>
      </c>
      <c r="W130" s="1">
        <f>533131.09+4999.92+110274.56+4500</f>
        <v>652905.57000000007</v>
      </c>
      <c r="X130" s="1">
        <f t="shared" ref="X130:X137" si="53">W130+V130</f>
        <v>760697.57000000007</v>
      </c>
      <c r="Z130" s="1">
        <f t="shared" si="27"/>
        <v>215161.2300000001</v>
      </c>
      <c r="AA130" s="32">
        <f t="shared" si="28"/>
        <v>0.39440311162405811</v>
      </c>
    </row>
    <row r="131" spans="1:27" ht="15" customHeight="1" x14ac:dyDescent="0.45">
      <c r="B131" s="1" t="s">
        <v>101</v>
      </c>
      <c r="E131" s="1">
        <f>376.81</f>
        <v>376.81</v>
      </c>
      <c r="F131" s="1">
        <f>49999.92</f>
        <v>49999.92</v>
      </c>
      <c r="G131" s="1">
        <f t="shared" si="49"/>
        <v>50376.729999999996</v>
      </c>
      <c r="I131" s="1">
        <f>2670</f>
        <v>2670</v>
      </c>
      <c r="J131" s="1">
        <v>49999.92</v>
      </c>
      <c r="K131" s="1">
        <f t="shared" si="50"/>
        <v>52669.919999999998</v>
      </c>
      <c r="N131" s="1">
        <v>575</v>
      </c>
      <c r="O131" s="1">
        <f>50916.66</f>
        <v>50916.66</v>
      </c>
      <c r="P131" s="1">
        <f t="shared" si="51"/>
        <v>51491.66</v>
      </c>
      <c r="R131" s="1">
        <f>1844</f>
        <v>1844</v>
      </c>
      <c r="S131" s="1">
        <f>52402.5</f>
        <v>52402.5</v>
      </c>
      <c r="T131" s="1">
        <f t="shared" si="52"/>
        <v>54246.5</v>
      </c>
      <c r="V131" s="1">
        <f>1349</f>
        <v>1349</v>
      </c>
      <c r="W131" s="1">
        <f>74616.72</f>
        <v>74616.72</v>
      </c>
      <c r="X131" s="1">
        <f t="shared" si="53"/>
        <v>75965.72</v>
      </c>
      <c r="Z131" s="1">
        <f t="shared" si="27"/>
        <v>25588.990000000005</v>
      </c>
      <c r="AA131" s="32">
        <f t="shared" si="28"/>
        <v>0.50795258048706238</v>
      </c>
    </row>
    <row r="132" spans="1:27" ht="15" customHeight="1" x14ac:dyDescent="0.45">
      <c r="B132" s="1" t="s">
        <v>102</v>
      </c>
      <c r="E132" s="1">
        <f>46998</f>
        <v>46998</v>
      </c>
      <c r="F132" s="1">
        <f>45846.59+85753.99</f>
        <v>131600.58000000002</v>
      </c>
      <c r="G132" s="1">
        <f t="shared" si="49"/>
        <v>178598.58000000002</v>
      </c>
      <c r="I132" s="1">
        <f>48999</f>
        <v>48999</v>
      </c>
      <c r="J132" s="1">
        <f>90765.23+100</f>
        <v>90865.23</v>
      </c>
      <c r="K132" s="1">
        <f t="shared" si="50"/>
        <v>139864.22999999998</v>
      </c>
      <c r="N132" s="1">
        <v>46318</v>
      </c>
      <c r="O132" s="1">
        <f>49708.76+89060.43</f>
        <v>138769.19</v>
      </c>
      <c r="P132" s="1">
        <f t="shared" si="51"/>
        <v>185087.19</v>
      </c>
      <c r="R132" s="1">
        <v>46429</v>
      </c>
      <c r="S132" s="1">
        <f>31345.2+91540.95</f>
        <v>122886.15</v>
      </c>
      <c r="T132" s="1">
        <f t="shared" si="52"/>
        <v>169315.15</v>
      </c>
      <c r="V132" s="1">
        <f>42994</f>
        <v>42994</v>
      </c>
      <c r="W132" s="1">
        <f>9362.48+132906.72</f>
        <v>142269.20000000001</v>
      </c>
      <c r="X132" s="1">
        <f t="shared" si="53"/>
        <v>185263.2</v>
      </c>
      <c r="Z132" s="1">
        <f t="shared" si="27"/>
        <v>6664.6199999999953</v>
      </c>
      <c r="AA132" s="32">
        <f t="shared" si="28"/>
        <v>3.7316198146704158E-2</v>
      </c>
    </row>
    <row r="133" spans="1:27" ht="15" customHeight="1" x14ac:dyDescent="0.45">
      <c r="B133" s="1" t="s">
        <v>104</v>
      </c>
      <c r="E133" s="1">
        <f>21966</f>
        <v>21966</v>
      </c>
      <c r="G133" s="1">
        <f t="shared" si="49"/>
        <v>21966</v>
      </c>
      <c r="I133" s="1">
        <f>67574</f>
        <v>67574</v>
      </c>
      <c r="J133" s="1">
        <v>48796.76</v>
      </c>
      <c r="K133" s="1">
        <f t="shared" si="50"/>
        <v>116370.76000000001</v>
      </c>
      <c r="N133" s="1">
        <v>93301</v>
      </c>
      <c r="O133" s="1">
        <v>0</v>
      </c>
      <c r="P133" s="1">
        <f t="shared" si="51"/>
        <v>93301</v>
      </c>
      <c r="R133" s="1">
        <f>93040</f>
        <v>93040</v>
      </c>
      <c r="S133" s="1">
        <v>0</v>
      </c>
      <c r="T133" s="1">
        <f t="shared" si="52"/>
        <v>93040</v>
      </c>
      <c r="V133" s="1">
        <f>81681</f>
        <v>81681</v>
      </c>
      <c r="W133" s="1">
        <v>0</v>
      </c>
      <c r="X133" s="1">
        <f t="shared" si="53"/>
        <v>81681</v>
      </c>
      <c r="Z133" s="1">
        <f t="shared" si="27"/>
        <v>59715</v>
      </c>
      <c r="AA133" s="32">
        <f t="shared" si="28"/>
        <v>2.7185195301830101</v>
      </c>
    </row>
    <row r="134" spans="1:27" ht="15" customHeight="1" x14ac:dyDescent="0.45">
      <c r="B134" s="1" t="s">
        <v>139</v>
      </c>
      <c r="R134" s="1">
        <v>0</v>
      </c>
      <c r="S134" s="1">
        <v>0</v>
      </c>
      <c r="T134" s="1">
        <f t="shared" si="52"/>
        <v>0</v>
      </c>
      <c r="V134" s="1">
        <v>0</v>
      </c>
      <c r="W134" s="1">
        <v>0</v>
      </c>
      <c r="X134" s="1">
        <f t="shared" si="53"/>
        <v>0</v>
      </c>
      <c r="Z134" s="1">
        <f t="shared" si="27"/>
        <v>0</v>
      </c>
    </row>
    <row r="135" spans="1:27" ht="15" customHeight="1" x14ac:dyDescent="0.45">
      <c r="B135" s="1" t="s">
        <v>89</v>
      </c>
      <c r="Z135" s="1">
        <f t="shared" si="27"/>
        <v>0</v>
      </c>
    </row>
    <row r="136" spans="1:27" ht="15" customHeight="1" x14ac:dyDescent="0.45">
      <c r="B136" s="1" t="s">
        <v>87</v>
      </c>
      <c r="Z136" s="1">
        <f t="shared" si="27"/>
        <v>0</v>
      </c>
    </row>
    <row r="137" spans="1:27" ht="15" customHeight="1" x14ac:dyDescent="0.75">
      <c r="B137" s="1" t="s">
        <v>103</v>
      </c>
      <c r="E137" s="2">
        <f>40568</f>
        <v>40568</v>
      </c>
      <c r="F137" s="2">
        <v>114172.48</v>
      </c>
      <c r="G137" s="3">
        <f t="shared" si="49"/>
        <v>154740.47999999998</v>
      </c>
      <c r="I137" s="2">
        <f>37538</f>
        <v>37538</v>
      </c>
      <c r="J137" s="2">
        <v>124024.54</v>
      </c>
      <c r="K137" s="3">
        <f t="shared" si="50"/>
        <v>161562.53999999998</v>
      </c>
      <c r="N137" s="2">
        <v>42630</v>
      </c>
      <c r="O137" s="2">
        <f>126191.72</f>
        <v>126191.72</v>
      </c>
      <c r="P137" s="3">
        <f t="shared" si="51"/>
        <v>168821.72</v>
      </c>
      <c r="R137" s="1">
        <f>36027</f>
        <v>36027</v>
      </c>
      <c r="S137" s="1">
        <f>133603.84</f>
        <v>133603.84</v>
      </c>
      <c r="T137" s="3">
        <f t="shared" si="52"/>
        <v>169630.84</v>
      </c>
      <c r="V137" s="2">
        <f>34694</f>
        <v>34694</v>
      </c>
      <c r="W137" s="2">
        <f>133746.57</f>
        <v>133746.57</v>
      </c>
      <c r="X137" s="3">
        <f t="shared" si="53"/>
        <v>168440.57</v>
      </c>
      <c r="Z137" s="1">
        <f t="shared" ref="Z137:Z141" si="54">+X137-G137</f>
        <v>13700.090000000026</v>
      </c>
      <c r="AA137" s="32">
        <f t="shared" ref="AA137:AA141" si="55">+Z137/G137</f>
        <v>8.8535915101207049E-2</v>
      </c>
    </row>
    <row r="138" spans="1:27" ht="15" customHeight="1" x14ac:dyDescent="0.75">
      <c r="E138" s="2">
        <f>SUM(E130:E137)</f>
        <v>231959.81</v>
      </c>
      <c r="F138" s="2">
        <f>SUM(F130:F137)</f>
        <v>719258.32</v>
      </c>
      <c r="G138" s="2">
        <f>SUM(G130:G137)</f>
        <v>951218.12999999989</v>
      </c>
      <c r="I138" s="2">
        <f>SUM(I130:I137)</f>
        <v>357078.66000000003</v>
      </c>
      <c r="J138" s="2">
        <f>SUM(J130:J137)</f>
        <v>767519.9</v>
      </c>
      <c r="K138" s="2">
        <f>SUM(K130:K137)</f>
        <v>1124598.56</v>
      </c>
      <c r="N138" s="2">
        <f>SUM(N130:N137)</f>
        <v>281050</v>
      </c>
      <c r="O138" s="2">
        <f>SUM(O130:O137)</f>
        <v>924907.01</v>
      </c>
      <c r="P138" s="2">
        <f>SUM(P130:P137)</f>
        <v>1205957.01</v>
      </c>
      <c r="R138" s="2">
        <f>SUM(R130:R137)</f>
        <v>268173</v>
      </c>
      <c r="S138" s="2">
        <f>SUM(S130:S137)</f>
        <v>897842.45</v>
      </c>
      <c r="T138" s="2">
        <f>SUM(T130:T137)</f>
        <v>1166015.45</v>
      </c>
      <c r="V138" s="2">
        <f>SUM(V130:V137)</f>
        <v>268510</v>
      </c>
      <c r="W138" s="2">
        <f>SUM(W130:W137)</f>
        <v>1003538.06</v>
      </c>
      <c r="X138" s="2">
        <f>SUM(X130:X137)</f>
        <v>1272048.06</v>
      </c>
      <c r="Z138" s="1">
        <f t="shared" si="54"/>
        <v>320829.93000000017</v>
      </c>
      <c r="AA138" s="32">
        <f t="shared" si="55"/>
        <v>0.33728323702156537</v>
      </c>
    </row>
    <row r="139" spans="1:27" ht="15" customHeight="1" x14ac:dyDescent="0.45">
      <c r="G139" s="1">
        <f>F138+E138+E128+F128+F122+E111+F111+F105+E105+E86+F86+F71+E71+E50+E38+F38+F25+E25+E122+F50</f>
        <v>57692245.860000007</v>
      </c>
      <c r="K139" s="1">
        <f>J138+I138+I128+J128+J122+I111+J111+J105+I105+I86+J86+J71+I71+I50+I38+J38+J25+I25+I122+J50</f>
        <v>58014002.88000001</v>
      </c>
      <c r="P139" s="1">
        <f>O138+N138+N128+O128+O122+N111+O111+O105+N105+N86+O86+O71+N71+N50+N38+O38+O25+N25+N122+O50</f>
        <v>60191881.679999992</v>
      </c>
      <c r="T139" s="1">
        <f>S138+R138+R128+S128+S122+R111+S111+S105+R105+R86+S86+S71+R71+R50+R38+S38+S25+R25+R122+S50</f>
        <v>62887696.389999993</v>
      </c>
      <c r="X139" s="1">
        <f>W138+V138+V128+W128+W122+V111+W111+W105+V105+V86+W86+W71+V71+V50+V38+W38+W25+V25+V122+W50</f>
        <v>64274808.439999998</v>
      </c>
      <c r="Z139" s="1">
        <f t="shared" si="54"/>
        <v>6582562.5799999908</v>
      </c>
      <c r="AA139" s="32">
        <f t="shared" si="55"/>
        <v>0.11409787367220357</v>
      </c>
    </row>
    <row r="140" spans="1:27" ht="15" customHeight="1" x14ac:dyDescent="0.45">
      <c r="E140" s="1">
        <f>E138+E128+E122+E111+E105+E86+E71+E50+E38+E25</f>
        <v>14025579.069999998</v>
      </c>
      <c r="F140" s="1">
        <f>F138+F128+F122+F111+F105+F86+F71+F50+F38+F25</f>
        <v>43666666.790000007</v>
      </c>
      <c r="G140" s="1">
        <f>G138+G128+G122+G111+G105+G86+G71+G50+G38+G25</f>
        <v>57692245.859999999</v>
      </c>
      <c r="I140" s="1">
        <f>I138+I128+I122+I111+I105+I86+I71+I50+I38+I25</f>
        <v>15210874.99</v>
      </c>
      <c r="J140" s="1">
        <f>J138+J128+J122+J111+J105+J86+J71+J50+J38+J25</f>
        <v>42803127.890000001</v>
      </c>
      <c r="K140" s="1">
        <f>K138+K128+K122+K111+K105+K86+K71+K50+K38+K25</f>
        <v>58014002.88000001</v>
      </c>
      <c r="N140" s="1">
        <f>N138+N128+N122+N111+N105+N86+N71+N50+N38+N25</f>
        <v>15927352.510000002</v>
      </c>
      <c r="O140" s="1">
        <f>O138+O128+O122+O111+O105+O86+O71+O50+O38+O25</f>
        <v>44264529.169999994</v>
      </c>
      <c r="P140" s="1">
        <f>P138+P128+P122+P111+P105+P86+P71+P50+P38+P25</f>
        <v>60191881.68</v>
      </c>
      <c r="R140" s="1">
        <f>R138+R128+R122+R111+R105+R86+R71+R50+R38+R25</f>
        <v>17342115.890000001</v>
      </c>
      <c r="S140" s="1">
        <f>S138+S128+S122+S111+S105+S86+S71+S50+S38+S25</f>
        <v>45545580.5</v>
      </c>
      <c r="T140" s="1">
        <f>T138+T128+T122+T111+T105+T86+T71+T50+T38+T25</f>
        <v>62887696.390000008</v>
      </c>
      <c r="V140" s="1">
        <f>V138+V128+V122+V111+V105+V86+V71+V50+V38+V25</f>
        <v>17997009.719999999</v>
      </c>
      <c r="W140" s="1">
        <f>W138+W128+W122+W111+W105+W86+W71+W50+W38+W25</f>
        <v>46277798.719999999</v>
      </c>
      <c r="X140" s="1">
        <f>X138+X128+X122+X111+X105+X86+X71+X50+X38+X25</f>
        <v>64274808.439999998</v>
      </c>
      <c r="Z140" s="1">
        <f t="shared" si="54"/>
        <v>6582562.5799999982</v>
      </c>
      <c r="AA140" s="32">
        <f t="shared" si="55"/>
        <v>0.11409787367220373</v>
      </c>
    </row>
    <row r="141" spans="1:27" ht="15" customHeight="1" x14ac:dyDescent="0.45">
      <c r="T141" s="1">
        <f>S140+R140</f>
        <v>62887696.390000001</v>
      </c>
      <c r="X141" s="1">
        <f>W140+V140</f>
        <v>64274808.439999998</v>
      </c>
      <c r="Z141" s="1">
        <f t="shared" si="54"/>
        <v>64274808.439999998</v>
      </c>
    </row>
    <row r="142" spans="1:27" ht="15" customHeight="1" x14ac:dyDescent="0.45">
      <c r="B142" s="1">
        <v>0</v>
      </c>
    </row>
    <row r="143" spans="1:27" ht="15" customHeight="1" x14ac:dyDescent="0.45">
      <c r="V143" s="1" t="s">
        <v>149</v>
      </c>
      <c r="X143" s="1">
        <f>17379145</f>
        <v>17379145</v>
      </c>
    </row>
    <row r="144" spans="1:27" ht="15" customHeight="1" x14ac:dyDescent="0.45">
      <c r="V144" s="1" t="s">
        <v>148</v>
      </c>
      <c r="X144" s="1">
        <v>0</v>
      </c>
    </row>
    <row r="145" spans="22:24" ht="15" customHeight="1" x14ac:dyDescent="0.45">
      <c r="V145" s="1" t="s">
        <v>147</v>
      </c>
      <c r="X145" s="1">
        <v>0</v>
      </c>
    </row>
    <row r="146" spans="22:24" ht="15" customHeight="1" x14ac:dyDescent="0.45">
      <c r="V146" s="1" t="s">
        <v>146</v>
      </c>
      <c r="X146" s="1">
        <v>-26942.29</v>
      </c>
    </row>
    <row r="147" spans="22:24" ht="15" customHeight="1" x14ac:dyDescent="0.45">
      <c r="V147" s="1" t="s">
        <v>156</v>
      </c>
      <c r="X147" s="1">
        <v>93513</v>
      </c>
    </row>
    <row r="148" spans="22:24" ht="15" customHeight="1" x14ac:dyDescent="0.45">
      <c r="V148" s="1" t="s">
        <v>157</v>
      </c>
      <c r="X148" s="1">
        <f>1856035+24963</f>
        <v>1880998</v>
      </c>
    </row>
    <row r="149" spans="22:24" ht="15" customHeight="1" x14ac:dyDescent="0.45">
      <c r="V149" s="1" t="s">
        <v>158</v>
      </c>
      <c r="X149" s="1">
        <v>135760</v>
      </c>
    </row>
    <row r="150" spans="22:24" ht="15" customHeight="1" x14ac:dyDescent="0.45">
      <c r="V150" s="1" t="s">
        <v>145</v>
      </c>
      <c r="X150" s="1">
        <v>7075187</v>
      </c>
    </row>
    <row r="151" spans="22:24" ht="15" customHeight="1" x14ac:dyDescent="0.45">
      <c r="V151" s="1" t="s">
        <v>150</v>
      </c>
      <c r="X151" s="1">
        <v>2051846</v>
      </c>
    </row>
    <row r="152" spans="22:24" ht="15" customHeight="1" x14ac:dyDescent="0.45">
      <c r="V152" s="1" t="s">
        <v>151</v>
      </c>
      <c r="X152" s="1">
        <v>1055166</v>
      </c>
    </row>
    <row r="153" spans="22:24" ht="15" customHeight="1" x14ac:dyDescent="0.45">
      <c r="V153" s="1" t="s">
        <v>152</v>
      </c>
      <c r="X153" s="1">
        <v>-137760</v>
      </c>
    </row>
    <row r="154" spans="22:24" ht="15" customHeight="1" x14ac:dyDescent="0.45">
      <c r="V154" s="1" t="s">
        <v>153</v>
      </c>
      <c r="X154" s="1">
        <v>7837719</v>
      </c>
    </row>
    <row r="155" spans="22:24" ht="15" customHeight="1" x14ac:dyDescent="0.45">
      <c r="V155" s="1" t="s">
        <v>154</v>
      </c>
      <c r="X155" s="1">
        <v>0</v>
      </c>
    </row>
    <row r="156" spans="22:24" ht="15" customHeight="1" x14ac:dyDescent="0.75">
      <c r="V156" s="1" t="s">
        <v>155</v>
      </c>
      <c r="X156" s="2">
        <f>123108+824938+1333142</f>
        <v>2281188</v>
      </c>
    </row>
    <row r="158" spans="22:24" ht="15" customHeight="1" x14ac:dyDescent="0.75">
      <c r="V158" s="1" t="s">
        <v>159</v>
      </c>
      <c r="X158" s="31">
        <f>SUM(X141:X156)</f>
        <v>103900628.14999999</v>
      </c>
    </row>
  </sheetData>
  <mergeCells count="5">
    <mergeCell ref="V4:X4"/>
    <mergeCell ref="E4:G4"/>
    <mergeCell ref="I4:K4"/>
    <mergeCell ref="R4:T4"/>
    <mergeCell ref="N4:P4"/>
  </mergeCells>
  <pageMargins left="0.7" right="0.7" top="0.75" bottom="0.75" header="0.3" footer="0.3"/>
  <pageSetup paperSize="17" scale="65" fitToHeight="0" orientation="landscape" r:id="rId1"/>
  <headerFooter>
    <oddHeader>&amp;L&amp;Z&amp;F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C19" sqref="C19"/>
    </sheetView>
  </sheetViews>
  <sheetFormatPr defaultRowHeight="14.25" x14ac:dyDescent="0.45"/>
  <cols>
    <col min="2" max="3" width="12.33203125" bestFit="1" customWidth="1"/>
    <col min="4" max="6" width="13.3984375" bestFit="1" customWidth="1"/>
    <col min="7" max="7" width="9" style="32"/>
    <col min="8" max="8" width="13.3984375" bestFit="1" customWidth="1"/>
  </cols>
  <sheetData>
    <row r="2" spans="1:8" x14ac:dyDescent="0.45">
      <c r="A2" t="s">
        <v>115</v>
      </c>
    </row>
    <row r="3" spans="1:8" x14ac:dyDescent="0.45">
      <c r="B3" s="19" t="s">
        <v>4</v>
      </c>
      <c r="C3" s="19" t="s">
        <v>117</v>
      </c>
      <c r="D3" s="19" t="s">
        <v>137</v>
      </c>
      <c r="E3" s="19" t="s">
        <v>141</v>
      </c>
      <c r="F3" s="19" t="s">
        <v>160</v>
      </c>
    </row>
    <row r="4" spans="1:8" x14ac:dyDescent="0.45">
      <c r="A4" t="s">
        <v>112</v>
      </c>
      <c r="B4" s="19"/>
      <c r="C4" s="19"/>
      <c r="D4" s="19"/>
      <c r="E4" s="19"/>
      <c r="F4" s="19"/>
    </row>
    <row r="5" spans="1:8" x14ac:dyDescent="0.45">
      <c r="A5" t="s">
        <v>114</v>
      </c>
      <c r="B5" s="19" t="s">
        <v>3</v>
      </c>
      <c r="C5" s="19" t="s">
        <v>3</v>
      </c>
      <c r="D5" s="19" t="s">
        <v>3</v>
      </c>
      <c r="E5" s="19" t="s">
        <v>3</v>
      </c>
      <c r="F5" s="19" t="s">
        <v>3</v>
      </c>
      <c r="G5" s="36" t="s">
        <v>163</v>
      </c>
      <c r="H5" s="19" t="s">
        <v>164</v>
      </c>
    </row>
    <row r="7" spans="1:8" x14ac:dyDescent="0.45">
      <c r="A7" t="s">
        <v>6</v>
      </c>
      <c r="B7" s="35">
        <v>8602621.5899999999</v>
      </c>
      <c r="C7" s="35">
        <v>8450697.5999999996</v>
      </c>
      <c r="D7" s="35">
        <v>8640881.5999999996</v>
      </c>
      <c r="E7" s="35">
        <v>8957255.410000002</v>
      </c>
      <c r="F7" s="35">
        <v>9285570.9500000011</v>
      </c>
      <c r="G7" s="32">
        <f>+(F7-B7)/B7</f>
        <v>7.9388515797775699E-2</v>
      </c>
      <c r="H7" s="21">
        <f>+F7-B7</f>
        <v>682949.36000000127</v>
      </c>
    </row>
    <row r="8" spans="1:8" x14ac:dyDescent="0.45">
      <c r="A8" t="s">
        <v>23</v>
      </c>
      <c r="B8" s="35">
        <v>6667587.0700000003</v>
      </c>
      <c r="C8" s="35">
        <v>6409944.5200000005</v>
      </c>
      <c r="D8" s="35">
        <v>6809013.6199999992</v>
      </c>
      <c r="E8" s="35">
        <v>7047700.120000001</v>
      </c>
      <c r="F8" s="35">
        <v>7389603.2800000003</v>
      </c>
      <c r="G8" s="32">
        <f t="shared" ref="G8:G16" si="0">+(F8-B8)/B8</f>
        <v>0.10828748127619126</v>
      </c>
      <c r="H8" s="21">
        <f t="shared" ref="H8:H16" si="1">+F8-B8</f>
        <v>722016.21</v>
      </c>
    </row>
    <row r="9" spans="1:8" x14ac:dyDescent="0.45">
      <c r="A9" t="s">
        <v>31</v>
      </c>
      <c r="B9" s="35">
        <v>6236581.9800000004</v>
      </c>
      <c r="C9" s="35">
        <v>6208495.9800000004</v>
      </c>
      <c r="D9" s="35">
        <v>6649777.5800000001</v>
      </c>
      <c r="E9" s="35">
        <v>6418203.9100000001</v>
      </c>
      <c r="F9" s="35">
        <v>6681780.1600000001</v>
      </c>
      <c r="G9" s="32">
        <f t="shared" si="0"/>
        <v>7.1384963979901003E-2</v>
      </c>
      <c r="H9" s="21">
        <f t="shared" si="1"/>
        <v>445198.1799999997</v>
      </c>
    </row>
    <row r="10" spans="1:8" x14ac:dyDescent="0.45">
      <c r="A10" t="s">
        <v>39</v>
      </c>
      <c r="B10" s="35">
        <v>9139530.9100000001</v>
      </c>
      <c r="C10" s="35">
        <v>8434234.3300000001</v>
      </c>
      <c r="D10" s="35">
        <v>8331959.5900000008</v>
      </c>
      <c r="E10" s="35">
        <v>8602685.3300000001</v>
      </c>
      <c r="F10" s="35">
        <v>8933431.1899999995</v>
      </c>
      <c r="G10" s="32">
        <f t="shared" si="0"/>
        <v>-2.2550360847786735E-2</v>
      </c>
      <c r="H10" s="21">
        <f t="shared" si="1"/>
        <v>-206099.72000000067</v>
      </c>
    </row>
    <row r="11" spans="1:8" x14ac:dyDescent="0.45">
      <c r="A11" t="s">
        <v>53</v>
      </c>
      <c r="B11" s="35">
        <v>9806350.2100000009</v>
      </c>
      <c r="C11" s="35">
        <v>9939178.7300000004</v>
      </c>
      <c r="D11" s="35">
        <v>10754591.470000001</v>
      </c>
      <c r="E11" s="35">
        <v>10785422.17</v>
      </c>
      <c r="F11" s="35">
        <v>10103777.459999999</v>
      </c>
      <c r="G11" s="32">
        <f t="shared" si="0"/>
        <v>3.0330066092958567E-2</v>
      </c>
      <c r="H11" s="21">
        <f t="shared" si="1"/>
        <v>297427.24999999814</v>
      </c>
    </row>
    <row r="12" spans="1:8" x14ac:dyDescent="0.45">
      <c r="A12" t="s">
        <v>65</v>
      </c>
      <c r="B12" s="35">
        <v>5021389.4400000004</v>
      </c>
      <c r="C12" s="35">
        <v>5599986.2100000009</v>
      </c>
      <c r="D12" s="35">
        <v>5507069.7400000002</v>
      </c>
      <c r="E12" s="35">
        <v>6812914.2600000007</v>
      </c>
      <c r="F12" s="35">
        <v>6521148.8600000003</v>
      </c>
      <c r="G12" s="32">
        <f t="shared" si="0"/>
        <v>0.29867418926981287</v>
      </c>
      <c r="H12" s="21">
        <f t="shared" si="1"/>
        <v>1499759.42</v>
      </c>
    </row>
    <row r="13" spans="1:8" x14ac:dyDescent="0.45">
      <c r="A13" t="s">
        <v>80</v>
      </c>
      <c r="B13" s="35">
        <v>3740831.62</v>
      </c>
      <c r="C13" s="35">
        <v>3802235.2699999996</v>
      </c>
      <c r="D13" s="35">
        <v>4029313.57</v>
      </c>
      <c r="E13" s="35">
        <v>4463346.96</v>
      </c>
      <c r="F13" s="35">
        <v>4445095.0500000007</v>
      </c>
      <c r="G13" s="32">
        <f t="shared" si="0"/>
        <v>0.18826386791501742</v>
      </c>
      <c r="H13" s="21">
        <f t="shared" si="1"/>
        <v>704263.43000000063</v>
      </c>
    </row>
    <row r="14" spans="1:8" x14ac:dyDescent="0.45">
      <c r="A14" t="s">
        <v>85</v>
      </c>
      <c r="B14" s="35">
        <v>4653577.5199999996</v>
      </c>
      <c r="C14" s="35">
        <v>4805132.17</v>
      </c>
      <c r="D14" s="35">
        <v>4966284.5699999994</v>
      </c>
      <c r="E14" s="35">
        <v>5126804.66</v>
      </c>
      <c r="F14" s="35">
        <v>5074894.08</v>
      </c>
      <c r="G14" s="32">
        <f t="shared" si="0"/>
        <v>9.053605708495871E-2</v>
      </c>
      <c r="H14" s="21">
        <f t="shared" si="1"/>
        <v>421316.56000000052</v>
      </c>
    </row>
    <row r="15" spans="1:8" x14ac:dyDescent="0.45">
      <c r="A15" t="s">
        <v>94</v>
      </c>
      <c r="B15" s="35">
        <v>2872557.3899999997</v>
      </c>
      <c r="C15" s="35">
        <v>3239499.51</v>
      </c>
      <c r="D15" s="35">
        <v>3297032.93</v>
      </c>
      <c r="E15" s="35">
        <v>3507348.12</v>
      </c>
      <c r="F15" s="35">
        <v>4567459.3499999996</v>
      </c>
      <c r="G15" s="32">
        <f t="shared" si="0"/>
        <v>0.59003241010965501</v>
      </c>
      <c r="H15" s="21">
        <f t="shared" si="1"/>
        <v>1694901.96</v>
      </c>
    </row>
    <row r="16" spans="1:8" x14ac:dyDescent="0.45">
      <c r="A16" t="s">
        <v>99</v>
      </c>
      <c r="B16" s="35">
        <v>951218.12999999989</v>
      </c>
      <c r="C16" s="35">
        <v>1124598.56</v>
      </c>
      <c r="D16" s="35">
        <v>1205957.01</v>
      </c>
      <c r="E16" s="35">
        <v>1166015.45</v>
      </c>
      <c r="F16" s="35">
        <v>1272048.06</v>
      </c>
      <c r="G16" s="32">
        <f t="shared" si="0"/>
        <v>0.33728323702156537</v>
      </c>
      <c r="H16" s="21">
        <f t="shared" si="1"/>
        <v>320829.93000000017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workbookViewId="0">
      <pane xSplit="2" topLeftCell="C1" activePane="topRight" state="frozen"/>
      <selection pane="topRight" activeCell="C22" sqref="C22"/>
    </sheetView>
  </sheetViews>
  <sheetFormatPr defaultRowHeight="14.25" x14ac:dyDescent="0.45"/>
  <cols>
    <col min="1" max="1" width="24.3984375" customWidth="1"/>
    <col min="2" max="2" width="33" customWidth="1"/>
    <col min="3" max="3" width="17.1328125" customWidth="1"/>
    <col min="6" max="6" width="2.265625" customWidth="1"/>
    <col min="7" max="7" width="16.265625" customWidth="1"/>
    <col min="10" max="10" width="2.265625" customWidth="1"/>
    <col min="11" max="11" width="14.73046875" customWidth="1"/>
    <col min="14" max="14" width="2" customWidth="1"/>
    <col min="15" max="15" width="20" customWidth="1"/>
    <col min="16" max="16" width="10.1328125" customWidth="1"/>
    <col min="17" max="17" width="10" customWidth="1"/>
  </cols>
  <sheetData>
    <row r="1" spans="1:17" x14ac:dyDescent="0.45">
      <c r="A1" s="1"/>
      <c r="B1" s="1" t="s">
        <v>118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x14ac:dyDescent="0.45">
      <c r="A2" s="1" t="s">
        <v>115</v>
      </c>
      <c r="B2" s="1"/>
      <c r="C2" s="1"/>
      <c r="D2" s="7" t="e">
        <f>'Dept Exp'!#REF!</f>
        <v>#REF!</v>
      </c>
      <c r="E2" s="1"/>
      <c r="F2" s="1"/>
      <c r="G2" s="1"/>
      <c r="H2" s="7">
        <f>'Dept Exp'!J2</f>
        <v>2863</v>
      </c>
      <c r="I2" s="1"/>
      <c r="J2" s="1"/>
      <c r="K2" s="1"/>
      <c r="L2" s="1"/>
      <c r="M2" s="1"/>
      <c r="N2" s="1"/>
    </row>
    <row r="3" spans="1:17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x14ac:dyDescent="0.45">
      <c r="A4" s="5" t="s">
        <v>112</v>
      </c>
      <c r="B4" s="1"/>
      <c r="C4" s="33" t="s">
        <v>0</v>
      </c>
      <c r="D4" s="33"/>
      <c r="E4" s="33"/>
      <c r="F4" s="1"/>
      <c r="G4" s="33" t="s">
        <v>117</v>
      </c>
      <c r="H4" s="33"/>
      <c r="I4" s="33"/>
      <c r="J4" s="1"/>
      <c r="K4" s="33" t="s">
        <v>119</v>
      </c>
      <c r="L4" s="33"/>
      <c r="M4" s="33"/>
      <c r="N4" s="1"/>
      <c r="O4" s="34" t="s">
        <v>120</v>
      </c>
      <c r="P4" s="33"/>
      <c r="Q4" s="33"/>
    </row>
    <row r="5" spans="1:17" ht="16.5" x14ac:dyDescent="0.75">
      <c r="A5" s="6" t="s">
        <v>114</v>
      </c>
      <c r="B5" s="6" t="s">
        <v>113</v>
      </c>
      <c r="C5" s="6" t="s">
        <v>1</v>
      </c>
      <c r="D5" s="6" t="s">
        <v>2</v>
      </c>
      <c r="E5" s="6" t="s">
        <v>3</v>
      </c>
      <c r="F5" s="5"/>
      <c r="G5" s="10" t="s">
        <v>1</v>
      </c>
      <c r="H5" s="10" t="s">
        <v>2</v>
      </c>
      <c r="I5" s="10" t="s">
        <v>3</v>
      </c>
      <c r="J5" s="5"/>
      <c r="K5" s="10" t="s">
        <v>1</v>
      </c>
      <c r="L5" s="10" t="s">
        <v>2</v>
      </c>
      <c r="M5" s="10" t="s">
        <v>3</v>
      </c>
      <c r="N5" s="5"/>
      <c r="O5" s="10" t="s">
        <v>1</v>
      </c>
      <c r="P5" s="10" t="s">
        <v>2</v>
      </c>
      <c r="Q5" s="10" t="s">
        <v>3</v>
      </c>
    </row>
    <row r="7" spans="1:17" x14ac:dyDescent="0.45">
      <c r="A7" s="1" t="s">
        <v>6</v>
      </c>
      <c r="B7" s="1"/>
    </row>
    <row r="8" spans="1:17" x14ac:dyDescent="0.45">
      <c r="A8" s="1"/>
      <c r="B8" s="1" t="s">
        <v>5</v>
      </c>
      <c r="C8" s="1" t="e">
        <f>'Dept Exp'!#REF!/$D$2</f>
        <v>#REF!</v>
      </c>
      <c r="D8" s="1" t="e">
        <f>'Dept Exp'!#REF!/$D$2</f>
        <v>#REF!</v>
      </c>
      <c r="E8" s="1" t="e">
        <f>'Dept Exp'!#REF!/$D$2</f>
        <v>#REF!</v>
      </c>
      <c r="G8" s="1">
        <f>'Dept Exp'!I8/$H$2</f>
        <v>30.003842123646525</v>
      </c>
      <c r="H8" s="1">
        <f>'Dept Exp'!J8/$H$2</f>
        <v>306.61327279077892</v>
      </c>
      <c r="I8" s="1">
        <f>'Dept Exp'!K8/$H$2</f>
        <v>336.61711491442543</v>
      </c>
      <c r="K8" s="1" t="e">
        <f>G8-C8</f>
        <v>#REF!</v>
      </c>
      <c r="L8" s="1" t="e">
        <f t="shared" ref="L8:L25" si="0">H8-D8</f>
        <v>#REF!</v>
      </c>
      <c r="M8" s="1" t="e">
        <f t="shared" ref="M8:M25" si="1">I8-E8</f>
        <v>#REF!</v>
      </c>
      <c r="O8" s="11" t="e">
        <f>K8/C8</f>
        <v>#REF!</v>
      </c>
      <c r="P8" s="11" t="e">
        <f t="shared" ref="P8:Q23" si="2">L8/D8</f>
        <v>#REF!</v>
      </c>
      <c r="Q8" s="15" t="e">
        <f t="shared" si="2"/>
        <v>#REF!</v>
      </c>
    </row>
    <row r="9" spans="1:17" x14ac:dyDescent="0.45">
      <c r="A9" s="1"/>
      <c r="B9" s="1" t="s">
        <v>7</v>
      </c>
      <c r="C9" s="1" t="e">
        <f>'Dept Exp'!#REF!/$D$2</f>
        <v>#REF!</v>
      </c>
      <c r="D9" s="1" t="e">
        <f>'Dept Exp'!#REF!/$D$2</f>
        <v>#REF!</v>
      </c>
      <c r="E9" s="1" t="e">
        <f>'Dept Exp'!#REF!/$D$2</f>
        <v>#REF!</v>
      </c>
      <c r="G9" s="1">
        <f>'Dept Exp'!I9/$H$2</f>
        <v>191.65434509256025</v>
      </c>
      <c r="H9" s="1">
        <f>'Dept Exp'!J9/$H$2</f>
        <v>202.69958085923858</v>
      </c>
      <c r="I9" s="1">
        <f>'Dept Exp'!K9/$H$2</f>
        <v>394.35392595179883</v>
      </c>
      <c r="K9" s="1" t="e">
        <f t="shared" ref="K9:K25" si="3">G9-C9</f>
        <v>#REF!</v>
      </c>
      <c r="L9" s="1" t="e">
        <f t="shared" si="0"/>
        <v>#REF!</v>
      </c>
      <c r="M9" s="1" t="e">
        <f t="shared" si="1"/>
        <v>#REF!</v>
      </c>
      <c r="O9" s="11" t="e">
        <f t="shared" ref="O9:O25" si="4">K9/C9</f>
        <v>#REF!</v>
      </c>
      <c r="P9" s="11" t="e">
        <f t="shared" si="2"/>
        <v>#REF!</v>
      </c>
      <c r="Q9" s="15" t="e">
        <f t="shared" si="2"/>
        <v>#REF!</v>
      </c>
    </row>
    <row r="10" spans="1:17" x14ac:dyDescent="0.45">
      <c r="A10" s="1"/>
      <c r="B10" s="1" t="s">
        <v>8</v>
      </c>
      <c r="C10" s="1" t="e">
        <f>'Dept Exp'!#REF!/$D$2</f>
        <v>#REF!</v>
      </c>
      <c r="D10" s="1" t="e">
        <f>'Dept Exp'!#REF!/$D$2</f>
        <v>#REF!</v>
      </c>
      <c r="E10" s="1" t="e">
        <f>'Dept Exp'!#REF!/$D$2</f>
        <v>#REF!</v>
      </c>
      <c r="G10" s="1">
        <f>'Dept Exp'!I10/$H$2</f>
        <v>5.3108627314006291</v>
      </c>
      <c r="H10" s="1">
        <f>'Dept Exp'!J10/$H$2</f>
        <v>9.9995633950401679</v>
      </c>
      <c r="I10" s="1">
        <f>'Dept Exp'!K10/$H$2</f>
        <v>15.310426126440797</v>
      </c>
      <c r="K10" s="1" t="e">
        <f t="shared" si="3"/>
        <v>#REF!</v>
      </c>
      <c r="L10" s="1" t="e">
        <f t="shared" si="0"/>
        <v>#REF!</v>
      </c>
      <c r="M10" s="1" t="e">
        <f t="shared" si="1"/>
        <v>#REF!</v>
      </c>
      <c r="O10" s="11" t="e">
        <f t="shared" si="4"/>
        <v>#REF!</v>
      </c>
      <c r="P10" s="11" t="e">
        <f t="shared" si="2"/>
        <v>#REF!</v>
      </c>
      <c r="Q10" s="11" t="e">
        <f t="shared" si="2"/>
        <v>#REF!</v>
      </c>
    </row>
    <row r="11" spans="1:17" x14ac:dyDescent="0.45">
      <c r="A11" s="1"/>
      <c r="B11" s="1" t="s">
        <v>9</v>
      </c>
      <c r="C11" s="1" t="e">
        <f>'Dept Exp'!#REF!/$D$2</f>
        <v>#REF!</v>
      </c>
      <c r="D11" s="1" t="e">
        <f>'Dept Exp'!#REF!/$D$2</f>
        <v>#REF!</v>
      </c>
      <c r="E11" s="1" t="e">
        <f>'Dept Exp'!#REF!/$D$2</f>
        <v>#REF!</v>
      </c>
      <c r="G11" s="1">
        <f>'Dept Exp'!I11/$H$2</f>
        <v>45.360111770869715</v>
      </c>
      <c r="H11" s="1">
        <f>'Dept Exp'!J11/$H$2</f>
        <v>62.320520433112115</v>
      </c>
      <c r="I11" s="1">
        <f>'Dept Exp'!K11/$H$2</f>
        <v>107.68063220398184</v>
      </c>
      <c r="K11" s="1" t="e">
        <f t="shared" si="3"/>
        <v>#REF!</v>
      </c>
      <c r="L11" s="1" t="e">
        <f t="shared" si="0"/>
        <v>#REF!</v>
      </c>
      <c r="M11" s="1" t="e">
        <f t="shared" si="1"/>
        <v>#REF!</v>
      </c>
      <c r="O11" s="11" t="e">
        <f t="shared" si="4"/>
        <v>#REF!</v>
      </c>
      <c r="P11" s="11" t="e">
        <f t="shared" si="2"/>
        <v>#REF!</v>
      </c>
      <c r="Q11" s="15" t="e">
        <f t="shared" si="2"/>
        <v>#REF!</v>
      </c>
    </row>
    <row r="12" spans="1:17" x14ac:dyDescent="0.45">
      <c r="A12" s="1"/>
      <c r="B12" s="1" t="s">
        <v>10</v>
      </c>
      <c r="C12" s="1" t="e">
        <f>'Dept Exp'!#REF!/$D$2</f>
        <v>#REF!</v>
      </c>
      <c r="D12" s="1" t="e">
        <f>'Dept Exp'!#REF!/$D$2</f>
        <v>#REF!</v>
      </c>
      <c r="E12" s="1" t="e">
        <f>'Dept Exp'!#REF!/$D$2</f>
        <v>#REF!</v>
      </c>
      <c r="G12" s="1">
        <f>'Dept Exp'!I12/$H$2</f>
        <v>3.5392944463849108</v>
      </c>
      <c r="H12" s="1">
        <f>'Dept Exp'!J12/$H$2</f>
        <v>10.272053789731052</v>
      </c>
      <c r="I12" s="1">
        <f>'Dept Exp'!K12/$H$2</f>
        <v>13.811348236115963</v>
      </c>
      <c r="K12" s="1" t="e">
        <f t="shared" si="3"/>
        <v>#REF!</v>
      </c>
      <c r="L12" s="1" t="e">
        <f t="shared" si="0"/>
        <v>#REF!</v>
      </c>
      <c r="M12" s="1" t="e">
        <f t="shared" si="1"/>
        <v>#REF!</v>
      </c>
      <c r="O12" s="11" t="e">
        <f t="shared" si="4"/>
        <v>#REF!</v>
      </c>
      <c r="P12" s="11" t="e">
        <f t="shared" si="2"/>
        <v>#REF!</v>
      </c>
      <c r="Q12" s="14" t="e">
        <f t="shared" si="2"/>
        <v>#REF!</v>
      </c>
    </row>
    <row r="13" spans="1:17" x14ac:dyDescent="0.45">
      <c r="A13" s="1"/>
      <c r="B13" s="1" t="s">
        <v>11</v>
      </c>
      <c r="C13" s="1" t="e">
        <f>'Dept Exp'!#REF!/$D$2</f>
        <v>#REF!</v>
      </c>
      <c r="D13" s="1" t="e">
        <f>'Dept Exp'!#REF!/$D$2</f>
        <v>#REF!</v>
      </c>
      <c r="E13" s="1" t="e">
        <f>'Dept Exp'!#REF!/$D$2</f>
        <v>#REF!</v>
      </c>
      <c r="G13" s="1">
        <f>'Dept Exp'!I13/$H$2</f>
        <v>0.85434858539993019</v>
      </c>
      <c r="H13" s="1">
        <f>'Dept Exp'!J13/$H$2</f>
        <v>10.55049598323437</v>
      </c>
      <c r="I13" s="1">
        <f>'Dept Exp'!K13/$H$2</f>
        <v>11.404844568634299</v>
      </c>
      <c r="K13" s="1" t="e">
        <f t="shared" si="3"/>
        <v>#REF!</v>
      </c>
      <c r="L13" s="1" t="e">
        <f t="shared" si="0"/>
        <v>#REF!</v>
      </c>
      <c r="M13" s="1" t="e">
        <f t="shared" si="1"/>
        <v>#REF!</v>
      </c>
      <c r="O13" s="11" t="e">
        <f t="shared" si="4"/>
        <v>#REF!</v>
      </c>
      <c r="P13" s="11" t="e">
        <f t="shared" si="2"/>
        <v>#REF!</v>
      </c>
      <c r="Q13" s="14" t="e">
        <f t="shared" si="2"/>
        <v>#REF!</v>
      </c>
    </row>
    <row r="14" spans="1:17" x14ac:dyDescent="0.45">
      <c r="A14" s="1"/>
      <c r="B14" s="1" t="s">
        <v>12</v>
      </c>
      <c r="C14" s="1" t="e">
        <f>'Dept Exp'!#REF!/$D$2</f>
        <v>#REF!</v>
      </c>
      <c r="D14" s="1" t="e">
        <f>'Dept Exp'!#REF!/$D$2</f>
        <v>#REF!</v>
      </c>
      <c r="E14" s="1" t="e">
        <f>'Dept Exp'!#REF!/$D$2</f>
        <v>#REF!</v>
      </c>
      <c r="G14" s="1">
        <f>'Dept Exp'!I14/$H$2</f>
        <v>2.5305623471882641</v>
      </c>
      <c r="H14" s="1">
        <f>'Dept Exp'!J14/$H$2</f>
        <v>0</v>
      </c>
      <c r="I14" s="1">
        <f>'Dept Exp'!K14/$H$2</f>
        <v>2.5305623471882641</v>
      </c>
      <c r="K14" s="1" t="e">
        <f t="shared" si="3"/>
        <v>#REF!</v>
      </c>
      <c r="L14" s="1" t="e">
        <f t="shared" si="0"/>
        <v>#REF!</v>
      </c>
      <c r="M14" s="1" t="e">
        <f t="shared" si="1"/>
        <v>#REF!</v>
      </c>
      <c r="O14" s="11" t="e">
        <f t="shared" si="4"/>
        <v>#REF!</v>
      </c>
      <c r="P14" s="11" t="e">
        <f t="shared" si="2"/>
        <v>#REF!</v>
      </c>
      <c r="Q14" s="14" t="e">
        <f t="shared" si="2"/>
        <v>#REF!</v>
      </c>
    </row>
    <row r="15" spans="1:17" x14ac:dyDescent="0.45">
      <c r="A15" s="1"/>
      <c r="B15" s="1" t="s">
        <v>13</v>
      </c>
      <c r="C15" s="1" t="e">
        <f>'Dept Exp'!#REF!/$D$2</f>
        <v>#REF!</v>
      </c>
      <c r="D15" s="1" t="e">
        <f>'Dept Exp'!#REF!/$D$2</f>
        <v>#REF!</v>
      </c>
      <c r="E15" s="1" t="e">
        <f>'Dept Exp'!#REF!/$D$2</f>
        <v>#REF!</v>
      </c>
      <c r="G15" s="1">
        <f>'Dept Exp'!I15/$H$2</f>
        <v>18.158442193503319</v>
      </c>
      <c r="H15" s="1">
        <f>'Dept Exp'!J15/$H$2</f>
        <v>91.842570730003501</v>
      </c>
      <c r="I15" s="1">
        <f>'Dept Exp'!K15/$H$2</f>
        <v>110.00101292350682</v>
      </c>
      <c r="K15" s="1" t="e">
        <f t="shared" si="3"/>
        <v>#REF!</v>
      </c>
      <c r="L15" s="1" t="e">
        <f t="shared" si="0"/>
        <v>#REF!</v>
      </c>
      <c r="M15" s="1" t="e">
        <f t="shared" si="1"/>
        <v>#REF!</v>
      </c>
      <c r="O15" s="11" t="e">
        <f t="shared" si="4"/>
        <v>#REF!</v>
      </c>
      <c r="P15" s="11" t="e">
        <f t="shared" si="2"/>
        <v>#REF!</v>
      </c>
      <c r="Q15" s="15" t="e">
        <f t="shared" si="2"/>
        <v>#REF!</v>
      </c>
    </row>
    <row r="16" spans="1:17" x14ac:dyDescent="0.45">
      <c r="A16" s="1"/>
      <c r="B16" s="1" t="s">
        <v>14</v>
      </c>
      <c r="C16" s="1" t="e">
        <f>'Dept Exp'!#REF!/$D$2</f>
        <v>#REF!</v>
      </c>
      <c r="D16" s="1" t="e">
        <f>'Dept Exp'!#REF!/$D$2</f>
        <v>#REF!</v>
      </c>
      <c r="E16" s="1" t="e">
        <f>'Dept Exp'!#REF!/$D$2</f>
        <v>#REF!</v>
      </c>
      <c r="G16" s="1" t="e">
        <f>'Dept Exp'!#REF!/$H$2</f>
        <v>#REF!</v>
      </c>
      <c r="H16" s="1" t="e">
        <f>'Dept Exp'!#REF!/$H$2</f>
        <v>#REF!</v>
      </c>
      <c r="I16" s="1" t="e">
        <f>'Dept Exp'!#REF!/$H$2</f>
        <v>#REF!</v>
      </c>
      <c r="K16" s="1" t="e">
        <f t="shared" si="3"/>
        <v>#REF!</v>
      </c>
      <c r="L16" s="1" t="e">
        <f t="shared" si="0"/>
        <v>#REF!</v>
      </c>
      <c r="M16" s="1" t="e">
        <f t="shared" si="1"/>
        <v>#REF!</v>
      </c>
      <c r="O16" s="11" t="e">
        <f t="shared" si="4"/>
        <v>#REF!</v>
      </c>
      <c r="P16" s="11" t="e">
        <f t="shared" si="2"/>
        <v>#REF!</v>
      </c>
      <c r="Q16" s="15" t="e">
        <f t="shared" si="2"/>
        <v>#REF!</v>
      </c>
    </row>
    <row r="17" spans="1:17" x14ac:dyDescent="0.45">
      <c r="A17" s="1"/>
      <c r="B17" s="1" t="s">
        <v>15</v>
      </c>
      <c r="C17" s="1" t="e">
        <f>'Dept Exp'!#REF!/$D$2</f>
        <v>#REF!</v>
      </c>
      <c r="D17" s="1" t="e">
        <f>'Dept Exp'!#REF!/$D$2</f>
        <v>#REF!</v>
      </c>
      <c r="E17" s="1" t="e">
        <f>'Dept Exp'!#REF!/$D$2</f>
        <v>#REF!</v>
      </c>
      <c r="G17" s="1">
        <f>'Dept Exp'!I16/$H$2</f>
        <v>1.5812085225288159</v>
      </c>
      <c r="H17" s="1">
        <f>'Dept Exp'!J16/$H$2</f>
        <v>24.630171149144253</v>
      </c>
      <c r="I17" s="1">
        <f>'Dept Exp'!K16/$H$2</f>
        <v>26.211379671673068</v>
      </c>
      <c r="K17" s="1" t="e">
        <f t="shared" si="3"/>
        <v>#REF!</v>
      </c>
      <c r="L17" s="1" t="e">
        <f t="shared" si="0"/>
        <v>#REF!</v>
      </c>
      <c r="M17" s="1" t="e">
        <f t="shared" si="1"/>
        <v>#REF!</v>
      </c>
      <c r="O17" s="11" t="e">
        <f t="shared" si="4"/>
        <v>#REF!</v>
      </c>
      <c r="P17" s="11" t="e">
        <f t="shared" si="2"/>
        <v>#REF!</v>
      </c>
      <c r="Q17" s="14" t="e">
        <f t="shared" si="2"/>
        <v>#REF!</v>
      </c>
    </row>
    <row r="18" spans="1:17" x14ac:dyDescent="0.45">
      <c r="A18" s="1"/>
      <c r="B18" s="1" t="s">
        <v>16</v>
      </c>
      <c r="C18" s="1" t="e">
        <f>'Dept Exp'!#REF!/$D$2</f>
        <v>#REF!</v>
      </c>
      <c r="D18" s="1" t="e">
        <f>'Dept Exp'!#REF!/$D$2</f>
        <v>#REF!</v>
      </c>
      <c r="E18" s="1" t="e">
        <f>'Dept Exp'!#REF!/$D$2</f>
        <v>#REF!</v>
      </c>
      <c r="G18" s="1">
        <f>'Dept Exp'!I17/$H$2</f>
        <v>388.62661543835139</v>
      </c>
      <c r="H18" s="1">
        <f>'Dept Exp'!J17/$H$2</f>
        <v>598.72947607404819</v>
      </c>
      <c r="I18" s="1">
        <f>'Dept Exp'!K17/$H$2</f>
        <v>987.35609151239964</v>
      </c>
      <c r="K18" s="1" t="e">
        <f t="shared" si="3"/>
        <v>#REF!</v>
      </c>
      <c r="L18" s="1" t="e">
        <f t="shared" si="0"/>
        <v>#REF!</v>
      </c>
      <c r="M18" s="1" t="e">
        <f t="shared" si="1"/>
        <v>#REF!</v>
      </c>
      <c r="O18" s="11" t="e">
        <f t="shared" si="4"/>
        <v>#REF!</v>
      </c>
      <c r="P18" s="11" t="e">
        <f t="shared" si="2"/>
        <v>#REF!</v>
      </c>
      <c r="Q18" s="14" t="e">
        <f t="shared" si="2"/>
        <v>#REF!</v>
      </c>
    </row>
    <row r="19" spans="1:17" x14ac:dyDescent="0.45">
      <c r="A19" s="1"/>
      <c r="B19" s="1" t="s">
        <v>17</v>
      </c>
      <c r="C19" s="1" t="e">
        <f>'Dept Exp'!#REF!/$D$2</f>
        <v>#REF!</v>
      </c>
      <c r="D19" s="1" t="e">
        <f>'Dept Exp'!#REF!/$D$2</f>
        <v>#REF!</v>
      </c>
      <c r="E19" s="1" t="e">
        <f>'Dept Exp'!#REF!/$D$2</f>
        <v>#REF!</v>
      </c>
      <c r="G19" s="1">
        <f>'Dept Exp'!I18/$H$2</f>
        <v>251.96437303527767</v>
      </c>
      <c r="H19" s="1">
        <f>'Dept Exp'!J18/$H$2</f>
        <v>293.81529165211316</v>
      </c>
      <c r="I19" s="1">
        <f>'Dept Exp'!K18/$H$2</f>
        <v>545.77966468739089</v>
      </c>
      <c r="K19" s="1" t="e">
        <f t="shared" si="3"/>
        <v>#REF!</v>
      </c>
      <c r="L19" s="1" t="e">
        <f t="shared" si="0"/>
        <v>#REF!</v>
      </c>
      <c r="M19" s="1" t="e">
        <f t="shared" si="1"/>
        <v>#REF!</v>
      </c>
      <c r="O19" s="11" t="e">
        <f t="shared" si="4"/>
        <v>#REF!</v>
      </c>
      <c r="P19" s="11" t="e">
        <f t="shared" si="2"/>
        <v>#REF!</v>
      </c>
      <c r="Q19" s="17" t="e">
        <f t="shared" si="2"/>
        <v>#REF!</v>
      </c>
    </row>
    <row r="20" spans="1:17" x14ac:dyDescent="0.45">
      <c r="A20" s="1"/>
      <c r="B20" s="1" t="s">
        <v>110</v>
      </c>
      <c r="C20" s="1" t="e">
        <f>'Dept Exp'!#REF!/$D$2</f>
        <v>#REF!</v>
      </c>
      <c r="D20" s="1" t="e">
        <f>'Dept Exp'!#REF!/$D$2</f>
        <v>#REF!</v>
      </c>
      <c r="E20" s="1" t="e">
        <f>'Dept Exp'!#REF!/$D$2</f>
        <v>#REF!</v>
      </c>
      <c r="G20" s="1">
        <f>'Dept Exp'!I19/$H$2</f>
        <v>0</v>
      </c>
      <c r="H20" s="1">
        <f>'Dept Exp'!J19/$H$2</f>
        <v>29.141949004540688</v>
      </c>
      <c r="I20" s="1">
        <f>'Dept Exp'!K19/$H$2</f>
        <v>29.141949004540688</v>
      </c>
      <c r="K20" s="1" t="e">
        <f t="shared" si="3"/>
        <v>#REF!</v>
      </c>
      <c r="L20" s="1" t="e">
        <f t="shared" si="0"/>
        <v>#REF!</v>
      </c>
      <c r="M20" s="1" t="e">
        <f t="shared" si="1"/>
        <v>#REF!</v>
      </c>
      <c r="O20" s="11" t="s">
        <v>116</v>
      </c>
      <c r="P20" s="11" t="s">
        <v>116</v>
      </c>
      <c r="Q20" s="11" t="s">
        <v>116</v>
      </c>
    </row>
    <row r="21" spans="1:17" x14ac:dyDescent="0.45">
      <c r="A21" s="1"/>
      <c r="B21" s="1" t="s">
        <v>18</v>
      </c>
      <c r="C21" s="1" t="e">
        <f>'Dept Exp'!#REF!/$D$2</f>
        <v>#REF!</v>
      </c>
      <c r="D21" s="1" t="e">
        <f>'Dept Exp'!#REF!/$D$2</f>
        <v>#REF!</v>
      </c>
      <c r="E21" s="1" t="e">
        <f>'Dept Exp'!#REF!/$D$2</f>
        <v>#REF!</v>
      </c>
      <c r="G21" s="1">
        <f>'Dept Exp'!I20/$H$2</f>
        <v>50.740516940272443</v>
      </c>
      <c r="H21" s="1">
        <f>'Dept Exp'!J20/$H$2</f>
        <v>80.820604261264407</v>
      </c>
      <c r="I21" s="1">
        <f>'Dept Exp'!K20/$H$2</f>
        <v>131.56112120153685</v>
      </c>
      <c r="K21" s="1" t="e">
        <f t="shared" si="3"/>
        <v>#REF!</v>
      </c>
      <c r="L21" s="1" t="e">
        <f t="shared" si="0"/>
        <v>#REF!</v>
      </c>
      <c r="M21" s="1" t="e">
        <f t="shared" si="1"/>
        <v>#REF!</v>
      </c>
      <c r="O21" s="11" t="e">
        <f t="shared" si="4"/>
        <v>#REF!</v>
      </c>
      <c r="P21" s="11" t="e">
        <f t="shared" si="2"/>
        <v>#REF!</v>
      </c>
      <c r="Q21" s="15" t="e">
        <f t="shared" si="2"/>
        <v>#REF!</v>
      </c>
    </row>
    <row r="22" spans="1:17" x14ac:dyDescent="0.45">
      <c r="A22" s="1"/>
      <c r="B22" s="1" t="s">
        <v>19</v>
      </c>
      <c r="C22" s="1" t="e">
        <f>'Dept Exp'!#REF!/$D$2</f>
        <v>#REF!</v>
      </c>
      <c r="D22" s="1" t="e">
        <f>'Dept Exp'!#REF!/$D$2</f>
        <v>#REF!</v>
      </c>
      <c r="E22" s="1" t="e">
        <f>'Dept Exp'!#REF!/$D$2</f>
        <v>#REF!</v>
      </c>
      <c r="G22" s="1">
        <f>'Dept Exp'!I21/$H$2</f>
        <v>0.89381767376877397</v>
      </c>
      <c r="H22" s="1">
        <f>'Dept Exp'!J21/$H$2</f>
        <v>0</v>
      </c>
      <c r="I22" s="1">
        <f>'Dept Exp'!K21/$H$2</f>
        <v>0.89381767376877397</v>
      </c>
      <c r="K22" s="1" t="e">
        <f t="shared" si="3"/>
        <v>#REF!</v>
      </c>
      <c r="L22" s="1" t="e">
        <f t="shared" si="0"/>
        <v>#REF!</v>
      </c>
      <c r="M22" s="1" t="e">
        <f t="shared" si="1"/>
        <v>#REF!</v>
      </c>
      <c r="O22" s="11" t="e">
        <f t="shared" si="4"/>
        <v>#REF!</v>
      </c>
      <c r="P22" s="11" t="s">
        <v>116</v>
      </c>
      <c r="Q22" s="14" t="e">
        <f t="shared" si="2"/>
        <v>#REF!</v>
      </c>
    </row>
    <row r="23" spans="1:17" x14ac:dyDescent="0.45">
      <c r="A23" s="1"/>
      <c r="B23" s="1" t="s">
        <v>20</v>
      </c>
      <c r="C23" s="1" t="e">
        <f>'Dept Exp'!#REF!/$D$2</f>
        <v>#REF!</v>
      </c>
      <c r="D23" s="1" t="e">
        <f>'Dept Exp'!#REF!/$D$2</f>
        <v>#REF!</v>
      </c>
      <c r="E23" s="1" t="e">
        <f>'Dept Exp'!#REF!/$D$2</f>
        <v>#REF!</v>
      </c>
      <c r="G23" s="1">
        <f>'Dept Exp'!I22/$H$2</f>
        <v>0.9126790080335313</v>
      </c>
      <c r="H23" s="1">
        <f>'Dept Exp'!J22/$H$2</f>
        <v>39.265305623471882</v>
      </c>
      <c r="I23" s="1">
        <f>'Dept Exp'!K22/$H$2</f>
        <v>40.177984631505417</v>
      </c>
      <c r="K23" s="1" t="e">
        <f t="shared" si="3"/>
        <v>#REF!</v>
      </c>
      <c r="L23" s="1" t="e">
        <f t="shared" si="0"/>
        <v>#REF!</v>
      </c>
      <c r="M23" s="1" t="e">
        <f t="shared" si="1"/>
        <v>#REF!</v>
      </c>
      <c r="O23" s="11" t="e">
        <f t="shared" si="4"/>
        <v>#REF!</v>
      </c>
      <c r="P23" s="11" t="e">
        <f t="shared" si="2"/>
        <v>#REF!</v>
      </c>
      <c r="Q23" s="11" t="e">
        <f t="shared" si="2"/>
        <v>#REF!</v>
      </c>
    </row>
    <row r="24" spans="1:17" x14ac:dyDescent="0.45">
      <c r="A24" s="1"/>
      <c r="B24" s="1" t="s">
        <v>21</v>
      </c>
      <c r="C24" s="1" t="e">
        <f>'Dept Exp'!#REF!/$D$2</f>
        <v>#REF!</v>
      </c>
      <c r="D24" s="1" t="e">
        <f>'Dept Exp'!#REF!/$D$2</f>
        <v>#REF!</v>
      </c>
      <c r="E24" s="1" t="e">
        <f>'Dept Exp'!#REF!/$D$2</f>
        <v>#REF!</v>
      </c>
      <c r="G24" s="1">
        <f>'Dept Exp'!I23/$H$2</f>
        <v>8.7509605309116303</v>
      </c>
      <c r="H24" s="1">
        <f>'Dept Exp'!J23/$H$2</f>
        <v>97.348557457212706</v>
      </c>
      <c r="I24" s="1">
        <f>'Dept Exp'!K23/$H$2</f>
        <v>106.09951798812433</v>
      </c>
      <c r="K24" s="1" t="e">
        <f t="shared" si="3"/>
        <v>#REF!</v>
      </c>
      <c r="L24" s="1" t="e">
        <f t="shared" si="0"/>
        <v>#REF!</v>
      </c>
      <c r="M24" s="1" t="e">
        <f t="shared" si="1"/>
        <v>#REF!</v>
      </c>
      <c r="O24" s="11" t="e">
        <f t="shared" si="4"/>
        <v>#REF!</v>
      </c>
      <c r="P24" s="11" t="e">
        <f t="shared" ref="P24:P25" si="5">L24/D24</f>
        <v>#REF!</v>
      </c>
      <c r="Q24" s="11" t="e">
        <f t="shared" ref="Q24:Q25" si="6">M24/E24</f>
        <v>#REF!</v>
      </c>
    </row>
    <row r="25" spans="1:17" x14ac:dyDescent="0.45">
      <c r="A25" s="1"/>
      <c r="B25" s="1" t="s">
        <v>22</v>
      </c>
      <c r="C25" s="1" t="e">
        <f>'Dept Exp'!#REF!/$D$2</f>
        <v>#REF!</v>
      </c>
      <c r="D25" s="1" t="e">
        <f>'Dept Exp'!#REF!/$D$2</f>
        <v>#REF!</v>
      </c>
      <c r="E25" s="1" t="e">
        <f>'Dept Exp'!#REF!/$D$2</f>
        <v>#REF!</v>
      </c>
      <c r="G25" s="1">
        <f>'Dept Exp'!I24/$H$2</f>
        <v>6.4407963674467341</v>
      </c>
      <c r="H25" s="1">
        <f>'Dept Exp'!J24/$H$2</f>
        <v>86.320998952148088</v>
      </c>
      <c r="I25" s="1">
        <f>'Dept Exp'!K24/$H$2</f>
        <v>92.761795319594839</v>
      </c>
      <c r="K25" s="1" t="e">
        <f t="shared" si="3"/>
        <v>#REF!</v>
      </c>
      <c r="L25" s="1" t="e">
        <f t="shared" si="0"/>
        <v>#REF!</v>
      </c>
      <c r="M25" s="1" t="e">
        <f t="shared" si="1"/>
        <v>#REF!</v>
      </c>
      <c r="O25" s="11" t="e">
        <f t="shared" si="4"/>
        <v>#REF!</v>
      </c>
      <c r="P25" s="11" t="e">
        <f t="shared" si="5"/>
        <v>#REF!</v>
      </c>
      <c r="Q25" s="15" t="e">
        <f t="shared" si="6"/>
        <v>#REF!</v>
      </c>
    </row>
    <row r="26" spans="1:17" x14ac:dyDescent="0.45">
      <c r="A26" s="1"/>
      <c r="B26" s="1"/>
      <c r="C26" s="9" t="e">
        <f>'Dept Exp'!#REF!/$D$2</f>
        <v>#REF!</v>
      </c>
      <c r="D26" s="9" t="e">
        <f>'Dept Exp'!#REF!/$D$2</f>
        <v>#REF!</v>
      </c>
      <c r="E26" s="9" t="e">
        <f>'Dept Exp'!#REF!/$D$2</f>
        <v>#REF!</v>
      </c>
      <c r="G26" s="9">
        <f>'Dept Exp'!I25/$H$2</f>
        <v>1007.3227768075445</v>
      </c>
      <c r="H26" s="9">
        <f>'Dept Exp'!J25/$H$2</f>
        <v>1944.3704121550818</v>
      </c>
      <c r="I26" s="9">
        <f>'Dept Exp'!K25/$H$2</f>
        <v>2951.6931889626267</v>
      </c>
      <c r="K26" s="9" t="e">
        <f t="shared" ref="K26" si="7">G26-C26</f>
        <v>#REF!</v>
      </c>
      <c r="L26" s="9" t="e">
        <f t="shared" ref="L26" si="8">H26-D26</f>
        <v>#REF!</v>
      </c>
      <c r="M26" s="9" t="e">
        <f t="shared" ref="M26" si="9">I26-E26</f>
        <v>#REF!</v>
      </c>
      <c r="O26" s="13" t="e">
        <f t="shared" ref="O26" si="10">K26/C26</f>
        <v>#REF!</v>
      </c>
      <c r="P26" s="13" t="e">
        <f t="shared" ref="P26" si="11">L26/D26</f>
        <v>#REF!</v>
      </c>
      <c r="Q26" s="13" t="e">
        <f t="shared" ref="Q26" si="12">M26/E26</f>
        <v>#REF!</v>
      </c>
    </row>
    <row r="27" spans="1:17" x14ac:dyDescent="0.45">
      <c r="A27" s="1" t="s">
        <v>23</v>
      </c>
      <c r="B27" s="1"/>
    </row>
    <row r="28" spans="1:17" x14ac:dyDescent="0.45">
      <c r="A28" s="1"/>
      <c r="B28" s="1" t="s">
        <v>24</v>
      </c>
      <c r="C28" s="1" t="e">
        <f>'Dept Exp'!#REF!/$D$2</f>
        <v>#REF!</v>
      </c>
      <c r="D28" s="1" t="e">
        <f>'Dept Exp'!#REF!/$D$2</f>
        <v>#REF!</v>
      </c>
      <c r="E28" s="1" t="e">
        <f>'Dept Exp'!#REF!/$D$2</f>
        <v>#REF!</v>
      </c>
      <c r="G28" s="1">
        <f>'Dept Exp'!I27/$H$2</f>
        <v>59.229717079986024</v>
      </c>
      <c r="H28" s="1">
        <f>'Dept Exp'!J27/$H$2</f>
        <v>201.51690883688437</v>
      </c>
      <c r="I28" s="1">
        <f>'Dept Exp'!K27/$H$2</f>
        <v>260.74662591687036</v>
      </c>
      <c r="K28" s="1" t="e">
        <f t="shared" ref="K28:K36" si="13">G28-C28</f>
        <v>#REF!</v>
      </c>
      <c r="L28" s="1" t="e">
        <f t="shared" ref="L28:L36" si="14">H28-D28</f>
        <v>#REF!</v>
      </c>
      <c r="M28" s="1" t="e">
        <f t="shared" ref="M28:M36" si="15">I28-E28</f>
        <v>#REF!</v>
      </c>
      <c r="O28" s="11" t="e">
        <f t="shared" ref="O28:O36" si="16">K28/C28</f>
        <v>#REF!</v>
      </c>
      <c r="P28" s="11" t="e">
        <f t="shared" ref="P28:P36" si="17">L28/D28</f>
        <v>#REF!</v>
      </c>
      <c r="Q28" s="15" t="e">
        <f t="shared" ref="Q28:Q36" si="18">M28/E28</f>
        <v>#REF!</v>
      </c>
    </row>
    <row r="29" spans="1:17" x14ac:dyDescent="0.45">
      <c r="A29" s="1"/>
      <c r="B29" s="1" t="s">
        <v>25</v>
      </c>
      <c r="C29" s="1" t="e">
        <f>'Dept Exp'!#REF!/$D$2</f>
        <v>#REF!</v>
      </c>
      <c r="D29" s="1" t="e">
        <f>'Dept Exp'!#REF!/$D$2</f>
        <v>#REF!</v>
      </c>
      <c r="E29" s="1" t="e">
        <f>'Dept Exp'!#REF!/$D$2</f>
        <v>#REF!</v>
      </c>
      <c r="G29" s="1">
        <f>'Dept Exp'!I28/$H$2</f>
        <v>56.138546978693682</v>
      </c>
      <c r="H29" s="1">
        <f>'Dept Exp'!J28/$H$2</f>
        <v>508.55100593782748</v>
      </c>
      <c r="I29" s="1">
        <f>'Dept Exp'!K28/$H$2</f>
        <v>564.68955291652117</v>
      </c>
      <c r="K29" s="1" t="e">
        <f t="shared" si="13"/>
        <v>#REF!</v>
      </c>
      <c r="L29" s="1" t="e">
        <f t="shared" si="14"/>
        <v>#REF!</v>
      </c>
      <c r="M29" s="1" t="e">
        <f t="shared" si="15"/>
        <v>#REF!</v>
      </c>
      <c r="O29" s="11" t="e">
        <f t="shared" si="16"/>
        <v>#REF!</v>
      </c>
      <c r="P29" s="11" t="e">
        <f t="shared" si="17"/>
        <v>#REF!</v>
      </c>
      <c r="Q29" s="11" t="e">
        <f t="shared" si="18"/>
        <v>#REF!</v>
      </c>
    </row>
    <row r="30" spans="1:17" x14ac:dyDescent="0.45">
      <c r="A30" s="1"/>
      <c r="B30" s="1" t="s">
        <v>26</v>
      </c>
      <c r="C30" s="1" t="e">
        <f>'Dept Exp'!#REF!/$D$2</f>
        <v>#REF!</v>
      </c>
      <c r="D30" s="1" t="e">
        <f>'Dept Exp'!#REF!/$D$2</f>
        <v>#REF!</v>
      </c>
      <c r="E30" s="1" t="e">
        <f>'Dept Exp'!#REF!/$D$2</f>
        <v>#REF!</v>
      </c>
      <c r="G30" s="1">
        <f>'Dept Exp'!I29/$H$2</f>
        <v>22.662668529514495</v>
      </c>
      <c r="H30" s="1">
        <f>'Dept Exp'!J29/$H$2</f>
        <v>326.46966119455118</v>
      </c>
      <c r="I30" s="1">
        <f>'Dept Exp'!K29/$H$2</f>
        <v>349.13232972406564</v>
      </c>
      <c r="K30" s="1" t="e">
        <f t="shared" si="13"/>
        <v>#REF!</v>
      </c>
      <c r="L30" s="1" t="e">
        <f t="shared" si="14"/>
        <v>#REF!</v>
      </c>
      <c r="M30" s="1" t="e">
        <f t="shared" si="15"/>
        <v>#REF!</v>
      </c>
      <c r="O30" s="11" t="e">
        <f t="shared" si="16"/>
        <v>#REF!</v>
      </c>
      <c r="P30" s="11" t="e">
        <f t="shared" si="17"/>
        <v>#REF!</v>
      </c>
      <c r="Q30" s="15" t="e">
        <f t="shared" si="18"/>
        <v>#REF!</v>
      </c>
    </row>
    <row r="31" spans="1:17" x14ac:dyDescent="0.45">
      <c r="A31" s="1"/>
      <c r="B31" s="1" t="s">
        <v>28</v>
      </c>
      <c r="C31" s="1" t="e">
        <f>'Dept Exp'!#REF!/$D$2</f>
        <v>#REF!</v>
      </c>
      <c r="D31" s="1" t="e">
        <f>'Dept Exp'!#REF!/$D$2</f>
        <v>#REF!</v>
      </c>
      <c r="E31" s="1" t="e">
        <f>'Dept Exp'!#REF!/$D$2</f>
        <v>#REF!</v>
      </c>
      <c r="G31" s="1">
        <f>'Dept Exp'!I30/$H$2</f>
        <v>13.937261613691931</v>
      </c>
      <c r="H31" s="1">
        <f>'Dept Exp'!J30/$H$2</f>
        <v>393.48200838281525</v>
      </c>
      <c r="I31" s="1">
        <f>'Dept Exp'!K30/$H$2</f>
        <v>407.41926999650713</v>
      </c>
      <c r="K31" s="1" t="e">
        <f t="shared" si="13"/>
        <v>#REF!</v>
      </c>
      <c r="L31" s="1" t="e">
        <f t="shared" si="14"/>
        <v>#REF!</v>
      </c>
      <c r="M31" s="1" t="e">
        <f t="shared" si="15"/>
        <v>#REF!</v>
      </c>
      <c r="O31" s="11" t="e">
        <f t="shared" si="16"/>
        <v>#REF!</v>
      </c>
      <c r="P31" s="11" t="e">
        <f t="shared" si="17"/>
        <v>#REF!</v>
      </c>
      <c r="Q31" s="11" t="e">
        <f t="shared" si="18"/>
        <v>#REF!</v>
      </c>
    </row>
    <row r="32" spans="1:17" x14ac:dyDescent="0.45">
      <c r="A32" s="1"/>
      <c r="B32" s="1" t="s">
        <v>27</v>
      </c>
      <c r="C32" s="1" t="e">
        <f>'Dept Exp'!#REF!/$D$2</f>
        <v>#REF!</v>
      </c>
      <c r="D32" s="1" t="e">
        <f>'Dept Exp'!#REF!/$D$2</f>
        <v>#REF!</v>
      </c>
      <c r="E32" s="1" t="e">
        <f>'Dept Exp'!#REF!/$D$2</f>
        <v>#REF!</v>
      </c>
      <c r="G32" s="1">
        <f>'Dept Exp'!I32/$H$2</f>
        <v>9.3723332169053446</v>
      </c>
      <c r="H32" s="1">
        <f>'Dept Exp'!J32/$H$2</f>
        <v>109.9520607754104</v>
      </c>
      <c r="I32" s="1">
        <f>'Dept Exp'!K32/$H$2</f>
        <v>119.32439399231575</v>
      </c>
      <c r="K32" s="1" t="e">
        <f t="shared" si="13"/>
        <v>#REF!</v>
      </c>
      <c r="L32" s="1" t="e">
        <f t="shared" si="14"/>
        <v>#REF!</v>
      </c>
      <c r="M32" s="1" t="e">
        <f t="shared" si="15"/>
        <v>#REF!</v>
      </c>
      <c r="O32" s="11" t="e">
        <f t="shared" si="16"/>
        <v>#REF!</v>
      </c>
      <c r="P32" s="11" t="e">
        <f t="shared" si="17"/>
        <v>#REF!</v>
      </c>
      <c r="Q32" s="15" t="e">
        <f t="shared" si="18"/>
        <v>#REF!</v>
      </c>
    </row>
    <row r="33" spans="1:17" x14ac:dyDescent="0.45">
      <c r="A33" s="1"/>
      <c r="B33" s="1" t="s">
        <v>29</v>
      </c>
      <c r="C33" s="1" t="e">
        <f>'Dept Exp'!#REF!/$D$2</f>
        <v>#REF!</v>
      </c>
      <c r="D33" s="1" t="e">
        <f>'Dept Exp'!#REF!/$D$2</f>
        <v>#REF!</v>
      </c>
      <c r="E33" s="1" t="e">
        <f>'Dept Exp'!#REF!/$D$2</f>
        <v>#REF!</v>
      </c>
      <c r="G33" s="1">
        <f>'Dept Exp'!I34/$H$2</f>
        <v>1.8263988822913026</v>
      </c>
      <c r="H33" s="1">
        <f>'Dept Exp'!J34/$H$2</f>
        <v>207.66064268250088</v>
      </c>
      <c r="I33" s="1">
        <f>'Dept Exp'!K34/$H$2</f>
        <v>209.48704156479218</v>
      </c>
      <c r="K33" s="1" t="e">
        <f t="shared" si="13"/>
        <v>#REF!</v>
      </c>
      <c r="L33" s="1" t="e">
        <f t="shared" si="14"/>
        <v>#REF!</v>
      </c>
      <c r="M33" s="1" t="e">
        <f t="shared" si="15"/>
        <v>#REF!</v>
      </c>
      <c r="O33" s="11" t="e">
        <f t="shared" si="16"/>
        <v>#REF!</v>
      </c>
      <c r="P33" s="11" t="e">
        <f t="shared" si="17"/>
        <v>#REF!</v>
      </c>
      <c r="Q33" s="15" t="e">
        <f t="shared" si="18"/>
        <v>#REF!</v>
      </c>
    </row>
    <row r="34" spans="1:17" x14ac:dyDescent="0.45">
      <c r="A34" s="1"/>
      <c r="B34" s="1" t="s">
        <v>105</v>
      </c>
      <c r="C34" s="1" t="e">
        <f>'Dept Exp'!#REF!/$D$2</f>
        <v>#REF!</v>
      </c>
      <c r="D34" s="1" t="e">
        <f>'Dept Exp'!#REF!/$D$2</f>
        <v>#REF!</v>
      </c>
      <c r="E34" s="1" t="e">
        <f>'Dept Exp'!#REF!/$D$2</f>
        <v>#REF!</v>
      </c>
      <c r="G34" s="1">
        <f>'Dept Exp'!I35/$H$2</f>
        <v>2.5893852602165559</v>
      </c>
      <c r="H34" s="1">
        <f>'Dept Exp'!J35/$H$2</f>
        <v>0</v>
      </c>
      <c r="I34" s="1">
        <f>'Dept Exp'!K35/$H$2</f>
        <v>2.5893852602165559</v>
      </c>
      <c r="K34" s="1" t="e">
        <f t="shared" si="13"/>
        <v>#REF!</v>
      </c>
      <c r="L34" s="1" t="e">
        <f t="shared" si="14"/>
        <v>#REF!</v>
      </c>
      <c r="M34" s="1" t="e">
        <f t="shared" si="15"/>
        <v>#REF!</v>
      </c>
      <c r="O34" s="11" t="e">
        <f t="shared" si="16"/>
        <v>#REF!</v>
      </c>
      <c r="P34" s="11" t="s">
        <v>116</v>
      </c>
      <c r="Q34" s="14" t="e">
        <f t="shared" si="18"/>
        <v>#REF!</v>
      </c>
    </row>
    <row r="35" spans="1:17" x14ac:dyDescent="0.45">
      <c r="A35" s="1"/>
      <c r="B35" s="1" t="s">
        <v>30</v>
      </c>
      <c r="C35" s="1" t="e">
        <f>'Dept Exp'!#REF!/$D$2</f>
        <v>#REF!</v>
      </c>
      <c r="D35" s="1" t="e">
        <f>'Dept Exp'!#REF!/$D$2</f>
        <v>#REF!</v>
      </c>
      <c r="E35" s="1" t="e">
        <f>'Dept Exp'!#REF!/$D$2</f>
        <v>#REF!</v>
      </c>
      <c r="G35" s="1">
        <f>'Dept Exp'!I37/$H$2</f>
        <v>16.837939224589594</v>
      </c>
      <c r="H35" s="1">
        <f>'Dept Exp'!J37/$H$2</f>
        <v>308.66431714984282</v>
      </c>
      <c r="I35" s="1">
        <f>'Dept Exp'!K37/$H$2</f>
        <v>325.50225637443242</v>
      </c>
      <c r="K35" s="1" t="e">
        <f t="shared" si="13"/>
        <v>#REF!</v>
      </c>
      <c r="L35" s="1" t="e">
        <f t="shared" si="14"/>
        <v>#REF!</v>
      </c>
      <c r="M35" s="1" t="e">
        <f t="shared" si="15"/>
        <v>#REF!</v>
      </c>
      <c r="O35" s="11" t="e">
        <f t="shared" si="16"/>
        <v>#REF!</v>
      </c>
      <c r="P35" s="11" t="e">
        <f t="shared" si="17"/>
        <v>#REF!</v>
      </c>
      <c r="Q35" s="15" t="e">
        <f t="shared" si="18"/>
        <v>#REF!</v>
      </c>
    </row>
    <row r="36" spans="1:17" x14ac:dyDescent="0.45">
      <c r="A36" s="1"/>
      <c r="B36" s="1"/>
      <c r="C36" s="9" t="e">
        <f>'Dept Exp'!#REF!/$D$2</f>
        <v>#REF!</v>
      </c>
      <c r="D36" s="9" t="e">
        <f>'Dept Exp'!#REF!/$D$2</f>
        <v>#REF!</v>
      </c>
      <c r="E36" s="9" t="e">
        <f>'Dept Exp'!#REF!/$D$2</f>
        <v>#REF!</v>
      </c>
      <c r="G36" s="9">
        <f>'Dept Exp'!I38/$H$2</f>
        <v>182.5942507858889</v>
      </c>
      <c r="H36" s="9">
        <f>'Dept Exp'!J38/$H$2</f>
        <v>2056.2966049598322</v>
      </c>
      <c r="I36" s="9">
        <f>'Dept Exp'!K38/$H$2</f>
        <v>2238.8908557457216</v>
      </c>
      <c r="K36" s="9" t="e">
        <f t="shared" si="13"/>
        <v>#REF!</v>
      </c>
      <c r="L36" s="9" t="e">
        <f t="shared" si="14"/>
        <v>#REF!</v>
      </c>
      <c r="M36" s="9" t="e">
        <f t="shared" si="15"/>
        <v>#REF!</v>
      </c>
      <c r="O36" s="13" t="e">
        <f t="shared" si="16"/>
        <v>#REF!</v>
      </c>
      <c r="P36" s="13" t="e">
        <f t="shared" si="17"/>
        <v>#REF!</v>
      </c>
      <c r="Q36" s="13" t="e">
        <f t="shared" si="18"/>
        <v>#REF!</v>
      </c>
    </row>
    <row r="37" spans="1:17" x14ac:dyDescent="0.45">
      <c r="A37" s="1" t="s">
        <v>31</v>
      </c>
      <c r="B37" s="1"/>
    </row>
    <row r="38" spans="1:17" x14ac:dyDescent="0.45">
      <c r="A38" s="1"/>
      <c r="B38" s="1" t="s">
        <v>24</v>
      </c>
      <c r="C38" s="1" t="e">
        <f>'Dept Exp'!#REF!/$D$2</f>
        <v>#REF!</v>
      </c>
      <c r="D38" s="1" t="e">
        <f>'Dept Exp'!#REF!/$D$2</f>
        <v>#REF!</v>
      </c>
      <c r="E38" s="1" t="e">
        <f>'Dept Exp'!#REF!/$D$2</f>
        <v>#REF!</v>
      </c>
      <c r="G38" s="1">
        <f>'Dept Exp'!I40/$H$2</f>
        <v>35.808061473978341</v>
      </c>
      <c r="H38" s="1">
        <f>'Dept Exp'!J40/$H$2</f>
        <v>131.0206217254628</v>
      </c>
      <c r="I38" s="1">
        <f>'Dept Exp'!K40/$H$2</f>
        <v>166.82868319944114</v>
      </c>
      <c r="K38" s="1" t="e">
        <f t="shared" ref="K38:K46" si="19">G38-C38</f>
        <v>#REF!</v>
      </c>
      <c r="L38" s="1" t="e">
        <f t="shared" ref="L38:L46" si="20">H38-D38</f>
        <v>#REF!</v>
      </c>
      <c r="M38" s="1" t="e">
        <f t="shared" ref="M38:M46" si="21">I38-E38</f>
        <v>#REF!</v>
      </c>
      <c r="O38" s="11" t="e">
        <f t="shared" ref="O38:O46" si="22">K38/C38</f>
        <v>#REF!</v>
      </c>
      <c r="P38" s="11" t="e">
        <f t="shared" ref="P38:P46" si="23">L38/D38</f>
        <v>#REF!</v>
      </c>
      <c r="Q38" s="11" t="e">
        <f t="shared" ref="Q38:Q46" si="24">M38/E38</f>
        <v>#REF!</v>
      </c>
    </row>
    <row r="39" spans="1:17" x14ac:dyDescent="0.45">
      <c r="A39" s="1"/>
      <c r="B39" s="1" t="s">
        <v>32</v>
      </c>
      <c r="C39" s="1" t="e">
        <f>'Dept Exp'!#REF!/$D$2</f>
        <v>#REF!</v>
      </c>
      <c r="D39" s="1" t="e">
        <f>'Dept Exp'!#REF!/$D$2</f>
        <v>#REF!</v>
      </c>
      <c r="E39" s="1" t="e">
        <f>'Dept Exp'!#REF!/$D$2</f>
        <v>#REF!</v>
      </c>
      <c r="G39" s="1">
        <f>'Dept Exp'!I41/$H$2</f>
        <v>76.903946908836886</v>
      </c>
      <c r="H39" s="1">
        <f>'Dept Exp'!J41/$H$2</f>
        <v>3.0299580859238562</v>
      </c>
      <c r="I39" s="1">
        <f>'Dept Exp'!K41/$H$2</f>
        <v>79.933904994760738</v>
      </c>
      <c r="K39" s="1" t="e">
        <f t="shared" si="19"/>
        <v>#REF!</v>
      </c>
      <c r="L39" s="1" t="e">
        <f t="shared" si="20"/>
        <v>#REF!</v>
      </c>
      <c r="M39" s="1" t="e">
        <f t="shared" si="21"/>
        <v>#REF!</v>
      </c>
      <c r="O39" s="11" t="e">
        <f t="shared" si="22"/>
        <v>#REF!</v>
      </c>
      <c r="P39" s="11" t="e">
        <f t="shared" si="23"/>
        <v>#REF!</v>
      </c>
      <c r="Q39" s="14" t="e">
        <f t="shared" si="24"/>
        <v>#REF!</v>
      </c>
    </row>
    <row r="40" spans="1:17" x14ac:dyDescent="0.45">
      <c r="A40" s="1"/>
      <c r="B40" s="1" t="s">
        <v>33</v>
      </c>
      <c r="C40" s="1" t="e">
        <f>'Dept Exp'!#REF!/$D$2</f>
        <v>#REF!</v>
      </c>
      <c r="D40" s="1" t="e">
        <f>'Dept Exp'!#REF!/$D$2</f>
        <v>#REF!</v>
      </c>
      <c r="E40" s="1" t="e">
        <f>'Dept Exp'!#REF!/$D$2</f>
        <v>#REF!</v>
      </c>
      <c r="G40" s="1">
        <f>'Dept Exp'!I42/$H$2</f>
        <v>0.23369891721969963</v>
      </c>
      <c r="H40" s="1">
        <f>'Dept Exp'!J42/$H$2</f>
        <v>7.1828711142158577</v>
      </c>
      <c r="I40" s="1">
        <f>'Dept Exp'!K42/$H$2</f>
        <v>7.4165700314355583</v>
      </c>
      <c r="K40" s="1" t="e">
        <f t="shared" si="19"/>
        <v>#REF!</v>
      </c>
      <c r="L40" s="1" t="e">
        <f t="shared" si="20"/>
        <v>#REF!</v>
      </c>
      <c r="M40" s="1" t="e">
        <f t="shared" si="21"/>
        <v>#REF!</v>
      </c>
      <c r="O40" s="11" t="e">
        <f t="shared" si="22"/>
        <v>#REF!</v>
      </c>
      <c r="P40" s="11" t="e">
        <f t="shared" si="23"/>
        <v>#REF!</v>
      </c>
      <c r="Q40" s="14" t="e">
        <f t="shared" si="24"/>
        <v>#REF!</v>
      </c>
    </row>
    <row r="41" spans="1:17" x14ac:dyDescent="0.45">
      <c r="A41" s="1"/>
      <c r="B41" s="1" t="s">
        <v>34</v>
      </c>
      <c r="C41" s="1" t="e">
        <f>'Dept Exp'!#REF!/$D$2</f>
        <v>#REF!</v>
      </c>
      <c r="D41" s="1" t="e">
        <f>'Dept Exp'!#REF!/$D$2</f>
        <v>#REF!</v>
      </c>
      <c r="E41" s="1" t="e">
        <f>'Dept Exp'!#REF!/$D$2</f>
        <v>#REF!</v>
      </c>
      <c r="G41" s="1">
        <f>'Dept Exp'!I44/$H$2</f>
        <v>0.26960181627663288</v>
      </c>
      <c r="H41" s="1">
        <f>'Dept Exp'!J44/$H$2</f>
        <v>529.89619629759</v>
      </c>
      <c r="I41" s="1">
        <f>'Dept Exp'!K44/$H$2</f>
        <v>530.16579811386669</v>
      </c>
      <c r="K41" s="1" t="e">
        <f t="shared" si="19"/>
        <v>#REF!</v>
      </c>
      <c r="L41" s="1" t="e">
        <f t="shared" si="20"/>
        <v>#REF!</v>
      </c>
      <c r="M41" s="1" t="e">
        <f t="shared" si="21"/>
        <v>#REF!</v>
      </c>
      <c r="O41" s="11" t="e">
        <f t="shared" si="22"/>
        <v>#REF!</v>
      </c>
      <c r="P41" s="11" t="e">
        <f t="shared" si="23"/>
        <v>#REF!</v>
      </c>
      <c r="Q41" s="15" t="e">
        <f t="shared" si="24"/>
        <v>#REF!</v>
      </c>
    </row>
    <row r="42" spans="1:17" x14ac:dyDescent="0.45">
      <c r="A42" s="1"/>
      <c r="B42" s="1" t="s">
        <v>35</v>
      </c>
      <c r="C42" s="1" t="e">
        <f>'Dept Exp'!#REF!/$D$2</f>
        <v>#REF!</v>
      </c>
      <c r="D42" s="1" t="e">
        <f>'Dept Exp'!#REF!/$D$2</f>
        <v>#REF!</v>
      </c>
      <c r="E42" s="1" t="e">
        <f>'Dept Exp'!#REF!/$D$2</f>
        <v>#REF!</v>
      </c>
      <c r="G42" s="1">
        <f>'Dept Exp'!I46/$H$2</f>
        <v>4.8400279427174293E-2</v>
      </c>
      <c r="H42" s="1">
        <f>'Dept Exp'!J46/$H$2</f>
        <v>213.91904296192808</v>
      </c>
      <c r="I42" s="1">
        <f>'Dept Exp'!K46/$H$2</f>
        <v>213.96744324135523</v>
      </c>
      <c r="K42" s="1" t="e">
        <f t="shared" si="19"/>
        <v>#REF!</v>
      </c>
      <c r="L42" s="1" t="e">
        <f t="shared" si="20"/>
        <v>#REF!</v>
      </c>
      <c r="M42" s="1" t="e">
        <f t="shared" si="21"/>
        <v>#REF!</v>
      </c>
      <c r="O42" s="11" t="s">
        <v>116</v>
      </c>
      <c r="P42" s="11" t="e">
        <f t="shared" si="23"/>
        <v>#REF!</v>
      </c>
      <c r="Q42" s="15" t="e">
        <f t="shared" si="24"/>
        <v>#REF!</v>
      </c>
    </row>
    <row r="43" spans="1:17" x14ac:dyDescent="0.45">
      <c r="A43" s="1"/>
      <c r="B43" s="1" t="s">
        <v>36</v>
      </c>
      <c r="C43" s="1" t="e">
        <f>'Dept Exp'!#REF!/$D$2</f>
        <v>#REF!</v>
      </c>
      <c r="D43" s="1" t="e">
        <f>'Dept Exp'!#REF!/$D$2</f>
        <v>#REF!</v>
      </c>
      <c r="E43" s="1" t="e">
        <f>'Dept Exp'!#REF!/$D$2</f>
        <v>#REF!</v>
      </c>
      <c r="G43" s="1">
        <f>'Dept Exp'!I47/$H$2</f>
        <v>0.2619629758994062</v>
      </c>
      <c r="H43" s="1">
        <f>'Dept Exp'!J47/$H$2</f>
        <v>328.55882640586799</v>
      </c>
      <c r="I43" s="1">
        <f>'Dept Exp'!K47/$H$2</f>
        <v>328.82078938176738</v>
      </c>
      <c r="K43" s="1" t="e">
        <f t="shared" si="19"/>
        <v>#REF!</v>
      </c>
      <c r="L43" s="1" t="e">
        <f t="shared" si="20"/>
        <v>#REF!</v>
      </c>
      <c r="M43" s="1" t="e">
        <f t="shared" si="21"/>
        <v>#REF!</v>
      </c>
      <c r="O43" s="11" t="s">
        <v>116</v>
      </c>
      <c r="P43" s="11" t="e">
        <f t="shared" si="23"/>
        <v>#REF!</v>
      </c>
      <c r="Q43" s="15" t="e">
        <f t="shared" si="24"/>
        <v>#REF!</v>
      </c>
    </row>
    <row r="44" spans="1:17" x14ac:dyDescent="0.45">
      <c r="A44" s="1"/>
      <c r="B44" s="1" t="s">
        <v>37</v>
      </c>
      <c r="C44" s="1" t="e">
        <f>'Dept Exp'!#REF!/$D$2</f>
        <v>#REF!</v>
      </c>
      <c r="D44" s="1" t="e">
        <f>'Dept Exp'!#REF!/$D$2</f>
        <v>#REF!</v>
      </c>
      <c r="E44" s="1" t="e">
        <f>'Dept Exp'!#REF!/$D$2</f>
        <v>#REF!</v>
      </c>
      <c r="G44" s="1">
        <f>'Dept Exp'!I48/$H$2</f>
        <v>0.82154383513796714</v>
      </c>
      <c r="H44" s="1">
        <f>'Dept Exp'!J48/$H$2</f>
        <v>536.9912504366049</v>
      </c>
      <c r="I44" s="1">
        <f>'Dept Exp'!K48/$H$2</f>
        <v>537.81279427174297</v>
      </c>
      <c r="K44" s="1" t="e">
        <f t="shared" si="19"/>
        <v>#REF!</v>
      </c>
      <c r="L44" s="1" t="e">
        <f t="shared" si="20"/>
        <v>#REF!</v>
      </c>
      <c r="M44" s="1" t="e">
        <f t="shared" si="21"/>
        <v>#REF!</v>
      </c>
      <c r="O44" s="11" t="e">
        <f t="shared" si="22"/>
        <v>#REF!</v>
      </c>
      <c r="P44" s="11" t="e">
        <f t="shared" si="23"/>
        <v>#REF!</v>
      </c>
      <c r="Q44" s="15" t="e">
        <f t="shared" si="24"/>
        <v>#REF!</v>
      </c>
    </row>
    <row r="45" spans="1:17" x14ac:dyDescent="0.45">
      <c r="A45" s="1"/>
      <c r="B45" s="1" t="s">
        <v>38</v>
      </c>
      <c r="C45" s="1" t="e">
        <f>'Dept Exp'!#REF!/$D$2</f>
        <v>#REF!</v>
      </c>
      <c r="D45" s="1" t="e">
        <f>'Dept Exp'!#REF!/$D$2</f>
        <v>#REF!</v>
      </c>
      <c r="E45" s="1" t="e">
        <f>'Dept Exp'!#REF!/$D$2</f>
        <v>#REF!</v>
      </c>
      <c r="G45" s="1">
        <f>'Dept Exp'!I49/$H$2</f>
        <v>2.025497729654209E-2</v>
      </c>
      <c r="H45" s="1">
        <f>'Dept Exp'!J49/$H$2</f>
        <v>303.56187216206774</v>
      </c>
      <c r="I45" s="1">
        <f>'Dept Exp'!K49/$H$2</f>
        <v>303.58212713936427</v>
      </c>
      <c r="K45" s="1" t="e">
        <f t="shared" si="19"/>
        <v>#REF!</v>
      </c>
      <c r="L45" s="1" t="e">
        <f t="shared" si="20"/>
        <v>#REF!</v>
      </c>
      <c r="M45" s="1" t="e">
        <f t="shared" si="21"/>
        <v>#REF!</v>
      </c>
      <c r="O45" s="11" t="e">
        <f t="shared" si="22"/>
        <v>#REF!</v>
      </c>
      <c r="P45" s="11" t="e">
        <f t="shared" si="23"/>
        <v>#REF!</v>
      </c>
      <c r="Q45" s="15" t="e">
        <f t="shared" si="24"/>
        <v>#REF!</v>
      </c>
    </row>
    <row r="46" spans="1:17" x14ac:dyDescent="0.45">
      <c r="A46" s="1"/>
      <c r="B46" s="1"/>
      <c r="C46" s="9" t="e">
        <f>'Dept Exp'!#REF!/$D$2</f>
        <v>#REF!</v>
      </c>
      <c r="D46" s="9" t="e">
        <f>'Dept Exp'!#REF!/$D$2</f>
        <v>#REF!</v>
      </c>
      <c r="E46" s="9" t="e">
        <f>'Dept Exp'!#REF!/$D$2</f>
        <v>#REF!</v>
      </c>
      <c r="F46" s="12"/>
      <c r="G46" s="9">
        <f>'Dept Exp'!I50/$H$2</f>
        <v>114.36747118407266</v>
      </c>
      <c r="H46" s="9">
        <f>'Dept Exp'!J50/$H$2</f>
        <v>2054.1606391896612</v>
      </c>
      <c r="I46" s="9">
        <f>'Dept Exp'!K50/$H$2</f>
        <v>2168.5281103737339</v>
      </c>
      <c r="K46" s="9" t="e">
        <f t="shared" si="19"/>
        <v>#REF!</v>
      </c>
      <c r="L46" s="9" t="e">
        <f t="shared" si="20"/>
        <v>#REF!</v>
      </c>
      <c r="M46" s="9" t="e">
        <f t="shared" si="21"/>
        <v>#REF!</v>
      </c>
      <c r="O46" s="13" t="e">
        <f t="shared" si="22"/>
        <v>#REF!</v>
      </c>
      <c r="P46" s="13" t="e">
        <f t="shared" si="23"/>
        <v>#REF!</v>
      </c>
      <c r="Q46" s="16" t="e">
        <f t="shared" si="24"/>
        <v>#REF!</v>
      </c>
    </row>
    <row r="47" spans="1:17" x14ac:dyDescent="0.45">
      <c r="A47" s="1" t="s">
        <v>39</v>
      </c>
      <c r="B47" s="1"/>
    </row>
    <row r="48" spans="1:17" x14ac:dyDescent="0.45">
      <c r="A48" s="1"/>
      <c r="B48" s="1" t="s">
        <v>24</v>
      </c>
      <c r="C48" s="1" t="e">
        <f>'Dept Exp'!#REF!/$D$2</f>
        <v>#REF!</v>
      </c>
      <c r="D48" s="1" t="e">
        <f>'Dept Exp'!#REF!/$D$2</f>
        <v>#REF!</v>
      </c>
      <c r="E48" s="1" t="e">
        <f>'Dept Exp'!#REF!/$D$2</f>
        <v>#REF!</v>
      </c>
      <c r="G48" s="1">
        <f>'Dept Exp'!I52/$H$2</f>
        <v>44.061005937827453</v>
      </c>
      <c r="H48" s="1">
        <f>'Dept Exp'!J52/$H$2</f>
        <v>99.24103388054489</v>
      </c>
      <c r="I48" s="1">
        <f>'Dept Exp'!K52/$H$2</f>
        <v>143.30203981837232</v>
      </c>
      <c r="J48" s="1">
        <f>'Dept Exp'!L52/$H$2</f>
        <v>0</v>
      </c>
      <c r="K48" s="1" t="e">
        <f t="shared" ref="K48:K65" si="25">G48-C48</f>
        <v>#REF!</v>
      </c>
      <c r="L48" s="1" t="e">
        <f t="shared" ref="L48:L65" si="26">H48-D48</f>
        <v>#REF!</v>
      </c>
      <c r="M48" s="1" t="e">
        <f t="shared" ref="M48:M65" si="27">I48-E48</f>
        <v>#REF!</v>
      </c>
      <c r="O48" s="11" t="e">
        <f t="shared" ref="O48:O65" si="28">K48/C48</f>
        <v>#REF!</v>
      </c>
      <c r="P48" s="11" t="e">
        <f t="shared" ref="P48:P65" si="29">L48/D48</f>
        <v>#REF!</v>
      </c>
      <c r="Q48" s="14" t="e">
        <f t="shared" ref="Q48:Q65" si="30">M48/E48</f>
        <v>#REF!</v>
      </c>
    </row>
    <row r="49" spans="1:17" x14ac:dyDescent="0.45">
      <c r="A49" s="1"/>
      <c r="B49" s="1" t="s">
        <v>95</v>
      </c>
      <c r="C49" s="1" t="e">
        <f>'Dept Exp'!#REF!/$D$2</f>
        <v>#REF!</v>
      </c>
      <c r="D49" s="1" t="e">
        <f>'Dept Exp'!#REF!/$D$2</f>
        <v>#REF!</v>
      </c>
      <c r="E49" s="1" t="e">
        <f>'Dept Exp'!#REF!/$D$2</f>
        <v>#REF!</v>
      </c>
      <c r="G49" s="1">
        <f>'Dept Exp'!I53/$H$2</f>
        <v>13.367796018162766</v>
      </c>
      <c r="H49" s="1">
        <f>'Dept Exp'!J53/$H$2</f>
        <v>30.48679706601467</v>
      </c>
      <c r="I49" s="1">
        <f>'Dept Exp'!K53/$H$2</f>
        <v>43.854593084177438</v>
      </c>
      <c r="J49" s="1">
        <f>'Dept Exp'!L53/$H$2</f>
        <v>0</v>
      </c>
      <c r="K49" s="1" t="e">
        <f t="shared" si="25"/>
        <v>#REF!</v>
      </c>
      <c r="L49" s="1" t="e">
        <f t="shared" si="26"/>
        <v>#REF!</v>
      </c>
      <c r="M49" s="1" t="e">
        <f t="shared" si="27"/>
        <v>#REF!</v>
      </c>
      <c r="O49" s="11" t="e">
        <f t="shared" si="28"/>
        <v>#REF!</v>
      </c>
      <c r="P49" s="11" t="e">
        <f t="shared" si="29"/>
        <v>#REF!</v>
      </c>
      <c r="Q49" s="11" t="e">
        <f t="shared" si="30"/>
        <v>#REF!</v>
      </c>
    </row>
    <row r="50" spans="1:17" x14ac:dyDescent="0.45">
      <c r="A50" s="1"/>
      <c r="B50" s="1" t="s">
        <v>40</v>
      </c>
      <c r="C50" s="1" t="e">
        <f>'Dept Exp'!#REF!/$D$2</f>
        <v>#REF!</v>
      </c>
      <c r="D50" s="1" t="e">
        <f>'Dept Exp'!#REF!/$D$2</f>
        <v>#REF!</v>
      </c>
      <c r="E50" s="1" t="e">
        <f>'Dept Exp'!#REF!/$D$2</f>
        <v>#REF!</v>
      </c>
      <c r="G50" s="1">
        <f>'Dept Exp'!I54/$H$2</f>
        <v>4.0857527069507507</v>
      </c>
      <c r="H50" s="1">
        <f>'Dept Exp'!J54/$H$2</f>
        <v>263.00968215158923</v>
      </c>
      <c r="I50" s="1">
        <f>'Dept Exp'!K54/$H$2</f>
        <v>267.09543485853999</v>
      </c>
      <c r="J50" s="1">
        <f>'Dept Exp'!L54/$H$2</f>
        <v>0</v>
      </c>
      <c r="K50" s="1" t="e">
        <f t="shared" si="25"/>
        <v>#REF!</v>
      </c>
      <c r="L50" s="1" t="e">
        <f t="shared" si="26"/>
        <v>#REF!</v>
      </c>
      <c r="M50" s="1" t="e">
        <f t="shared" si="27"/>
        <v>#REF!</v>
      </c>
      <c r="O50" s="11" t="e">
        <f t="shared" si="28"/>
        <v>#REF!</v>
      </c>
      <c r="P50" s="11" t="e">
        <f t="shared" si="29"/>
        <v>#REF!</v>
      </c>
      <c r="Q50" s="17" t="e">
        <f t="shared" si="30"/>
        <v>#REF!</v>
      </c>
    </row>
    <row r="51" spans="1:17" x14ac:dyDescent="0.45">
      <c r="A51" s="1"/>
      <c r="B51" s="1" t="s">
        <v>49</v>
      </c>
      <c r="C51" s="1" t="e">
        <f>'Dept Exp'!#REF!/$D$2</f>
        <v>#REF!</v>
      </c>
      <c r="D51" s="1" t="e">
        <f>'Dept Exp'!#REF!/$D$2</f>
        <v>#REF!</v>
      </c>
      <c r="E51" s="1" t="e">
        <f>'Dept Exp'!#REF!/$D$2</f>
        <v>#REF!</v>
      </c>
      <c r="G51" s="1">
        <f>'Dept Exp'!I55/$H$2</f>
        <v>9.924250785888928</v>
      </c>
      <c r="H51" s="1">
        <f>'Dept Exp'!J55/$H$2</f>
        <v>39.849758994062171</v>
      </c>
      <c r="I51" s="1">
        <f>'Dept Exp'!K55/$H$2</f>
        <v>49.774009779951101</v>
      </c>
      <c r="J51" s="1">
        <f>'Dept Exp'!L55/$H$2</f>
        <v>0</v>
      </c>
      <c r="K51" s="1" t="e">
        <f t="shared" si="25"/>
        <v>#REF!</v>
      </c>
      <c r="L51" s="1" t="e">
        <f t="shared" si="26"/>
        <v>#REF!</v>
      </c>
      <c r="M51" s="1" t="e">
        <f t="shared" si="27"/>
        <v>#REF!</v>
      </c>
      <c r="O51" s="11" t="e">
        <f t="shared" si="28"/>
        <v>#REF!</v>
      </c>
      <c r="P51" s="11" t="e">
        <f t="shared" si="29"/>
        <v>#REF!</v>
      </c>
      <c r="Q51" s="17" t="e">
        <f t="shared" si="30"/>
        <v>#REF!</v>
      </c>
    </row>
    <row r="52" spans="1:17" x14ac:dyDescent="0.45">
      <c r="A52" s="1"/>
      <c r="B52" s="1" t="s">
        <v>106</v>
      </c>
      <c r="C52" s="1" t="e">
        <f>'Dept Exp'!#REF!/$D$2</f>
        <v>#REF!</v>
      </c>
      <c r="D52" s="1" t="e">
        <f>'Dept Exp'!#REF!/$D$2</f>
        <v>#REF!</v>
      </c>
      <c r="E52" s="1" t="e">
        <f>'Dept Exp'!#REF!/$D$2</f>
        <v>#REF!</v>
      </c>
      <c r="G52" s="1">
        <f>'Dept Exp'!I56/$H$2</f>
        <v>7.9361997904296198</v>
      </c>
      <c r="H52" s="1">
        <f>'Dept Exp'!J56/$H$2</f>
        <v>0</v>
      </c>
      <c r="I52" s="1">
        <f>'Dept Exp'!K56/$H$2</f>
        <v>7.9361997904296198</v>
      </c>
      <c r="J52" s="1">
        <f>'Dept Exp'!L56/$H$2</f>
        <v>0</v>
      </c>
      <c r="K52" s="1" t="e">
        <f t="shared" si="25"/>
        <v>#REF!</v>
      </c>
      <c r="L52" s="1" t="e">
        <f t="shared" si="26"/>
        <v>#REF!</v>
      </c>
      <c r="M52" s="1" t="e">
        <f t="shared" si="27"/>
        <v>#REF!</v>
      </c>
      <c r="O52" s="11" t="e">
        <f t="shared" si="28"/>
        <v>#REF!</v>
      </c>
      <c r="P52" s="11" t="s">
        <v>116</v>
      </c>
      <c r="Q52" s="15" t="e">
        <f t="shared" si="30"/>
        <v>#REF!</v>
      </c>
    </row>
    <row r="53" spans="1:17" x14ac:dyDescent="0.45">
      <c r="A53" s="1"/>
      <c r="B53" s="1" t="s">
        <v>50</v>
      </c>
      <c r="C53" s="1" t="e">
        <f>'Dept Exp'!#REF!/$D$2</f>
        <v>#REF!</v>
      </c>
      <c r="D53" s="1" t="e">
        <f>'Dept Exp'!#REF!/$D$2</f>
        <v>#REF!</v>
      </c>
      <c r="E53" s="1" t="e">
        <f>'Dept Exp'!#REF!/$D$2</f>
        <v>#REF!</v>
      </c>
      <c r="G53" s="1">
        <f>'Dept Exp'!I58/$H$2</f>
        <v>1.1944009779951101</v>
      </c>
      <c r="H53" s="1">
        <f>'Dept Exp'!J58/$H$2</f>
        <v>1.8186342996856444</v>
      </c>
      <c r="I53" s="1">
        <f>'Dept Exp'!K58/$H$2</f>
        <v>3.0130352776807543</v>
      </c>
      <c r="J53" s="1">
        <f>'Dept Exp'!L58/$H$2</f>
        <v>0</v>
      </c>
      <c r="K53" s="1" t="e">
        <f t="shared" si="25"/>
        <v>#REF!</v>
      </c>
      <c r="L53" s="1" t="e">
        <f t="shared" si="26"/>
        <v>#REF!</v>
      </c>
      <c r="M53" s="1" t="e">
        <f t="shared" si="27"/>
        <v>#REF!</v>
      </c>
      <c r="O53" s="11" t="e">
        <f t="shared" si="28"/>
        <v>#REF!</v>
      </c>
      <c r="P53" s="11" t="e">
        <f t="shared" si="29"/>
        <v>#REF!</v>
      </c>
      <c r="Q53" s="14" t="e">
        <f t="shared" si="30"/>
        <v>#REF!</v>
      </c>
    </row>
    <row r="54" spans="1:17" x14ac:dyDescent="0.45">
      <c r="A54" s="1"/>
      <c r="B54" s="1" t="s">
        <v>41</v>
      </c>
      <c r="C54" s="1" t="e">
        <f>'Dept Exp'!#REF!/$D$2</f>
        <v>#REF!</v>
      </c>
      <c r="D54" s="1" t="e">
        <f>'Dept Exp'!#REF!/$D$2</f>
        <v>#REF!</v>
      </c>
      <c r="E54" s="1" t="e">
        <f>'Dept Exp'!#REF!/$D$2</f>
        <v>#REF!</v>
      </c>
      <c r="G54" s="1">
        <f>'Dept Exp'!I59/$H$2</f>
        <v>5.3210338805448822</v>
      </c>
      <c r="H54" s="1">
        <f>'Dept Exp'!J59/$H$2</f>
        <v>134.48025847013622</v>
      </c>
      <c r="I54" s="1">
        <f>'Dept Exp'!K59/$H$2</f>
        <v>139.80129235068111</v>
      </c>
      <c r="J54" s="1">
        <f>'Dept Exp'!L59/$H$2</f>
        <v>0</v>
      </c>
      <c r="K54" s="1" t="e">
        <f t="shared" si="25"/>
        <v>#REF!</v>
      </c>
      <c r="L54" s="1" t="e">
        <f t="shared" si="26"/>
        <v>#REF!</v>
      </c>
      <c r="M54" s="1" t="e">
        <f t="shared" si="27"/>
        <v>#REF!</v>
      </c>
      <c r="O54" s="11" t="e">
        <f t="shared" si="28"/>
        <v>#REF!</v>
      </c>
      <c r="P54" s="11" t="e">
        <f t="shared" si="29"/>
        <v>#REF!</v>
      </c>
      <c r="Q54" s="14" t="e">
        <f t="shared" si="30"/>
        <v>#REF!</v>
      </c>
    </row>
    <row r="55" spans="1:17" x14ac:dyDescent="0.45">
      <c r="A55" s="1"/>
      <c r="B55" s="1" t="s">
        <v>42</v>
      </c>
      <c r="C55" s="1" t="e">
        <f>'Dept Exp'!#REF!/$D$2</f>
        <v>#REF!</v>
      </c>
      <c r="D55" s="1" t="e">
        <f>'Dept Exp'!#REF!/$D$2</f>
        <v>#REF!</v>
      </c>
      <c r="E55" s="1" t="e">
        <f>'Dept Exp'!#REF!/$D$2</f>
        <v>#REF!</v>
      </c>
      <c r="G55" s="1">
        <f>'Dept Exp'!I60/$H$2</f>
        <v>0.36572476423332168</v>
      </c>
      <c r="H55" s="1">
        <f>'Dept Exp'!J60/$H$2</f>
        <v>362.93071253929446</v>
      </c>
      <c r="I55" s="1">
        <f>'Dept Exp'!K60/$H$2</f>
        <v>363.29643730352774</v>
      </c>
      <c r="J55" s="1">
        <f>'Dept Exp'!L60/$H$2</f>
        <v>0</v>
      </c>
      <c r="K55" s="1" t="e">
        <f t="shared" si="25"/>
        <v>#REF!</v>
      </c>
      <c r="L55" s="1" t="e">
        <f t="shared" si="26"/>
        <v>#REF!</v>
      </c>
      <c r="M55" s="1" t="e">
        <f t="shared" si="27"/>
        <v>#REF!</v>
      </c>
      <c r="O55" s="11" t="e">
        <f t="shared" si="28"/>
        <v>#REF!</v>
      </c>
      <c r="P55" s="11" t="e">
        <f t="shared" si="29"/>
        <v>#REF!</v>
      </c>
      <c r="Q55" s="14" t="e">
        <f t="shared" si="30"/>
        <v>#REF!</v>
      </c>
    </row>
    <row r="56" spans="1:17" x14ac:dyDescent="0.45">
      <c r="A56" s="1"/>
      <c r="B56" s="1" t="s">
        <v>43</v>
      </c>
      <c r="C56" s="1" t="e">
        <f>'Dept Exp'!#REF!/$D$2</f>
        <v>#REF!</v>
      </c>
      <c r="D56" s="1" t="e">
        <f>'Dept Exp'!#REF!/$D$2</f>
        <v>#REF!</v>
      </c>
      <c r="E56" s="1" t="e">
        <f>'Dept Exp'!#REF!/$D$2</f>
        <v>#REF!</v>
      </c>
      <c r="G56" s="1">
        <f>'Dept Exp'!I62/$H$2</f>
        <v>0.77862032832692984</v>
      </c>
      <c r="H56" s="1">
        <f>'Dept Exp'!J62/$H$2</f>
        <v>288.20570730003493</v>
      </c>
      <c r="I56" s="1">
        <f>'Dept Exp'!K62/$H$2</f>
        <v>288.98432762836188</v>
      </c>
      <c r="J56" s="1">
        <f>'Dept Exp'!L62/$H$2</f>
        <v>0</v>
      </c>
      <c r="K56" s="1" t="e">
        <f t="shared" si="25"/>
        <v>#REF!</v>
      </c>
      <c r="L56" s="1" t="e">
        <f t="shared" si="26"/>
        <v>#REF!</v>
      </c>
      <c r="M56" s="1" t="e">
        <f t="shared" si="27"/>
        <v>#REF!</v>
      </c>
      <c r="O56" s="11" t="e">
        <f t="shared" si="28"/>
        <v>#REF!</v>
      </c>
      <c r="P56" s="11" t="e">
        <f t="shared" si="29"/>
        <v>#REF!</v>
      </c>
      <c r="Q56" s="11" t="e">
        <f t="shared" si="30"/>
        <v>#REF!</v>
      </c>
    </row>
    <row r="57" spans="1:17" x14ac:dyDescent="0.45">
      <c r="A57" s="1"/>
      <c r="B57" s="1" t="s">
        <v>44</v>
      </c>
      <c r="C57" s="1" t="e">
        <f>'Dept Exp'!#REF!/$D$2</f>
        <v>#REF!</v>
      </c>
      <c r="D57" s="1" t="e">
        <f>'Dept Exp'!#REF!/$D$2</f>
        <v>#REF!</v>
      </c>
      <c r="E57" s="1" t="e">
        <f>'Dept Exp'!#REF!/$D$2</f>
        <v>#REF!</v>
      </c>
      <c r="G57" s="1">
        <f>'Dept Exp'!I63/$H$2</f>
        <v>0.69377226685295146</v>
      </c>
      <c r="H57" s="1">
        <f>'Dept Exp'!J63/$H$2</f>
        <v>209.24406566538596</v>
      </c>
      <c r="I57" s="1">
        <f>'Dept Exp'!K63/$H$2</f>
        <v>209.93783793223892</v>
      </c>
      <c r="J57" s="1">
        <f>'Dept Exp'!L63/$H$2</f>
        <v>0</v>
      </c>
      <c r="K57" s="1" t="e">
        <f t="shared" si="25"/>
        <v>#REF!</v>
      </c>
      <c r="L57" s="1" t="e">
        <f t="shared" si="26"/>
        <v>#REF!</v>
      </c>
      <c r="M57" s="1" t="e">
        <f t="shared" si="27"/>
        <v>#REF!</v>
      </c>
      <c r="O57" s="11" t="e">
        <f t="shared" si="28"/>
        <v>#REF!</v>
      </c>
      <c r="P57" s="11" t="e">
        <f t="shared" si="29"/>
        <v>#REF!</v>
      </c>
      <c r="Q57" s="11" t="e">
        <f t="shared" si="30"/>
        <v>#REF!</v>
      </c>
    </row>
    <row r="58" spans="1:17" x14ac:dyDescent="0.45">
      <c r="A58" s="1"/>
      <c r="B58" s="1" t="s">
        <v>107</v>
      </c>
      <c r="C58" s="1" t="e">
        <f>'Dept Exp'!#REF!/$D$2</f>
        <v>#REF!</v>
      </c>
      <c r="D58" s="1" t="e">
        <f>'Dept Exp'!#REF!/$D$2</f>
        <v>#REF!</v>
      </c>
      <c r="E58" s="1" t="e">
        <f>'Dept Exp'!#REF!/$D$2</f>
        <v>#REF!</v>
      </c>
      <c r="G58" s="1">
        <f>'Dept Exp'!I64/$H$2</f>
        <v>0</v>
      </c>
      <c r="H58" s="1">
        <f>'Dept Exp'!J64/$H$2</f>
        <v>0</v>
      </c>
      <c r="I58" s="1">
        <f>'Dept Exp'!K64/$H$2</f>
        <v>0</v>
      </c>
      <c r="J58" s="1">
        <f>'Dept Exp'!L64/$H$2</f>
        <v>0</v>
      </c>
      <c r="K58" s="1" t="e">
        <f t="shared" si="25"/>
        <v>#REF!</v>
      </c>
      <c r="L58" s="1" t="e">
        <f t="shared" si="26"/>
        <v>#REF!</v>
      </c>
      <c r="M58" s="1" t="e">
        <f t="shared" si="27"/>
        <v>#REF!</v>
      </c>
      <c r="O58" s="11" t="e">
        <f t="shared" si="28"/>
        <v>#REF!</v>
      </c>
      <c r="P58" s="11" t="s">
        <v>116</v>
      </c>
      <c r="Q58" s="14" t="e">
        <f t="shared" si="30"/>
        <v>#REF!</v>
      </c>
    </row>
    <row r="59" spans="1:17" x14ac:dyDescent="0.45">
      <c r="A59" s="1"/>
      <c r="B59" s="1" t="s">
        <v>52</v>
      </c>
      <c r="C59" s="1" t="e">
        <f>'Dept Exp'!#REF!/$D$2</f>
        <v>#REF!</v>
      </c>
      <c r="D59" s="1" t="e">
        <f>'Dept Exp'!#REF!/$D$2</f>
        <v>#REF!</v>
      </c>
      <c r="E59" s="1" t="e">
        <f>'Dept Exp'!#REF!/$D$2</f>
        <v>#REF!</v>
      </c>
      <c r="G59" s="1">
        <f>'Dept Exp'!I65/$H$2</f>
        <v>1.1566643381068811</v>
      </c>
      <c r="H59" s="1">
        <f>'Dept Exp'!J65/$H$2</f>
        <v>196.32088718127841</v>
      </c>
      <c r="I59" s="1">
        <f>'Dept Exp'!K65/$H$2</f>
        <v>197.47755151938529</v>
      </c>
      <c r="J59" s="1">
        <f>'Dept Exp'!L65/$H$2</f>
        <v>0</v>
      </c>
      <c r="K59" s="1" t="e">
        <f t="shared" si="25"/>
        <v>#REF!</v>
      </c>
      <c r="L59" s="1" t="e">
        <f t="shared" si="26"/>
        <v>#REF!</v>
      </c>
      <c r="M59" s="1" t="e">
        <f t="shared" si="27"/>
        <v>#REF!</v>
      </c>
      <c r="O59" s="11" t="e">
        <f t="shared" si="28"/>
        <v>#REF!</v>
      </c>
      <c r="P59" s="11" t="e">
        <f t="shared" si="29"/>
        <v>#REF!</v>
      </c>
      <c r="Q59" s="14" t="e">
        <f t="shared" si="30"/>
        <v>#REF!</v>
      </c>
    </row>
    <row r="60" spans="1:17" x14ac:dyDescent="0.45">
      <c r="A60" s="1"/>
      <c r="B60" s="1" t="s">
        <v>51</v>
      </c>
      <c r="C60" s="1" t="e">
        <f>'Dept Exp'!#REF!/$D$2</f>
        <v>#REF!</v>
      </c>
      <c r="D60" s="1" t="e">
        <f>'Dept Exp'!#REF!/$D$2</f>
        <v>#REF!</v>
      </c>
      <c r="E60" s="1" t="e">
        <f>'Dept Exp'!#REF!/$D$2</f>
        <v>#REF!</v>
      </c>
      <c r="G60" s="1">
        <f>'Dept Exp'!I66/$H$2</f>
        <v>0.74408312958435208</v>
      </c>
      <c r="H60" s="1">
        <f>'Dept Exp'!J66/$H$2</f>
        <v>195.31043660495985</v>
      </c>
      <c r="I60" s="1">
        <f>'Dept Exp'!K66/$H$2</f>
        <v>196.05451973454421</v>
      </c>
      <c r="J60" s="1">
        <f>'Dept Exp'!L66/$H$2</f>
        <v>0</v>
      </c>
      <c r="K60" s="1" t="e">
        <f t="shared" si="25"/>
        <v>#REF!</v>
      </c>
      <c r="L60" s="1" t="e">
        <f t="shared" si="26"/>
        <v>#REF!</v>
      </c>
      <c r="M60" s="1" t="e">
        <f t="shared" si="27"/>
        <v>#REF!</v>
      </c>
      <c r="O60" s="11" t="e">
        <f t="shared" si="28"/>
        <v>#REF!</v>
      </c>
      <c r="P60" s="11" t="e">
        <f t="shared" si="29"/>
        <v>#REF!</v>
      </c>
      <c r="Q60" s="11" t="e">
        <f t="shared" si="30"/>
        <v>#REF!</v>
      </c>
    </row>
    <row r="61" spans="1:17" x14ac:dyDescent="0.45">
      <c r="A61" s="1"/>
      <c r="B61" s="1" t="s">
        <v>45</v>
      </c>
      <c r="C61" s="1" t="e">
        <f>'Dept Exp'!#REF!/$D$2</f>
        <v>#REF!</v>
      </c>
      <c r="D61" s="1" t="e">
        <f>'Dept Exp'!#REF!/$D$2</f>
        <v>#REF!</v>
      </c>
      <c r="E61" s="1" t="e">
        <f>'Dept Exp'!#REF!/$D$2</f>
        <v>#REF!</v>
      </c>
      <c r="G61" s="1">
        <f>'Dept Exp'!I67/$H$2</f>
        <v>2.5080894166957735</v>
      </c>
      <c r="H61" s="1">
        <f>'Dept Exp'!J67/$H$2</f>
        <v>356.69971009430668</v>
      </c>
      <c r="I61" s="1">
        <f>'Dept Exp'!K67/$H$2</f>
        <v>359.20779951100246</v>
      </c>
      <c r="J61" s="1">
        <f>'Dept Exp'!L67/$H$2</f>
        <v>0</v>
      </c>
      <c r="K61" s="1" t="e">
        <f t="shared" si="25"/>
        <v>#REF!</v>
      </c>
      <c r="L61" s="1" t="e">
        <f t="shared" si="26"/>
        <v>#REF!</v>
      </c>
      <c r="M61" s="1" t="e">
        <f t="shared" si="27"/>
        <v>#REF!</v>
      </c>
      <c r="O61" s="11" t="e">
        <f t="shared" si="28"/>
        <v>#REF!</v>
      </c>
      <c r="P61" s="11" t="e">
        <f t="shared" si="29"/>
        <v>#REF!</v>
      </c>
      <c r="Q61" s="17" t="e">
        <f t="shared" si="30"/>
        <v>#REF!</v>
      </c>
    </row>
    <row r="62" spans="1:17" x14ac:dyDescent="0.45">
      <c r="A62" s="1"/>
      <c r="B62" s="1" t="s">
        <v>46</v>
      </c>
      <c r="C62" s="1" t="e">
        <f>'Dept Exp'!#REF!/$D$2</f>
        <v>#REF!</v>
      </c>
      <c r="D62" s="1" t="e">
        <f>'Dept Exp'!#REF!/$D$2</f>
        <v>#REF!</v>
      </c>
      <c r="E62" s="1" t="e">
        <f>'Dept Exp'!#REF!/$D$2</f>
        <v>#REF!</v>
      </c>
      <c r="G62" s="1">
        <f>'Dept Exp'!I68/$H$2</f>
        <v>0.48551868669228082</v>
      </c>
      <c r="H62" s="1">
        <f>'Dept Exp'!J68/$H$2</f>
        <v>318.08122598672725</v>
      </c>
      <c r="I62" s="1">
        <f>'Dept Exp'!K68/$H$2</f>
        <v>318.56674467341952</v>
      </c>
      <c r="J62" s="1">
        <f>'Dept Exp'!L68/$H$2</f>
        <v>0</v>
      </c>
      <c r="K62" s="1" t="e">
        <f t="shared" si="25"/>
        <v>#REF!</v>
      </c>
      <c r="L62" s="1" t="e">
        <f t="shared" si="26"/>
        <v>#REF!</v>
      </c>
      <c r="M62" s="1" t="e">
        <f t="shared" si="27"/>
        <v>#REF!</v>
      </c>
      <c r="O62" s="11" t="e">
        <f t="shared" si="28"/>
        <v>#REF!</v>
      </c>
      <c r="P62" s="11" t="e">
        <f t="shared" si="29"/>
        <v>#REF!</v>
      </c>
      <c r="Q62" s="15" t="e">
        <f t="shared" si="30"/>
        <v>#REF!</v>
      </c>
    </row>
    <row r="63" spans="1:17" x14ac:dyDescent="0.45">
      <c r="A63" s="1"/>
      <c r="B63" s="1" t="s">
        <v>47</v>
      </c>
      <c r="C63" s="1" t="e">
        <f>'Dept Exp'!#REF!/$D$2</f>
        <v>#REF!</v>
      </c>
      <c r="D63" s="1" t="e">
        <f>'Dept Exp'!#REF!/$D$2</f>
        <v>#REF!</v>
      </c>
      <c r="E63" s="1" t="e">
        <f>'Dept Exp'!#REF!/$D$2</f>
        <v>#REF!</v>
      </c>
      <c r="G63" s="1">
        <f>'Dept Exp'!I69/$H$2</f>
        <v>0.81762836185819066</v>
      </c>
      <c r="H63" s="1">
        <f>'Dept Exp'!J69/$H$2</f>
        <v>171.04072651065314</v>
      </c>
      <c r="I63" s="1">
        <f>'Dept Exp'!K69/$H$2</f>
        <v>171.85835487251134</v>
      </c>
      <c r="J63" s="1">
        <f>'Dept Exp'!L69/$H$2</f>
        <v>0</v>
      </c>
      <c r="K63" s="1" t="e">
        <f t="shared" si="25"/>
        <v>#REF!</v>
      </c>
      <c r="L63" s="1" t="e">
        <f t="shared" si="26"/>
        <v>#REF!</v>
      </c>
      <c r="M63" s="1" t="e">
        <f t="shared" si="27"/>
        <v>#REF!</v>
      </c>
      <c r="O63" s="11" t="e">
        <f t="shared" si="28"/>
        <v>#REF!</v>
      </c>
      <c r="P63" s="11" t="e">
        <f t="shared" si="29"/>
        <v>#REF!</v>
      </c>
      <c r="Q63" s="11" t="e">
        <f t="shared" si="30"/>
        <v>#REF!</v>
      </c>
    </row>
    <row r="64" spans="1:17" x14ac:dyDescent="0.45">
      <c r="A64" s="1"/>
      <c r="B64" s="1" t="s">
        <v>48</v>
      </c>
      <c r="C64" s="1" t="e">
        <f>'Dept Exp'!#REF!/$D$2</f>
        <v>#REF!</v>
      </c>
      <c r="D64" s="1" t="e">
        <f>'Dept Exp'!#REF!/$D$2</f>
        <v>#REF!</v>
      </c>
      <c r="E64" s="1" t="e">
        <f>'Dept Exp'!#REF!/$D$2</f>
        <v>#REF!</v>
      </c>
      <c r="G64" s="1">
        <f>'Dept Exp'!I70/$H$2</f>
        <v>5.9392769821865183</v>
      </c>
      <c r="H64" s="1">
        <f>'Dept Exp'!J70/$H$2</f>
        <v>179.84337757596924</v>
      </c>
      <c r="I64" s="1">
        <f>'Dept Exp'!K70/$H$2</f>
        <v>185.78265455815577</v>
      </c>
      <c r="J64" s="1">
        <f>'Dept Exp'!L70/$H$2</f>
        <v>0</v>
      </c>
      <c r="K64" s="1" t="e">
        <f t="shared" si="25"/>
        <v>#REF!</v>
      </c>
      <c r="L64" s="1" t="e">
        <f t="shared" si="26"/>
        <v>#REF!</v>
      </c>
      <c r="M64" s="1" t="e">
        <f t="shared" si="27"/>
        <v>#REF!</v>
      </c>
      <c r="O64" s="11" t="e">
        <f t="shared" si="28"/>
        <v>#REF!</v>
      </c>
      <c r="P64" s="11" t="e">
        <f t="shared" si="29"/>
        <v>#REF!</v>
      </c>
      <c r="Q64" s="15" t="e">
        <f t="shared" si="30"/>
        <v>#REF!</v>
      </c>
    </row>
    <row r="65" spans="1:17" x14ac:dyDescent="0.45">
      <c r="A65" s="1"/>
      <c r="B65" s="1"/>
      <c r="C65" s="9" t="e">
        <f>'Dept Exp'!#REF!/$D$2</f>
        <v>#REF!</v>
      </c>
      <c r="D65" s="9" t="e">
        <f>'Dept Exp'!#REF!/$D$2</f>
        <v>#REF!</v>
      </c>
      <c r="E65" s="9" t="e">
        <f>'Dept Exp'!#REF!/$D$2</f>
        <v>#REF!</v>
      </c>
      <c r="F65" s="12"/>
      <c r="G65" s="9">
        <f>'Dept Exp'!I71/$H$2</f>
        <v>99.3798183723367</v>
      </c>
      <c r="H65" s="9">
        <f>'Dept Exp'!J71/$H$2</f>
        <v>2846.5630143206422</v>
      </c>
      <c r="I65" s="9">
        <f>'Dept Exp'!K71/$H$2</f>
        <v>2945.9428326929792</v>
      </c>
      <c r="K65" s="9" t="e">
        <f t="shared" si="25"/>
        <v>#REF!</v>
      </c>
      <c r="L65" s="9" t="e">
        <f t="shared" si="26"/>
        <v>#REF!</v>
      </c>
      <c r="M65" s="9" t="e">
        <f t="shared" si="27"/>
        <v>#REF!</v>
      </c>
      <c r="O65" s="13" t="e">
        <f t="shared" si="28"/>
        <v>#REF!</v>
      </c>
      <c r="P65" s="13" t="e">
        <f t="shared" si="29"/>
        <v>#REF!</v>
      </c>
      <c r="Q65" s="13" t="e">
        <f t="shared" si="30"/>
        <v>#REF!</v>
      </c>
    </row>
    <row r="66" spans="1:17" x14ac:dyDescent="0.45">
      <c r="A66" s="1" t="s">
        <v>53</v>
      </c>
      <c r="B66" s="1"/>
    </row>
    <row r="67" spans="1:17" x14ac:dyDescent="0.45">
      <c r="A67" s="1"/>
      <c r="B67" s="1" t="s">
        <v>54</v>
      </c>
      <c r="C67" s="1" t="e">
        <f>'Dept Exp'!#REF!/$D$2</f>
        <v>#REF!</v>
      </c>
      <c r="D67" s="1" t="e">
        <f>'Dept Exp'!#REF!/$D$2</f>
        <v>#REF!</v>
      </c>
      <c r="E67" s="1" t="e">
        <f>'Dept Exp'!#REF!/$D$2</f>
        <v>#REF!</v>
      </c>
      <c r="G67" s="1">
        <f>'Dept Exp'!I73/$H$2</f>
        <v>5.9398288508557453</v>
      </c>
      <c r="H67" s="1">
        <f>'Dept Exp'!J73/$H$2</f>
        <v>281.85584002794269</v>
      </c>
      <c r="I67" s="1">
        <f>'Dept Exp'!K73/$H$2</f>
        <v>287.79566887879844</v>
      </c>
      <c r="K67" s="1" t="e">
        <f t="shared" ref="K67:K80" si="31">G67-C67</f>
        <v>#REF!</v>
      </c>
      <c r="L67" s="1" t="e">
        <f t="shared" ref="L67:L80" si="32">H67-D67</f>
        <v>#REF!</v>
      </c>
      <c r="M67" s="1" t="e">
        <f t="shared" ref="M67:M80" si="33">I67-E67</f>
        <v>#REF!</v>
      </c>
      <c r="O67" s="11" t="e">
        <f t="shared" ref="O67:O76" si="34">K67/C67</f>
        <v>#REF!</v>
      </c>
      <c r="P67" s="11" t="e">
        <f t="shared" ref="P67:P80" si="35">L67/D67</f>
        <v>#REF!</v>
      </c>
      <c r="Q67" s="15" t="e">
        <f t="shared" ref="Q67:Q80" si="36">M67/E67</f>
        <v>#REF!</v>
      </c>
    </row>
    <row r="68" spans="1:17" x14ac:dyDescent="0.45">
      <c r="A68" s="1"/>
      <c r="B68" s="1" t="s">
        <v>61</v>
      </c>
      <c r="C68" s="1" t="e">
        <f>'Dept Exp'!#REF!/$D$2</f>
        <v>#REF!</v>
      </c>
      <c r="D68" s="1" t="e">
        <f>'Dept Exp'!#REF!/$D$2</f>
        <v>#REF!</v>
      </c>
      <c r="E68" s="1" t="e">
        <f>'Dept Exp'!#REF!/$D$2</f>
        <v>#REF!</v>
      </c>
      <c r="G68" s="1">
        <f>'Dept Exp'!I74/$H$2</f>
        <v>0</v>
      </c>
      <c r="H68" s="1">
        <f>'Dept Exp'!J74/$H$2</f>
        <v>46.259734544184418</v>
      </c>
      <c r="I68" s="1">
        <f>'Dept Exp'!K74/$H$2</f>
        <v>46.259734544184418</v>
      </c>
      <c r="K68" s="1" t="e">
        <f t="shared" si="31"/>
        <v>#REF!</v>
      </c>
      <c r="L68" s="1" t="e">
        <f t="shared" si="32"/>
        <v>#REF!</v>
      </c>
      <c r="M68" s="1" t="e">
        <f t="shared" si="33"/>
        <v>#REF!</v>
      </c>
      <c r="O68" s="11" t="s">
        <v>116</v>
      </c>
      <c r="P68" s="11" t="e">
        <f t="shared" si="35"/>
        <v>#REF!</v>
      </c>
      <c r="Q68" s="15" t="e">
        <f t="shared" si="36"/>
        <v>#REF!</v>
      </c>
    </row>
    <row r="69" spans="1:17" x14ac:dyDescent="0.45">
      <c r="A69" s="1"/>
      <c r="B69" s="1" t="s">
        <v>62</v>
      </c>
      <c r="C69" s="1" t="e">
        <f>'Dept Exp'!#REF!/$D$2</f>
        <v>#REF!</v>
      </c>
      <c r="D69" s="1" t="e">
        <f>'Dept Exp'!#REF!/$D$2</f>
        <v>#REF!</v>
      </c>
      <c r="E69" s="1" t="e">
        <f>'Dept Exp'!#REF!/$D$2</f>
        <v>#REF!</v>
      </c>
      <c r="G69" s="1">
        <f>'Dept Exp'!I75/$H$2</f>
        <v>7.0016067062521827</v>
      </c>
      <c r="H69" s="1">
        <f>'Dept Exp'!J75/$H$2</f>
        <v>147.19677610897659</v>
      </c>
      <c r="I69" s="1">
        <f>'Dept Exp'!K75/$H$2</f>
        <v>154.19838281522877</v>
      </c>
      <c r="K69" s="1" t="e">
        <f t="shared" si="31"/>
        <v>#REF!</v>
      </c>
      <c r="L69" s="1" t="e">
        <f t="shared" si="32"/>
        <v>#REF!</v>
      </c>
      <c r="M69" s="1" t="e">
        <f t="shared" si="33"/>
        <v>#REF!</v>
      </c>
      <c r="O69" s="11" t="e">
        <f t="shared" si="34"/>
        <v>#REF!</v>
      </c>
      <c r="P69" s="11" t="e">
        <f t="shared" si="35"/>
        <v>#REF!</v>
      </c>
      <c r="Q69" s="15" t="e">
        <f t="shared" si="36"/>
        <v>#REF!</v>
      </c>
    </row>
    <row r="70" spans="1:17" x14ac:dyDescent="0.45">
      <c r="A70" s="1"/>
      <c r="B70" s="1" t="s">
        <v>63</v>
      </c>
      <c r="C70" s="1" t="e">
        <f>'Dept Exp'!#REF!/$D$2</f>
        <v>#REF!</v>
      </c>
      <c r="D70" s="1" t="e">
        <f>'Dept Exp'!#REF!/$D$2</f>
        <v>#REF!</v>
      </c>
      <c r="E70" s="1" t="e">
        <f>'Dept Exp'!#REF!/$D$2</f>
        <v>#REF!</v>
      </c>
      <c r="G70" s="1">
        <f>'Dept Exp'!I76/$H$2</f>
        <v>14.281721969961579</v>
      </c>
      <c r="H70" s="1">
        <f>'Dept Exp'!J76/$H$2</f>
        <v>34.083838630806845</v>
      </c>
      <c r="I70" s="1">
        <f>'Dept Exp'!K76/$H$2</f>
        <v>48.365560600768426</v>
      </c>
      <c r="K70" s="1" t="e">
        <f t="shared" si="31"/>
        <v>#REF!</v>
      </c>
      <c r="L70" s="1" t="e">
        <f t="shared" si="32"/>
        <v>#REF!</v>
      </c>
      <c r="M70" s="1" t="e">
        <f t="shared" si="33"/>
        <v>#REF!</v>
      </c>
      <c r="O70" s="11" t="e">
        <f t="shared" si="34"/>
        <v>#REF!</v>
      </c>
      <c r="P70" s="11" t="e">
        <f t="shared" si="35"/>
        <v>#REF!</v>
      </c>
      <c r="Q70" s="15" t="e">
        <f t="shared" si="36"/>
        <v>#REF!</v>
      </c>
    </row>
    <row r="71" spans="1:17" x14ac:dyDescent="0.45">
      <c r="A71" s="1"/>
      <c r="B71" s="1" t="s">
        <v>111</v>
      </c>
      <c r="C71" s="1" t="e">
        <f>'Dept Exp'!#REF!/$D$2</f>
        <v>#REF!</v>
      </c>
      <c r="D71" s="1" t="e">
        <f>'Dept Exp'!#REF!/$D$2</f>
        <v>#REF!</v>
      </c>
      <c r="E71" s="1" t="e">
        <f>'Dept Exp'!#REF!/$D$2</f>
        <v>#REF!</v>
      </c>
      <c r="G71" s="1">
        <f>'Dept Exp'!I77/$H$2</f>
        <v>0</v>
      </c>
      <c r="H71" s="1">
        <f>'Dept Exp'!J77/$H$2</f>
        <v>1.4741983932937479</v>
      </c>
      <c r="I71" s="1">
        <f>'Dept Exp'!K77/$H$2</f>
        <v>1.4741983932937479</v>
      </c>
      <c r="K71" s="1" t="e">
        <f t="shared" si="31"/>
        <v>#REF!</v>
      </c>
      <c r="L71" s="1" t="e">
        <f t="shared" si="32"/>
        <v>#REF!</v>
      </c>
      <c r="M71" s="1" t="e">
        <f t="shared" si="33"/>
        <v>#REF!</v>
      </c>
      <c r="O71" s="11" t="s">
        <v>116</v>
      </c>
      <c r="P71" s="11" t="s">
        <v>116</v>
      </c>
      <c r="Q71" s="15" t="s">
        <v>116</v>
      </c>
    </row>
    <row r="72" spans="1:17" x14ac:dyDescent="0.45">
      <c r="A72" s="1"/>
      <c r="B72" s="1" t="s">
        <v>55</v>
      </c>
      <c r="C72" s="1" t="e">
        <f>'Dept Exp'!#REF!/$D$2</f>
        <v>#REF!</v>
      </c>
      <c r="D72" s="1" t="e">
        <f>'Dept Exp'!#REF!/$D$2</f>
        <v>#REF!</v>
      </c>
      <c r="E72" s="1" t="e">
        <f>'Dept Exp'!#REF!/$D$2</f>
        <v>#REF!</v>
      </c>
      <c r="G72" s="1">
        <f>'Dept Exp'!I78/$H$2</f>
        <v>38.762836185819069</v>
      </c>
      <c r="H72" s="1">
        <f>'Dept Exp'!J78/$H$2</f>
        <v>148.25547677261613</v>
      </c>
      <c r="I72" s="1">
        <f>'Dept Exp'!K78/$H$2</f>
        <v>187.01831295843519</v>
      </c>
      <c r="K72" s="1" t="e">
        <f t="shared" si="31"/>
        <v>#REF!</v>
      </c>
      <c r="L72" s="1" t="e">
        <f t="shared" si="32"/>
        <v>#REF!</v>
      </c>
      <c r="M72" s="1" t="e">
        <f t="shared" si="33"/>
        <v>#REF!</v>
      </c>
      <c r="O72" s="11" t="e">
        <f t="shared" si="34"/>
        <v>#REF!</v>
      </c>
      <c r="P72" s="11" t="e">
        <f t="shared" si="35"/>
        <v>#REF!</v>
      </c>
      <c r="Q72" s="15" t="e">
        <f t="shared" si="36"/>
        <v>#REF!</v>
      </c>
    </row>
    <row r="73" spans="1:17" x14ac:dyDescent="0.45">
      <c r="A73" s="1"/>
      <c r="B73" s="1" t="s">
        <v>56</v>
      </c>
      <c r="C73" s="1" t="e">
        <f>'Dept Exp'!#REF!/$D$2</f>
        <v>#REF!</v>
      </c>
      <c r="D73" s="1" t="e">
        <f>'Dept Exp'!#REF!/$D$2</f>
        <v>#REF!</v>
      </c>
      <c r="E73" s="1" t="e">
        <f>'Dept Exp'!#REF!/$D$2</f>
        <v>#REF!</v>
      </c>
      <c r="G73" s="1">
        <f>'Dept Exp'!I79/$H$2</f>
        <v>1.3286762137617882</v>
      </c>
      <c r="H73" s="1">
        <f>'Dept Exp'!J79/$H$2</f>
        <v>12.34275585050646</v>
      </c>
      <c r="I73" s="1">
        <f>'Dept Exp'!K79/$H$2</f>
        <v>13.671432064268249</v>
      </c>
      <c r="K73" s="1" t="e">
        <f t="shared" si="31"/>
        <v>#REF!</v>
      </c>
      <c r="L73" s="1" t="e">
        <f t="shared" si="32"/>
        <v>#REF!</v>
      </c>
      <c r="M73" s="1" t="e">
        <f t="shared" si="33"/>
        <v>#REF!</v>
      </c>
      <c r="O73" s="11" t="e">
        <f t="shared" si="34"/>
        <v>#REF!</v>
      </c>
      <c r="P73" s="11" t="e">
        <f t="shared" si="35"/>
        <v>#REF!</v>
      </c>
      <c r="Q73" s="14" t="e">
        <f t="shared" si="36"/>
        <v>#REF!</v>
      </c>
    </row>
    <row r="74" spans="1:17" x14ac:dyDescent="0.45">
      <c r="A74" s="1"/>
      <c r="B74" s="1" t="s">
        <v>57</v>
      </c>
      <c r="C74" s="1" t="e">
        <f>'Dept Exp'!#REF!/$D$2</f>
        <v>#REF!</v>
      </c>
      <c r="D74" s="1" t="e">
        <f>'Dept Exp'!#REF!/$D$2</f>
        <v>#REF!</v>
      </c>
      <c r="E74" s="1" t="e">
        <f>'Dept Exp'!#REF!/$D$2</f>
        <v>#REF!</v>
      </c>
      <c r="G74" s="1">
        <f>'Dept Exp'!I80/$H$2</f>
        <v>14.484806147397835</v>
      </c>
      <c r="H74" s="1">
        <f>'Dept Exp'!J80/$H$2</f>
        <v>0</v>
      </c>
      <c r="I74" s="1">
        <f>'Dept Exp'!K80/$H$2</f>
        <v>14.484806147397835</v>
      </c>
      <c r="K74" s="1" t="e">
        <f t="shared" si="31"/>
        <v>#REF!</v>
      </c>
      <c r="L74" s="1" t="e">
        <f t="shared" si="32"/>
        <v>#REF!</v>
      </c>
      <c r="M74" s="1" t="e">
        <f t="shared" si="33"/>
        <v>#REF!</v>
      </c>
      <c r="O74" s="11" t="e">
        <f t="shared" si="34"/>
        <v>#REF!</v>
      </c>
      <c r="P74" s="11" t="s">
        <v>116</v>
      </c>
      <c r="Q74" s="17" t="e">
        <f t="shared" si="36"/>
        <v>#REF!</v>
      </c>
    </row>
    <row r="75" spans="1:17" x14ac:dyDescent="0.45">
      <c r="A75" s="1"/>
      <c r="B75" s="1" t="s">
        <v>58</v>
      </c>
      <c r="C75" s="1" t="e">
        <f>'Dept Exp'!#REF!/$D$2</f>
        <v>#REF!</v>
      </c>
      <c r="D75" s="1" t="e">
        <f>'Dept Exp'!#REF!/$D$2</f>
        <v>#REF!</v>
      </c>
      <c r="E75" s="1" t="e">
        <f>'Dept Exp'!#REF!/$D$2</f>
        <v>#REF!</v>
      </c>
      <c r="G75" s="1">
        <f>'Dept Exp'!I81/$H$2</f>
        <v>0.66433810688089412</v>
      </c>
      <c r="H75" s="1">
        <f>'Dept Exp'!J81/$H$2</f>
        <v>12.818801955990221</v>
      </c>
      <c r="I75" s="1">
        <f>'Dept Exp'!K81/$H$2</f>
        <v>13.483140062871115</v>
      </c>
      <c r="K75" s="1" t="e">
        <f t="shared" si="31"/>
        <v>#REF!</v>
      </c>
      <c r="L75" s="1" t="e">
        <f t="shared" si="32"/>
        <v>#REF!</v>
      </c>
      <c r="M75" s="1" t="e">
        <f t="shared" si="33"/>
        <v>#REF!</v>
      </c>
      <c r="O75" s="11" t="e">
        <f t="shared" si="34"/>
        <v>#REF!</v>
      </c>
      <c r="P75" s="11" t="e">
        <f t="shared" si="35"/>
        <v>#REF!</v>
      </c>
      <c r="Q75" s="14" t="e">
        <f t="shared" si="36"/>
        <v>#REF!</v>
      </c>
    </row>
    <row r="76" spans="1:17" x14ac:dyDescent="0.45">
      <c r="A76" s="1"/>
      <c r="B76" s="1" t="s">
        <v>59</v>
      </c>
      <c r="C76" s="1" t="e">
        <f>'Dept Exp'!#REF!/$D$2</f>
        <v>#REF!</v>
      </c>
      <c r="D76" s="1" t="e">
        <f>'Dept Exp'!#REF!/$D$2</f>
        <v>#REF!</v>
      </c>
      <c r="E76" s="1" t="e">
        <f>'Dept Exp'!#REF!/$D$2</f>
        <v>#REF!</v>
      </c>
      <c r="G76" s="1">
        <f>'Dept Exp'!I82/$H$2</f>
        <v>23.298987076493187</v>
      </c>
      <c r="H76" s="1">
        <f>'Dept Exp'!J82/$H$2</f>
        <v>0</v>
      </c>
      <c r="I76" s="1">
        <f>'Dept Exp'!K82/$H$2</f>
        <v>23.298987076493187</v>
      </c>
      <c r="K76" s="1" t="e">
        <f t="shared" si="31"/>
        <v>#REF!</v>
      </c>
      <c r="L76" s="1" t="e">
        <f t="shared" si="32"/>
        <v>#REF!</v>
      </c>
      <c r="M76" s="1" t="e">
        <f t="shared" si="33"/>
        <v>#REF!</v>
      </c>
      <c r="O76" s="11" t="e">
        <f t="shared" si="34"/>
        <v>#REF!</v>
      </c>
      <c r="P76" s="11" t="e">
        <f t="shared" si="35"/>
        <v>#REF!</v>
      </c>
      <c r="Q76" s="14" t="e">
        <f t="shared" si="36"/>
        <v>#REF!</v>
      </c>
    </row>
    <row r="77" spans="1:17" x14ac:dyDescent="0.45">
      <c r="A77" s="1"/>
      <c r="B77" s="1" t="s">
        <v>93</v>
      </c>
      <c r="C77" s="1" t="e">
        <f>'Dept Exp'!#REF!/$D$2</f>
        <v>#REF!</v>
      </c>
      <c r="D77" s="1" t="e">
        <f>'Dept Exp'!#REF!/$D$2</f>
        <v>#REF!</v>
      </c>
      <c r="E77" s="1" t="e">
        <f>'Dept Exp'!#REF!/$D$2</f>
        <v>#REF!</v>
      </c>
      <c r="G77" s="1">
        <f>'Dept Exp'!I83/$H$2</f>
        <v>24.319944114565143</v>
      </c>
      <c r="H77" s="1">
        <f>'Dept Exp'!J83/$H$2</f>
        <v>0.10478519035976248</v>
      </c>
      <c r="I77" s="1">
        <f>'Dept Exp'!K83/$H$2</f>
        <v>24.424729304924902</v>
      </c>
      <c r="K77" s="1" t="e">
        <f t="shared" si="31"/>
        <v>#REF!</v>
      </c>
      <c r="L77" s="1" t="e">
        <f t="shared" si="32"/>
        <v>#REF!</v>
      </c>
      <c r="M77" s="1" t="e">
        <f t="shared" si="33"/>
        <v>#REF!</v>
      </c>
      <c r="O77" s="11" t="s">
        <v>116</v>
      </c>
      <c r="P77" s="11" t="e">
        <f t="shared" si="35"/>
        <v>#REF!</v>
      </c>
      <c r="Q77" s="15" t="e">
        <f t="shared" si="36"/>
        <v>#REF!</v>
      </c>
    </row>
    <row r="78" spans="1:17" x14ac:dyDescent="0.45">
      <c r="A78" s="1"/>
      <c r="B78" s="1" t="s">
        <v>64</v>
      </c>
      <c r="C78" s="1" t="e">
        <f>'Dept Exp'!#REF!/$D$2</f>
        <v>#REF!</v>
      </c>
      <c r="D78" s="1" t="e">
        <f>'Dept Exp'!#REF!/$D$2</f>
        <v>#REF!</v>
      </c>
      <c r="E78" s="1" t="e">
        <f>'Dept Exp'!#REF!/$D$2</f>
        <v>#REF!</v>
      </c>
      <c r="G78" s="1">
        <f>'Dept Exp'!I84/$H$2</f>
        <v>-13.91614390499476</v>
      </c>
      <c r="H78" s="1">
        <f>'Dept Exp'!J84/$H$2</f>
        <v>0</v>
      </c>
      <c r="I78" s="1">
        <f>'Dept Exp'!K84/$H$2</f>
        <v>-13.91614390499476</v>
      </c>
      <c r="K78" s="1" t="e">
        <f t="shared" si="31"/>
        <v>#REF!</v>
      </c>
      <c r="L78" s="1" t="e">
        <f t="shared" si="32"/>
        <v>#REF!</v>
      </c>
      <c r="M78" s="1" t="e">
        <f t="shared" si="33"/>
        <v>#REF!</v>
      </c>
      <c r="O78" s="11" t="s">
        <v>116</v>
      </c>
      <c r="P78" s="11" t="e">
        <f t="shared" si="35"/>
        <v>#REF!</v>
      </c>
      <c r="Q78" s="14" t="e">
        <f t="shared" si="36"/>
        <v>#REF!</v>
      </c>
    </row>
    <row r="79" spans="1:17" x14ac:dyDescent="0.45">
      <c r="A79" s="1"/>
      <c r="B79" s="1" t="s">
        <v>60</v>
      </c>
      <c r="C79" s="1" t="e">
        <f>'Dept Exp'!#REF!/$D$2</f>
        <v>#REF!</v>
      </c>
      <c r="D79" s="1" t="e">
        <f>'Dept Exp'!#REF!/$D$2</f>
        <v>#REF!</v>
      </c>
      <c r="E79" s="1" t="e">
        <f>'Dept Exp'!#REF!/$D$2</f>
        <v>#REF!</v>
      </c>
      <c r="G79" s="1">
        <f>'Dept Exp'!I85/$H$2</f>
        <v>1127.705553615089</v>
      </c>
      <c r="H79" s="1">
        <f>'Dept Exp'!J85/$H$2</f>
        <v>1543.3314215857492</v>
      </c>
      <c r="I79" s="1">
        <f>'Dept Exp'!K85/$H$2</f>
        <v>2671.0369752008382</v>
      </c>
      <c r="K79" s="1" t="e">
        <f t="shared" si="31"/>
        <v>#REF!</v>
      </c>
      <c r="L79" s="1" t="e">
        <f t="shared" si="32"/>
        <v>#REF!</v>
      </c>
      <c r="M79" s="1" t="e">
        <f t="shared" si="33"/>
        <v>#REF!</v>
      </c>
      <c r="O79" s="11" t="s">
        <v>116</v>
      </c>
      <c r="P79" s="11" t="e">
        <f t="shared" si="35"/>
        <v>#REF!</v>
      </c>
      <c r="Q79" s="17" t="e">
        <f t="shared" si="36"/>
        <v>#REF!</v>
      </c>
    </row>
    <row r="80" spans="1:17" x14ac:dyDescent="0.45">
      <c r="A80" s="1"/>
      <c r="B80" s="1"/>
      <c r="C80" s="9" t="e">
        <f>'Dept Exp'!#REF!/$D$2</f>
        <v>#REF!</v>
      </c>
      <c r="D80" s="9" t="e">
        <f>'Dept Exp'!#REF!/$D$2</f>
        <v>#REF!</v>
      </c>
      <c r="E80" s="9" t="e">
        <f>'Dept Exp'!#REF!/$D$2</f>
        <v>#REF!</v>
      </c>
      <c r="F80" s="12"/>
      <c r="G80" s="9">
        <f>'Dept Exp'!I86/$H$2</f>
        <v>1243.8721550820817</v>
      </c>
      <c r="H80" s="9">
        <f>'Dept Exp'!J86/$H$2</f>
        <v>2227.723629060426</v>
      </c>
      <c r="I80" s="9">
        <f>'Dept Exp'!K86/$H$2</f>
        <v>3471.5957841425079</v>
      </c>
      <c r="K80" s="9" t="e">
        <f t="shared" si="31"/>
        <v>#REF!</v>
      </c>
      <c r="L80" s="9" t="e">
        <f t="shared" si="32"/>
        <v>#REF!</v>
      </c>
      <c r="M80" s="9" t="e">
        <f t="shared" si="33"/>
        <v>#REF!</v>
      </c>
      <c r="O80" s="13" t="e">
        <f t="shared" ref="O80" si="37">K80/C80</f>
        <v>#REF!</v>
      </c>
      <c r="P80" s="13" t="e">
        <f t="shared" si="35"/>
        <v>#REF!</v>
      </c>
      <c r="Q80" s="16" t="e">
        <f t="shared" si="36"/>
        <v>#REF!</v>
      </c>
    </row>
    <row r="81" spans="1:17" x14ac:dyDescent="0.45">
      <c r="A81" s="1" t="s">
        <v>65</v>
      </c>
      <c r="B81" s="1"/>
    </row>
    <row r="82" spans="1:17" x14ac:dyDescent="0.45">
      <c r="A82" s="1"/>
      <c r="B82" s="1" t="s">
        <v>24</v>
      </c>
      <c r="C82" s="1" t="e">
        <f>'Dept Exp'!#REF!/$D$2</f>
        <v>#REF!</v>
      </c>
      <c r="D82" s="1" t="e">
        <f>'Dept Exp'!#REF!/$D$2</f>
        <v>#REF!</v>
      </c>
      <c r="E82" s="1" t="e">
        <f>'Dept Exp'!#REF!/$D$2</f>
        <v>#REF!</v>
      </c>
      <c r="G82" s="1">
        <f>'Dept Exp'!I88/$H$2</f>
        <v>173.67703457911281</v>
      </c>
      <c r="H82" s="1">
        <f>'Dept Exp'!J88/$H$2</f>
        <v>317.86374432413555</v>
      </c>
      <c r="I82" s="1">
        <f>'Dept Exp'!K88/$H$2</f>
        <v>491.54077890324834</v>
      </c>
      <c r="K82" s="1" t="e">
        <f t="shared" ref="K82:K99" si="38">G82-C82</f>
        <v>#REF!</v>
      </c>
      <c r="L82" s="1" t="e">
        <f t="shared" ref="L82:L99" si="39">H82-D82</f>
        <v>#REF!</v>
      </c>
      <c r="M82" s="1" t="e">
        <f t="shared" ref="M82:M99" si="40">I82-E82</f>
        <v>#REF!</v>
      </c>
      <c r="O82" s="11" t="e">
        <f t="shared" ref="O82:O99" si="41">K82/C82</f>
        <v>#REF!</v>
      </c>
      <c r="P82" s="11" t="e">
        <f t="shared" ref="P82:P99" si="42">L82/D82</f>
        <v>#REF!</v>
      </c>
      <c r="Q82" s="15" t="e">
        <f t="shared" ref="Q82:Q99" si="43">M82/E82</f>
        <v>#REF!</v>
      </c>
    </row>
    <row r="83" spans="1:17" x14ac:dyDescent="0.45">
      <c r="A83" s="1"/>
      <c r="B83" s="1" t="s">
        <v>108</v>
      </c>
      <c r="C83" s="1" t="e">
        <f>'Dept Exp'!#REF!/$D$2</f>
        <v>#REF!</v>
      </c>
      <c r="D83" s="1" t="e">
        <f>'Dept Exp'!#REF!/$D$2</f>
        <v>#REF!</v>
      </c>
      <c r="E83" s="1" t="e">
        <f>'Dept Exp'!#REF!/$D$2</f>
        <v>#REF!</v>
      </c>
      <c r="G83" s="1">
        <f>'Dept Exp'!I89/$H$2</f>
        <v>163.48550471533358</v>
      </c>
      <c r="H83" s="1">
        <f>'Dept Exp'!J89/$H$2</f>
        <v>0</v>
      </c>
      <c r="I83" s="1">
        <f>'Dept Exp'!K89/$H$2</f>
        <v>163.48550471533358</v>
      </c>
      <c r="K83" s="1" t="e">
        <f t="shared" si="38"/>
        <v>#REF!</v>
      </c>
      <c r="L83" s="1" t="e">
        <f t="shared" si="39"/>
        <v>#REF!</v>
      </c>
      <c r="M83" s="1" t="e">
        <f t="shared" si="40"/>
        <v>#REF!</v>
      </c>
      <c r="O83" s="11" t="e">
        <f t="shared" si="41"/>
        <v>#REF!</v>
      </c>
      <c r="P83" s="11" t="s">
        <v>116</v>
      </c>
      <c r="Q83" s="11" t="e">
        <f t="shared" si="43"/>
        <v>#REF!</v>
      </c>
    </row>
    <row r="84" spans="1:17" x14ac:dyDescent="0.45">
      <c r="A84" s="1"/>
      <c r="B84" s="1" t="s">
        <v>66</v>
      </c>
      <c r="C84" s="1" t="e">
        <f>'Dept Exp'!#REF!/$D$2</f>
        <v>#REF!</v>
      </c>
      <c r="D84" s="1" t="e">
        <f>'Dept Exp'!#REF!/$D$2</f>
        <v>#REF!</v>
      </c>
      <c r="E84" s="1" t="e">
        <f>'Dept Exp'!#REF!/$D$2</f>
        <v>#REF!</v>
      </c>
      <c r="G84" s="1">
        <f>'Dept Exp'!I90/$H$2</f>
        <v>333.32598672720923</v>
      </c>
      <c r="H84" s="1">
        <f>'Dept Exp'!J90/$H$2</f>
        <v>220.35825358016064</v>
      </c>
      <c r="I84" s="1">
        <f>'Dept Exp'!K90/$H$2</f>
        <v>553.68424030736992</v>
      </c>
      <c r="K84" s="1" t="e">
        <f t="shared" si="38"/>
        <v>#REF!</v>
      </c>
      <c r="L84" s="1" t="e">
        <f t="shared" si="39"/>
        <v>#REF!</v>
      </c>
      <c r="M84" s="1" t="e">
        <f t="shared" si="40"/>
        <v>#REF!</v>
      </c>
      <c r="O84" s="11" t="e">
        <f t="shared" si="41"/>
        <v>#REF!</v>
      </c>
      <c r="P84" s="11" t="e">
        <f t="shared" si="42"/>
        <v>#REF!</v>
      </c>
      <c r="Q84" s="15" t="e">
        <f t="shared" si="43"/>
        <v>#REF!</v>
      </c>
    </row>
    <row r="85" spans="1:17" x14ac:dyDescent="0.45">
      <c r="A85" s="1"/>
      <c r="B85" s="1" t="s">
        <v>67</v>
      </c>
      <c r="C85" s="1" t="e">
        <f>'Dept Exp'!#REF!/$D$2</f>
        <v>#REF!</v>
      </c>
      <c r="D85" s="1" t="e">
        <f>'Dept Exp'!#REF!/$D$2</f>
        <v>#REF!</v>
      </c>
      <c r="E85" s="1" t="e">
        <f>'Dept Exp'!#REF!/$D$2</f>
        <v>#REF!</v>
      </c>
      <c r="G85" s="1">
        <f>'Dept Exp'!I91/$H$2</f>
        <v>7.3350157177785542</v>
      </c>
      <c r="H85" s="1">
        <f>'Dept Exp'!J91/$H$2</f>
        <v>9.57049249039469</v>
      </c>
      <c r="I85" s="1">
        <f>'Dept Exp'!K91/$H$2</f>
        <v>16.905508208173245</v>
      </c>
      <c r="K85" s="1" t="e">
        <f t="shared" si="38"/>
        <v>#REF!</v>
      </c>
      <c r="L85" s="1" t="e">
        <f t="shared" si="39"/>
        <v>#REF!</v>
      </c>
      <c r="M85" s="1" t="e">
        <f t="shared" si="40"/>
        <v>#REF!</v>
      </c>
      <c r="O85" s="11" t="e">
        <f t="shared" si="41"/>
        <v>#REF!</v>
      </c>
      <c r="P85" s="11" t="e">
        <f t="shared" si="42"/>
        <v>#REF!</v>
      </c>
      <c r="Q85" s="14" t="e">
        <f t="shared" si="43"/>
        <v>#REF!</v>
      </c>
    </row>
    <row r="86" spans="1:17" x14ac:dyDescent="0.45">
      <c r="A86" s="1"/>
      <c r="B86" s="1" t="s">
        <v>68</v>
      </c>
      <c r="C86" s="1" t="e">
        <f>'Dept Exp'!#REF!/$D$2</f>
        <v>#REF!</v>
      </c>
      <c r="D86" s="1" t="e">
        <f>'Dept Exp'!#REF!/$D$2</f>
        <v>#REF!</v>
      </c>
      <c r="E86" s="1" t="e">
        <f>'Dept Exp'!#REF!/$D$2</f>
        <v>#REF!</v>
      </c>
      <c r="G86" s="1">
        <f>'Dept Exp'!I92/$H$2</f>
        <v>38.764980789381767</v>
      </c>
      <c r="H86" s="1">
        <f>'Dept Exp'!J92/$H$2</f>
        <v>44.083206426825008</v>
      </c>
      <c r="I86" s="1">
        <f>'Dept Exp'!K92/$H$2</f>
        <v>82.848187216206767</v>
      </c>
      <c r="K86" s="1" t="e">
        <f t="shared" si="38"/>
        <v>#REF!</v>
      </c>
      <c r="L86" s="1" t="e">
        <f t="shared" si="39"/>
        <v>#REF!</v>
      </c>
      <c r="M86" s="1" t="e">
        <f t="shared" si="40"/>
        <v>#REF!</v>
      </c>
      <c r="O86" s="11" t="e">
        <f t="shared" si="41"/>
        <v>#REF!</v>
      </c>
      <c r="P86" s="11" t="e">
        <f t="shared" si="42"/>
        <v>#REF!</v>
      </c>
      <c r="Q86" s="15" t="e">
        <f t="shared" si="43"/>
        <v>#REF!</v>
      </c>
    </row>
    <row r="87" spans="1:17" x14ac:dyDescent="0.45">
      <c r="A87" s="1"/>
      <c r="B87" s="1" t="s">
        <v>69</v>
      </c>
      <c r="C87" s="1" t="e">
        <f>'Dept Exp'!#REF!/$D$2</f>
        <v>#REF!</v>
      </c>
      <c r="D87" s="1" t="e">
        <f>'Dept Exp'!#REF!/$D$2</f>
        <v>#REF!</v>
      </c>
      <c r="E87" s="1" t="e">
        <f>'Dept Exp'!#REF!/$D$2</f>
        <v>#REF!</v>
      </c>
      <c r="G87" s="1">
        <f>'Dept Exp'!I93/$H$2</f>
        <v>47.353024799161716</v>
      </c>
      <c r="H87" s="1">
        <f>'Dept Exp'!J93/$H$2</f>
        <v>28.616730702060774</v>
      </c>
      <c r="I87" s="1">
        <f>'Dept Exp'!K93/$H$2</f>
        <v>75.96975550122248</v>
      </c>
      <c r="K87" s="1" t="e">
        <f t="shared" si="38"/>
        <v>#REF!</v>
      </c>
      <c r="L87" s="1" t="e">
        <f t="shared" si="39"/>
        <v>#REF!</v>
      </c>
      <c r="M87" s="1" t="e">
        <f t="shared" si="40"/>
        <v>#REF!</v>
      </c>
      <c r="O87" s="11" t="e">
        <f t="shared" si="41"/>
        <v>#REF!</v>
      </c>
      <c r="P87" s="11" t="e">
        <f t="shared" si="42"/>
        <v>#REF!</v>
      </c>
      <c r="Q87" s="15" t="e">
        <f t="shared" si="43"/>
        <v>#REF!</v>
      </c>
    </row>
    <row r="88" spans="1:17" x14ac:dyDescent="0.45">
      <c r="A88" s="1"/>
      <c r="B88" s="1" t="s">
        <v>70</v>
      </c>
      <c r="C88" s="1" t="e">
        <f>'Dept Exp'!#REF!/$D$2</f>
        <v>#REF!</v>
      </c>
      <c r="D88" s="1" t="e">
        <f>'Dept Exp'!#REF!/$D$2</f>
        <v>#REF!</v>
      </c>
      <c r="E88" s="1" t="e">
        <f>'Dept Exp'!#REF!/$D$2</f>
        <v>#REF!</v>
      </c>
      <c r="G88" s="1">
        <f>'Dept Exp'!I94/$H$2</f>
        <v>48.450254977296545</v>
      </c>
      <c r="H88" s="1">
        <f>'Dept Exp'!J94/$H$2</f>
        <v>65.200887181278389</v>
      </c>
      <c r="I88" s="1">
        <f>'Dept Exp'!K94/$H$2</f>
        <v>113.65114215857493</v>
      </c>
      <c r="K88" s="1" t="e">
        <f t="shared" si="38"/>
        <v>#REF!</v>
      </c>
      <c r="L88" s="1" t="e">
        <f t="shared" si="39"/>
        <v>#REF!</v>
      </c>
      <c r="M88" s="1" t="e">
        <f t="shared" si="40"/>
        <v>#REF!</v>
      </c>
      <c r="O88" s="11" t="e">
        <f t="shared" si="41"/>
        <v>#REF!</v>
      </c>
      <c r="P88" s="11" t="e">
        <f t="shared" si="42"/>
        <v>#REF!</v>
      </c>
      <c r="Q88" s="15" t="e">
        <f t="shared" si="43"/>
        <v>#REF!</v>
      </c>
    </row>
    <row r="89" spans="1:17" x14ac:dyDescent="0.45">
      <c r="A89" s="1"/>
      <c r="B89" s="1" t="s">
        <v>71</v>
      </c>
      <c r="C89" s="1" t="e">
        <f>'Dept Exp'!#REF!/$D$2</f>
        <v>#REF!</v>
      </c>
      <c r="D89" s="1" t="e">
        <f>'Dept Exp'!#REF!/$D$2</f>
        <v>#REF!</v>
      </c>
      <c r="E89" s="1" t="e">
        <f>'Dept Exp'!#REF!/$D$2</f>
        <v>#REF!</v>
      </c>
      <c r="G89" s="1">
        <f>'Dept Exp'!I95/$H$2</f>
        <v>9.2208627314006275</v>
      </c>
      <c r="H89" s="1">
        <f>'Dept Exp'!J95/$H$2</f>
        <v>13.063220398183724</v>
      </c>
      <c r="I89" s="1">
        <f>'Dept Exp'!K95/$H$2</f>
        <v>22.284083129584353</v>
      </c>
      <c r="K89" s="1" t="e">
        <f t="shared" si="38"/>
        <v>#REF!</v>
      </c>
      <c r="L89" s="1" t="e">
        <f t="shared" si="39"/>
        <v>#REF!</v>
      </c>
      <c r="M89" s="1" t="e">
        <f t="shared" si="40"/>
        <v>#REF!</v>
      </c>
      <c r="O89" s="11" t="e">
        <f t="shared" si="41"/>
        <v>#REF!</v>
      </c>
      <c r="P89" s="11" t="e">
        <f t="shared" si="42"/>
        <v>#REF!</v>
      </c>
      <c r="Q89" s="15" t="e">
        <f t="shared" si="43"/>
        <v>#REF!</v>
      </c>
    </row>
    <row r="90" spans="1:17" x14ac:dyDescent="0.45">
      <c r="A90" s="1"/>
      <c r="B90" s="1" t="s">
        <v>72</v>
      </c>
      <c r="C90" s="1" t="e">
        <f>'Dept Exp'!#REF!/$D$2</f>
        <v>#REF!</v>
      </c>
      <c r="D90" s="1" t="e">
        <f>'Dept Exp'!#REF!/$D$2</f>
        <v>#REF!</v>
      </c>
      <c r="E90" s="1" t="e">
        <f>'Dept Exp'!#REF!/$D$2</f>
        <v>#REF!</v>
      </c>
      <c r="G90" s="1">
        <f>'Dept Exp'!I96/$H$2</f>
        <v>20.988987076493189</v>
      </c>
      <c r="H90" s="1">
        <f>'Dept Exp'!J96/$H$2</f>
        <v>36.15225288159273</v>
      </c>
      <c r="I90" s="1">
        <f>'Dept Exp'!K96/$H$2</f>
        <v>57.141239958085919</v>
      </c>
      <c r="K90" s="1" t="e">
        <f t="shared" si="38"/>
        <v>#REF!</v>
      </c>
      <c r="L90" s="1" t="e">
        <f t="shared" si="39"/>
        <v>#REF!</v>
      </c>
      <c r="M90" s="1" t="e">
        <f t="shared" si="40"/>
        <v>#REF!</v>
      </c>
      <c r="O90" s="11" t="e">
        <f t="shared" si="41"/>
        <v>#REF!</v>
      </c>
      <c r="P90" s="11" t="e">
        <f t="shared" si="42"/>
        <v>#REF!</v>
      </c>
      <c r="Q90" s="15" t="e">
        <f t="shared" si="43"/>
        <v>#REF!</v>
      </c>
    </row>
    <row r="91" spans="1:17" x14ac:dyDescent="0.45">
      <c r="A91" s="1"/>
      <c r="B91" s="1" t="s">
        <v>73</v>
      </c>
      <c r="C91" s="1" t="e">
        <f>'Dept Exp'!#REF!/$D$2</f>
        <v>#REF!</v>
      </c>
      <c r="D91" s="1" t="e">
        <f>'Dept Exp'!#REF!/$D$2</f>
        <v>#REF!</v>
      </c>
      <c r="E91" s="1" t="e">
        <f>'Dept Exp'!#REF!/$D$2</f>
        <v>#REF!</v>
      </c>
      <c r="G91" s="1">
        <f>'Dept Exp'!I97/$H$2</f>
        <v>8.1632727907789029</v>
      </c>
      <c r="H91" s="1">
        <f>'Dept Exp'!J97/$H$2</f>
        <v>19.028037024100591</v>
      </c>
      <c r="I91" s="1">
        <f>'Dept Exp'!K97/$H$2</f>
        <v>27.191309814879496</v>
      </c>
      <c r="K91" s="1" t="e">
        <f t="shared" si="38"/>
        <v>#REF!</v>
      </c>
      <c r="L91" s="1" t="e">
        <f t="shared" si="39"/>
        <v>#REF!</v>
      </c>
      <c r="M91" s="1" t="e">
        <f t="shared" si="40"/>
        <v>#REF!</v>
      </c>
      <c r="O91" s="11" t="e">
        <f t="shared" si="41"/>
        <v>#REF!</v>
      </c>
      <c r="P91" s="11" t="e">
        <f t="shared" si="42"/>
        <v>#REF!</v>
      </c>
      <c r="Q91" s="11" t="e">
        <f t="shared" si="43"/>
        <v>#REF!</v>
      </c>
    </row>
    <row r="92" spans="1:17" x14ac:dyDescent="0.45">
      <c r="A92" s="1"/>
      <c r="B92" s="1" t="s">
        <v>74</v>
      </c>
      <c r="C92" s="1" t="e">
        <f>'Dept Exp'!#REF!/$D$2</f>
        <v>#REF!</v>
      </c>
      <c r="D92" s="1" t="e">
        <f>'Dept Exp'!#REF!/$D$2</f>
        <v>#REF!</v>
      </c>
      <c r="E92" s="1" t="e">
        <f>'Dept Exp'!#REF!/$D$2</f>
        <v>#REF!</v>
      </c>
      <c r="G92" s="1">
        <f>'Dept Exp'!I98/$H$2</f>
        <v>13.463702410059378</v>
      </c>
      <c r="H92" s="1">
        <f>'Dept Exp'!J98/$H$2</f>
        <v>13.842123646524625</v>
      </c>
      <c r="I92" s="1">
        <f>'Dept Exp'!K98/$H$2</f>
        <v>27.305826056584003</v>
      </c>
      <c r="K92" s="1" t="e">
        <f t="shared" si="38"/>
        <v>#REF!</v>
      </c>
      <c r="L92" s="1" t="e">
        <f t="shared" si="39"/>
        <v>#REF!</v>
      </c>
      <c r="M92" s="1" t="e">
        <f t="shared" si="40"/>
        <v>#REF!</v>
      </c>
      <c r="O92" s="11" t="e">
        <f t="shared" si="41"/>
        <v>#REF!</v>
      </c>
      <c r="P92" s="11" t="e">
        <f t="shared" si="42"/>
        <v>#REF!</v>
      </c>
      <c r="Q92" s="15" t="e">
        <f t="shared" si="43"/>
        <v>#REF!</v>
      </c>
    </row>
    <row r="93" spans="1:17" x14ac:dyDescent="0.45">
      <c r="A93" s="1"/>
      <c r="B93" s="1" t="s">
        <v>109</v>
      </c>
      <c r="C93" s="1" t="e">
        <f>'Dept Exp'!#REF!/$D$2</f>
        <v>#REF!</v>
      </c>
      <c r="D93" s="1" t="e">
        <f>'Dept Exp'!#REF!/$D$2</f>
        <v>#REF!</v>
      </c>
      <c r="E93" s="1" t="e">
        <f>'Dept Exp'!#REF!/$D$2</f>
        <v>#REF!</v>
      </c>
      <c r="G93" s="1">
        <f>'Dept Exp'!I99/$H$2</f>
        <v>25.821659098847363</v>
      </c>
      <c r="H93" s="1">
        <f>'Dept Exp'!J99/$H$2</f>
        <v>0</v>
      </c>
      <c r="I93" s="1">
        <f>'Dept Exp'!K99/$H$2</f>
        <v>25.821659098847363</v>
      </c>
      <c r="K93" s="1" t="e">
        <f t="shared" si="38"/>
        <v>#REF!</v>
      </c>
      <c r="L93" s="1" t="e">
        <f t="shared" si="39"/>
        <v>#REF!</v>
      </c>
      <c r="M93" s="1" t="e">
        <f t="shared" si="40"/>
        <v>#REF!</v>
      </c>
      <c r="O93" s="11" t="s">
        <v>116</v>
      </c>
      <c r="P93" s="11" t="s">
        <v>116</v>
      </c>
      <c r="Q93" s="11" t="s">
        <v>116</v>
      </c>
    </row>
    <row r="94" spans="1:17" x14ac:dyDescent="0.45">
      <c r="A94" s="1"/>
      <c r="B94" s="1" t="s">
        <v>75</v>
      </c>
      <c r="C94" s="1" t="e">
        <f>'Dept Exp'!#REF!/$D$2</f>
        <v>#REF!</v>
      </c>
      <c r="D94" s="1" t="e">
        <f>'Dept Exp'!#REF!/$D$2</f>
        <v>#REF!</v>
      </c>
      <c r="E94" s="1" t="e">
        <f>'Dept Exp'!#REF!/$D$2</f>
        <v>#REF!</v>
      </c>
      <c r="G94" s="1">
        <f>'Dept Exp'!I100/$H$2</f>
        <v>7.1496227733147046</v>
      </c>
      <c r="H94" s="1">
        <f>'Dept Exp'!J100/$H$2</f>
        <v>4.1857701711491444</v>
      </c>
      <c r="I94" s="1">
        <f>'Dept Exp'!K100/$H$2</f>
        <v>11.335392944463848</v>
      </c>
      <c r="K94" s="1" t="e">
        <f t="shared" si="38"/>
        <v>#REF!</v>
      </c>
      <c r="L94" s="1" t="e">
        <f t="shared" si="39"/>
        <v>#REF!</v>
      </c>
      <c r="M94" s="1" t="e">
        <f t="shared" si="40"/>
        <v>#REF!</v>
      </c>
      <c r="O94" s="11" t="e">
        <f t="shared" si="41"/>
        <v>#REF!</v>
      </c>
      <c r="P94" s="11" t="e">
        <f t="shared" si="42"/>
        <v>#REF!</v>
      </c>
      <c r="Q94" s="15" t="e">
        <f t="shared" si="43"/>
        <v>#REF!</v>
      </c>
    </row>
    <row r="95" spans="1:17" x14ac:dyDescent="0.45">
      <c r="A95" s="1"/>
      <c r="B95" s="1" t="s">
        <v>76</v>
      </c>
      <c r="C95" s="1" t="e">
        <f>'Dept Exp'!#REF!/$D$2</f>
        <v>#REF!</v>
      </c>
      <c r="D95" s="1" t="e">
        <f>'Dept Exp'!#REF!/$D$2</f>
        <v>#REF!</v>
      </c>
      <c r="E95" s="1" t="e">
        <f>'Dept Exp'!#REF!/$D$2</f>
        <v>#REF!</v>
      </c>
      <c r="G95" s="1">
        <f>'Dept Exp'!I101/$H$2</f>
        <v>22.261404121550818</v>
      </c>
      <c r="H95" s="1">
        <f>'Dept Exp'!J101/$H$2</f>
        <v>24.427691232972403</v>
      </c>
      <c r="I95" s="1">
        <f>'Dept Exp'!K101/$H$2</f>
        <v>46.689095354523232</v>
      </c>
      <c r="K95" s="1" t="e">
        <f t="shared" si="38"/>
        <v>#REF!</v>
      </c>
      <c r="L95" s="1" t="e">
        <f t="shared" si="39"/>
        <v>#REF!</v>
      </c>
      <c r="M95" s="1" t="e">
        <f t="shared" si="40"/>
        <v>#REF!</v>
      </c>
      <c r="O95" s="11" t="e">
        <f t="shared" si="41"/>
        <v>#REF!</v>
      </c>
      <c r="P95" s="11" t="e">
        <f t="shared" si="42"/>
        <v>#REF!</v>
      </c>
      <c r="Q95" s="15" t="e">
        <f t="shared" si="43"/>
        <v>#REF!</v>
      </c>
    </row>
    <row r="96" spans="1:17" x14ac:dyDescent="0.45">
      <c r="A96" s="1"/>
      <c r="B96" s="1" t="s">
        <v>77</v>
      </c>
      <c r="C96" s="1" t="e">
        <f>'Dept Exp'!#REF!/$D$2</f>
        <v>#REF!</v>
      </c>
      <c r="D96" s="1" t="e">
        <f>'Dept Exp'!#REF!/$D$2</f>
        <v>#REF!</v>
      </c>
      <c r="E96" s="1" t="e">
        <f>'Dept Exp'!#REF!/$D$2</f>
        <v>#REF!</v>
      </c>
      <c r="G96" s="1">
        <f>'Dept Exp'!I102/$H$2</f>
        <v>62.799507509605306</v>
      </c>
      <c r="H96" s="1">
        <f>'Dept Exp'!J102/$H$2</f>
        <v>117.0899161718477</v>
      </c>
      <c r="I96" s="1">
        <f>'Dept Exp'!K102/$H$2</f>
        <v>179.88942368145302</v>
      </c>
      <c r="K96" s="1" t="e">
        <f t="shared" si="38"/>
        <v>#REF!</v>
      </c>
      <c r="L96" s="1" t="e">
        <f t="shared" si="39"/>
        <v>#REF!</v>
      </c>
      <c r="M96" s="1" t="e">
        <f t="shared" si="40"/>
        <v>#REF!</v>
      </c>
      <c r="O96" s="11" t="e">
        <f t="shared" si="41"/>
        <v>#REF!</v>
      </c>
      <c r="P96" s="11" t="e">
        <f t="shared" si="42"/>
        <v>#REF!</v>
      </c>
      <c r="Q96" s="15" t="e">
        <f t="shared" si="43"/>
        <v>#REF!</v>
      </c>
    </row>
    <row r="97" spans="1:17" x14ac:dyDescent="0.45">
      <c r="A97" s="1"/>
      <c r="B97" s="1" t="s">
        <v>78</v>
      </c>
      <c r="C97" s="1" t="e">
        <f>'Dept Exp'!#REF!/$D$2</f>
        <v>#REF!</v>
      </c>
      <c r="D97" s="1" t="e">
        <f>'Dept Exp'!#REF!/$D$2</f>
        <v>#REF!</v>
      </c>
      <c r="E97" s="1" t="e">
        <f>'Dept Exp'!#REF!/$D$2</f>
        <v>#REF!</v>
      </c>
      <c r="G97" s="1">
        <f>'Dept Exp'!I103/$H$2</f>
        <v>19.14544533705903</v>
      </c>
      <c r="H97" s="1">
        <f>'Dept Exp'!J103/$H$2</f>
        <v>15.408557457212712</v>
      </c>
      <c r="I97" s="1">
        <f>'Dept Exp'!K103/$H$2</f>
        <v>34.554002794271746</v>
      </c>
      <c r="K97" s="1" t="e">
        <f t="shared" si="38"/>
        <v>#REF!</v>
      </c>
      <c r="L97" s="1" t="e">
        <f t="shared" si="39"/>
        <v>#REF!</v>
      </c>
      <c r="M97" s="1" t="e">
        <f t="shared" si="40"/>
        <v>#REF!</v>
      </c>
      <c r="O97" s="11" t="e">
        <f t="shared" si="41"/>
        <v>#REF!</v>
      </c>
      <c r="P97" s="11" t="e">
        <f t="shared" si="42"/>
        <v>#REF!</v>
      </c>
      <c r="Q97" s="15" t="e">
        <f t="shared" si="43"/>
        <v>#REF!</v>
      </c>
    </row>
    <row r="98" spans="1:17" x14ac:dyDescent="0.45">
      <c r="A98" s="1"/>
      <c r="B98" s="1" t="s">
        <v>79</v>
      </c>
      <c r="C98" s="1" t="e">
        <f>'Dept Exp'!#REF!/$D$2</f>
        <v>#REF!</v>
      </c>
      <c r="D98" s="1" t="e">
        <f>'Dept Exp'!#REF!/$D$2</f>
        <v>#REF!</v>
      </c>
      <c r="E98" s="1" t="e">
        <f>'Dept Exp'!#REF!/$D$2</f>
        <v>#REF!</v>
      </c>
      <c r="G98" s="1">
        <f>'Dept Exp'!I104/$H$2</f>
        <v>10.932808243101642</v>
      </c>
      <c r="H98" s="1">
        <f>'Dept Exp'!J104/$H$2</f>
        <v>14.755445337059028</v>
      </c>
      <c r="I98" s="1">
        <f>'Dept Exp'!K104/$H$2</f>
        <v>25.688253580160669</v>
      </c>
      <c r="K98" s="1" t="e">
        <f t="shared" si="38"/>
        <v>#REF!</v>
      </c>
      <c r="L98" s="1" t="e">
        <f t="shared" si="39"/>
        <v>#REF!</v>
      </c>
      <c r="M98" s="1" t="e">
        <f t="shared" si="40"/>
        <v>#REF!</v>
      </c>
      <c r="O98" s="11" t="e">
        <f t="shared" si="41"/>
        <v>#REF!</v>
      </c>
      <c r="P98" s="11" t="e">
        <f t="shared" si="42"/>
        <v>#REF!</v>
      </c>
      <c r="Q98" s="15" t="e">
        <f t="shared" si="43"/>
        <v>#REF!</v>
      </c>
    </row>
    <row r="99" spans="1:17" x14ac:dyDescent="0.45">
      <c r="A99" s="1"/>
      <c r="B99" s="1"/>
      <c r="C99" s="9" t="e">
        <f>'Dept Exp'!#REF!/$D$2</f>
        <v>#REF!</v>
      </c>
      <c r="D99" s="9" t="e">
        <f>'Dept Exp'!#REF!/$D$2</f>
        <v>#REF!</v>
      </c>
      <c r="E99" s="9" t="e">
        <f>'Dept Exp'!#REF!/$D$2</f>
        <v>#REF!</v>
      </c>
      <c r="F99" s="12"/>
      <c r="G99" s="9">
        <f>'Dept Exp'!I105/$H$2</f>
        <v>1012.3390743974853</v>
      </c>
      <c r="H99" s="9">
        <f>'Dept Exp'!J105/$H$2</f>
        <v>943.64632902549772</v>
      </c>
      <c r="I99" s="9">
        <f>'Dept Exp'!K105/$H$2</f>
        <v>1955.9854034229832</v>
      </c>
      <c r="K99" s="9" t="e">
        <f t="shared" si="38"/>
        <v>#REF!</v>
      </c>
      <c r="L99" s="9" t="e">
        <f t="shared" si="39"/>
        <v>#REF!</v>
      </c>
      <c r="M99" s="9" t="e">
        <f t="shared" si="40"/>
        <v>#REF!</v>
      </c>
      <c r="O99" s="13" t="e">
        <f t="shared" si="41"/>
        <v>#REF!</v>
      </c>
      <c r="P99" s="13" t="e">
        <f t="shared" si="42"/>
        <v>#REF!</v>
      </c>
      <c r="Q99" s="16" t="e">
        <f t="shared" si="43"/>
        <v>#REF!</v>
      </c>
    </row>
    <row r="100" spans="1:17" x14ac:dyDescent="0.45">
      <c r="A100" s="1" t="s">
        <v>80</v>
      </c>
      <c r="B100" s="1"/>
    </row>
    <row r="101" spans="1:17" x14ac:dyDescent="0.45">
      <c r="A101" s="1"/>
      <c r="B101" s="1" t="s">
        <v>81</v>
      </c>
      <c r="C101" s="1" t="e">
        <f>'Dept Exp'!#REF!/$D$2</f>
        <v>#REF!</v>
      </c>
      <c r="D101" s="1" t="e">
        <f>'Dept Exp'!#REF!/$D$2</f>
        <v>#REF!</v>
      </c>
      <c r="E101" s="1" t="e">
        <f>'Dept Exp'!#REF!/$D$2</f>
        <v>#REF!</v>
      </c>
      <c r="G101" s="1">
        <f>'Dept Exp'!I107/$H$2</f>
        <v>73.010370241005944</v>
      </c>
      <c r="H101" s="1">
        <f>'Dept Exp'!J107/$H$2</f>
        <v>238.05220747467689</v>
      </c>
      <c r="I101" s="1">
        <f>'Dept Exp'!K107/$H$2</f>
        <v>311.06257771568283</v>
      </c>
      <c r="K101" s="1" t="e">
        <f t="shared" ref="K101:K105" si="44">G101-C101</f>
        <v>#REF!</v>
      </c>
      <c r="L101" s="1" t="e">
        <f t="shared" ref="L101:L105" si="45">H101-D101</f>
        <v>#REF!</v>
      </c>
      <c r="M101" s="1" t="e">
        <f t="shared" ref="M101:M105" si="46">I101-E101</f>
        <v>#REF!</v>
      </c>
      <c r="O101" s="11" t="e">
        <f t="shared" ref="O101:O105" si="47">K101/C101</f>
        <v>#REF!</v>
      </c>
      <c r="P101" s="11" t="e">
        <f t="shared" ref="P101:P105" si="48">L101/D101</f>
        <v>#REF!</v>
      </c>
      <c r="Q101" s="14" t="e">
        <f t="shared" ref="Q101:Q105" si="49">M101/E101</f>
        <v>#REF!</v>
      </c>
    </row>
    <row r="102" spans="1:17" x14ac:dyDescent="0.45">
      <c r="A102" s="1"/>
      <c r="B102" s="1" t="s">
        <v>83</v>
      </c>
      <c r="C102" s="1" t="e">
        <f>'Dept Exp'!#REF!/$D$2</f>
        <v>#REF!</v>
      </c>
      <c r="D102" s="1" t="e">
        <f>'Dept Exp'!#REF!/$D$2</f>
        <v>#REF!</v>
      </c>
      <c r="E102" s="1" t="e">
        <f>'Dept Exp'!#REF!/$D$2</f>
        <v>#REF!</v>
      </c>
      <c r="G102" s="1">
        <f>'Dept Exp'!I108/$H$2</f>
        <v>540.86424030736987</v>
      </c>
      <c r="H102" s="1">
        <f>'Dept Exp'!J108/$H$2</f>
        <v>209.40361159622771</v>
      </c>
      <c r="I102" s="1">
        <f>'Dept Exp'!K108/$H$2</f>
        <v>750.2678519035976</v>
      </c>
      <c r="K102" s="1" t="e">
        <f t="shared" si="44"/>
        <v>#REF!</v>
      </c>
      <c r="L102" s="1" t="e">
        <f t="shared" si="45"/>
        <v>#REF!</v>
      </c>
      <c r="M102" s="1" t="e">
        <f t="shared" si="46"/>
        <v>#REF!</v>
      </c>
      <c r="O102" s="11" t="e">
        <f t="shared" si="47"/>
        <v>#REF!</v>
      </c>
      <c r="P102" s="11" t="e">
        <f t="shared" si="48"/>
        <v>#REF!</v>
      </c>
      <c r="Q102" s="11" t="e">
        <f t="shared" si="49"/>
        <v>#REF!</v>
      </c>
    </row>
    <row r="103" spans="1:17" x14ac:dyDescent="0.45">
      <c r="A103" s="1"/>
      <c r="B103" s="1" t="s">
        <v>84</v>
      </c>
      <c r="C103" s="1" t="e">
        <f>'Dept Exp'!#REF!/$D$2</f>
        <v>#REF!</v>
      </c>
      <c r="D103" s="1" t="e">
        <f>'Dept Exp'!#REF!/$D$2</f>
        <v>#REF!</v>
      </c>
      <c r="E103" s="1" t="e">
        <f>'Dept Exp'!#REF!/$D$2</f>
        <v>#REF!</v>
      </c>
      <c r="G103" s="1">
        <f>'Dept Exp'!I109/$H$2</f>
        <v>-5.1833985330073347</v>
      </c>
      <c r="H103" s="1">
        <f>'Dept Exp'!J109/$H$2</f>
        <v>75.554704855047149</v>
      </c>
      <c r="I103" s="1">
        <f>'Dept Exp'!K109/$H$2</f>
        <v>70.371306322039814</v>
      </c>
      <c r="K103" s="1" t="e">
        <f t="shared" si="44"/>
        <v>#REF!</v>
      </c>
      <c r="L103" s="1" t="e">
        <f t="shared" si="45"/>
        <v>#REF!</v>
      </c>
      <c r="M103" s="1" t="e">
        <f t="shared" si="46"/>
        <v>#REF!</v>
      </c>
      <c r="O103" s="11" t="e">
        <f t="shared" si="47"/>
        <v>#REF!</v>
      </c>
      <c r="P103" s="11" t="e">
        <f t="shared" si="48"/>
        <v>#REF!</v>
      </c>
      <c r="Q103" s="15" t="e">
        <f t="shared" si="49"/>
        <v>#REF!</v>
      </c>
    </row>
    <row r="104" spans="1:17" x14ac:dyDescent="0.45">
      <c r="A104" s="1"/>
      <c r="B104" s="1" t="s">
        <v>82</v>
      </c>
      <c r="C104" s="1" t="e">
        <f>'Dept Exp'!#REF!/$D$2</f>
        <v>#REF!</v>
      </c>
      <c r="D104" s="1" t="e">
        <f>'Dept Exp'!#REF!/$D$2</f>
        <v>#REF!</v>
      </c>
      <c r="E104" s="1" t="e">
        <f>'Dept Exp'!#REF!/$D$2</f>
        <v>#REF!</v>
      </c>
      <c r="G104" s="1">
        <f>'Dept Exp'!I110/$H$2</f>
        <v>113.33531260915125</v>
      </c>
      <c r="H104" s="1">
        <f>'Dept Exp'!J110/$H$2</f>
        <v>83.022773314704864</v>
      </c>
      <c r="I104" s="1">
        <f>'Dept Exp'!K110/$H$2</f>
        <v>196.35808592385607</v>
      </c>
      <c r="K104" s="1" t="e">
        <f t="shared" si="44"/>
        <v>#REF!</v>
      </c>
      <c r="L104" s="1" t="e">
        <f t="shared" si="45"/>
        <v>#REF!</v>
      </c>
      <c r="M104" s="1" t="e">
        <f t="shared" si="46"/>
        <v>#REF!</v>
      </c>
      <c r="O104" s="11" t="e">
        <f t="shared" si="47"/>
        <v>#REF!</v>
      </c>
      <c r="P104" s="11" t="e">
        <f t="shared" si="48"/>
        <v>#REF!</v>
      </c>
      <c r="Q104" s="14" t="e">
        <f t="shared" si="49"/>
        <v>#REF!</v>
      </c>
    </row>
    <row r="105" spans="1:17" x14ac:dyDescent="0.45">
      <c r="A105" s="1"/>
      <c r="B105" s="1"/>
      <c r="C105" s="9" t="e">
        <f>'Dept Exp'!#REF!/$D$2</f>
        <v>#REF!</v>
      </c>
      <c r="D105" s="9" t="e">
        <f>'Dept Exp'!#REF!/$D$2</f>
        <v>#REF!</v>
      </c>
      <c r="E105" s="9" t="e">
        <f>'Dept Exp'!#REF!/$D$2</f>
        <v>#REF!</v>
      </c>
      <c r="F105" s="12"/>
      <c r="G105" s="9">
        <f>'Dept Exp'!I111/$H$2</f>
        <v>722.02652462451977</v>
      </c>
      <c r="H105" s="9">
        <f>'Dept Exp'!J111/$H$2</f>
        <v>606.03329724065657</v>
      </c>
      <c r="I105" s="9">
        <f>'Dept Exp'!K111/$H$2</f>
        <v>1328.0598218651762</v>
      </c>
      <c r="K105" s="9" t="e">
        <f t="shared" si="44"/>
        <v>#REF!</v>
      </c>
      <c r="L105" s="9" t="e">
        <f t="shared" si="45"/>
        <v>#REF!</v>
      </c>
      <c r="M105" s="9" t="e">
        <f t="shared" si="46"/>
        <v>#REF!</v>
      </c>
      <c r="O105" s="13" t="e">
        <f t="shared" si="47"/>
        <v>#REF!</v>
      </c>
      <c r="P105" s="13" t="e">
        <f t="shared" si="48"/>
        <v>#REF!</v>
      </c>
      <c r="Q105" s="13" t="e">
        <f t="shared" si="49"/>
        <v>#REF!</v>
      </c>
    </row>
    <row r="106" spans="1:17" x14ac:dyDescent="0.45">
      <c r="A106" s="1" t="s">
        <v>85</v>
      </c>
      <c r="B106" s="1"/>
    </row>
    <row r="107" spans="1:17" x14ac:dyDescent="0.45">
      <c r="A107" s="1"/>
      <c r="B107" s="1" t="s">
        <v>24</v>
      </c>
      <c r="C107" s="1" t="e">
        <f>'Dept Exp'!#REF!/$D$2</f>
        <v>#REF!</v>
      </c>
      <c r="D107" s="1" t="e">
        <f>'Dept Exp'!#REF!/$D$2</f>
        <v>#REF!</v>
      </c>
      <c r="E107" s="1" t="e">
        <f>'Dept Exp'!#REF!/$D$2</f>
        <v>#REF!</v>
      </c>
      <c r="G107" s="1">
        <f>'Dept Exp'!I113/$H$2</f>
        <v>25.665735242752358</v>
      </c>
      <c r="H107" s="1">
        <f>'Dept Exp'!J113/$H$2</f>
        <v>203.9190674118058</v>
      </c>
      <c r="I107" s="1">
        <f>'Dept Exp'!K113/$H$2</f>
        <v>229.58480265455816</v>
      </c>
      <c r="K107" s="1" t="e">
        <f t="shared" ref="K107:K115" si="50">G107-C107</f>
        <v>#REF!</v>
      </c>
      <c r="L107" s="1" t="e">
        <f t="shared" ref="L107:L115" si="51">H107-D107</f>
        <v>#REF!</v>
      </c>
      <c r="M107" s="1" t="e">
        <f t="shared" ref="M107:M115" si="52">I107-E107</f>
        <v>#REF!</v>
      </c>
      <c r="O107" s="11" t="e">
        <f t="shared" ref="O107:O115" si="53">K107/C107</f>
        <v>#REF!</v>
      </c>
      <c r="P107" s="11" t="e">
        <f t="shared" ref="P107:P115" si="54">L107/D107</f>
        <v>#REF!</v>
      </c>
      <c r="Q107" s="15" t="e">
        <f t="shared" ref="Q107:Q115" si="55">M107/E107</f>
        <v>#REF!</v>
      </c>
    </row>
    <row r="108" spans="1:17" x14ac:dyDescent="0.45">
      <c r="A108" s="1"/>
      <c r="B108" s="1" t="s">
        <v>86</v>
      </c>
      <c r="C108" s="1" t="e">
        <f>'Dept Exp'!#REF!/$D$2</f>
        <v>#REF!</v>
      </c>
      <c r="D108" s="1" t="e">
        <f>'Dept Exp'!#REF!/$D$2</f>
        <v>#REF!</v>
      </c>
      <c r="E108" s="1" t="e">
        <f>'Dept Exp'!#REF!/$D$2</f>
        <v>#REF!</v>
      </c>
      <c r="G108" s="1">
        <f>'Dept Exp'!I114/$H$2</f>
        <v>20.322738386308068</v>
      </c>
      <c r="H108" s="1">
        <f>'Dept Exp'!J114/$H$2</f>
        <v>365.66515543136569</v>
      </c>
      <c r="I108" s="1">
        <f>'Dept Exp'!K114/$H$2</f>
        <v>385.98789381767369</v>
      </c>
      <c r="K108" s="1" t="e">
        <f t="shared" si="50"/>
        <v>#REF!</v>
      </c>
      <c r="L108" s="1" t="e">
        <f t="shared" si="51"/>
        <v>#REF!</v>
      </c>
      <c r="M108" s="1" t="e">
        <f t="shared" si="52"/>
        <v>#REF!</v>
      </c>
      <c r="O108" s="11" t="e">
        <f t="shared" si="53"/>
        <v>#REF!</v>
      </c>
      <c r="P108" s="11" t="e">
        <f t="shared" si="54"/>
        <v>#REF!</v>
      </c>
      <c r="Q108" s="15" t="e">
        <f t="shared" si="55"/>
        <v>#REF!</v>
      </c>
    </row>
    <row r="109" spans="1:17" x14ac:dyDescent="0.45">
      <c r="A109" s="1"/>
      <c r="B109" s="1" t="s">
        <v>87</v>
      </c>
      <c r="C109" s="1" t="e">
        <f>'Dept Exp'!#REF!/$D$2</f>
        <v>#REF!</v>
      </c>
      <c r="D109" s="1" t="e">
        <f>'Dept Exp'!#REF!/$D$2</f>
        <v>#REF!</v>
      </c>
      <c r="E109" s="1" t="e">
        <f>'Dept Exp'!#REF!/$D$2</f>
        <v>#REF!</v>
      </c>
      <c r="G109" s="1">
        <f>'Dept Exp'!I115/$H$2</f>
        <v>7.4931889626266157</v>
      </c>
      <c r="H109" s="1">
        <f>'Dept Exp'!J115/$H$2</f>
        <v>16.347694725812083</v>
      </c>
      <c r="I109" s="1">
        <f>'Dept Exp'!K115/$H$2</f>
        <v>23.840883688438698</v>
      </c>
      <c r="K109" s="1" t="e">
        <f t="shared" si="50"/>
        <v>#REF!</v>
      </c>
      <c r="L109" s="1" t="e">
        <f t="shared" si="51"/>
        <v>#REF!</v>
      </c>
      <c r="M109" s="1" t="e">
        <f t="shared" si="52"/>
        <v>#REF!</v>
      </c>
      <c r="O109" s="11" t="e">
        <f t="shared" si="53"/>
        <v>#REF!</v>
      </c>
      <c r="P109" s="11" t="e">
        <f t="shared" si="54"/>
        <v>#REF!</v>
      </c>
      <c r="Q109" s="14" t="e">
        <f t="shared" si="55"/>
        <v>#REF!</v>
      </c>
    </row>
    <row r="110" spans="1:17" x14ac:dyDescent="0.45">
      <c r="A110" s="1"/>
      <c r="B110" s="1" t="s">
        <v>88</v>
      </c>
      <c r="C110" s="1" t="e">
        <f>'Dept Exp'!#REF!/$D$2</f>
        <v>#REF!</v>
      </c>
      <c r="D110" s="1" t="e">
        <f>'Dept Exp'!#REF!/$D$2</f>
        <v>#REF!</v>
      </c>
      <c r="E110" s="1" t="e">
        <f>'Dept Exp'!#REF!/$D$2</f>
        <v>#REF!</v>
      </c>
      <c r="G110" s="1">
        <f>'Dept Exp'!I116/$H$2</f>
        <v>5.3367097450227039</v>
      </c>
      <c r="H110" s="1">
        <f>'Dept Exp'!J116/$H$2</f>
        <v>73.866084526720229</v>
      </c>
      <c r="I110" s="1">
        <f>'Dept Exp'!K116/$H$2</f>
        <v>79.202794271742931</v>
      </c>
      <c r="K110" s="1" t="e">
        <f t="shared" si="50"/>
        <v>#REF!</v>
      </c>
      <c r="L110" s="1" t="e">
        <f t="shared" si="51"/>
        <v>#REF!</v>
      </c>
      <c r="M110" s="1" t="e">
        <f t="shared" si="52"/>
        <v>#REF!</v>
      </c>
      <c r="O110" s="11" t="e">
        <f t="shared" si="53"/>
        <v>#REF!</v>
      </c>
      <c r="P110" s="11" t="e">
        <f t="shared" si="54"/>
        <v>#REF!</v>
      </c>
      <c r="Q110" s="11" t="e">
        <f t="shared" si="55"/>
        <v>#REF!</v>
      </c>
    </row>
    <row r="111" spans="1:17" x14ac:dyDescent="0.45">
      <c r="A111" s="1"/>
      <c r="B111" s="1" t="s">
        <v>89</v>
      </c>
      <c r="C111" s="1" t="e">
        <f>'Dept Exp'!#REF!/$D$2</f>
        <v>#REF!</v>
      </c>
      <c r="D111" s="1" t="e">
        <f>'Dept Exp'!#REF!/$D$2</f>
        <v>#REF!</v>
      </c>
      <c r="E111" s="1" t="e">
        <f>'Dept Exp'!#REF!/$D$2</f>
        <v>#REF!</v>
      </c>
      <c r="G111" s="1">
        <f>'Dept Exp'!I118/$H$2</f>
        <v>22.054034229828851</v>
      </c>
      <c r="H111" s="1">
        <f>'Dept Exp'!J118/$H$2</f>
        <v>34.493670974502272</v>
      </c>
      <c r="I111" s="1">
        <f>'Dept Exp'!K118/$H$2</f>
        <v>56.54770520433113</v>
      </c>
      <c r="K111" s="1" t="e">
        <f t="shared" si="50"/>
        <v>#REF!</v>
      </c>
      <c r="L111" s="1" t="e">
        <f t="shared" si="51"/>
        <v>#REF!</v>
      </c>
      <c r="M111" s="1" t="e">
        <f t="shared" si="52"/>
        <v>#REF!</v>
      </c>
      <c r="O111" s="11" t="e">
        <f t="shared" si="53"/>
        <v>#REF!</v>
      </c>
      <c r="P111" s="11" t="e">
        <f t="shared" si="54"/>
        <v>#REF!</v>
      </c>
      <c r="Q111" s="15" t="e">
        <f t="shared" si="55"/>
        <v>#REF!</v>
      </c>
    </row>
    <row r="112" spans="1:17" x14ac:dyDescent="0.45">
      <c r="A112" s="1"/>
      <c r="B112" s="1" t="s">
        <v>90</v>
      </c>
      <c r="C112" s="1" t="e">
        <f>'Dept Exp'!#REF!/$D$2</f>
        <v>#REF!</v>
      </c>
      <c r="D112" s="1" t="e">
        <f>'Dept Exp'!#REF!/$D$2</f>
        <v>#REF!</v>
      </c>
      <c r="E112" s="1" t="e">
        <f>'Dept Exp'!#REF!/$D$2</f>
        <v>#REF!</v>
      </c>
      <c r="G112" s="1">
        <f>'Dept Exp'!I119/$H$2</f>
        <v>110.57142857142857</v>
      </c>
      <c r="H112" s="1">
        <f>'Dept Exp'!J119/$H$2</f>
        <v>52.978215158924208</v>
      </c>
      <c r="I112" s="1">
        <f>'Dept Exp'!K119/$H$2</f>
        <v>163.54964373035278</v>
      </c>
      <c r="K112" s="1" t="e">
        <f t="shared" si="50"/>
        <v>#REF!</v>
      </c>
      <c r="L112" s="1" t="e">
        <f t="shared" si="51"/>
        <v>#REF!</v>
      </c>
      <c r="M112" s="1" t="e">
        <f t="shared" si="52"/>
        <v>#REF!</v>
      </c>
      <c r="O112" s="11" t="e">
        <f t="shared" si="53"/>
        <v>#REF!</v>
      </c>
      <c r="P112" s="11" t="e">
        <f t="shared" si="54"/>
        <v>#REF!</v>
      </c>
      <c r="Q112" s="15" t="e">
        <f t="shared" si="55"/>
        <v>#REF!</v>
      </c>
    </row>
    <row r="113" spans="1:20" x14ac:dyDescent="0.45">
      <c r="A113" s="1"/>
      <c r="B113" s="1" t="s">
        <v>91</v>
      </c>
      <c r="C113" s="1" t="e">
        <f>'Dept Exp'!#REF!/$D$2</f>
        <v>#REF!</v>
      </c>
      <c r="D113" s="1" t="e">
        <f>'Dept Exp'!#REF!/$D$2</f>
        <v>#REF!</v>
      </c>
      <c r="E113" s="1" t="e">
        <f>'Dept Exp'!#REF!/$D$2</f>
        <v>#REF!</v>
      </c>
      <c r="G113" s="1">
        <f>'Dept Exp'!I120/$H$2</f>
        <v>303.11386657352426</v>
      </c>
      <c r="H113" s="1">
        <f>'Dept Exp'!J120/$H$2</f>
        <v>0</v>
      </c>
      <c r="I113" s="1">
        <f>'Dept Exp'!K120/$H$2</f>
        <v>303.11386657352426</v>
      </c>
      <c r="K113" s="1" t="e">
        <f t="shared" si="50"/>
        <v>#REF!</v>
      </c>
      <c r="L113" s="1" t="e">
        <f t="shared" si="51"/>
        <v>#REF!</v>
      </c>
      <c r="M113" s="1" t="e">
        <f t="shared" si="52"/>
        <v>#REF!</v>
      </c>
      <c r="O113" s="11" t="e">
        <f t="shared" si="53"/>
        <v>#REF!</v>
      </c>
      <c r="P113" s="11" t="s">
        <v>116</v>
      </c>
      <c r="Q113" s="17" t="e">
        <f t="shared" si="55"/>
        <v>#REF!</v>
      </c>
    </row>
    <row r="114" spans="1:20" x14ac:dyDescent="0.45">
      <c r="A114" s="1"/>
      <c r="B114" s="1" t="s">
        <v>92</v>
      </c>
      <c r="C114" s="1" t="e">
        <f>'Dept Exp'!#REF!/$D$2</f>
        <v>#REF!</v>
      </c>
      <c r="D114" s="1" t="e">
        <f>'Dept Exp'!#REF!/$D$2</f>
        <v>#REF!</v>
      </c>
      <c r="E114" s="1" t="e">
        <f>'Dept Exp'!#REF!/$D$2</f>
        <v>#REF!</v>
      </c>
      <c r="G114" s="1">
        <f>'Dept Exp'!I121/$H$2</f>
        <v>28.555012224938874</v>
      </c>
      <c r="H114" s="1">
        <f>'Dept Exp'!J121/$H$2</f>
        <v>381.5519280475026</v>
      </c>
      <c r="I114" s="1">
        <f>'Dept Exp'!K121/$H$2</f>
        <v>410.10694027244148</v>
      </c>
      <c r="K114" s="1" t="e">
        <f t="shared" si="50"/>
        <v>#REF!</v>
      </c>
      <c r="L114" s="1" t="e">
        <f t="shared" si="51"/>
        <v>#REF!</v>
      </c>
      <c r="M114" s="1" t="e">
        <f t="shared" si="52"/>
        <v>#REF!</v>
      </c>
      <c r="O114" s="11" t="e">
        <f t="shared" si="53"/>
        <v>#REF!</v>
      </c>
      <c r="P114" s="11" t="e">
        <f t="shared" si="54"/>
        <v>#REF!</v>
      </c>
      <c r="Q114" s="11" t="e">
        <f t="shared" si="55"/>
        <v>#REF!</v>
      </c>
    </row>
    <row r="115" spans="1:20" x14ac:dyDescent="0.45">
      <c r="A115" s="1"/>
      <c r="B115" s="1"/>
      <c r="C115" s="9" t="e">
        <f>'Dept Exp'!#REF!/$D$2</f>
        <v>#REF!</v>
      </c>
      <c r="D115" s="9" t="e">
        <f>'Dept Exp'!#REF!/$D$2</f>
        <v>#REF!</v>
      </c>
      <c r="E115" s="9" t="e">
        <f>'Dept Exp'!#REF!/$D$2</f>
        <v>#REF!</v>
      </c>
      <c r="F115" s="12"/>
      <c r="G115" s="9">
        <f>'Dept Exp'!I122/$H$2</f>
        <v>525.80709046454763</v>
      </c>
      <c r="H115" s="9">
        <f>'Dept Exp'!J122/$H$2</f>
        <v>1152.5485399930142</v>
      </c>
      <c r="I115" s="9">
        <f>'Dept Exp'!K122/$H$2</f>
        <v>1678.355630457562</v>
      </c>
      <c r="K115" s="9" t="e">
        <f t="shared" si="50"/>
        <v>#REF!</v>
      </c>
      <c r="L115" s="9" t="e">
        <f t="shared" si="51"/>
        <v>#REF!</v>
      </c>
      <c r="M115" s="9" t="e">
        <f t="shared" si="52"/>
        <v>#REF!</v>
      </c>
      <c r="O115" s="13" t="e">
        <f t="shared" si="53"/>
        <v>#REF!</v>
      </c>
      <c r="P115" s="13" t="e">
        <f t="shared" si="54"/>
        <v>#REF!</v>
      </c>
      <c r="Q115" s="13" t="e">
        <f t="shared" si="55"/>
        <v>#REF!</v>
      </c>
    </row>
    <row r="116" spans="1:20" x14ac:dyDescent="0.45">
      <c r="A116" s="1" t="s">
        <v>94</v>
      </c>
      <c r="B116" s="1"/>
    </row>
    <row r="117" spans="1:20" x14ac:dyDescent="0.45">
      <c r="A117" s="1"/>
      <c r="B117" s="1" t="s">
        <v>24</v>
      </c>
      <c r="C117" s="1" t="e">
        <f>'Dept Exp'!#REF!/$D$2</f>
        <v>#REF!</v>
      </c>
      <c r="D117" s="1" t="e">
        <f>'Dept Exp'!#REF!/$D$2</f>
        <v>#REF!</v>
      </c>
      <c r="E117" s="1" t="e">
        <f>'Dept Exp'!#REF!/$D$2</f>
        <v>#REF!</v>
      </c>
      <c r="G117" s="1">
        <f>'Dept Exp'!I124/$H$2</f>
        <v>58.919664687390849</v>
      </c>
      <c r="H117" s="1">
        <f>'Dept Exp'!J124/$H$2</f>
        <v>279.36113168005585</v>
      </c>
      <c r="I117" s="1">
        <f>'Dept Exp'!K124/$H$2</f>
        <v>338.28079636744673</v>
      </c>
      <c r="K117" s="1" t="e">
        <f t="shared" ref="K117:K121" si="56">G117-C117</f>
        <v>#REF!</v>
      </c>
      <c r="L117" s="1" t="e">
        <f t="shared" ref="L117:L121" si="57">H117-D117</f>
        <v>#REF!</v>
      </c>
      <c r="M117" s="1" t="e">
        <f t="shared" ref="M117:M121" si="58">I117-E117</f>
        <v>#REF!</v>
      </c>
      <c r="O117" s="11" t="e">
        <f t="shared" ref="O117:O121" si="59">K117/C117</f>
        <v>#REF!</v>
      </c>
      <c r="P117" s="11" t="e">
        <f t="shared" ref="P117:P121" si="60">L117/D117</f>
        <v>#REF!</v>
      </c>
      <c r="Q117" s="11" t="e">
        <f t="shared" ref="Q117:Q121" si="61">M117/E117</f>
        <v>#REF!</v>
      </c>
    </row>
    <row r="118" spans="1:20" x14ac:dyDescent="0.45">
      <c r="A118" s="1"/>
      <c r="B118" s="1" t="s">
        <v>96</v>
      </c>
      <c r="C118" s="1" t="e">
        <f>'Dept Exp'!#REF!/$D$2</f>
        <v>#REF!</v>
      </c>
      <c r="D118" s="1" t="e">
        <f>'Dept Exp'!#REF!/$D$2</f>
        <v>#REF!</v>
      </c>
      <c r="E118" s="1" t="e">
        <f>'Dept Exp'!#REF!/$D$2</f>
        <v>#REF!</v>
      </c>
      <c r="G118" s="1">
        <f>'Dept Exp'!I125/$H$2</f>
        <v>27.418791477471185</v>
      </c>
      <c r="H118" s="1">
        <f>'Dept Exp'!J125/$H$2</f>
        <v>84.724561648620337</v>
      </c>
      <c r="I118" s="1">
        <f>'Dept Exp'!K125/$H$2</f>
        <v>112.14335312609153</v>
      </c>
      <c r="K118" s="1" t="e">
        <f t="shared" si="56"/>
        <v>#REF!</v>
      </c>
      <c r="L118" s="1" t="e">
        <f t="shared" si="57"/>
        <v>#REF!</v>
      </c>
      <c r="M118" s="1" t="e">
        <f t="shared" si="58"/>
        <v>#REF!</v>
      </c>
      <c r="O118" s="11" t="e">
        <f t="shared" si="59"/>
        <v>#REF!</v>
      </c>
      <c r="P118" s="11" t="e">
        <f t="shared" si="60"/>
        <v>#REF!</v>
      </c>
      <c r="Q118" s="15" t="e">
        <f t="shared" si="61"/>
        <v>#REF!</v>
      </c>
    </row>
    <row r="119" spans="1:20" x14ac:dyDescent="0.45">
      <c r="A119" s="1"/>
      <c r="B119" s="1" t="s">
        <v>98</v>
      </c>
      <c r="C119" s="1" t="e">
        <f>'Dept Exp'!#REF!/$D$2</f>
        <v>#REF!</v>
      </c>
      <c r="D119" s="1" t="e">
        <f>'Dept Exp'!#REF!/$D$2</f>
        <v>#REF!</v>
      </c>
      <c r="E119" s="1" t="e">
        <f>'Dept Exp'!#REF!/$D$2</f>
        <v>#REF!</v>
      </c>
      <c r="G119" s="1">
        <f>'Dept Exp'!I126/$H$2</f>
        <v>29.852951449528465</v>
      </c>
      <c r="H119" s="1">
        <f>'Dept Exp'!J126/$H$2</f>
        <v>90.621501921061835</v>
      </c>
      <c r="I119" s="1">
        <f>'Dept Exp'!K126/$H$2</f>
        <v>120.47445337059028</v>
      </c>
      <c r="K119" s="1" t="e">
        <f t="shared" si="56"/>
        <v>#REF!</v>
      </c>
      <c r="L119" s="1" t="e">
        <f t="shared" si="57"/>
        <v>#REF!</v>
      </c>
      <c r="M119" s="1" t="e">
        <f t="shared" si="58"/>
        <v>#REF!</v>
      </c>
      <c r="O119" s="11" t="e">
        <f t="shared" si="59"/>
        <v>#REF!</v>
      </c>
      <c r="P119" s="11" t="e">
        <f t="shared" si="60"/>
        <v>#REF!</v>
      </c>
      <c r="Q119" s="14" t="e">
        <f t="shared" si="61"/>
        <v>#REF!</v>
      </c>
    </row>
    <row r="120" spans="1:20" x14ac:dyDescent="0.45">
      <c r="A120" s="1"/>
      <c r="B120" s="1" t="s">
        <v>97</v>
      </c>
      <c r="C120" s="1" t="e">
        <f>'Dept Exp'!#REF!/$D$2</f>
        <v>#REF!</v>
      </c>
      <c r="D120" s="1" t="e">
        <f>'Dept Exp'!#REF!/$D$2</f>
        <v>#REF!</v>
      </c>
      <c r="E120" s="1" t="e">
        <f>'Dept Exp'!#REF!/$D$2</f>
        <v>#REF!</v>
      </c>
      <c r="G120" s="1">
        <f>'Dept Exp'!I127/$H$2</f>
        <v>164.29235068110373</v>
      </c>
      <c r="H120" s="1">
        <f>'Dept Exp'!J127/$H$2</f>
        <v>396.31428920712534</v>
      </c>
      <c r="I120" s="1">
        <f>'Dept Exp'!K127/$H$2</f>
        <v>560.6066398882291</v>
      </c>
      <c r="K120" s="1" t="e">
        <f t="shared" si="56"/>
        <v>#REF!</v>
      </c>
      <c r="L120" s="1" t="e">
        <f t="shared" si="57"/>
        <v>#REF!</v>
      </c>
      <c r="M120" s="1" t="e">
        <f t="shared" si="58"/>
        <v>#REF!</v>
      </c>
      <c r="O120" s="11" t="e">
        <f t="shared" si="59"/>
        <v>#REF!</v>
      </c>
      <c r="P120" s="11" t="e">
        <f t="shared" si="60"/>
        <v>#REF!</v>
      </c>
      <c r="Q120" s="15" t="e">
        <f t="shared" si="61"/>
        <v>#REF!</v>
      </c>
    </row>
    <row r="121" spans="1:20" x14ac:dyDescent="0.45">
      <c r="A121" s="1"/>
      <c r="B121" s="1"/>
      <c r="C121" s="9" t="e">
        <f>'Dept Exp'!#REF!/$D$2</f>
        <v>#REF!</v>
      </c>
      <c r="D121" s="9" t="e">
        <f>'Dept Exp'!#REF!/$D$2</f>
        <v>#REF!</v>
      </c>
      <c r="E121" s="9" t="e">
        <f>'Dept Exp'!#REF!/$D$2</f>
        <v>#REF!</v>
      </c>
      <c r="F121" s="12"/>
      <c r="G121" s="9">
        <f>'Dept Exp'!I128/$H$2</f>
        <v>280.48375829549423</v>
      </c>
      <c r="H121" s="9">
        <f>'Dept Exp'!J128/$H$2</f>
        <v>851.02148445686339</v>
      </c>
      <c r="I121" s="9">
        <f>'Dept Exp'!K128/$H$2</f>
        <v>1131.5052427523576</v>
      </c>
      <c r="K121" s="9" t="e">
        <f t="shared" si="56"/>
        <v>#REF!</v>
      </c>
      <c r="L121" s="9" t="e">
        <f t="shared" si="57"/>
        <v>#REF!</v>
      </c>
      <c r="M121" s="9" t="e">
        <f t="shared" si="58"/>
        <v>#REF!</v>
      </c>
      <c r="O121" s="13" t="e">
        <f t="shared" si="59"/>
        <v>#REF!</v>
      </c>
      <c r="P121" s="13" t="e">
        <f t="shared" si="60"/>
        <v>#REF!</v>
      </c>
      <c r="Q121" s="13" t="e">
        <f t="shared" si="61"/>
        <v>#REF!</v>
      </c>
    </row>
    <row r="122" spans="1:20" x14ac:dyDescent="0.45">
      <c r="A122" s="1" t="s">
        <v>99</v>
      </c>
      <c r="B122" s="1"/>
      <c r="T122" s="1">
        <f>P122-L122</f>
        <v>0</v>
      </c>
    </row>
    <row r="123" spans="1:20" x14ac:dyDescent="0.45">
      <c r="A123" s="1"/>
      <c r="B123" s="1" t="s">
        <v>100</v>
      </c>
      <c r="C123" s="1" t="e">
        <f>'Dept Exp'!#REF!/$D$2</f>
        <v>#REF!</v>
      </c>
      <c r="D123" s="1" t="e">
        <f>'Dept Exp'!#REF!/$D$2</f>
        <v>#REF!</v>
      </c>
      <c r="E123" s="1" t="e">
        <f>'Dept Exp'!#REF!/$D$2</f>
        <v>#REF!</v>
      </c>
      <c r="G123" s="1">
        <f>'Dept Exp'!I130/$H$2</f>
        <v>69.960761439049946</v>
      </c>
      <c r="H123" s="1">
        <f>'Dept Exp'!J130/$H$2</f>
        <v>158.51674816625916</v>
      </c>
      <c r="I123" s="1">
        <f>'Dept Exp'!K130/$H$2</f>
        <v>228.47750960530911</v>
      </c>
      <c r="K123" s="1" t="e">
        <f t="shared" ref="K123:K128" si="62">G123-C123</f>
        <v>#REF!</v>
      </c>
      <c r="L123" s="1" t="e">
        <f t="shared" ref="L123:L128" si="63">H123-D123</f>
        <v>#REF!</v>
      </c>
      <c r="M123" s="1" t="e">
        <f t="shared" ref="M123:M128" si="64">I123-E123</f>
        <v>#REF!</v>
      </c>
      <c r="O123" s="11" t="e">
        <f t="shared" ref="O123:O128" si="65">K123/C123</f>
        <v>#REF!</v>
      </c>
      <c r="P123" s="11" t="e">
        <f t="shared" ref="P123:P128" si="66">L123/D123</f>
        <v>#REF!</v>
      </c>
      <c r="Q123" s="11" t="e">
        <f t="shared" ref="Q123:Q128" si="67">M123/E123</f>
        <v>#REF!</v>
      </c>
    </row>
    <row r="124" spans="1:20" x14ac:dyDescent="0.45">
      <c r="A124" s="1"/>
      <c r="B124" s="1" t="s">
        <v>101</v>
      </c>
      <c r="C124" s="1" t="e">
        <f>'Dept Exp'!#REF!/$D$2</f>
        <v>#REF!</v>
      </c>
      <c r="D124" s="1" t="e">
        <f>'Dept Exp'!#REF!/$D$2</f>
        <v>#REF!</v>
      </c>
      <c r="E124" s="1" t="e">
        <f>'Dept Exp'!#REF!/$D$2</f>
        <v>#REF!</v>
      </c>
      <c r="G124" s="1">
        <f>'Dept Exp'!I131/$H$2</f>
        <v>0.9325881942018861</v>
      </c>
      <c r="H124" s="1">
        <f>'Dept Exp'!J131/$H$2</f>
        <v>17.464170450576319</v>
      </c>
      <c r="I124" s="1">
        <f>'Dept Exp'!K131/$H$2</f>
        <v>18.396758644778203</v>
      </c>
      <c r="K124" s="1" t="e">
        <f t="shared" si="62"/>
        <v>#REF!</v>
      </c>
      <c r="L124" s="1" t="e">
        <f t="shared" si="63"/>
        <v>#REF!</v>
      </c>
      <c r="M124" s="1" t="e">
        <f t="shared" si="64"/>
        <v>#REF!</v>
      </c>
      <c r="O124" s="11" t="e">
        <f t="shared" si="65"/>
        <v>#REF!</v>
      </c>
      <c r="P124" s="11" t="e">
        <f t="shared" si="66"/>
        <v>#REF!</v>
      </c>
      <c r="Q124" s="14" t="e">
        <f t="shared" si="67"/>
        <v>#REF!</v>
      </c>
    </row>
    <row r="125" spans="1:20" x14ac:dyDescent="0.45">
      <c r="A125" s="1"/>
      <c r="B125" s="1" t="s">
        <v>102</v>
      </c>
      <c r="C125" s="1" t="e">
        <f>'Dept Exp'!#REF!/$D$2</f>
        <v>#REF!</v>
      </c>
      <c r="D125" s="1" t="e">
        <f>'Dept Exp'!#REF!/$D$2</f>
        <v>#REF!</v>
      </c>
      <c r="E125" s="1" t="e">
        <f>'Dept Exp'!#REF!/$D$2</f>
        <v>#REF!</v>
      </c>
      <c r="G125" s="1">
        <f>'Dept Exp'!I132/$H$2</f>
        <v>17.114565141460005</v>
      </c>
      <c r="H125" s="1">
        <f>'Dept Exp'!J132/$H$2</f>
        <v>31.737768075445334</v>
      </c>
      <c r="I125" s="1">
        <f>'Dept Exp'!K132/$H$2</f>
        <v>48.852333216905336</v>
      </c>
      <c r="K125" s="1" t="e">
        <f t="shared" si="62"/>
        <v>#REF!</v>
      </c>
      <c r="L125" s="1" t="e">
        <f t="shared" si="63"/>
        <v>#REF!</v>
      </c>
      <c r="M125" s="1" t="e">
        <f t="shared" si="64"/>
        <v>#REF!</v>
      </c>
      <c r="O125" s="11" t="e">
        <f t="shared" si="65"/>
        <v>#REF!</v>
      </c>
      <c r="P125" s="11" t="e">
        <f t="shared" si="66"/>
        <v>#REF!</v>
      </c>
      <c r="Q125" s="14" t="e">
        <f t="shared" si="67"/>
        <v>#REF!</v>
      </c>
    </row>
    <row r="126" spans="1:20" x14ac:dyDescent="0.45">
      <c r="A126" s="1"/>
      <c r="B126" s="1" t="s">
        <v>104</v>
      </c>
      <c r="C126" s="1" t="e">
        <f>'Dept Exp'!#REF!/$D$2</f>
        <v>#REF!</v>
      </c>
      <c r="D126" s="1" t="e">
        <f>'Dept Exp'!#REF!/$D$2</f>
        <v>#REF!</v>
      </c>
      <c r="E126" s="1" t="e">
        <f>'Dept Exp'!#REF!/$D$2</f>
        <v>#REF!</v>
      </c>
      <c r="G126" s="1">
        <f>'Dept Exp'!I133/$H$2</f>
        <v>23.602514844568635</v>
      </c>
      <c r="H126" s="1">
        <f>'Dept Exp'!J133/$H$2</f>
        <v>17.043925951798812</v>
      </c>
      <c r="I126" s="1">
        <f>'Dept Exp'!K133/$H$2</f>
        <v>40.64644079636745</v>
      </c>
      <c r="K126" s="1" t="e">
        <f t="shared" si="62"/>
        <v>#REF!</v>
      </c>
      <c r="L126" s="1" t="e">
        <f t="shared" si="63"/>
        <v>#REF!</v>
      </c>
      <c r="M126" s="1" t="e">
        <f t="shared" si="64"/>
        <v>#REF!</v>
      </c>
      <c r="O126" s="11" t="s">
        <v>116</v>
      </c>
      <c r="P126" s="11" t="e">
        <f t="shared" si="66"/>
        <v>#REF!</v>
      </c>
      <c r="Q126" s="15" t="e">
        <f t="shared" si="67"/>
        <v>#REF!</v>
      </c>
    </row>
    <row r="127" spans="1:20" x14ac:dyDescent="0.45">
      <c r="A127" s="1"/>
      <c r="B127" s="1" t="s">
        <v>103</v>
      </c>
      <c r="C127" s="1" t="e">
        <f>'Dept Exp'!#REF!/$D$2</f>
        <v>#REF!</v>
      </c>
      <c r="D127" s="1" t="e">
        <f>'Dept Exp'!#REF!/$D$2</f>
        <v>#REF!</v>
      </c>
      <c r="E127" s="1" t="e">
        <f>'Dept Exp'!#REF!/$D$2</f>
        <v>#REF!</v>
      </c>
      <c r="G127" s="1">
        <f>'Dept Exp'!I137/$H$2</f>
        <v>13.111421585749214</v>
      </c>
      <c r="H127" s="1">
        <f>'Dept Exp'!J137/$H$2</f>
        <v>43.319783443939919</v>
      </c>
      <c r="I127" s="1">
        <f>'Dept Exp'!K137/$H$2</f>
        <v>56.431205029689131</v>
      </c>
      <c r="K127" s="1" t="e">
        <f t="shared" si="62"/>
        <v>#REF!</v>
      </c>
      <c r="L127" s="1" t="e">
        <f t="shared" si="63"/>
        <v>#REF!</v>
      </c>
      <c r="M127" s="1" t="e">
        <f t="shared" si="64"/>
        <v>#REF!</v>
      </c>
      <c r="O127" s="11" t="e">
        <f t="shared" si="65"/>
        <v>#REF!</v>
      </c>
      <c r="P127" s="11" t="e">
        <f t="shared" si="66"/>
        <v>#REF!</v>
      </c>
      <c r="Q127" s="17" t="e">
        <f t="shared" si="67"/>
        <v>#REF!</v>
      </c>
    </row>
    <row r="128" spans="1:20" x14ac:dyDescent="0.45">
      <c r="C128" s="9" t="e">
        <f>'Dept Exp'!#REF!/$D$2</f>
        <v>#REF!</v>
      </c>
      <c r="D128" s="9" t="e">
        <f>'Dept Exp'!#REF!/$D$2</f>
        <v>#REF!</v>
      </c>
      <c r="E128" s="9" t="e">
        <f>'Dept Exp'!#REF!/$D$2</f>
        <v>#REF!</v>
      </c>
      <c r="F128" s="12"/>
      <c r="G128" s="9">
        <f>'Dept Exp'!I138/$H$2</f>
        <v>124.72185120502969</v>
      </c>
      <c r="H128" s="9">
        <f>'Dept Exp'!J138/$H$2</f>
        <v>268.08239608801955</v>
      </c>
      <c r="I128" s="9">
        <f>'Dept Exp'!K138/$H$2</f>
        <v>392.80424729304929</v>
      </c>
      <c r="K128" s="9" t="e">
        <f t="shared" si="62"/>
        <v>#REF!</v>
      </c>
      <c r="L128" s="9" t="e">
        <f t="shared" si="63"/>
        <v>#REF!</v>
      </c>
      <c r="M128" s="9" t="e">
        <f t="shared" si="64"/>
        <v>#REF!</v>
      </c>
      <c r="O128" s="13" t="e">
        <f t="shared" si="65"/>
        <v>#REF!</v>
      </c>
      <c r="P128" s="13" t="e">
        <f t="shared" si="66"/>
        <v>#REF!</v>
      </c>
      <c r="Q128" s="13" t="e">
        <f t="shared" si="67"/>
        <v>#REF!</v>
      </c>
    </row>
  </sheetData>
  <mergeCells count="4">
    <mergeCell ref="O4:Q4"/>
    <mergeCell ref="C4:E4"/>
    <mergeCell ref="G4:I4"/>
    <mergeCell ref="K4:M4"/>
  </mergeCells>
  <pageMargins left="0.2" right="0.2" top="0.5" bottom="0.5" header="0.3" footer="0.3"/>
  <pageSetup paperSize="5" scale="83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J24" sqref="J24"/>
    </sheetView>
  </sheetViews>
  <sheetFormatPr defaultRowHeight="14.25" x14ac:dyDescent="0.45"/>
  <cols>
    <col min="1" max="1" width="18.59765625" customWidth="1"/>
    <col min="2" max="2" width="2.59765625" customWidth="1"/>
    <col min="3" max="3" width="17" customWidth="1"/>
    <col min="4" max="4" width="14.1328125" customWidth="1"/>
    <col min="5" max="5" width="13.59765625" customWidth="1"/>
    <col min="6" max="6" width="12.265625" customWidth="1"/>
  </cols>
  <sheetData>
    <row r="2" spans="1:5" x14ac:dyDescent="0.45">
      <c r="A2" t="s">
        <v>115</v>
      </c>
      <c r="C2" s="19">
        <v>2981</v>
      </c>
      <c r="D2" s="19">
        <v>2863</v>
      </c>
    </row>
    <row r="4" spans="1:5" ht="15.75" x14ac:dyDescent="0.5">
      <c r="A4" s="18" t="s">
        <v>123</v>
      </c>
      <c r="C4" s="20" t="s">
        <v>125</v>
      </c>
      <c r="D4" s="20" t="s">
        <v>126</v>
      </c>
      <c r="E4" s="22" t="s">
        <v>133</v>
      </c>
    </row>
    <row r="5" spans="1:5" x14ac:dyDescent="0.45">
      <c r="A5" t="s">
        <v>124</v>
      </c>
      <c r="C5" s="21">
        <v>49441601</v>
      </c>
    </row>
    <row r="6" spans="1:5" x14ac:dyDescent="0.45">
      <c r="A6" s="23" t="s">
        <v>127</v>
      </c>
      <c r="B6" s="23"/>
      <c r="C6" s="24">
        <f>C5/$C$2</f>
        <v>16585.575645756457</v>
      </c>
      <c r="D6" s="23"/>
      <c r="E6" s="23"/>
    </row>
    <row r="7" spans="1:5" x14ac:dyDescent="0.45">
      <c r="A7" t="s">
        <v>128</v>
      </c>
      <c r="C7" s="21">
        <v>23978032</v>
      </c>
    </row>
    <row r="8" spans="1:5" x14ac:dyDescent="0.45">
      <c r="A8" s="23" t="s">
        <v>127</v>
      </c>
      <c r="B8" s="23"/>
      <c r="C8" s="24">
        <f>C7/$C$2</f>
        <v>8043.6202616571618</v>
      </c>
      <c r="D8" s="23"/>
      <c r="E8" s="23"/>
    </row>
    <row r="9" spans="1:5" x14ac:dyDescent="0.45">
      <c r="A9" t="s">
        <v>129</v>
      </c>
      <c r="C9" s="21">
        <v>6545629</v>
      </c>
    </row>
    <row r="10" spans="1:5" x14ac:dyDescent="0.45">
      <c r="A10" s="23" t="s">
        <v>127</v>
      </c>
      <c r="B10" s="23"/>
      <c r="C10" s="24">
        <f>C9/$C$2</f>
        <v>2195.7829587386782</v>
      </c>
      <c r="D10" s="23"/>
      <c r="E10" s="23"/>
    </row>
    <row r="11" spans="1:5" x14ac:dyDescent="0.45">
      <c r="A11" t="s">
        <v>130</v>
      </c>
      <c r="C11" s="21">
        <f>C13-C5-C7-C9</f>
        <v>8155549</v>
      </c>
    </row>
    <row r="12" spans="1:5" x14ac:dyDescent="0.45">
      <c r="A12" s="23" t="s">
        <v>127</v>
      </c>
      <c r="B12" s="23"/>
      <c r="C12" s="25">
        <f>C11/$C$2</f>
        <v>2735.8433411606843</v>
      </c>
      <c r="D12" s="26"/>
      <c r="E12" s="26"/>
    </row>
    <row r="13" spans="1:5" x14ac:dyDescent="0.45">
      <c r="A13" t="s">
        <v>131</v>
      </c>
      <c r="C13" s="21">
        <v>88120811</v>
      </c>
    </row>
    <row r="14" spans="1:5" x14ac:dyDescent="0.45">
      <c r="A14" s="23" t="s">
        <v>132</v>
      </c>
      <c r="B14" s="23"/>
      <c r="C14" s="24">
        <f>C13/$C$2</f>
        <v>29560.822207312984</v>
      </c>
      <c r="D14" s="23"/>
      <c r="E14" s="23"/>
    </row>
    <row r="19" spans="1:6" ht="15.75" x14ac:dyDescent="0.5">
      <c r="A19" s="18" t="s">
        <v>122</v>
      </c>
      <c r="C19" s="34" t="s">
        <v>120</v>
      </c>
      <c r="D19" s="33"/>
      <c r="E19" s="33"/>
      <c r="F19" s="19" t="s">
        <v>116</v>
      </c>
    </row>
    <row r="20" spans="1:6" x14ac:dyDescent="0.45">
      <c r="C20" s="10" t="s">
        <v>1</v>
      </c>
      <c r="D20" s="10" t="s">
        <v>2</v>
      </c>
      <c r="E20" s="27" t="s">
        <v>3</v>
      </c>
      <c r="F20" s="29" t="s">
        <v>135</v>
      </c>
    </row>
    <row r="21" spans="1:6" x14ac:dyDescent="0.45">
      <c r="A21" s="1" t="str">
        <f>'Per FTE'!A7</f>
        <v>VPAA</v>
      </c>
      <c r="C21" s="11" t="e">
        <f>'Per FTE'!O26</f>
        <v>#REF!</v>
      </c>
      <c r="D21" s="11" t="e">
        <f>'Per FTE'!P26</f>
        <v>#REF!</v>
      </c>
      <c r="E21" s="28" t="e">
        <f>'Per FTE'!Q26</f>
        <v>#REF!</v>
      </c>
    </row>
    <row r="22" spans="1:6" x14ac:dyDescent="0.45">
      <c r="A22" s="1" t="str">
        <f>'Per FTE'!A27</f>
        <v>School of Science</v>
      </c>
      <c r="C22" s="11" t="e">
        <f>'Per FTE'!O36</f>
        <v>#REF!</v>
      </c>
      <c r="D22" s="11" t="e">
        <f>'Per FTE'!P36</f>
        <v>#REF!</v>
      </c>
      <c r="E22" s="28" t="e">
        <f>'Per FTE'!Q36</f>
        <v>#REF!</v>
      </c>
      <c r="F22" t="s">
        <v>134</v>
      </c>
    </row>
    <row r="23" spans="1:6" x14ac:dyDescent="0.45">
      <c r="A23" s="1" t="str">
        <f>'Per FTE'!A37</f>
        <v>School of Business</v>
      </c>
      <c r="C23" s="11" t="e">
        <f>'Per FTE'!O46</f>
        <v>#REF!</v>
      </c>
      <c r="D23" s="11" t="e">
        <f>'Per FTE'!P46</f>
        <v>#REF!</v>
      </c>
      <c r="E23" s="28" t="e">
        <f>'Per FTE'!Q46</f>
        <v>#REF!</v>
      </c>
    </row>
    <row r="24" spans="1:6" x14ac:dyDescent="0.45">
      <c r="A24" s="1" t="str">
        <f>'Per FTE'!A47</f>
        <v>School of Liberal Arts</v>
      </c>
      <c r="C24" s="11" t="e">
        <f>'Per FTE'!O65</f>
        <v>#REF!</v>
      </c>
      <c r="D24" s="11" t="e">
        <f>'Per FTE'!P65</f>
        <v>#REF!</v>
      </c>
      <c r="E24" s="28" t="e">
        <f>'Per FTE'!Q65</f>
        <v>#REF!</v>
      </c>
    </row>
    <row r="25" spans="1:6" x14ac:dyDescent="0.45">
      <c r="A25" s="1" t="str">
        <f>'Per FTE'!A66</f>
        <v>VPFA</v>
      </c>
      <c r="C25" s="11" t="e">
        <f>'Per FTE'!O80</f>
        <v>#REF!</v>
      </c>
      <c r="D25" s="11" t="e">
        <f>'Per FTE'!P80</f>
        <v>#REF!</v>
      </c>
      <c r="E25" s="28" t="e">
        <f>'Per FTE'!Q80</f>
        <v>#REF!</v>
      </c>
    </row>
    <row r="26" spans="1:6" x14ac:dyDescent="0.45">
      <c r="A26" s="1" t="str">
        <f>'Per FTE'!A81</f>
        <v>VPAthletics</v>
      </c>
      <c r="C26" s="11" t="e">
        <f>'Per FTE'!O99</f>
        <v>#REF!</v>
      </c>
      <c r="D26" s="11" t="e">
        <f>'Per FTE'!P99</f>
        <v>#REF!</v>
      </c>
      <c r="E26" s="28" t="e">
        <f>'Per FTE'!Q99</f>
        <v>#REF!</v>
      </c>
    </row>
    <row r="27" spans="1:6" x14ac:dyDescent="0.45">
      <c r="A27" s="1" t="str">
        <f>'Per FTE'!A100</f>
        <v>VPEM</v>
      </c>
      <c r="C27" s="11" t="e">
        <f>'Per FTE'!O105</f>
        <v>#REF!</v>
      </c>
      <c r="D27" s="11" t="e">
        <f>'Per FTE'!P105</f>
        <v>#REF!</v>
      </c>
      <c r="E27" s="28" t="e">
        <f>'Per FTE'!Q105</f>
        <v>#REF!</v>
      </c>
    </row>
    <row r="28" spans="1:6" x14ac:dyDescent="0.45">
      <c r="A28" s="1" t="str">
        <f>'Per FTE'!A106</f>
        <v>VPSA</v>
      </c>
      <c r="C28" s="11" t="e">
        <f>'Per FTE'!O115</f>
        <v>#REF!</v>
      </c>
      <c r="D28" s="11" t="e">
        <f>'Per FTE'!P115</f>
        <v>#REF!</v>
      </c>
      <c r="E28" s="28" t="e">
        <f>'Per FTE'!Q115</f>
        <v>#REF!</v>
      </c>
    </row>
    <row r="29" spans="1:6" x14ac:dyDescent="0.45">
      <c r="A29" s="1" t="str">
        <f>'Per FTE'!A116</f>
        <v>VPD</v>
      </c>
      <c r="C29" s="11" t="e">
        <f>'Per FTE'!O121</f>
        <v>#REF!</v>
      </c>
      <c r="D29" s="11" t="e">
        <f>'Per FTE'!P121</f>
        <v>#REF!</v>
      </c>
      <c r="E29" s="28" t="e">
        <f>'Per FTE'!Q121</f>
        <v>#REF!</v>
      </c>
    </row>
    <row r="30" spans="1:6" x14ac:dyDescent="0.45">
      <c r="A30" s="1" t="str">
        <f>'Per FTE'!A122</f>
        <v>President</v>
      </c>
      <c r="C30" s="11" t="e">
        <f>'Per FTE'!O128</f>
        <v>#REF!</v>
      </c>
      <c r="D30" s="11" t="e">
        <f>'Per FTE'!P128</f>
        <v>#REF!</v>
      </c>
      <c r="E30" s="28" t="e">
        <f>'Per FTE'!Q128</f>
        <v>#REF!</v>
      </c>
    </row>
  </sheetData>
  <mergeCells count="1">
    <mergeCell ref="C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Dept Exp</vt:lpstr>
      <vt:lpstr>Sheet1</vt:lpstr>
      <vt:lpstr>Per FTE</vt:lpstr>
      <vt:lpstr>Totals</vt:lpstr>
      <vt:lpstr>Chart1</vt:lpstr>
      <vt:lpstr>'Dept Exp'!Print_Area</vt:lpstr>
      <vt:lpstr>'Per FTE'!Print_Area</vt:lpstr>
      <vt:lpstr>'Dept Exp'!Print_Titles</vt:lpstr>
    </vt:vector>
  </TitlesOfParts>
  <Company>Siena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 Ragone, Mary E.</dc:creator>
  <cp:lastModifiedBy>Seifert, Charles</cp:lastModifiedBy>
  <cp:lastPrinted>2019-10-24T21:05:10Z</cp:lastPrinted>
  <dcterms:created xsi:type="dcterms:W3CDTF">2016-08-02T19:37:55Z</dcterms:created>
  <dcterms:modified xsi:type="dcterms:W3CDTF">2019-11-07T23:40:26Z</dcterms:modified>
</cp:coreProperties>
</file>