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s" sheetId="1" r:id="rId4"/>
    <sheet state="visible" name="Volumes" sheetId="2" r:id="rId5"/>
    <sheet state="visible" name="Cash Flow" sheetId="3" r:id="rId6"/>
    <sheet state="visible" name="Summary Metrics" sheetId="4" r:id="rId7"/>
    <sheet state="visible" name="TOC KPIs" sheetId="5" r:id="rId8"/>
  </sheets>
  <definedNames>
    <definedName name="Exotic_Fruits_Price">Variables!$E$5</definedName>
    <definedName name="Goldenberries_Price">Variables!$E$4</definedName>
    <definedName name="Pitahaya_Cost">Variables!$B$3</definedName>
    <definedName name="Exotic_Fruits_Cost">Variables!$B$5</definedName>
    <definedName name="Goldenberries_Cost">Variables!$B$4</definedName>
    <definedName name="Pitahaya_Price">Variables!$E$3</definedName>
  </definedNames>
  <calcPr/>
  <extLst>
    <ext uri="GoogleSheetsCustomDataVersion2">
      <go:sheetsCustomData xmlns:go="http://customooxmlschemas.google.com/" r:id="rId9" roundtripDataChecksum="GiUZyStof+lixFYbOylO2fV+ICbaohyam9ENdF1WRIQ="/>
    </ext>
  </extLst>
</workbook>
</file>

<file path=xl/sharedStrings.xml><?xml version="1.0" encoding="utf-8"?>
<sst xmlns="http://schemas.openxmlformats.org/spreadsheetml/2006/main" count="122" uniqueCount="97">
  <si>
    <t>VARIABLES DEFINITION</t>
  </si>
  <si>
    <t>Fruit Cost Variables ($/kg)</t>
  </si>
  <si>
    <t>Value</t>
  </si>
  <si>
    <t>Fruit Selling Variables ($/kg)</t>
  </si>
  <si>
    <t>Pitahaya_Cost</t>
  </si>
  <si>
    <t>Pitahaya_Price</t>
  </si>
  <si>
    <t>Goldenberries_Cost</t>
  </si>
  <si>
    <t>Goldenberries_Price</t>
  </si>
  <si>
    <t>Exotic_Fruits_Cost</t>
  </si>
  <si>
    <t>Exotic_Fruits_Price</t>
  </si>
  <si>
    <t>Monthly Volumes (kg)</t>
  </si>
  <si>
    <t>Product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</si>
  <si>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</si>
  <si>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</si>
  <si>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</si>
  <si>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</si>
  <si>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</si>
  <si>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</si>
  <si>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</si>
  <si>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</si>
  <si>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</si>
  <si>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</si>
  <si>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</si>
  <si>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</si>
  <si>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TOTAL</t>
  </si>
  <si>
    <t>Pitahaya</t>
  </si>
  <si>
    <t>Goldenberries</t>
  </si>
  <si>
    <t>Exotic Fruits</t>
  </si>
  <si>
    <t>CASH FLOW DETAIL FOR EXPORT OF ECUADORIAN FRUITS TO THE WORLD 2025-2026 (COMMERCIAL MODEL)</t>
  </si>
  <si>
    <t>CONCEPT / TIME</t>
  </si>
  <si>
    <t>1. EXPENSES</t>
  </si>
  <si>
    <t>FIXED COSTS (OVERHEAD)</t>
  </si>
  <si>
    <t>GSS Rebranding</t>
  </si>
  <si>
    <t>Packaging Materials</t>
  </si>
  <si>
    <t>Certifications</t>
  </si>
  <si>
    <t>Manager (Proportional)</t>
  </si>
  <si>
    <t>Export Commercial</t>
  </si>
  <si>
    <t>Accounting (Proportional)</t>
  </si>
  <si>
    <t>Assistant</t>
  </si>
  <si>
    <t>Commercial Expense</t>
  </si>
  <si>
    <t>GPF USA (Trade Show)</t>
  </si>
  <si>
    <t>Fruit Attraction (Trade Show)</t>
  </si>
  <si>
    <t>Fruit Logistica Berlin (Trade Show)</t>
  </si>
  <si>
    <t>Fruit Logistica Asia (Trade Show)</t>
  </si>
  <si>
    <t>TOTAL FIXED COSTS</t>
  </si>
  <si>
    <t>VARIABLE COSTS (PRODUCT-BASED)</t>
  </si>
  <si>
    <t>Direct Product Costs</t>
  </si>
  <si>
    <t>Pitahaya (Cost × Volume)</t>
  </si>
  <si>
    <t>Goldenberries (Cost × Volume)</t>
  </si>
  <si>
    <t>Exotic Fruits (Cost × Volume)</t>
  </si>
  <si>
    <t>TOTAL VARIABLE COSTS</t>
  </si>
  <si>
    <t>TOTAL EXPENSES</t>
  </si>
  <si>
    <t>2. INCOME</t>
  </si>
  <si>
    <t>Revenue by Product</t>
  </si>
  <si>
    <t>Pitahaya (Price × Volume)</t>
  </si>
  <si>
    <t>Goldenberries (Price × Volume)</t>
  </si>
  <si>
    <t>Exotic Fruits (Price × Volume)</t>
  </si>
  <si>
    <t>TOTAL INCOME</t>
  </si>
  <si>
    <t>3. PROFITABILITY</t>
  </si>
  <si>
    <t>Monthly Profit/Loss</t>
  </si>
  <si>
    <t>Cash Flow</t>
  </si>
  <si>
    <t>Working Capital Required</t>
  </si>
  <si>
    <t>SUMMARY PERFORMANCE METRICS</t>
  </si>
  <si>
    <t>Annual Business Performance</t>
  </si>
  <si>
    <t>Total Revenue</t>
  </si>
  <si>
    <t>Total Fixed Costs</t>
  </si>
  <si>
    <t>Total Variable Costs</t>
  </si>
  <si>
    <t>Total Expenses</t>
  </si>
  <si>
    <t>Net Profit</t>
  </si>
  <si>
    <t>Overall Profit Margin</t>
  </si>
  <si>
    <t>Product Profitability Analysis</t>
  </si>
  <si>
    <t>Revenue</t>
  </si>
  <si>
    <t>Cost</t>
  </si>
  <si>
    <t>Profit</t>
  </si>
  <si>
    <t>Margin</t>
  </si>
  <si>
    <t>Volume &amp; Pricing Summary</t>
  </si>
  <si>
    <t>Total Volume</t>
  </si>
  <si>
    <t>Average Selling Price</t>
  </si>
  <si>
    <t>Average Cost</t>
  </si>
  <si>
    <t>Average Margin</t>
  </si>
  <si>
    <t>THEORY OF CONSTRAINTS (TOC) KPIs</t>
  </si>
  <si>
    <t>Core TOC Metrics</t>
  </si>
  <si>
    <t>Metric</t>
  </si>
  <si>
    <t>Throughput (T)</t>
  </si>
  <si>
    <t>Daily Throughput Rate</t>
  </si>
  <si>
    <t>Inventory (I)</t>
  </si>
  <si>
    <t>Inventory Turnover</t>
  </si>
  <si>
    <t>Operating Expense (OE)</t>
  </si>
  <si>
    <t>ROI ((T-OE)/I)</t>
  </si>
  <si>
    <t>Productivity (T/OE)</t>
  </si>
  <si>
    <t>Investment Turn (T/I)</t>
  </si>
  <si>
    <t>Product-Level TOC Performance</t>
  </si>
  <si>
    <t>Throughput</t>
  </si>
  <si>
    <t>T Share</t>
  </si>
  <si>
    <t>Allocated OE</t>
  </si>
  <si>
    <t>T/OE Ratio</t>
  </si>
  <si>
    <t>Strategic Priority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</si>
</sst>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,##0.00&quot;/kg&quot;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FFC000"/>
        <bgColor rgb="FFFFC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2" fontId="1" numFmtId="0" xfId="0" applyAlignment="1" applyBorder="1" applyFill="1" applyFont="1">
      <alignment horizontal="left"/>
    </xf>
    <xf borderId="1" fillId="0" fontId="2" numFmtId="0" xfId="0" applyAlignment="1" applyBorder="1" applyFont="1">
      <alignment horizontal="left"/>
    </xf>
    <xf borderId="1" fillId="0" fontId="2" numFmtId="4" xfId="0" applyAlignment="1" applyBorder="1" applyFont="1" applyNumberFormat="1">
      <alignment horizontal="right"/>
    </xf>
    <xf borderId="1" fillId="0" fontId="2" numFmtId="4" xfId="0" applyAlignment="1" applyBorder="1" applyFont="1" applyNumberFormat="1">
      <alignment horizontal="left"/>
    </xf>
    <xf borderId="1" fillId="0" fontId="2" numFmtId="3" xfId="0" applyAlignment="1" applyBorder="1" applyFont="1" applyNumberFormat="1">
      <alignment horizontal="right"/>
    </xf>
    <xf borderId="1" fillId="3" fontId="1" numFmtId="0" xfId="0" applyAlignment="1" applyBorder="1" applyFill="1" applyFont="1">
      <alignment horizontal="left"/>
    </xf>
    <xf borderId="1" fillId="4" fontId="1" numFmtId="0" xfId="0" applyAlignment="1" applyBorder="1" applyFill="1" applyFont="1">
      <alignment horizontal="left"/>
    </xf>
    <xf borderId="1" fillId="5" fontId="1" numFmtId="0" xfId="0" applyAlignment="1" applyBorder="1" applyFill="1" applyFont="1">
      <alignment horizontal="left"/>
    </xf>
    <xf borderId="1" fillId="5" fontId="2" numFmtId="0" xfId="0" applyAlignment="1" applyBorder="1" applyFont="1">
      <alignment horizontal="left"/>
    </xf>
    <xf borderId="1" fillId="6" fontId="1" numFmtId="0" xfId="0" applyAlignment="1" applyBorder="1" applyFill="1" applyFont="1">
      <alignment horizontal="left"/>
    </xf>
    <xf borderId="1" fillId="6" fontId="2" numFmtId="3" xfId="0" applyAlignment="1" applyBorder="1" applyFont="1" applyNumberFormat="1">
      <alignment horizontal="right"/>
    </xf>
    <xf borderId="1" fillId="0" fontId="2" numFmtId="10" xfId="0" applyAlignment="1" applyBorder="1" applyFont="1" applyNumberFormat="1">
      <alignment horizontal="right"/>
    </xf>
    <xf borderId="1" fillId="0" fontId="2" numFmtId="164" xfId="0" applyAlignment="1" applyBorder="1" applyFont="1" applyNumberFormat="1">
      <alignment horizontal="right"/>
    </xf>
    <xf borderId="1" fillId="0" fontId="2" numFmtId="165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3" width="16.0"/>
    <col customWidth="1" min="4" max="4" width="25.14"/>
    <col customWidth="1" min="5" max="6" width="16.0"/>
    <col customWidth="1" min="7" max="26" width="8.71"/>
  </cols>
  <sheetData>
    <row r="1">
      <c r="A1" s="1" t="s">
        <v>0</v>
      </c>
    </row>
    <row r="2">
      <c r="A2" s="2" t="s">
        <v>1</v>
      </c>
      <c r="B2" s="2" t="s">
        <v>2</v>
      </c>
      <c r="D2" s="2" t="s">
        <v>3</v>
      </c>
      <c r="E2" s="2" t="s">
        <v>2</v>
      </c>
    </row>
    <row r="3">
      <c r="A3" s="3" t="s">
        <v>4</v>
      </c>
      <c r="B3" s="4">
        <v>5.63</v>
      </c>
      <c r="D3" s="3" t="s">
        <v>5</v>
      </c>
      <c r="E3" s="4">
        <v>6.63</v>
      </c>
    </row>
    <row r="4">
      <c r="A4" s="3" t="s">
        <v>6</v>
      </c>
      <c r="B4" s="4">
        <v>6.18</v>
      </c>
      <c r="D4" s="3" t="s">
        <v>7</v>
      </c>
      <c r="E4" s="4">
        <v>7.0</v>
      </c>
    </row>
    <row r="5">
      <c r="A5" s="3" t="s">
        <v>8</v>
      </c>
      <c r="B5" s="4">
        <v>4.5</v>
      </c>
      <c r="D5" s="3" t="s">
        <v>9</v>
      </c>
      <c r="E5" s="4">
        <v>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15" width="16.0"/>
    <col customWidth="1" min="16" max="26" width="8.71"/>
  </cols>
  <sheetData>
    <row r="1">
      <c r="A1" s="1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12</v>
      </c>
      <c r="O2" s="2" t="s">
        <v>24</v>
      </c>
    </row>
    <row r="3">
      <c r="A3" s="1" t="s">
        <v>25</v>
      </c>
      <c r="B3" s="5">
        <v>2250.088809946714</v>
      </c>
      <c r="C3" s="5">
        <v>4500.0</v>
      </c>
      <c r="D3" s="5">
        <v>6750.088809946714</v>
      </c>
      <c r="E3" s="5">
        <v>6750.088809946714</v>
      </c>
      <c r="F3" s="5">
        <v>9000.0</v>
      </c>
      <c r="G3" s="5">
        <v>11250.08880994671</v>
      </c>
      <c r="H3" s="5">
        <v>15750.08880994671</v>
      </c>
      <c r="I3" s="5">
        <v>15750.08880994671</v>
      </c>
      <c r="J3" s="5">
        <v>15750.08880994671</v>
      </c>
      <c r="K3" s="5">
        <v>20250.08880994672</v>
      </c>
      <c r="L3" s="5">
        <v>22500.0</v>
      </c>
      <c r="M3" s="5">
        <v>22500.0</v>
      </c>
      <c r="N3" s="5">
        <v>22500.0</v>
      </c>
      <c r="O3" s="6">
        <f t="shared" ref="O3:O5" si="1">SUM(B3:N3)</f>
        <v>175500.7105</v>
      </c>
    </row>
    <row r="4">
      <c r="A4" s="1" t="s">
        <v>26</v>
      </c>
      <c r="B4" s="5">
        <v>0.0</v>
      </c>
      <c r="C4" s="5">
        <v>588.0258899676376</v>
      </c>
      <c r="D4" s="5">
        <v>2645.954692556634</v>
      </c>
      <c r="E4" s="5">
        <v>2645.954692556634</v>
      </c>
      <c r="F4" s="5">
        <v>2645.954692556634</v>
      </c>
      <c r="G4" s="5">
        <v>7055.987055016181</v>
      </c>
      <c r="H4" s="5">
        <v>9261.003236245955</v>
      </c>
      <c r="I4" s="5">
        <v>9261.003236245955</v>
      </c>
      <c r="J4" s="5">
        <v>14700.0</v>
      </c>
      <c r="K4" s="5">
        <v>24695.95469255664</v>
      </c>
      <c r="L4" s="5">
        <v>24695.95469255664</v>
      </c>
      <c r="M4" s="5">
        <v>24695.95469255664</v>
      </c>
      <c r="N4" s="5">
        <v>24695.95469255664</v>
      </c>
      <c r="O4" s="6">
        <f t="shared" si="1"/>
        <v>147587.7023</v>
      </c>
    </row>
    <row r="5">
      <c r="A5" s="1" t="s">
        <v>27</v>
      </c>
      <c r="B5" s="5">
        <v>0.0</v>
      </c>
      <c r="C5" s="5">
        <v>0.0</v>
      </c>
      <c r="D5" s="5">
        <v>500.0</v>
      </c>
      <c r="E5" s="5">
        <v>500.0</v>
      </c>
      <c r="F5" s="5">
        <v>500.0</v>
      </c>
      <c r="G5" s="5">
        <v>1000.0</v>
      </c>
      <c r="H5" s="5">
        <v>1000.0</v>
      </c>
      <c r="I5" s="5">
        <v>1000.0</v>
      </c>
      <c r="J5" s="5">
        <v>1000.0</v>
      </c>
      <c r="K5" s="5">
        <v>2000.0</v>
      </c>
      <c r="L5" s="5">
        <v>2000.0</v>
      </c>
      <c r="M5" s="5">
        <v>2000.0</v>
      </c>
      <c r="N5" s="5">
        <v>3000.0</v>
      </c>
      <c r="O5" s="6">
        <f t="shared" si="1"/>
        <v>14500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14"/>
    <col customWidth="1" min="2" max="15" width="16.0"/>
    <col customWidth="1" min="16" max="26" width="8.71"/>
  </cols>
  <sheetData>
    <row r="1">
      <c r="A1" s="1" t="s">
        <v>28</v>
      </c>
    </row>
    <row r="3">
      <c r="A3" s="7" t="s">
        <v>29</v>
      </c>
      <c r="B3" s="7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J3" s="7" t="s">
        <v>20</v>
      </c>
      <c r="K3" s="7" t="s">
        <v>21</v>
      </c>
      <c r="L3" s="7" t="s">
        <v>22</v>
      </c>
      <c r="M3" s="7" t="s">
        <v>23</v>
      </c>
      <c r="N3" s="7" t="s">
        <v>12</v>
      </c>
      <c r="O3" s="7" t="s">
        <v>24</v>
      </c>
    </row>
    <row r="4">
      <c r="A4" s="8" t="s">
        <v>30</v>
      </c>
    </row>
    <row r="5">
      <c r="A5" s="9" t="s">
        <v>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>
      <c r="A6" s="3" t="s">
        <v>32</v>
      </c>
      <c r="B6" s="6">
        <v>3500.0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f t="shared" ref="O6:O18" si="1">SUM(B6:N6)</f>
        <v>3500</v>
      </c>
    </row>
    <row r="7">
      <c r="A7" s="3" t="s">
        <v>33</v>
      </c>
      <c r="B7" s="6">
        <v>10000.0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f t="shared" si="1"/>
        <v>10000</v>
      </c>
    </row>
    <row r="8">
      <c r="A8" s="3" t="s">
        <v>34</v>
      </c>
      <c r="B8" s="6">
        <v>10000.0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f t="shared" si="1"/>
        <v>10000</v>
      </c>
    </row>
    <row r="9">
      <c r="A9" s="3" t="s">
        <v>35</v>
      </c>
      <c r="B9" s="6">
        <v>850.0</v>
      </c>
      <c r="C9" s="6">
        <v>850.0</v>
      </c>
      <c r="D9" s="6">
        <v>850.0</v>
      </c>
      <c r="E9" s="6">
        <v>850.0</v>
      </c>
      <c r="F9" s="6">
        <v>850.0</v>
      </c>
      <c r="G9" s="6">
        <v>850.0</v>
      </c>
      <c r="H9" s="6">
        <v>850.0</v>
      </c>
      <c r="I9" s="6">
        <v>850.0</v>
      </c>
      <c r="J9" s="6">
        <v>850.0</v>
      </c>
      <c r="K9" s="6">
        <v>850.0</v>
      </c>
      <c r="L9" s="6">
        <v>850.0</v>
      </c>
      <c r="M9" s="6">
        <v>850.0</v>
      </c>
      <c r="N9" s="6">
        <v>850.0</v>
      </c>
      <c r="O9" s="6">
        <f t="shared" si="1"/>
        <v>11050</v>
      </c>
    </row>
    <row r="10">
      <c r="A10" s="3" t="s">
        <v>36</v>
      </c>
      <c r="B10" s="6">
        <v>1500.0</v>
      </c>
      <c r="C10" s="6">
        <v>1500.0</v>
      </c>
      <c r="D10" s="6">
        <v>1500.0</v>
      </c>
      <c r="E10" s="6">
        <v>1500.0</v>
      </c>
      <c r="F10" s="6">
        <v>1500.0</v>
      </c>
      <c r="G10" s="6">
        <v>1500.0</v>
      </c>
      <c r="H10" s="6">
        <v>1500.0</v>
      </c>
      <c r="I10" s="6">
        <v>1500.0</v>
      </c>
      <c r="J10" s="6">
        <v>1500.0</v>
      </c>
      <c r="K10" s="6">
        <v>1500.0</v>
      </c>
      <c r="L10" s="6">
        <v>1500.0</v>
      </c>
      <c r="M10" s="6">
        <v>1500.0</v>
      </c>
      <c r="N10" s="6">
        <v>1500.0</v>
      </c>
      <c r="O10" s="6">
        <f t="shared" si="1"/>
        <v>19500</v>
      </c>
    </row>
    <row r="11">
      <c r="A11" s="3" t="s">
        <v>37</v>
      </c>
      <c r="B11" s="6">
        <v>700.0</v>
      </c>
      <c r="C11" s="6">
        <v>700.0</v>
      </c>
      <c r="D11" s="6">
        <v>700.0</v>
      </c>
      <c r="E11" s="6">
        <v>700.0</v>
      </c>
      <c r="F11" s="6">
        <v>700.0</v>
      </c>
      <c r="G11" s="6">
        <v>700.0</v>
      </c>
      <c r="H11" s="6">
        <v>700.0</v>
      </c>
      <c r="I11" s="6">
        <v>700.0</v>
      </c>
      <c r="J11" s="6">
        <v>700.0</v>
      </c>
      <c r="K11" s="6">
        <v>700.0</v>
      </c>
      <c r="L11" s="6">
        <v>700.0</v>
      </c>
      <c r="M11" s="6">
        <v>700.0</v>
      </c>
      <c r="N11" s="6">
        <v>700.0</v>
      </c>
      <c r="O11" s="6">
        <f t="shared" si="1"/>
        <v>9100</v>
      </c>
    </row>
    <row r="12">
      <c r="A12" s="3" t="s">
        <v>38</v>
      </c>
      <c r="B12" s="6">
        <v>550.0</v>
      </c>
      <c r="C12" s="6">
        <v>550.0</v>
      </c>
      <c r="D12" s="6">
        <v>550.0</v>
      </c>
      <c r="E12" s="6">
        <v>550.0</v>
      </c>
      <c r="F12" s="6">
        <v>550.0</v>
      </c>
      <c r="G12" s="6">
        <v>550.0</v>
      </c>
      <c r="H12" s="6">
        <v>550.0</v>
      </c>
      <c r="I12" s="6">
        <v>550.0</v>
      </c>
      <c r="J12" s="6">
        <v>550.0</v>
      </c>
      <c r="K12" s="6">
        <v>550.0</v>
      </c>
      <c r="L12" s="6">
        <v>550.0</v>
      </c>
      <c r="M12" s="6">
        <v>550.0</v>
      </c>
      <c r="N12" s="6">
        <v>550.0</v>
      </c>
      <c r="O12" s="6">
        <f t="shared" si="1"/>
        <v>7150</v>
      </c>
    </row>
    <row r="13">
      <c r="A13" s="3" t="s">
        <v>39</v>
      </c>
      <c r="B13" s="6">
        <v>1500.0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f t="shared" si="1"/>
        <v>1500</v>
      </c>
    </row>
    <row r="14">
      <c r="A14" s="3" t="s">
        <v>40</v>
      </c>
      <c r="B14" s="6">
        <v>8280.0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f t="shared" si="1"/>
        <v>8280</v>
      </c>
    </row>
    <row r="15">
      <c r="A15" s="3" t="s">
        <v>41</v>
      </c>
      <c r="B15" s="6">
        <v>15800.0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f t="shared" si="1"/>
        <v>15800</v>
      </c>
    </row>
    <row r="16">
      <c r="A16" s="3" t="s">
        <v>42</v>
      </c>
      <c r="B16" s="6">
        <v>0.0</v>
      </c>
      <c r="C16" s="6">
        <v>0.0</v>
      </c>
      <c r="D16" s="6">
        <v>19300.0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f t="shared" si="1"/>
        <v>19300</v>
      </c>
    </row>
    <row r="17">
      <c r="A17" s="3" t="s">
        <v>43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17400.0</v>
      </c>
      <c r="K17" s="6">
        <v>0.0</v>
      </c>
      <c r="L17" s="6">
        <v>0.0</v>
      </c>
      <c r="M17" s="6">
        <v>0.0</v>
      </c>
      <c r="N17" s="6">
        <v>0.0</v>
      </c>
      <c r="O17" s="6">
        <f t="shared" si="1"/>
        <v>17400</v>
      </c>
    </row>
    <row r="18">
      <c r="A18" s="11" t="s">
        <v>44</v>
      </c>
      <c r="B18" s="12">
        <f t="shared" ref="B18:N18" si="2">SUM(B6:B17)</f>
        <v>52680</v>
      </c>
      <c r="C18" s="12">
        <f t="shared" si="2"/>
        <v>3600</v>
      </c>
      <c r="D18" s="12">
        <f t="shared" si="2"/>
        <v>22900</v>
      </c>
      <c r="E18" s="12">
        <f t="shared" si="2"/>
        <v>3600</v>
      </c>
      <c r="F18" s="12">
        <f t="shared" si="2"/>
        <v>3600</v>
      </c>
      <c r="G18" s="12">
        <f t="shared" si="2"/>
        <v>3600</v>
      </c>
      <c r="H18" s="12">
        <f t="shared" si="2"/>
        <v>3600</v>
      </c>
      <c r="I18" s="12">
        <f t="shared" si="2"/>
        <v>3600</v>
      </c>
      <c r="J18" s="12">
        <f t="shared" si="2"/>
        <v>21000</v>
      </c>
      <c r="K18" s="12">
        <f t="shared" si="2"/>
        <v>3600</v>
      </c>
      <c r="L18" s="12">
        <f t="shared" si="2"/>
        <v>3600</v>
      </c>
      <c r="M18" s="12">
        <f t="shared" si="2"/>
        <v>3600</v>
      </c>
      <c r="N18" s="12">
        <f t="shared" si="2"/>
        <v>3600</v>
      </c>
      <c r="O18" s="12">
        <f t="shared" si="1"/>
        <v>132580</v>
      </c>
    </row>
    <row r="19">
      <c r="A19" s="9" t="s">
        <v>45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>
      <c r="A20" s="9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ht="15.75" customHeight="1">
      <c r="A21" s="3" t="s">
        <v>47</v>
      </c>
      <c r="B21" s="6">
        <f>Pitahaya_Cost*Volumes!B3</f>
        <v>12668</v>
      </c>
      <c r="C21" s="6">
        <f>Pitahaya_Cost*Volumes!C3</f>
        <v>25335</v>
      </c>
      <c r="D21" s="6">
        <f>Pitahaya_Cost*Volumes!D3</f>
        <v>38003</v>
      </c>
      <c r="E21" s="6">
        <f>Pitahaya_Cost*Volumes!E3</f>
        <v>38003</v>
      </c>
      <c r="F21" s="6">
        <f>Pitahaya_Cost*Volumes!F3</f>
        <v>50670</v>
      </c>
      <c r="G21" s="6">
        <f>Pitahaya_Cost*Volumes!G3</f>
        <v>63338</v>
      </c>
      <c r="H21" s="6">
        <f>Pitahaya_Cost*Volumes!H3</f>
        <v>88673</v>
      </c>
      <c r="I21" s="6">
        <f>Pitahaya_Cost*Volumes!I3</f>
        <v>88673</v>
      </c>
      <c r="J21" s="6">
        <f>Pitahaya_Cost*Volumes!J3</f>
        <v>88673</v>
      </c>
      <c r="K21" s="6">
        <f>Pitahaya_Cost*Volumes!K3</f>
        <v>114008</v>
      </c>
      <c r="L21" s="6">
        <f>Pitahaya_Cost*Volumes!L3</f>
        <v>126675</v>
      </c>
      <c r="M21" s="6">
        <f>Pitahaya_Cost*Volumes!M3</f>
        <v>126675</v>
      </c>
      <c r="N21" s="6">
        <f>Pitahaya_Cost*Volumes!N3</f>
        <v>126675</v>
      </c>
      <c r="O21" s="6">
        <f t="shared" ref="O21:O25" si="3">SUM(B21:N21)</f>
        <v>988069</v>
      </c>
    </row>
    <row r="22" ht="15.75" customHeight="1">
      <c r="A22" s="3" t="s">
        <v>48</v>
      </c>
      <c r="B22" s="6">
        <f>Goldenberries_Cost*Volumes!B4</f>
        <v>0</v>
      </c>
      <c r="C22" s="6">
        <f>Goldenberries_Cost*Volumes!C4</f>
        <v>3634</v>
      </c>
      <c r="D22" s="6">
        <f>Goldenberries_Cost*Volumes!D4</f>
        <v>16352</v>
      </c>
      <c r="E22" s="6">
        <f>Goldenberries_Cost*Volumes!E4</f>
        <v>16352</v>
      </c>
      <c r="F22" s="6">
        <f>Goldenberries_Cost*Volumes!F4</f>
        <v>16352</v>
      </c>
      <c r="G22" s="6">
        <f>Goldenberries_Cost*Volumes!G4</f>
        <v>43606</v>
      </c>
      <c r="H22" s="6">
        <f>Goldenberries_Cost*Volumes!H4</f>
        <v>57233</v>
      </c>
      <c r="I22" s="6">
        <f>Goldenberries_Cost*Volumes!I4</f>
        <v>57233</v>
      </c>
      <c r="J22" s="6">
        <f>Goldenberries_Cost*Volumes!J4</f>
        <v>90846</v>
      </c>
      <c r="K22" s="6">
        <f>Goldenberries_Cost*Volumes!K4</f>
        <v>152621</v>
      </c>
      <c r="L22" s="6">
        <f>Goldenberries_Cost*Volumes!L4</f>
        <v>152621</v>
      </c>
      <c r="M22" s="6">
        <f>Goldenberries_Cost*Volumes!M4</f>
        <v>152621</v>
      </c>
      <c r="N22" s="6">
        <f>Goldenberries_Cost*Volumes!N4</f>
        <v>152621</v>
      </c>
      <c r="O22" s="6">
        <f t="shared" si="3"/>
        <v>912092</v>
      </c>
    </row>
    <row r="23" ht="15.75" customHeight="1">
      <c r="A23" s="3" t="s">
        <v>49</v>
      </c>
      <c r="B23" s="6">
        <f>Exotic_Fruits_Cost*Volumes!B5</f>
        <v>0</v>
      </c>
      <c r="C23" s="6">
        <f>Exotic_Fruits_Cost*Volumes!C5</f>
        <v>0</v>
      </c>
      <c r="D23" s="6">
        <f>Exotic_Fruits_Cost*Volumes!D5</f>
        <v>2250</v>
      </c>
      <c r="E23" s="6">
        <f>Exotic_Fruits_Cost*Volumes!E5</f>
        <v>2250</v>
      </c>
      <c r="F23" s="6">
        <f>Exotic_Fruits_Cost*Volumes!F5</f>
        <v>2250</v>
      </c>
      <c r="G23" s="6">
        <f>Exotic_Fruits_Cost*Volumes!G5</f>
        <v>4500</v>
      </c>
      <c r="H23" s="6">
        <f>Exotic_Fruits_Cost*Volumes!H5</f>
        <v>4500</v>
      </c>
      <c r="I23" s="6">
        <f>Exotic_Fruits_Cost*Volumes!I5</f>
        <v>4500</v>
      </c>
      <c r="J23" s="6">
        <f>Exotic_Fruits_Cost*Volumes!J5</f>
        <v>4500</v>
      </c>
      <c r="K23" s="6">
        <f>Exotic_Fruits_Cost*Volumes!K5</f>
        <v>9000</v>
      </c>
      <c r="L23" s="6">
        <f>Exotic_Fruits_Cost*Volumes!L5</f>
        <v>9000</v>
      </c>
      <c r="M23" s="6">
        <f>Exotic_Fruits_Cost*Volumes!M5</f>
        <v>9000</v>
      </c>
      <c r="N23" s="6">
        <f>Exotic_Fruits_Cost*Volumes!N5</f>
        <v>13500</v>
      </c>
      <c r="O23" s="6">
        <f t="shared" si="3"/>
        <v>65250</v>
      </c>
    </row>
    <row r="24" ht="15.75" customHeight="1">
      <c r="A24" s="11" t="s">
        <v>50</v>
      </c>
      <c r="B24" s="12">
        <f t="shared" ref="B24:N24" si="4">SUM(B21:B23)</f>
        <v>12668</v>
      </c>
      <c r="C24" s="12">
        <f t="shared" si="4"/>
        <v>28969</v>
      </c>
      <c r="D24" s="12">
        <f t="shared" si="4"/>
        <v>56605</v>
      </c>
      <c r="E24" s="12">
        <f t="shared" si="4"/>
        <v>56605</v>
      </c>
      <c r="F24" s="12">
        <f t="shared" si="4"/>
        <v>69272</v>
      </c>
      <c r="G24" s="12">
        <f t="shared" si="4"/>
        <v>111444</v>
      </c>
      <c r="H24" s="12">
        <f t="shared" si="4"/>
        <v>150406</v>
      </c>
      <c r="I24" s="12">
        <f t="shared" si="4"/>
        <v>150406</v>
      </c>
      <c r="J24" s="12">
        <f t="shared" si="4"/>
        <v>184019</v>
      </c>
      <c r="K24" s="12">
        <f t="shared" si="4"/>
        <v>275629</v>
      </c>
      <c r="L24" s="12">
        <f t="shared" si="4"/>
        <v>288296</v>
      </c>
      <c r="M24" s="12">
        <f t="shared" si="4"/>
        <v>288296</v>
      </c>
      <c r="N24" s="12">
        <f t="shared" si="4"/>
        <v>292796</v>
      </c>
      <c r="O24" s="12">
        <f t="shared" si="3"/>
        <v>1965411</v>
      </c>
    </row>
    <row r="25" ht="15.75" customHeight="1">
      <c r="A25" s="11" t="s">
        <v>51</v>
      </c>
      <c r="B25" s="12">
        <f t="shared" ref="B25:N25" si="5">B18+B24</f>
        <v>65348</v>
      </c>
      <c r="C25" s="12">
        <f t="shared" si="5"/>
        <v>32569</v>
      </c>
      <c r="D25" s="12">
        <f t="shared" si="5"/>
        <v>79505</v>
      </c>
      <c r="E25" s="12">
        <f t="shared" si="5"/>
        <v>60205</v>
      </c>
      <c r="F25" s="12">
        <f t="shared" si="5"/>
        <v>72872</v>
      </c>
      <c r="G25" s="12">
        <f t="shared" si="5"/>
        <v>115044</v>
      </c>
      <c r="H25" s="12">
        <f t="shared" si="5"/>
        <v>154006</v>
      </c>
      <c r="I25" s="12">
        <f t="shared" si="5"/>
        <v>154006</v>
      </c>
      <c r="J25" s="12">
        <f t="shared" si="5"/>
        <v>205019</v>
      </c>
      <c r="K25" s="12">
        <f t="shared" si="5"/>
        <v>279229</v>
      </c>
      <c r="L25" s="12">
        <f t="shared" si="5"/>
        <v>291896</v>
      </c>
      <c r="M25" s="12">
        <f t="shared" si="5"/>
        <v>291896</v>
      </c>
      <c r="N25" s="12">
        <f t="shared" si="5"/>
        <v>296396</v>
      </c>
      <c r="O25" s="12">
        <f t="shared" si="3"/>
        <v>2097991</v>
      </c>
    </row>
    <row r="26" ht="15.75" customHeight="1">
      <c r="A26" s="8" t="s">
        <v>52</v>
      </c>
    </row>
    <row r="27" ht="15.75" customHeight="1">
      <c r="A27" s="9" t="s">
        <v>53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ht="15.75" customHeight="1">
      <c r="A28" s="3" t="s">
        <v>54</v>
      </c>
      <c r="B28" s="6">
        <f>Pitahaya_Price*Volumes!B3</f>
        <v>14918.08881</v>
      </c>
      <c r="C28" s="6">
        <f>Pitahaya_Price*Volumes!C3</f>
        <v>29835</v>
      </c>
      <c r="D28" s="6">
        <f>Pitahaya_Price*Volumes!D3</f>
        <v>44753.08881</v>
      </c>
      <c r="E28" s="6">
        <f>Pitahaya_Price*Volumes!E3</f>
        <v>44753.08881</v>
      </c>
      <c r="F28" s="6">
        <f>Pitahaya_Price*Volumes!F3</f>
        <v>59670</v>
      </c>
      <c r="G28" s="6">
        <f>Pitahaya_Price*Volumes!G3</f>
        <v>74588.08881</v>
      </c>
      <c r="H28" s="6">
        <f>Pitahaya_Price*Volumes!H3</f>
        <v>104423.0888</v>
      </c>
      <c r="I28" s="6">
        <f>Pitahaya_Price*Volumes!I3</f>
        <v>104423.0888</v>
      </c>
      <c r="J28" s="6">
        <f>Pitahaya_Price*Volumes!J3</f>
        <v>104423.0888</v>
      </c>
      <c r="K28" s="6">
        <f>Pitahaya_Price*Volumes!K3</f>
        <v>134258.0888</v>
      </c>
      <c r="L28" s="6">
        <f>Pitahaya_Price*Volumes!L3</f>
        <v>149175</v>
      </c>
      <c r="M28" s="6">
        <f>Pitahaya_Price*Volumes!M3</f>
        <v>149175</v>
      </c>
      <c r="N28" s="6">
        <f>Pitahaya_Price*Volumes!N3</f>
        <v>149175</v>
      </c>
      <c r="O28" s="6">
        <f t="shared" ref="O28:O31" si="6">SUM(B28:N28)</f>
        <v>1163569.71</v>
      </c>
    </row>
    <row r="29" ht="15.75" customHeight="1">
      <c r="A29" s="3" t="s">
        <v>55</v>
      </c>
      <c r="B29" s="6">
        <f>Goldenberries_Price*Volumes!B4</f>
        <v>0</v>
      </c>
      <c r="C29" s="6">
        <f>Goldenberries_Price*Volumes!C4</f>
        <v>4116.18123</v>
      </c>
      <c r="D29" s="6">
        <f>Goldenberries_Price*Volumes!D4</f>
        <v>18521.68285</v>
      </c>
      <c r="E29" s="6">
        <f>Goldenberries_Price*Volumes!E4</f>
        <v>18521.68285</v>
      </c>
      <c r="F29" s="6">
        <f>Goldenberries_Price*Volumes!F4</f>
        <v>18521.68285</v>
      </c>
      <c r="G29" s="6">
        <f>Goldenberries_Price*Volumes!G4</f>
        <v>49391.90939</v>
      </c>
      <c r="H29" s="6">
        <f>Goldenberries_Price*Volumes!H4</f>
        <v>64827.02265</v>
      </c>
      <c r="I29" s="6">
        <f>Goldenberries_Price*Volumes!I4</f>
        <v>64827.02265</v>
      </c>
      <c r="J29" s="6">
        <f>Goldenberries_Price*Volumes!J4</f>
        <v>102900</v>
      </c>
      <c r="K29" s="6">
        <f>Goldenberries_Price*Volumes!K4</f>
        <v>172871.6828</v>
      </c>
      <c r="L29" s="6">
        <f>Goldenberries_Price*Volumes!L4</f>
        <v>172871.6828</v>
      </c>
      <c r="M29" s="6">
        <f>Goldenberries_Price*Volumes!M4</f>
        <v>172871.6828</v>
      </c>
      <c r="N29" s="6">
        <f>Goldenberries_Price*Volumes!N4</f>
        <v>172871.6828</v>
      </c>
      <c r="O29" s="6">
        <f t="shared" si="6"/>
        <v>1033113.916</v>
      </c>
    </row>
    <row r="30" ht="15.75" customHeight="1">
      <c r="A30" s="3" t="s">
        <v>56</v>
      </c>
      <c r="B30" s="6">
        <f>Exotic_Fruits_Price*Volumes!B5</f>
        <v>0</v>
      </c>
      <c r="C30" s="6">
        <f>Exotic_Fruits_Price*Volumes!C5</f>
        <v>0</v>
      </c>
      <c r="D30" s="6">
        <f>Exotic_Fruits_Price*Volumes!D5</f>
        <v>2500</v>
      </c>
      <c r="E30" s="6">
        <f>Exotic_Fruits_Price*Volumes!E5</f>
        <v>2500</v>
      </c>
      <c r="F30" s="6">
        <f>Exotic_Fruits_Price*Volumes!F5</f>
        <v>2500</v>
      </c>
      <c r="G30" s="6">
        <f>Exotic_Fruits_Price*Volumes!G5</f>
        <v>5000</v>
      </c>
      <c r="H30" s="6">
        <f>Exotic_Fruits_Price*Volumes!H5</f>
        <v>5000</v>
      </c>
      <c r="I30" s="6">
        <f>Exotic_Fruits_Price*Volumes!I5</f>
        <v>5000</v>
      </c>
      <c r="J30" s="6">
        <f>Exotic_Fruits_Price*Volumes!J5</f>
        <v>5000</v>
      </c>
      <c r="K30" s="6">
        <f>Exotic_Fruits_Price*Volumes!K5</f>
        <v>10000</v>
      </c>
      <c r="L30" s="6">
        <f>Exotic_Fruits_Price*Volumes!L5</f>
        <v>10000</v>
      </c>
      <c r="M30" s="6">
        <f>Exotic_Fruits_Price*Volumes!M5</f>
        <v>10000</v>
      </c>
      <c r="N30" s="6">
        <f>Exotic_Fruits_Price*Volumes!N5</f>
        <v>15000</v>
      </c>
      <c r="O30" s="6">
        <f t="shared" si="6"/>
        <v>72500</v>
      </c>
    </row>
    <row r="31" ht="15.75" customHeight="1">
      <c r="A31" s="11" t="s">
        <v>57</v>
      </c>
      <c r="B31" s="12">
        <f t="shared" ref="B31:N31" si="7">SUM(B28:B30)</f>
        <v>14918.08881</v>
      </c>
      <c r="C31" s="12">
        <f t="shared" si="7"/>
        <v>33951.18123</v>
      </c>
      <c r="D31" s="12">
        <f t="shared" si="7"/>
        <v>65774.77166</v>
      </c>
      <c r="E31" s="12">
        <f t="shared" si="7"/>
        <v>65774.77166</v>
      </c>
      <c r="F31" s="12">
        <f t="shared" si="7"/>
        <v>80691.68285</v>
      </c>
      <c r="G31" s="12">
        <f t="shared" si="7"/>
        <v>128979.9982</v>
      </c>
      <c r="H31" s="12">
        <f t="shared" si="7"/>
        <v>174250.1115</v>
      </c>
      <c r="I31" s="12">
        <f t="shared" si="7"/>
        <v>174250.1115</v>
      </c>
      <c r="J31" s="12">
        <f t="shared" si="7"/>
        <v>212323.0888</v>
      </c>
      <c r="K31" s="12">
        <f t="shared" si="7"/>
        <v>317129.7717</v>
      </c>
      <c r="L31" s="12">
        <f t="shared" si="7"/>
        <v>332046.6828</v>
      </c>
      <c r="M31" s="12">
        <f t="shared" si="7"/>
        <v>332046.6828</v>
      </c>
      <c r="N31" s="12">
        <f t="shared" si="7"/>
        <v>337046.6828</v>
      </c>
      <c r="O31" s="12">
        <f t="shared" si="6"/>
        <v>2269183.626</v>
      </c>
    </row>
    <row r="32" ht="15.75" customHeight="1">
      <c r="A32" s="8" t="s">
        <v>58</v>
      </c>
    </row>
    <row r="33" ht="15.75" customHeight="1">
      <c r="A33" s="1" t="s">
        <v>59</v>
      </c>
      <c r="B33" s="6">
        <f t="shared" ref="B33:N33" si="8">B31-B25</f>
        <v>-50429.91119</v>
      </c>
      <c r="C33" s="6">
        <f t="shared" si="8"/>
        <v>1382.18123</v>
      </c>
      <c r="D33" s="6">
        <f t="shared" si="8"/>
        <v>-13730.22834</v>
      </c>
      <c r="E33" s="6">
        <f t="shared" si="8"/>
        <v>5569.771658</v>
      </c>
      <c r="F33" s="6">
        <f t="shared" si="8"/>
        <v>7819.682848</v>
      </c>
      <c r="G33" s="6">
        <f t="shared" si="8"/>
        <v>13935.9982</v>
      </c>
      <c r="H33" s="6">
        <f t="shared" si="8"/>
        <v>20244.11146</v>
      </c>
      <c r="I33" s="6">
        <f t="shared" si="8"/>
        <v>20244.11146</v>
      </c>
      <c r="J33" s="6">
        <f t="shared" si="8"/>
        <v>7304.08881</v>
      </c>
      <c r="K33" s="6">
        <f t="shared" si="8"/>
        <v>37900.77166</v>
      </c>
      <c r="L33" s="6">
        <f t="shared" si="8"/>
        <v>40150.68285</v>
      </c>
      <c r="M33" s="6">
        <f t="shared" si="8"/>
        <v>40150.68285</v>
      </c>
      <c r="N33" s="6">
        <f t="shared" si="8"/>
        <v>40650.68285</v>
      </c>
      <c r="O33" s="6">
        <f t="shared" ref="O33:O35" si="10">SUM(B33:N33)</f>
        <v>171192.6263</v>
      </c>
    </row>
    <row r="34" ht="15.75" customHeight="1">
      <c r="A34" s="1" t="s">
        <v>60</v>
      </c>
      <c r="B34" s="6">
        <f>B33</f>
        <v>-50429.91119</v>
      </c>
      <c r="C34" s="6">
        <f t="shared" ref="C34:N34" si="9">B34+C33</f>
        <v>-49047.72996</v>
      </c>
      <c r="D34" s="6">
        <f t="shared" si="9"/>
        <v>-62777.9583</v>
      </c>
      <c r="E34" s="6">
        <f t="shared" si="9"/>
        <v>-57208.18664</v>
      </c>
      <c r="F34" s="6">
        <f t="shared" si="9"/>
        <v>-49388.5038</v>
      </c>
      <c r="G34" s="6">
        <f t="shared" si="9"/>
        <v>-35452.5056</v>
      </c>
      <c r="H34" s="6">
        <f t="shared" si="9"/>
        <v>-15208.39414</v>
      </c>
      <c r="I34" s="6">
        <f t="shared" si="9"/>
        <v>5035.717326</v>
      </c>
      <c r="J34" s="6">
        <f t="shared" si="9"/>
        <v>12339.80614</v>
      </c>
      <c r="K34" s="6">
        <f t="shared" si="9"/>
        <v>50240.57779</v>
      </c>
      <c r="L34" s="6">
        <f t="shared" si="9"/>
        <v>90391.26064</v>
      </c>
      <c r="M34" s="6">
        <f t="shared" si="9"/>
        <v>130541.9435</v>
      </c>
      <c r="N34" s="6">
        <f t="shared" si="9"/>
        <v>171192.6263</v>
      </c>
      <c r="O34" s="6">
        <f t="shared" si="10"/>
        <v>140228.7421</v>
      </c>
    </row>
    <row r="35" ht="15.75" customHeight="1">
      <c r="A35" s="3" t="s">
        <v>61</v>
      </c>
      <c r="B35" s="6">
        <v>100000.0</v>
      </c>
      <c r="C35" s="6">
        <v>0.0</v>
      </c>
      <c r="D35" s="6">
        <v>0.0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f t="shared" si="10"/>
        <v>100000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29"/>
    <col customWidth="1" min="2" max="6" width="24.0"/>
    <col customWidth="1" min="7" max="26" width="8.71"/>
  </cols>
  <sheetData>
    <row r="1">
      <c r="A1" s="8" t="s">
        <v>62</v>
      </c>
    </row>
    <row r="3">
      <c r="A3" s="9" t="s">
        <v>63</v>
      </c>
    </row>
    <row r="4">
      <c r="A4" s="3" t="s">
        <v>64</v>
      </c>
      <c r="B4" s="6">
        <f>'Cash Flow'!O31</f>
        <v>2269183.626</v>
      </c>
    </row>
    <row r="5">
      <c r="A5" s="3" t="s">
        <v>65</v>
      </c>
      <c r="B5" s="6">
        <f>'Cash Flow'!O18</f>
        <v>132580</v>
      </c>
    </row>
    <row r="6">
      <c r="A6" s="3" t="s">
        <v>66</v>
      </c>
      <c r="B6" s="6">
        <f>'Cash Flow'!O24</f>
        <v>1965411</v>
      </c>
    </row>
    <row r="7">
      <c r="A7" s="3" t="s">
        <v>67</v>
      </c>
      <c r="B7" s="6">
        <f>'Cash Flow'!O25</f>
        <v>2097991</v>
      </c>
    </row>
    <row r="8">
      <c r="A8" s="3" t="s">
        <v>68</v>
      </c>
      <c r="B8" s="6">
        <f>'Cash Flow'!O33</f>
        <v>171192.6263</v>
      </c>
    </row>
    <row r="9">
      <c r="A9" s="3" t="s">
        <v>69</v>
      </c>
      <c r="B9" s="13">
        <f>'Cash Flow'!O33/'Cash Flow'!O31</f>
        <v>0.07544238569</v>
      </c>
    </row>
    <row r="11">
      <c r="A11" s="9" t="s">
        <v>70</v>
      </c>
    </row>
    <row r="12">
      <c r="A12" s="2" t="s">
        <v>11</v>
      </c>
      <c r="B12" s="2" t="s">
        <v>71</v>
      </c>
      <c r="C12" s="2" t="s">
        <v>72</v>
      </c>
      <c r="D12" s="2" t="s">
        <v>73</v>
      </c>
      <c r="E12" s="2" t="s">
        <v>74</v>
      </c>
    </row>
    <row r="13">
      <c r="A13" s="1" t="s">
        <v>25</v>
      </c>
      <c r="B13" s="6">
        <f>'Cash Flow'!O28</f>
        <v>1163569.71</v>
      </c>
      <c r="C13" s="6">
        <f>'Cash Flow'!O21</f>
        <v>988069</v>
      </c>
      <c r="D13" s="6">
        <f>'Cash Flow'!O28-'Cash Flow'!O21</f>
        <v>175500.7105</v>
      </c>
      <c r="E13" s="14">
        <f>IFERROR('Cash Flow'!O28-'Cash Flow'!O21,'Cash Flow'!O28)/'Cash Flow'!O28</f>
        <v>0.1508295626</v>
      </c>
    </row>
    <row r="14">
      <c r="A14" s="1" t="s">
        <v>26</v>
      </c>
      <c r="B14" s="6">
        <f>'Cash Flow'!O29</f>
        <v>1033113.916</v>
      </c>
      <c r="C14" s="6">
        <f>'Cash Flow'!O22</f>
        <v>912092</v>
      </c>
      <c r="D14" s="6">
        <f>'Cash Flow'!O29-'Cash Flow'!O22</f>
        <v>121021.9159</v>
      </c>
      <c r="E14" s="14">
        <f>IFERROR('Cash Flow'!O29-'Cash Flow'!O22,'Cash Flow'!O29)/'Cash Flow'!O29</f>
        <v>0.1171428571</v>
      </c>
    </row>
    <row r="15">
      <c r="A15" s="1" t="s">
        <v>27</v>
      </c>
      <c r="B15" s="6">
        <f>'Cash Flow'!O30</f>
        <v>72500</v>
      </c>
      <c r="C15" s="6">
        <f>'Cash Flow'!O23</f>
        <v>65250</v>
      </c>
      <c r="D15" s="6">
        <f>'Cash Flow'!O30-'Cash Flow'!O23</f>
        <v>7250</v>
      </c>
      <c r="E15" s="14">
        <f>IFERROR('Cash Flow'!O30-'Cash Flow'!O23,'Cash Flow'!O30)/'Cash Flow'!O30</f>
        <v>0.1</v>
      </c>
    </row>
    <row r="17">
      <c r="A17" s="9" t="s">
        <v>75</v>
      </c>
    </row>
    <row r="18">
      <c r="A18" s="3" t="s">
        <v>76</v>
      </c>
      <c r="B18" s="6">
        <f>SUM(Volumes!O3:O5)</f>
        <v>337588.4127</v>
      </c>
    </row>
    <row r="19">
      <c r="A19" s="3" t="s">
        <v>77</v>
      </c>
      <c r="B19" s="15">
        <f>'Cash Flow'!O31/SUM(Volumes!O3:O5)</f>
        <v>6.721746188</v>
      </c>
    </row>
    <row r="20">
      <c r="A20" s="3" t="s">
        <v>78</v>
      </c>
      <c r="B20" s="15">
        <f>'Cash Flow'!O24/SUM(Volumes!O3:O5)</f>
        <v>5.82191487</v>
      </c>
    </row>
    <row r="21" ht="15.75" customHeight="1">
      <c r="A21" s="3" t="s">
        <v>79</v>
      </c>
      <c r="B21" s="15">
        <f>('Cash Flow'!O31-'Cash Flow'!O24)/SUM(Volumes!O3:O5)</f>
        <v>0.8998313179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6" width="24.0"/>
    <col customWidth="1" min="7" max="26" width="8.71"/>
  </cols>
  <sheetData>
    <row r="1">
      <c r="A1" s="8" t="s">
        <v>80</v>
      </c>
    </row>
    <row r="3">
      <c r="A3" s="9" t="s">
        <v>81</v>
      </c>
    </row>
    <row r="4">
      <c r="A4" s="2" t="s">
        <v>82</v>
      </c>
      <c r="B4" s="2" t="s">
        <v>2</v>
      </c>
    </row>
    <row r="5">
      <c r="A5" s="3" t="s">
        <v>83</v>
      </c>
      <c r="B5" s="6">
        <f>'Cash Flow'!O31-'Cash Flow'!O24</f>
        <v>303772.6263</v>
      </c>
    </row>
    <row r="6">
      <c r="A6" s="3" t="s">
        <v>84</v>
      </c>
      <c r="B6" s="6">
        <f>('Cash Flow'!O31-'Cash Flow'!O24)/365</f>
        <v>832.2537708</v>
      </c>
    </row>
    <row r="7">
      <c r="A7" s="3" t="s">
        <v>85</v>
      </c>
      <c r="B7" s="6">
        <f>'Cash Flow'!O35</f>
        <v>100000</v>
      </c>
    </row>
    <row r="8">
      <c r="A8" s="3" t="s">
        <v>86</v>
      </c>
      <c r="B8" s="4">
        <f>IFERROR('Cash Flow'!O24 / 'Cash Flow'!O35, 0)
</f>
        <v>19.65411</v>
      </c>
    </row>
    <row r="9">
      <c r="A9" s="3" t="s">
        <v>87</v>
      </c>
      <c r="B9" s="6">
        <f>'Cash Flow'!O18</f>
        <v>132580</v>
      </c>
    </row>
    <row r="10">
      <c r="A10" s="3" t="s">
        <v>88</v>
      </c>
      <c r="B10" s="14">
        <f>IFERROR(('Cash Flow'!O31-'Cash Flow'!O24)-('Cash Flow'!O18),0)/('Cash Flow'!O35)</f>
        <v>1.711926263</v>
      </c>
    </row>
    <row r="11">
      <c r="A11" s="3" t="s">
        <v>89</v>
      </c>
      <c r="B11" s="4">
        <f>IFERROR(('Cash Flow'!O31-'Cash Flow'!O24)/'Cash Flow'!O18,0)</f>
        <v>2.291240205</v>
      </c>
    </row>
    <row r="12">
      <c r="A12" s="3" t="s">
        <v>90</v>
      </c>
      <c r="B12" s="4">
        <f>IFERROR(('Cash Flow'!O31-'Cash Flow'!O24)/'Cash Flow'!O35,0)</f>
        <v>3.037726263</v>
      </c>
    </row>
    <row r="14">
      <c r="A14" s="9" t="s">
        <v>91</v>
      </c>
    </row>
    <row r="15">
      <c r="A15" s="2" t="s">
        <v>11</v>
      </c>
      <c r="B15" s="2" t="s">
        <v>92</v>
      </c>
      <c r="C15" s="2" t="s">
        <v>93</v>
      </c>
      <c r="D15" s="2" t="s">
        <v>94</v>
      </c>
      <c r="E15" s="2" t="s">
        <v>95</v>
      </c>
      <c r="F15" s="2" t="s">
        <v>96</v>
      </c>
    </row>
    <row r="16">
      <c r="A16" s="1" t="s">
        <v>25</v>
      </c>
      <c r="B16" s="6">
        <f>'Cash Flow'!O28-'Cash Flow'!O21</f>
        <v>175500.7105</v>
      </c>
      <c r="C16" s="14">
        <f>IFERROR(B16/B5,0)</f>
        <v>0.5777370812</v>
      </c>
      <c r="D16" s="6">
        <f>('Cash Flow'!O18)*('Cash Flow'!O28/'Cash Flow'!O31)</f>
        <v>67983.07128</v>
      </c>
      <c r="E16" s="4">
        <f t="shared" ref="E16:E18" si="1">IFERROR(B16/D16,0)</f>
        <v>2.581535479</v>
      </c>
      <c r="F16" s="3" t="str">
        <f t="shared" ref="F16:F18" si="2">IF(C16&gt;=0.5,"Throughput Champion",IF(C16&gt;=0.35,"Strong Contributor","Portfolio Diversifier"))</f>
        <v>Throughput Champion</v>
      </c>
    </row>
    <row r="17">
      <c r="A17" s="1" t="s">
        <v>26</v>
      </c>
      <c r="B17" s="6">
        <f>'Cash Flow'!O29-'Cash Flow'!O22</f>
        <v>121021.9159</v>
      </c>
      <c r="C17" s="14">
        <f>IFERROR(B17/B5,0)</f>
        <v>0.3983963839</v>
      </c>
      <c r="D17" s="6">
        <f>('Cash Flow'!O18)*('Cash Flow'!O29/'Cash Flow'!O31)</f>
        <v>60361.02208</v>
      </c>
      <c r="E17" s="4">
        <f t="shared" si="1"/>
        <v>2.004967969</v>
      </c>
      <c r="F17" s="3" t="str">
        <f t="shared" si="2"/>
        <v>Strong Contributor</v>
      </c>
    </row>
    <row r="18">
      <c r="A18" s="1" t="s">
        <v>27</v>
      </c>
      <c r="B18" s="6">
        <f>'Cash Flow'!O30-'Cash Flow'!O23</f>
        <v>7250</v>
      </c>
      <c r="C18" s="14">
        <f>IFERROR(B18/B5,0)</f>
        <v>0.02386653494</v>
      </c>
      <c r="D18" s="6">
        <f>('Cash Flow'!O18)*('Cash Flow'!O30/'Cash Flow'!O31)</f>
        <v>4235.906644</v>
      </c>
      <c r="E18" s="4">
        <f t="shared" si="1"/>
        <v>1.711558023</v>
      </c>
      <c r="F18" s="3" t="str">
        <f t="shared" si="2"/>
        <v>Portfolio Diversifier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2025-09-14T19:39:26Z</dcterms:created>
  <dc:creator>openpyxl</dc:creator>
</cp:coreProperties>
</file>