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https://d.docs.live.net/b02a6a75aff29b4d/Iteso/Documentos/MATLAB/"/>
    </mc:Choice>
  </mc:AlternateContent>
  <bookViews>
    <workbookView xWindow="0" yWindow="0" windowWidth="19200" windowHeight="11460" activeTab="5"/>
  </bookViews>
  <sheets>
    <sheet name="Hoja1" sheetId="1" r:id="rId1"/>
    <sheet name="BonosM" sheetId="2" r:id="rId2"/>
    <sheet name="cetes" sheetId="3" r:id="rId3"/>
    <sheet name="codigo BonosM" sheetId="5" r:id="rId4"/>
    <sheet name="Bondes" sheetId="4" r:id="rId5"/>
    <sheet name="BONDESPLANTILLA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7" l="1"/>
  <c r="D14" i="7"/>
  <c r="D17" i="7" s="1"/>
  <c r="E12" i="7"/>
  <c r="E13" i="7" s="1"/>
  <c r="G12" i="7"/>
  <c r="G13" i="7" s="1"/>
  <c r="D11" i="7"/>
  <c r="H69" i="4"/>
  <c r="H58" i="4"/>
  <c r="H59" i="4" s="1"/>
  <c r="B8" i="7"/>
  <c r="B9" i="7" s="1"/>
  <c r="H48" i="4"/>
  <c r="H47" i="4"/>
  <c r="O12" i="3"/>
  <c r="F14" i="3"/>
  <c r="O9" i="3"/>
  <c r="L23" i="1"/>
  <c r="Q20" i="2"/>
  <c r="Q12" i="2"/>
  <c r="P12" i="2"/>
  <c r="P20" i="2"/>
  <c r="Q4" i="2"/>
  <c r="P4" i="2"/>
  <c r="M4" i="2"/>
  <c r="K4" i="2"/>
  <c r="K24" i="4"/>
  <c r="E66" i="4" s="1"/>
  <c r="K20" i="4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A10" i="2"/>
  <c r="L10" i="2" s="1"/>
  <c r="C19" i="7" l="1"/>
  <c r="C15" i="7" s="1"/>
  <c r="C20" i="7"/>
  <c r="C16" i="7" l="1"/>
  <c r="D5" i="3"/>
  <c r="C18" i="4" l="1"/>
  <c r="D18" i="4" s="1"/>
  <c r="E18" i="4" s="1"/>
  <c r="C19" i="4"/>
  <c r="D19" i="4" s="1"/>
  <c r="E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H49" i="4" l="1"/>
  <c r="H50" i="4" s="1"/>
  <c r="H51" i="4" s="1"/>
  <c r="H52" i="4" s="1"/>
  <c r="H53" i="4" s="1"/>
  <c r="H54" i="4" s="1"/>
  <c r="H55" i="4" s="1"/>
  <c r="H56" i="4" s="1"/>
  <c r="H57" i="4" s="1"/>
  <c r="H60" i="4" s="1"/>
  <c r="H61" i="4" s="1"/>
  <c r="H62" i="4" s="1"/>
  <c r="H65" i="4" s="1"/>
  <c r="E20" i="4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26" i="2"/>
  <c r="L18" i="2"/>
  <c r="A26" i="2"/>
  <c r="A18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</calcChain>
</file>

<file path=xl/sharedStrings.xml><?xml version="1.0" encoding="utf-8"?>
<sst xmlns="http://schemas.openxmlformats.org/spreadsheetml/2006/main" count="101" uniqueCount="89">
  <si>
    <t>A</t>
  </si>
  <si>
    <t>B</t>
  </si>
  <si>
    <t>C</t>
  </si>
  <si>
    <t>Calcular el precio limpio y el precio sucio de este bonde</t>
  </si>
  <si>
    <t>considerando que pagó cupón el 20 de abril</t>
  </si>
  <si>
    <t>% invertido</t>
  </si>
  <si>
    <t>Portafolios</t>
  </si>
  <si>
    <t>Calcular la dmodificada de cada portafolio</t>
  </si>
  <si>
    <t>e indicar cuál tiene mayor riesgo</t>
  </si>
  <si>
    <t>Calcula la utilidad o pérdida si las tasas suben 50 pb</t>
  </si>
  <si>
    <t>Calcula la utilidad o pérdida si las tasa bajan 50 pb</t>
  </si>
  <si>
    <t>Calcula el precio de un cete91 con tasa de rendimiento del 6.75%</t>
  </si>
  <si>
    <t>Transcurridos 28 días lo vendes a una tasa de descuento de 6.63%</t>
  </si>
  <si>
    <t>Cuál es tu rendimiento obtenido? Es mayo o menor a si te hubieras</t>
  </si>
  <si>
    <t>esperado hasta el vencimiento</t>
  </si>
  <si>
    <t>Nombre</t>
  </si>
  <si>
    <t>Fecha</t>
  </si>
  <si>
    <t>Cupón</t>
  </si>
  <si>
    <t>YTM</t>
  </si>
  <si>
    <t>precio int</t>
  </si>
  <si>
    <t>precio +</t>
  </si>
  <si>
    <t>precio -</t>
  </si>
  <si>
    <t>dmodificada</t>
  </si>
  <si>
    <t>d promedio</t>
  </si>
  <si>
    <t>e +</t>
  </si>
  <si>
    <t>e-</t>
  </si>
  <si>
    <t>%</t>
  </si>
  <si>
    <t>el portafolio C es el que tiene mas riesgo debido a la mayor dmodificada</t>
  </si>
  <si>
    <t>Título</t>
  </si>
  <si>
    <t>Tasa de fondeo bancario, Promedio ponderado, Tasa de interés en por ciento anual</t>
  </si>
  <si>
    <t>Periodo disponible</t>
  </si>
  <si>
    <t>03/11/1998 - 03/05/2017</t>
  </si>
  <si>
    <t>Periodicidad</t>
  </si>
  <si>
    <t>Diaria</t>
  </si>
  <si>
    <t>Cifra</t>
  </si>
  <si>
    <t>Porcentajes</t>
  </si>
  <si>
    <t>Unidad</t>
  </si>
  <si>
    <t>Sin Unidad</t>
  </si>
  <si>
    <t>Base</t>
  </si>
  <si>
    <t>Aviso</t>
  </si>
  <si>
    <t>Tipo de información</t>
  </si>
  <si>
    <t>Niveles</t>
  </si>
  <si>
    <t>tasa dividida entre 100</t>
  </si>
  <si>
    <t>tasa diaria</t>
  </si>
  <si>
    <t>Dias</t>
  </si>
  <si>
    <t>Precio</t>
  </si>
  <si>
    <t xml:space="preserve">Tasa </t>
  </si>
  <si>
    <t>Valor Nominal</t>
  </si>
  <si>
    <t xml:space="preserve">proximo cupon </t>
  </si>
  <si>
    <t>este es el proximo cupon porque el otro ya lo pagó</t>
  </si>
  <si>
    <t>Banco de México</t>
  </si>
  <si>
    <t>Tasas y precios de referencia</t>
  </si>
  <si>
    <t>Tasas de Interés en el Mercado de Dinero</t>
  </si>
  <si>
    <t>Fecha de consulta: 08/05/2017 at  01:53:13</t>
  </si>
  <si>
    <t>dias que han pasado</t>
  </si>
  <si>
    <t>todo calculado al viernes 5 de mayo que es de donde tenemos datos</t>
  </si>
  <si>
    <t>preciosibaja=bndprice(ytm-.0005,cupon,'05-05-2017',vencimientos)</t>
  </si>
  <si>
    <t>preciosisube=bndprice(ytm+.0005,cupon,'05-05-2017',vencimientos)</t>
  </si>
  <si>
    <t>duracionmodificada=bnddury(ytm,cupon,'05-05-2017',vencimientos)</t>
  </si>
  <si>
    <t>precio=bndprice(ytm,cupon,'05-05-2017',vencimientos)</t>
  </si>
  <si>
    <t>vencimientos=x2mdate(fechas,0)</t>
  </si>
  <si>
    <t>fechas=xlsread('examen','BonosM','d4:d27')</t>
  </si>
  <si>
    <t>ytm=xlsread('examen','BonosM','f4:f27')</t>
  </si>
  <si>
    <t>cupon=xlsread('examen','BonosM','e4:e27')</t>
  </si>
  <si>
    <t>u</t>
  </si>
  <si>
    <t>utilidad+</t>
  </si>
  <si>
    <t>utilidad-</t>
  </si>
  <si>
    <t>el precio transcurrido 28 dias es</t>
  </si>
  <si>
    <t>dias para que se acabe el cete</t>
  </si>
  <si>
    <t>el precio a lo que lo venderias seria</t>
  </si>
  <si>
    <t xml:space="preserve">por lo tanto tuviste una perdida de </t>
  </si>
  <si>
    <t>tcDEV</t>
  </si>
  <si>
    <t>C*corchete</t>
  </si>
  <si>
    <t>precio limpio</t>
  </si>
  <si>
    <t>precio sucio</t>
  </si>
  <si>
    <t>Paso 5: Calcular el precio del bonde</t>
  </si>
  <si>
    <t>Paso 4: Calcular R</t>
  </si>
  <si>
    <t>C1</t>
  </si>
  <si>
    <t>Paso 3: Calcular C1 y C</t>
  </si>
  <si>
    <t>TC=</t>
  </si>
  <si>
    <t>TC1=</t>
  </si>
  <si>
    <t>Paso 2: Calcular TC1 y TC</t>
  </si>
  <si>
    <r>
      <t>Paso 1: Calcular TC</t>
    </r>
    <r>
      <rPr>
        <vertAlign val="subscript"/>
        <sz val="11"/>
        <color theme="1"/>
        <rFont val="Calibri"/>
        <family val="2"/>
        <scheme val="minor"/>
      </rPr>
      <t>dev</t>
    </r>
  </si>
  <si>
    <t>si divido estos días entre 28 me da K (o sea el número de cupones que le quedan)</t>
  </si>
  <si>
    <t>días que faltan para que venza (días al vencimiento)</t>
  </si>
  <si>
    <t>banxico</t>
  </si>
  <si>
    <t>USADO PARA PROXIMO CUPON</t>
  </si>
  <si>
    <t>FECHA USADA PARA CALCULO</t>
  </si>
  <si>
    <t>FECHA QUE VENCE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</si>
</sst>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7" formatCode="[$-F800]dddd\,\ mmmm\ dd\,\ yyyy"/>
    <numFmt numFmtId="169" formatCode="0.0000"/>
    <numFmt numFmtId="189" formatCode="0.0000%"/>
    <numFmt numFmtId="190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b/>
      <sz val="10"/>
      <color indexed="10"/>
      <name val="Arial"/>
    </font>
    <font>
      <b/>
      <i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4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5" fillId="2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right" vertical="center"/>
    </xf>
    <xf numFmtId="4" fontId="0" fillId="0" borderId="2" xfId="0" applyNumberFormat="1" applyFill="1" applyBorder="1" applyAlignment="1">
      <alignment horizontal="right" vertical="center"/>
    </xf>
    <xf numFmtId="167" fontId="5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7" fillId="0" borderId="0" xfId="0" applyFont="1"/>
    <xf numFmtId="169" fontId="0" fillId="0" borderId="0" xfId="0" applyNumberFormat="1"/>
    <xf numFmtId="10" fontId="0" fillId="0" borderId="0" xfId="0" applyNumberFormat="1"/>
    <xf numFmtId="0" fontId="9" fillId="0" borderId="0" xfId="3" applyFont="1"/>
    <xf numFmtId="0" fontId="8" fillId="0" borderId="0" xfId="3"/>
    <xf numFmtId="0" fontId="10" fillId="0" borderId="0" xfId="3" applyFont="1"/>
    <xf numFmtId="0" fontId="11" fillId="0" borderId="0" xfId="0" applyFont="1"/>
    <xf numFmtId="0" fontId="4" fillId="0" borderId="0" xfId="4"/>
    <xf numFmtId="190" fontId="0" fillId="0" borderId="0" xfId="1" applyNumberFormat="1" applyFont="1"/>
    <xf numFmtId="189" fontId="0" fillId="0" borderId="0" xfId="1" applyNumberFormat="1" applyFont="1"/>
    <xf numFmtId="0" fontId="2" fillId="0" borderId="0" xfId="0" applyFont="1"/>
    <xf numFmtId="169" fontId="2" fillId="0" borderId="0" xfId="0" applyNumberFormat="1" applyFont="1"/>
    <xf numFmtId="15" fontId="0" fillId="0" borderId="0" xfId="0" applyNumberFormat="1"/>
    <xf numFmtId="0" fontId="3" fillId="0" borderId="0" xfId="2" applyNumberFormat="1" applyFont="1"/>
  </cellXfs>
  <cellStyles count="6">
    <cellStyle name="Currency" xfId="2" builtinId="4"/>
    <cellStyle name="Normal" xfId="0" builtinId="0"/>
    <cellStyle name="Normal 2" xfId="3"/>
    <cellStyle name="Normal 3" xfId="4"/>
    <cellStyle name="Percent" xfId="1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10</xdr:col>
      <xdr:colOff>366464</xdr:colOff>
      <xdr:row>16</xdr:row>
      <xdr:rowOff>162272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33" t="9469" r="65968" b="57063"/>
        <a:stretch>
          <a:fillRect/>
        </a:stretch>
      </xdr:blipFill>
      <xdr:spPr bwMode="auto">
        <a:xfrm>
          <a:off x="3810000" y="762000"/>
          <a:ext cx="4176464" cy="24482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10</xdr:col>
      <xdr:colOff>647700</xdr:colOff>
      <xdr:row>38</xdr:row>
      <xdr:rowOff>167640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139818D7-A862-4A40-AECC-64D79ADE93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02" t="29559" r="12364" b="6878"/>
        <a:stretch/>
      </xdr:blipFill>
      <xdr:spPr>
        <a:xfrm>
          <a:off x="3810000" y="5143500"/>
          <a:ext cx="4457700" cy="2263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247649</xdr:colOff>
      <xdr:row>3</xdr:row>
      <xdr:rowOff>123824</xdr:rowOff>
    </xdr:from>
    <xdr:to>
      <xdr:col>31</xdr:col>
      <xdr:colOff>568324</xdr:colOff>
      <xdr:row>23</xdr:row>
      <xdr:rowOff>190499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0573AD-88CB-4715-AE09-58D2CAE36D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502" t="29559" r="12364" b="6878"/>
        <a:stretch/>
      </xdr:blipFill>
      <xdr:spPr>
        <a:xfrm>
          <a:off x="12191999" y="695324"/>
          <a:ext cx="7635875" cy="3876675"/>
        </a:xfrm>
        <a:prstGeom prst="rect">
          <a:avLst/>
        </a:prstGeom>
      </xdr:spPr>
    </xdr:pic>
    <xdr:clientData/>
  </xdr:twoCellAnchor>
  <xdr:twoCellAnchor>
    <xdr:from>
      <xdr:col>22</xdr:col>
      <xdr:colOff>571500</xdr:colOff>
      <xdr:row>1</xdr:row>
      <xdr:rowOff>133350</xdr:rowOff>
    </xdr:from>
    <xdr:to>
      <xdr:col>24</xdr:col>
      <xdr:colOff>560852</xdr:colOff>
      <xdr:row>18</xdr:row>
      <xdr:rowOff>135210</xdr:rowOff>
    </xdr:to>
    <xdr:grpSp>
      <xdr:nvGrpSpPr>
        <xdr:cNvPr id="3" name="7 Grupo">
          <a:extLst>
            <a:ext uri="{FF2B5EF4-FFF2-40B4-BE49-F238E27FC236}">
              <a16:creationId xmlns:a16="http://schemas.microsoft.com/office/drawing/2014/main" id="{4069503E-E253-49A1-8D5C-CA862D035A77}"/>
            </a:ext>
          </a:extLst>
        </xdr:cNvPr>
        <xdr:cNvGrpSpPr/>
      </xdr:nvGrpSpPr>
      <xdr:grpSpPr>
        <a:xfrm>
          <a:off x="14488583" y="323850"/>
          <a:ext cx="1217019" cy="3240360"/>
          <a:chOff x="971600" y="980728"/>
          <a:chExt cx="1512168" cy="36004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27678A3-BFAF-4383-92DE-C67946AC2A7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16828" t="57703" r="78447" b="13751"/>
          <a:stretch>
            <a:fillRect/>
          </a:stretch>
        </xdr:blipFill>
        <xdr:spPr bwMode="auto">
          <a:xfrm>
            <a:off x="971600" y="980728"/>
            <a:ext cx="57606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">
            <a:extLst>
              <a:ext uri="{FF2B5EF4-FFF2-40B4-BE49-F238E27FC236}">
                <a16:creationId xmlns:a16="http://schemas.microsoft.com/office/drawing/2014/main" id="{F36878F1-C1B4-4F0F-8975-770C69C75C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 l="48722" t="57703" r="43600" b="13751"/>
          <a:stretch>
            <a:fillRect/>
          </a:stretch>
        </xdr:blipFill>
        <xdr:spPr bwMode="auto">
          <a:xfrm>
            <a:off x="1547664" y="980728"/>
            <a:ext cx="936104" cy="20882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3">
            <a:extLst>
              <a:ext uri="{FF2B5EF4-FFF2-40B4-BE49-F238E27FC236}">
                <a16:creationId xmlns:a16="http://schemas.microsoft.com/office/drawing/2014/main" id="{104D86D4-F126-4F13-B2FD-0B0CE3CFA2B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16926" t="62796" r="78349" b="16532"/>
          <a:stretch>
            <a:fillRect/>
          </a:stretch>
        </xdr:blipFill>
        <xdr:spPr bwMode="auto">
          <a:xfrm>
            <a:off x="971600" y="3068960"/>
            <a:ext cx="57606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" name="Picture 3">
            <a:extLst>
              <a:ext uri="{FF2B5EF4-FFF2-40B4-BE49-F238E27FC236}">
                <a16:creationId xmlns:a16="http://schemas.microsoft.com/office/drawing/2014/main" id="{5609F321-CB78-4B7E-9727-60A2475909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 l="48819" t="62796" r="43503" b="16532"/>
          <a:stretch>
            <a:fillRect/>
          </a:stretch>
        </xdr:blipFill>
        <xdr:spPr bwMode="auto">
          <a:xfrm>
            <a:off x="1547664" y="3068960"/>
            <a:ext cx="936104" cy="151216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15</xdr:row>
      <xdr:rowOff>171450</xdr:rowOff>
    </xdr:from>
    <xdr:to>
      <xdr:col>17</xdr:col>
      <xdr:colOff>254577</xdr:colOff>
      <xdr:row>17</xdr:row>
      <xdr:rowOff>112568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DD8884EE-F575-4B9A-A6F7-8A4EB6170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3038475"/>
          <a:ext cx="3407352" cy="322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8</xdr:row>
      <xdr:rowOff>38100</xdr:rowOff>
    </xdr:from>
    <xdr:ext cx="13009524" cy="7314286"/>
    <xdr:pic>
      <xdr:nvPicPr>
        <xdr:cNvPr id="2" name="Picture 1">
          <a:extLst>
            <a:ext uri="{FF2B5EF4-FFF2-40B4-BE49-F238E27FC236}">
              <a16:creationId xmlns:a16="http://schemas.microsoft.com/office/drawing/2014/main" id="{96769798-97BF-4D73-8B4B-4E42E816F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1638300"/>
          <a:ext cx="13009524" cy="73142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11</xdr:col>
      <xdr:colOff>414089</xdr:colOff>
      <xdr:row>13</xdr:row>
      <xdr:rowOff>352772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EC32D6BE-7E73-48A4-9550-5D3C47C1F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33" t="9469" r="65968" b="57063"/>
        <a:stretch>
          <a:fillRect/>
        </a:stretch>
      </xdr:blipFill>
      <xdr:spPr bwMode="auto">
        <a:xfrm>
          <a:off x="6153150" y="1724025"/>
          <a:ext cx="4176464" cy="24482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533797</xdr:colOff>
      <xdr:row>2</xdr:row>
      <xdr:rowOff>166689</xdr:rowOff>
    </xdr:from>
    <xdr:to>
      <xdr:col>13</xdr:col>
      <xdr:colOff>138261</xdr:colOff>
      <xdr:row>15</xdr:row>
      <xdr:rowOff>102742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1B819AA-13A6-448C-BFE3-80F00A47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33" t="9469" r="65968" b="57063"/>
        <a:stretch>
          <a:fillRect/>
        </a:stretch>
      </xdr:blipFill>
      <xdr:spPr bwMode="auto">
        <a:xfrm>
          <a:off x="7534672" y="547689"/>
          <a:ext cx="4176464" cy="24522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5"/>
  <sheetViews>
    <sheetView topLeftCell="E4" zoomScale="140" zoomScaleNormal="140" workbookViewId="0">
      <selection activeCell="F22" sqref="F22:L25"/>
    </sheetView>
  </sheetViews>
  <sheetFormatPr defaultColWidth="11.42578125" defaultRowHeight="15" x14ac:dyDescent="0.25"/>
  <sheetData>
    <row r="4" spans="1:4" x14ac:dyDescent="0.25">
      <c r="B4" s="5" t="s">
        <v>6</v>
      </c>
      <c r="C4" s="5"/>
      <c r="D4" s="5"/>
    </row>
    <row r="5" spans="1:4" x14ac:dyDescent="0.25">
      <c r="B5" s="1" t="s">
        <v>0</v>
      </c>
      <c r="C5" s="1" t="s">
        <v>1</v>
      </c>
      <c r="D5" s="1" t="s">
        <v>2</v>
      </c>
    </row>
    <row r="6" spans="1:4" x14ac:dyDescent="0.25">
      <c r="B6" t="s">
        <v>5</v>
      </c>
      <c r="C6" t="s">
        <v>5</v>
      </c>
      <c r="D6" t="s">
        <v>5</v>
      </c>
    </row>
    <row r="7" spans="1:4" x14ac:dyDescent="0.25">
      <c r="A7" s="2">
        <v>43800</v>
      </c>
      <c r="B7" s="3">
        <v>0.125</v>
      </c>
      <c r="C7" s="4">
        <v>0.25</v>
      </c>
      <c r="D7" s="4">
        <v>0</v>
      </c>
    </row>
    <row r="8" spans="1:4" x14ac:dyDescent="0.25">
      <c r="A8" s="2">
        <v>43983</v>
      </c>
      <c r="B8" s="3">
        <v>0.125</v>
      </c>
      <c r="C8" s="4">
        <v>0.25</v>
      </c>
      <c r="D8" s="4">
        <v>0</v>
      </c>
    </row>
    <row r="9" spans="1:4" x14ac:dyDescent="0.25">
      <c r="A9" s="2">
        <v>44348</v>
      </c>
      <c r="B9" s="3">
        <v>0.125</v>
      </c>
      <c r="C9" s="4">
        <v>0</v>
      </c>
      <c r="D9" s="4">
        <v>0</v>
      </c>
    </row>
    <row r="10" spans="1:4" x14ac:dyDescent="0.25">
      <c r="A10" s="2">
        <v>44713</v>
      </c>
      <c r="B10" s="3">
        <v>0.125</v>
      </c>
      <c r="C10" s="4">
        <v>0</v>
      </c>
      <c r="D10" s="4">
        <v>0</v>
      </c>
    </row>
    <row r="11" spans="1:4" x14ac:dyDescent="0.25">
      <c r="A11" s="2">
        <v>45627</v>
      </c>
      <c r="B11" s="3">
        <v>0.125</v>
      </c>
      <c r="C11" s="4">
        <v>0</v>
      </c>
      <c r="D11" s="4">
        <v>0.38</v>
      </c>
    </row>
    <row r="12" spans="1:4" x14ac:dyDescent="0.25">
      <c r="A12" s="2">
        <v>46082</v>
      </c>
      <c r="B12" s="3">
        <v>0.125</v>
      </c>
      <c r="C12" s="4">
        <v>0</v>
      </c>
      <c r="D12" s="4">
        <v>0.62</v>
      </c>
    </row>
    <row r="13" spans="1:4" x14ac:dyDescent="0.25">
      <c r="A13" s="2">
        <v>46539</v>
      </c>
      <c r="B13" s="3">
        <v>0.125</v>
      </c>
      <c r="C13" s="4">
        <v>0.25</v>
      </c>
      <c r="D13" s="4">
        <v>0</v>
      </c>
    </row>
    <row r="14" spans="1:4" x14ac:dyDescent="0.25">
      <c r="A14" s="2">
        <v>47239</v>
      </c>
      <c r="B14" s="3">
        <v>0.125</v>
      </c>
      <c r="C14" s="4">
        <v>0.25</v>
      </c>
      <c r="D14" s="4">
        <v>0</v>
      </c>
    </row>
    <row r="16" spans="1:4" x14ac:dyDescent="0.25">
      <c r="A16" t="s">
        <v>7</v>
      </c>
    </row>
    <row r="17" spans="1:12" x14ac:dyDescent="0.25">
      <c r="A17" t="s">
        <v>8</v>
      </c>
    </row>
    <row r="19" spans="1:12" x14ac:dyDescent="0.25">
      <c r="A19" t="s">
        <v>9</v>
      </c>
      <c r="F19" t="s">
        <v>3</v>
      </c>
    </row>
    <row r="20" spans="1:12" x14ac:dyDescent="0.25">
      <c r="A20" t="s">
        <v>10</v>
      </c>
      <c r="F20" t="s">
        <v>4</v>
      </c>
    </row>
    <row r="22" spans="1:12" x14ac:dyDescent="0.25">
      <c r="F22" t="s">
        <v>11</v>
      </c>
    </row>
    <row r="23" spans="1:12" x14ac:dyDescent="0.25">
      <c r="F23" t="s">
        <v>12</v>
      </c>
      <c r="L23">
        <f>10*(1+0.0675/360*28)</f>
        <v>10.0525</v>
      </c>
    </row>
    <row r="24" spans="1:12" x14ac:dyDescent="0.25">
      <c r="F24" t="s">
        <v>13</v>
      </c>
    </row>
    <row r="25" spans="1:12" x14ac:dyDescent="0.25">
      <c r="F25" t="s">
        <v>14</v>
      </c>
    </row>
  </sheetData>
  <mergeCells count="1">
    <mergeCell ref="B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2"/>
  <sheetViews>
    <sheetView zoomScale="90" zoomScaleNormal="90" workbookViewId="0">
      <selection activeCell="P18" sqref="P18"/>
    </sheetView>
  </sheetViews>
  <sheetFormatPr defaultRowHeight="15" x14ac:dyDescent="0.25"/>
  <cols>
    <col min="4" max="4" width="10.7109375" bestFit="1" customWidth="1"/>
    <col min="11" max="11" width="13" customWidth="1"/>
    <col min="16" max="16" width="9.85546875" bestFit="1" customWidth="1"/>
    <col min="17" max="17" width="9.28515625" bestFit="1" customWidth="1"/>
  </cols>
  <sheetData>
    <row r="3" spans="1:17" x14ac:dyDescent="0.25">
      <c r="B3" t="s">
        <v>15</v>
      </c>
      <c r="C3" t="s">
        <v>26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64</v>
      </c>
      <c r="L3" t="s">
        <v>23</v>
      </c>
      <c r="M3" t="s">
        <v>24</v>
      </c>
      <c r="N3" t="s">
        <v>25</v>
      </c>
      <c r="P3" t="s">
        <v>65</v>
      </c>
      <c r="Q3" t="s">
        <v>66</v>
      </c>
    </row>
    <row r="4" spans="1:17" x14ac:dyDescent="0.25">
      <c r="A4" t="s">
        <v>0</v>
      </c>
      <c r="B4" s="2">
        <v>43800</v>
      </c>
      <c r="C4" s="3">
        <v>0.125</v>
      </c>
      <c r="D4" s="7">
        <f>B4</f>
        <v>43800</v>
      </c>
      <c r="E4" s="8">
        <v>0.05</v>
      </c>
      <c r="F4" s="8">
        <v>6.9199999999999998E-2</v>
      </c>
      <c r="G4">
        <v>95.537400000000005</v>
      </c>
      <c r="H4">
        <v>95.424599999999998</v>
      </c>
      <c r="I4">
        <v>95.650400000000005</v>
      </c>
      <c r="J4">
        <v>2.3115000000000001</v>
      </c>
      <c r="K4" s="19">
        <f>M4*C4</f>
        <v>-1.475861809092649E-4</v>
      </c>
      <c r="M4" s="8">
        <f>H4/G4-1</f>
        <v>-1.1806894472741192E-3</v>
      </c>
      <c r="N4" s="8">
        <f>I4/G4-1</f>
        <v>1.1827828682797747E-3</v>
      </c>
      <c r="P4" s="25">
        <f>SUMPRODUCT(M4:M11,C4:C11)</f>
        <v>-2.4753282280532696E-3</v>
      </c>
      <c r="Q4" s="25">
        <f>SUMPRODUCT(N4:N11,C4:C11)</f>
        <v>2.4848028050428461E-3</v>
      </c>
    </row>
    <row r="5" spans="1:17" x14ac:dyDescent="0.25">
      <c r="B5" s="2">
        <v>43983</v>
      </c>
      <c r="C5" s="3">
        <v>0.125</v>
      </c>
      <c r="D5" s="7">
        <f t="shared" ref="D5:D27" si="0">B5</f>
        <v>43983</v>
      </c>
      <c r="E5" s="8">
        <v>0.08</v>
      </c>
      <c r="F5" s="8">
        <v>7.0199999999999999E-2</v>
      </c>
      <c r="G5">
        <v>102.6593</v>
      </c>
      <c r="H5">
        <v>102.521</v>
      </c>
      <c r="I5">
        <v>102.7979</v>
      </c>
      <c r="J5">
        <v>2.6101000000000001</v>
      </c>
      <c r="K5" s="19">
        <f t="shared" ref="K5:K27" si="1">M5*C5</f>
        <v>-1.6839682327855765E-4</v>
      </c>
      <c r="M5" s="8">
        <f t="shared" ref="M5:M27" si="2">H5/G5-1</f>
        <v>-1.3471745862284612E-3</v>
      </c>
      <c r="N5" s="8">
        <f t="shared" ref="N5:N27" si="3">I5/G5-1</f>
        <v>1.350096873834028E-3</v>
      </c>
      <c r="P5" s="25"/>
      <c r="Q5" s="25"/>
    </row>
    <row r="6" spans="1:17" x14ac:dyDescent="0.25">
      <c r="B6" s="2">
        <v>44348</v>
      </c>
      <c r="C6" s="3">
        <v>0.125</v>
      </c>
      <c r="D6" s="7">
        <f t="shared" si="0"/>
        <v>44348</v>
      </c>
      <c r="E6" s="8">
        <v>6.5000000000000002E-2</v>
      </c>
      <c r="F6" s="8">
        <v>7.0599999999999996E-2</v>
      </c>
      <c r="G6">
        <v>98.039699999999996</v>
      </c>
      <c r="H6">
        <v>97.867500000000007</v>
      </c>
      <c r="I6">
        <v>98.212299999999999</v>
      </c>
      <c r="J6">
        <v>3.4198</v>
      </c>
      <c r="K6" s="19">
        <f t="shared" si="1"/>
        <v>-2.1955391540363911E-4</v>
      </c>
      <c r="M6" s="8">
        <f t="shared" si="2"/>
        <v>-1.7564313232291129E-3</v>
      </c>
      <c r="N6" s="8">
        <f t="shared" si="3"/>
        <v>1.760511303074086E-3</v>
      </c>
      <c r="P6" s="25"/>
      <c r="Q6" s="25"/>
    </row>
    <row r="7" spans="1:17" x14ac:dyDescent="0.25">
      <c r="B7" s="2">
        <v>44713</v>
      </c>
      <c r="C7" s="3">
        <v>0.125</v>
      </c>
      <c r="D7" s="7">
        <f t="shared" si="0"/>
        <v>44713</v>
      </c>
      <c r="E7" s="8">
        <v>6.5000000000000002E-2</v>
      </c>
      <c r="F7" s="8">
        <v>7.0900000000000005E-2</v>
      </c>
      <c r="G7">
        <v>97.514700000000005</v>
      </c>
      <c r="H7">
        <v>97.308099999999996</v>
      </c>
      <c r="I7">
        <v>97.721900000000005</v>
      </c>
      <c r="J7">
        <v>4.1264000000000003</v>
      </c>
      <c r="K7" s="19">
        <f t="shared" si="1"/>
        <v>-2.6483186637503431E-4</v>
      </c>
      <c r="M7" s="8">
        <f t="shared" si="2"/>
        <v>-2.1186549310002745E-3</v>
      </c>
      <c r="N7" s="8">
        <f t="shared" si="3"/>
        <v>2.1248078494831013E-3</v>
      </c>
      <c r="P7" s="25"/>
      <c r="Q7" s="25"/>
    </row>
    <row r="8" spans="1:17" x14ac:dyDescent="0.25">
      <c r="B8" s="2">
        <v>45627</v>
      </c>
      <c r="C8" s="3">
        <v>0.125</v>
      </c>
      <c r="D8" s="7">
        <f t="shared" si="0"/>
        <v>45627</v>
      </c>
      <c r="E8" s="8">
        <v>0.1</v>
      </c>
      <c r="F8" s="8">
        <v>7.1199999999999999E-2</v>
      </c>
      <c r="G8">
        <v>116.62730000000001</v>
      </c>
      <c r="H8">
        <v>116.3092</v>
      </c>
      <c r="I8">
        <v>116.9466</v>
      </c>
      <c r="J8">
        <v>5.2728999999999999</v>
      </c>
      <c r="K8" s="19">
        <f t="shared" si="1"/>
        <v>-3.4093647027753915E-4</v>
      </c>
      <c r="M8" s="8">
        <f t="shared" si="2"/>
        <v>-2.7274917622203132E-3</v>
      </c>
      <c r="N8" s="8">
        <f t="shared" si="3"/>
        <v>2.7377809483715154E-3</v>
      </c>
      <c r="P8" s="25"/>
      <c r="Q8" s="25"/>
    </row>
    <row r="9" spans="1:17" x14ac:dyDescent="0.25">
      <c r="B9" s="2">
        <v>46082</v>
      </c>
      <c r="C9" s="3">
        <v>0.125</v>
      </c>
      <c r="D9" s="7">
        <f t="shared" si="0"/>
        <v>46082</v>
      </c>
      <c r="E9" s="8">
        <v>5.7500000000000002E-2</v>
      </c>
      <c r="F9" s="8">
        <v>7.1599999999999997E-2</v>
      </c>
      <c r="G9">
        <v>90.881799999999998</v>
      </c>
      <c r="H9">
        <v>90.578000000000003</v>
      </c>
      <c r="I9">
        <v>91.186999999999998</v>
      </c>
      <c r="J9">
        <v>6.6269999999999998</v>
      </c>
      <c r="K9" s="19">
        <f t="shared" si="1"/>
        <v>-4.1785043870169736E-4</v>
      </c>
      <c r="M9" s="8">
        <f t="shared" si="2"/>
        <v>-3.3428035096135789E-3</v>
      </c>
      <c r="N9" s="8">
        <f t="shared" si="3"/>
        <v>3.3582081340819414E-3</v>
      </c>
      <c r="P9" s="25"/>
      <c r="Q9" s="25"/>
    </row>
    <row r="10" spans="1:17" x14ac:dyDescent="0.25">
      <c r="A10">
        <f>SUMPRODUCT(C4:C11,J4:J11)</f>
        <v>4.855175</v>
      </c>
      <c r="B10" s="2">
        <v>46539</v>
      </c>
      <c r="C10" s="3">
        <v>0.125</v>
      </c>
      <c r="D10" s="7">
        <f t="shared" si="0"/>
        <v>46539</v>
      </c>
      <c r="E10" s="8">
        <v>7.4999999999999997E-2</v>
      </c>
      <c r="F10" s="8">
        <v>7.2300000000000003E-2</v>
      </c>
      <c r="G10">
        <v>101.90009999999999</v>
      </c>
      <c r="H10">
        <v>101.5431</v>
      </c>
      <c r="I10">
        <v>102.2587</v>
      </c>
      <c r="J10">
        <v>6.8093000000000004</v>
      </c>
      <c r="K10" s="19">
        <f t="shared" si="1"/>
        <v>-4.3792891272922962E-4</v>
      </c>
      <c r="L10">
        <f>A10</f>
        <v>4.855175</v>
      </c>
      <c r="M10" s="8">
        <f t="shared" si="2"/>
        <v>-3.503431301833837E-3</v>
      </c>
      <c r="N10" s="8">
        <f t="shared" si="3"/>
        <v>3.5191329547272776E-3</v>
      </c>
      <c r="P10" s="25"/>
      <c r="Q10" s="25"/>
    </row>
    <row r="11" spans="1:17" x14ac:dyDescent="0.25">
      <c r="B11" s="2">
        <v>47239</v>
      </c>
      <c r="C11" s="3">
        <v>0.125</v>
      </c>
      <c r="D11" s="7">
        <f t="shared" si="0"/>
        <v>47239</v>
      </c>
      <c r="E11" s="8">
        <v>8.5000000000000006E-2</v>
      </c>
      <c r="F11" s="8">
        <v>7.2800000000000004E-2</v>
      </c>
      <c r="G11">
        <v>109.646</v>
      </c>
      <c r="H11">
        <v>109.2265</v>
      </c>
      <c r="I11">
        <v>110.0676</v>
      </c>
      <c r="J11">
        <v>7.6643999999999997</v>
      </c>
      <c r="K11" s="19">
        <f t="shared" si="1"/>
        <v>-4.7824362037830748E-4</v>
      </c>
      <c r="M11" s="8">
        <f t="shared" si="2"/>
        <v>-3.8259489630264598E-3</v>
      </c>
      <c r="N11" s="8">
        <f t="shared" si="3"/>
        <v>3.8451015084910445E-3</v>
      </c>
      <c r="P11" s="25"/>
      <c r="Q11" s="25"/>
    </row>
    <row r="12" spans="1:17" x14ac:dyDescent="0.25">
      <c r="A12" t="s">
        <v>1</v>
      </c>
      <c r="B12" s="2">
        <v>43800</v>
      </c>
      <c r="C12" s="4">
        <v>0.25</v>
      </c>
      <c r="D12" s="7">
        <f t="shared" si="0"/>
        <v>43800</v>
      </c>
      <c r="E12" s="8">
        <v>0.05</v>
      </c>
      <c r="F12" s="8">
        <v>6.9199999999999998E-2</v>
      </c>
      <c r="G12">
        <v>95.537400000000005</v>
      </c>
      <c r="H12">
        <v>95.424599999999998</v>
      </c>
      <c r="I12">
        <v>95.650400000000005</v>
      </c>
      <c r="J12">
        <v>2.3115000000000001</v>
      </c>
      <c r="K12" s="19">
        <f t="shared" si="1"/>
        <v>-2.9517236181852979E-4</v>
      </c>
      <c r="M12" s="8">
        <f t="shared" si="2"/>
        <v>-1.1806894472741192E-3</v>
      </c>
      <c r="N12" s="8">
        <f t="shared" si="3"/>
        <v>1.1827828682797747E-3</v>
      </c>
      <c r="P12" s="25">
        <f t="shared" ref="P12" si="4">SUMPRODUCT(M12:M19,C12:C19)</f>
        <v>-2.4643110745907193E-3</v>
      </c>
      <c r="Q12" s="25">
        <f t="shared" ref="Q5:Q20" si="5">SUMPRODUCT(N12:N19,C12:C19)</f>
        <v>2.4742785513330312E-3</v>
      </c>
    </row>
    <row r="13" spans="1:17" x14ac:dyDescent="0.25">
      <c r="B13" s="2">
        <v>43983</v>
      </c>
      <c r="C13" s="4">
        <v>0.25</v>
      </c>
      <c r="D13" s="7">
        <f t="shared" si="0"/>
        <v>43983</v>
      </c>
      <c r="E13" s="8">
        <v>0.08</v>
      </c>
      <c r="F13" s="8">
        <v>7.0199999999999999E-2</v>
      </c>
      <c r="G13">
        <v>102.6593</v>
      </c>
      <c r="H13">
        <v>102.521</v>
      </c>
      <c r="I13">
        <v>102.7979</v>
      </c>
      <c r="J13">
        <v>2.6101000000000001</v>
      </c>
      <c r="K13" s="19">
        <f t="shared" si="1"/>
        <v>-3.367936465571153E-4</v>
      </c>
      <c r="M13" s="8">
        <f t="shared" si="2"/>
        <v>-1.3471745862284612E-3</v>
      </c>
      <c r="N13" s="8">
        <f t="shared" si="3"/>
        <v>1.350096873834028E-3</v>
      </c>
      <c r="P13" s="25"/>
      <c r="Q13" s="25"/>
    </row>
    <row r="14" spans="1:17" x14ac:dyDescent="0.25">
      <c r="B14" s="2">
        <v>44348</v>
      </c>
      <c r="C14" s="4">
        <v>0</v>
      </c>
      <c r="D14" s="7">
        <f t="shared" si="0"/>
        <v>44348</v>
      </c>
      <c r="E14" s="8">
        <v>6.5000000000000002E-2</v>
      </c>
      <c r="F14" s="8">
        <v>7.0599999999999996E-2</v>
      </c>
      <c r="G14">
        <v>98.039699999999996</v>
      </c>
      <c r="H14">
        <v>97.867500000000007</v>
      </c>
      <c r="I14">
        <v>98.212299999999999</v>
      </c>
      <c r="J14">
        <v>3.4198</v>
      </c>
      <c r="K14" s="19">
        <f t="shared" si="1"/>
        <v>0</v>
      </c>
      <c r="M14" s="8">
        <f t="shared" si="2"/>
        <v>-1.7564313232291129E-3</v>
      </c>
      <c r="N14" s="8">
        <f t="shared" si="3"/>
        <v>1.760511303074086E-3</v>
      </c>
      <c r="P14" s="25"/>
      <c r="Q14" s="25"/>
    </row>
    <row r="15" spans="1:17" x14ac:dyDescent="0.25">
      <c r="B15" s="2">
        <v>44713</v>
      </c>
      <c r="C15" s="4">
        <v>0</v>
      </c>
      <c r="D15" s="7">
        <f t="shared" si="0"/>
        <v>44713</v>
      </c>
      <c r="E15" s="8">
        <v>6.5000000000000002E-2</v>
      </c>
      <c r="F15" s="8">
        <v>7.0900000000000005E-2</v>
      </c>
      <c r="G15">
        <v>97.514700000000005</v>
      </c>
      <c r="H15">
        <v>97.308099999999996</v>
      </c>
      <c r="I15">
        <v>97.721900000000005</v>
      </c>
      <c r="J15">
        <v>4.1264000000000003</v>
      </c>
      <c r="K15" s="19">
        <f t="shared" si="1"/>
        <v>0</v>
      </c>
      <c r="M15" s="8">
        <f t="shared" si="2"/>
        <v>-2.1186549310002745E-3</v>
      </c>
      <c r="N15" s="8">
        <f t="shared" si="3"/>
        <v>2.1248078494831013E-3</v>
      </c>
      <c r="P15" s="25"/>
      <c r="Q15" s="25"/>
    </row>
    <row r="16" spans="1:17" x14ac:dyDescent="0.25">
      <c r="B16" s="2">
        <v>45627</v>
      </c>
      <c r="C16" s="4">
        <v>0</v>
      </c>
      <c r="D16" s="7">
        <f t="shared" si="0"/>
        <v>45627</v>
      </c>
      <c r="E16" s="8">
        <v>0.1</v>
      </c>
      <c r="F16" s="8">
        <v>7.1199999999999999E-2</v>
      </c>
      <c r="G16">
        <v>116.62730000000001</v>
      </c>
      <c r="H16">
        <v>116.3092</v>
      </c>
      <c r="I16">
        <v>116.9466</v>
      </c>
      <c r="J16">
        <v>5.2728999999999999</v>
      </c>
      <c r="K16" s="19">
        <f t="shared" si="1"/>
        <v>0</v>
      </c>
      <c r="M16" s="8">
        <f t="shared" si="2"/>
        <v>-2.7274917622203132E-3</v>
      </c>
      <c r="N16" s="8">
        <f t="shared" si="3"/>
        <v>2.7377809483715154E-3</v>
      </c>
      <c r="P16" s="25"/>
      <c r="Q16" s="25"/>
    </row>
    <row r="17" spans="1:17" x14ac:dyDescent="0.25">
      <c r="B17" s="2">
        <v>46082</v>
      </c>
      <c r="C17" s="4">
        <v>0</v>
      </c>
      <c r="D17" s="7">
        <f t="shared" si="0"/>
        <v>46082</v>
      </c>
      <c r="E17" s="8">
        <v>5.7500000000000002E-2</v>
      </c>
      <c r="F17" s="8">
        <v>7.1599999999999997E-2</v>
      </c>
      <c r="G17">
        <v>90.881799999999998</v>
      </c>
      <c r="H17">
        <v>90.578000000000003</v>
      </c>
      <c r="I17">
        <v>91.186999999999998</v>
      </c>
      <c r="J17">
        <v>6.6269999999999998</v>
      </c>
      <c r="K17" s="19">
        <f t="shared" si="1"/>
        <v>0</v>
      </c>
      <c r="M17" s="8">
        <f t="shared" si="2"/>
        <v>-3.3428035096135789E-3</v>
      </c>
      <c r="N17" s="8">
        <f t="shared" si="3"/>
        <v>3.3582081340819414E-3</v>
      </c>
      <c r="P17" s="25"/>
      <c r="Q17" s="25"/>
    </row>
    <row r="18" spans="1:17" x14ac:dyDescent="0.25">
      <c r="A18">
        <f>SUMPRODUCT(C12:C19,J12:J19)</f>
        <v>4.8488249999999997</v>
      </c>
      <c r="B18" s="2">
        <v>46539</v>
      </c>
      <c r="C18" s="4">
        <v>0.25</v>
      </c>
      <c r="D18" s="7">
        <f t="shared" si="0"/>
        <v>46539</v>
      </c>
      <c r="E18" s="8">
        <v>7.4999999999999997E-2</v>
      </c>
      <c r="F18" s="8">
        <v>7.2300000000000003E-2</v>
      </c>
      <c r="G18">
        <v>101.90009999999999</v>
      </c>
      <c r="H18">
        <v>101.5431</v>
      </c>
      <c r="I18">
        <v>102.2587</v>
      </c>
      <c r="J18">
        <v>6.8093000000000004</v>
      </c>
      <c r="K18" s="19">
        <f t="shared" si="1"/>
        <v>-8.7585782545845925E-4</v>
      </c>
      <c r="L18">
        <f>A18</f>
        <v>4.8488249999999997</v>
      </c>
      <c r="M18" s="8">
        <f t="shared" si="2"/>
        <v>-3.503431301833837E-3</v>
      </c>
      <c r="N18" s="8">
        <f t="shared" si="3"/>
        <v>3.5191329547272776E-3</v>
      </c>
      <c r="P18" s="25"/>
      <c r="Q18" s="25"/>
    </row>
    <row r="19" spans="1:17" x14ac:dyDescent="0.25">
      <c r="B19" s="2">
        <v>47239</v>
      </c>
      <c r="C19" s="4">
        <v>0.25</v>
      </c>
      <c r="D19" s="7">
        <f t="shared" si="0"/>
        <v>47239</v>
      </c>
      <c r="E19" s="8">
        <v>8.5000000000000006E-2</v>
      </c>
      <c r="F19" s="8">
        <v>7.2800000000000004E-2</v>
      </c>
      <c r="G19">
        <v>109.646</v>
      </c>
      <c r="H19">
        <v>109.2265</v>
      </c>
      <c r="I19">
        <v>110.0676</v>
      </c>
      <c r="J19">
        <v>7.6643999999999997</v>
      </c>
      <c r="K19" s="19">
        <f t="shared" si="1"/>
        <v>-9.5648724075661495E-4</v>
      </c>
      <c r="M19" s="8">
        <f t="shared" si="2"/>
        <v>-3.8259489630264598E-3</v>
      </c>
      <c r="N19" s="8">
        <f t="shared" si="3"/>
        <v>3.8451015084910445E-3</v>
      </c>
      <c r="P19" s="25"/>
      <c r="Q19" s="25"/>
    </row>
    <row r="20" spans="1:17" x14ac:dyDescent="0.25">
      <c r="A20" t="s">
        <v>2</v>
      </c>
      <c r="B20" s="2">
        <v>43800</v>
      </c>
      <c r="C20" s="4">
        <v>0</v>
      </c>
      <c r="D20" s="7">
        <f t="shared" si="0"/>
        <v>43800</v>
      </c>
      <c r="E20" s="8">
        <v>0.05</v>
      </c>
      <c r="F20" s="8">
        <v>6.9199999999999998E-2</v>
      </c>
      <c r="G20">
        <v>95.537400000000005</v>
      </c>
      <c r="H20">
        <v>95.424599999999998</v>
      </c>
      <c r="I20">
        <v>95.650400000000005</v>
      </c>
      <c r="J20">
        <v>2.3115000000000001</v>
      </c>
      <c r="K20" s="19">
        <f t="shared" si="1"/>
        <v>0</v>
      </c>
      <c r="M20" s="8">
        <f t="shared" si="2"/>
        <v>-1.1806894472741192E-3</v>
      </c>
      <c r="N20" s="8">
        <f t="shared" si="3"/>
        <v>1.1827828682797747E-3</v>
      </c>
      <c r="P20" s="25">
        <f t="shared" ref="P5:P26" si="6">SUMPRODUCT(M20:M27,C20:C27)</f>
        <v>-3.1089850456041384E-3</v>
      </c>
      <c r="Q20" s="25">
        <f t="shared" si="5"/>
        <v>3.1224458035119798E-3</v>
      </c>
    </row>
    <row r="21" spans="1:17" x14ac:dyDescent="0.25">
      <c r="B21" s="2">
        <v>43983</v>
      </c>
      <c r="C21" s="4">
        <v>0</v>
      </c>
      <c r="D21" s="7">
        <f t="shared" si="0"/>
        <v>43983</v>
      </c>
      <c r="E21" s="8">
        <v>0.08</v>
      </c>
      <c r="F21" s="8">
        <v>7.0199999999999999E-2</v>
      </c>
      <c r="G21">
        <v>102.6593</v>
      </c>
      <c r="H21">
        <v>102.521</v>
      </c>
      <c r="I21">
        <v>102.7979</v>
      </c>
      <c r="J21">
        <v>2.6101000000000001</v>
      </c>
      <c r="K21" s="19">
        <f t="shared" si="1"/>
        <v>0</v>
      </c>
      <c r="M21" s="8">
        <f t="shared" si="2"/>
        <v>-1.3471745862284612E-3</v>
      </c>
      <c r="N21" s="8">
        <f t="shared" si="3"/>
        <v>1.350096873834028E-3</v>
      </c>
      <c r="P21" s="8"/>
      <c r="Q21" s="8"/>
    </row>
    <row r="22" spans="1:17" x14ac:dyDescent="0.25">
      <c r="B22" s="2">
        <v>44348</v>
      </c>
      <c r="C22" s="4">
        <v>0</v>
      </c>
      <c r="D22" s="7">
        <f t="shared" si="0"/>
        <v>44348</v>
      </c>
      <c r="E22" s="8">
        <v>6.5000000000000002E-2</v>
      </c>
      <c r="F22" s="8">
        <v>7.0599999999999996E-2</v>
      </c>
      <c r="G22">
        <v>98.039699999999996</v>
      </c>
      <c r="H22">
        <v>97.867500000000007</v>
      </c>
      <c r="I22">
        <v>98.212299999999999</v>
      </c>
      <c r="J22">
        <v>3.4198</v>
      </c>
      <c r="K22" s="19">
        <f t="shared" si="1"/>
        <v>0</v>
      </c>
      <c r="M22" s="8">
        <f t="shared" si="2"/>
        <v>-1.7564313232291129E-3</v>
      </c>
      <c r="N22" s="8">
        <f t="shared" si="3"/>
        <v>1.760511303074086E-3</v>
      </c>
      <c r="P22" s="8"/>
      <c r="Q22" s="8"/>
    </row>
    <row r="23" spans="1:17" x14ac:dyDescent="0.25">
      <c r="B23" s="2">
        <v>44713</v>
      </c>
      <c r="C23" s="4">
        <v>0</v>
      </c>
      <c r="D23" s="7">
        <f t="shared" si="0"/>
        <v>44713</v>
      </c>
      <c r="E23" s="8">
        <v>6.5000000000000002E-2</v>
      </c>
      <c r="F23" s="8">
        <v>7.0900000000000005E-2</v>
      </c>
      <c r="G23">
        <v>97.514700000000005</v>
      </c>
      <c r="H23">
        <v>97.308099999999996</v>
      </c>
      <c r="I23">
        <v>97.721900000000005</v>
      </c>
      <c r="J23">
        <v>4.1264000000000003</v>
      </c>
      <c r="K23" s="19">
        <f t="shared" si="1"/>
        <v>0</v>
      </c>
      <c r="M23" s="8">
        <f t="shared" si="2"/>
        <v>-2.1186549310002745E-3</v>
      </c>
      <c r="N23" s="8">
        <f t="shared" si="3"/>
        <v>2.1248078494831013E-3</v>
      </c>
      <c r="P23" s="8"/>
      <c r="Q23" s="8"/>
    </row>
    <row r="24" spans="1:17" x14ac:dyDescent="0.25">
      <c r="B24" s="2">
        <v>45627</v>
      </c>
      <c r="C24" s="4">
        <v>0.38</v>
      </c>
      <c r="D24" s="7">
        <f t="shared" si="0"/>
        <v>45627</v>
      </c>
      <c r="E24" s="8">
        <v>0.1</v>
      </c>
      <c r="F24" s="8">
        <v>7.1199999999999999E-2</v>
      </c>
      <c r="G24">
        <v>116.62730000000001</v>
      </c>
      <c r="H24">
        <v>116.3092</v>
      </c>
      <c r="I24">
        <v>116.9466</v>
      </c>
      <c r="J24">
        <v>5.2728999999999999</v>
      </c>
      <c r="K24" s="19">
        <f t="shared" si="1"/>
        <v>-1.0364468696437191E-3</v>
      </c>
      <c r="M24" s="8">
        <f t="shared" si="2"/>
        <v>-2.7274917622203132E-3</v>
      </c>
      <c r="N24" s="8">
        <f t="shared" si="3"/>
        <v>2.7377809483715154E-3</v>
      </c>
      <c r="P24" s="8"/>
      <c r="Q24" s="8"/>
    </row>
    <row r="25" spans="1:17" x14ac:dyDescent="0.25">
      <c r="B25" s="2">
        <v>46082</v>
      </c>
      <c r="C25" s="4">
        <v>0.62</v>
      </c>
      <c r="D25" s="7">
        <f t="shared" si="0"/>
        <v>46082</v>
      </c>
      <c r="E25" s="8">
        <v>5.7500000000000002E-2</v>
      </c>
      <c r="F25" s="8">
        <v>7.1599999999999997E-2</v>
      </c>
      <c r="G25">
        <v>90.881799999999998</v>
      </c>
      <c r="H25">
        <v>90.578000000000003</v>
      </c>
      <c r="I25">
        <v>91.186999999999998</v>
      </c>
      <c r="J25">
        <v>6.6269999999999998</v>
      </c>
      <c r="K25" s="19">
        <f t="shared" si="1"/>
        <v>-2.072538175960419E-3</v>
      </c>
      <c r="M25" s="8">
        <f t="shared" si="2"/>
        <v>-3.3428035096135789E-3</v>
      </c>
      <c r="N25" s="8">
        <f t="shared" si="3"/>
        <v>3.3582081340819414E-3</v>
      </c>
      <c r="P25" s="8"/>
      <c r="Q25" s="8"/>
    </row>
    <row r="26" spans="1:17" x14ac:dyDescent="0.25">
      <c r="A26">
        <f>SUMPRODUCT(C20:C27,J20:J27)</f>
        <v>6.1124419999999997</v>
      </c>
      <c r="B26" s="2">
        <v>46539</v>
      </c>
      <c r="C26" s="4">
        <v>0</v>
      </c>
      <c r="D26" s="7">
        <f t="shared" si="0"/>
        <v>46539</v>
      </c>
      <c r="E26" s="8">
        <v>7.4999999999999997E-2</v>
      </c>
      <c r="F26" s="8">
        <v>7.2300000000000003E-2</v>
      </c>
      <c r="G26">
        <v>101.90009999999999</v>
      </c>
      <c r="H26">
        <v>101.5431</v>
      </c>
      <c r="I26">
        <v>102.2587</v>
      </c>
      <c r="J26">
        <v>6.8093000000000004</v>
      </c>
      <c r="K26" s="19">
        <f t="shared" si="1"/>
        <v>0</v>
      </c>
      <c r="L26">
        <f>A26</f>
        <v>6.1124419999999997</v>
      </c>
      <c r="M26" s="8">
        <f t="shared" si="2"/>
        <v>-3.503431301833837E-3</v>
      </c>
      <c r="N26" s="8">
        <f t="shared" si="3"/>
        <v>3.5191329547272776E-3</v>
      </c>
      <c r="P26" s="8"/>
      <c r="Q26" s="8"/>
    </row>
    <row r="27" spans="1:17" x14ac:dyDescent="0.25">
      <c r="B27" s="2">
        <v>47239</v>
      </c>
      <c r="C27" s="4">
        <v>0</v>
      </c>
      <c r="D27" s="7">
        <f t="shared" si="0"/>
        <v>47239</v>
      </c>
      <c r="E27" s="8">
        <v>8.5000000000000006E-2</v>
      </c>
      <c r="F27" s="8">
        <v>7.2800000000000004E-2</v>
      </c>
      <c r="G27">
        <v>109.646</v>
      </c>
      <c r="H27">
        <v>109.2265</v>
      </c>
      <c r="I27">
        <v>110.0676</v>
      </c>
      <c r="J27">
        <v>7.6643999999999997</v>
      </c>
      <c r="K27" s="19">
        <f t="shared" si="1"/>
        <v>0</v>
      </c>
      <c r="M27" s="8">
        <f t="shared" si="2"/>
        <v>-3.8259489630264598E-3</v>
      </c>
      <c r="N27" s="8">
        <f t="shared" si="3"/>
        <v>3.8451015084910445E-3</v>
      </c>
      <c r="P27" s="8"/>
      <c r="Q27" s="8"/>
    </row>
    <row r="28" spans="1:17" x14ac:dyDescent="0.25">
      <c r="D28" s="7"/>
    </row>
    <row r="29" spans="1:17" x14ac:dyDescent="0.25">
      <c r="D29" s="7"/>
    </row>
    <row r="30" spans="1:17" x14ac:dyDescent="0.25">
      <c r="B30" t="s">
        <v>27</v>
      </c>
      <c r="D30" s="7"/>
    </row>
    <row r="31" spans="1:17" x14ac:dyDescent="0.25">
      <c r="D31" s="7"/>
    </row>
    <row r="32" spans="1:17" x14ac:dyDescent="0.25">
      <c r="D32" s="7"/>
    </row>
    <row r="33" spans="4:4" x14ac:dyDescent="0.25">
      <c r="D33" s="7"/>
    </row>
    <row r="34" spans="4:4" x14ac:dyDescent="0.25">
      <c r="D34" s="7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  <row r="41" spans="4:4" x14ac:dyDescent="0.25">
      <c r="D41" s="7"/>
    </row>
    <row r="42" spans="4:4" x14ac:dyDescent="0.25">
      <c r="D42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workbookViewId="0">
      <selection activeCell="I19" sqref="I19"/>
    </sheetView>
  </sheetViews>
  <sheetFormatPr defaultRowHeight="15" x14ac:dyDescent="0.25"/>
  <sheetData>
    <row r="3" spans="1:15" x14ac:dyDescent="0.25">
      <c r="A3" t="s">
        <v>11</v>
      </c>
    </row>
    <row r="4" spans="1:15" ht="15.75" x14ac:dyDescent="0.25">
      <c r="A4" t="s">
        <v>44</v>
      </c>
      <c r="B4">
        <v>91</v>
      </c>
      <c r="D4" s="17" t="s">
        <v>45</v>
      </c>
    </row>
    <row r="5" spans="1:15" x14ac:dyDescent="0.25">
      <c r="A5" t="s">
        <v>46</v>
      </c>
      <c r="B5" s="8">
        <v>6.7500000000000004E-2</v>
      </c>
      <c r="D5" s="18">
        <f>B6/(1+B5/360*B4)</f>
        <v>9.8322374485343822</v>
      </c>
    </row>
    <row r="6" spans="1:15" x14ac:dyDescent="0.25">
      <c r="A6" t="s">
        <v>47</v>
      </c>
      <c r="B6">
        <v>10</v>
      </c>
    </row>
    <row r="9" spans="1:15" x14ac:dyDescent="0.25">
      <c r="A9" t="s">
        <v>11</v>
      </c>
      <c r="I9" t="s">
        <v>67</v>
      </c>
      <c r="O9">
        <f>10*(1+0.0675/360*28)</f>
        <v>10.0525</v>
      </c>
    </row>
    <row r="10" spans="1:15" x14ac:dyDescent="0.25">
      <c r="A10" t="s">
        <v>12</v>
      </c>
      <c r="O10">
        <v>10</v>
      </c>
    </row>
    <row r="11" spans="1:15" x14ac:dyDescent="0.25">
      <c r="A11" t="s">
        <v>13</v>
      </c>
    </row>
    <row r="12" spans="1:15" x14ac:dyDescent="0.25">
      <c r="A12" t="s">
        <v>14</v>
      </c>
      <c r="J12" t="s">
        <v>69</v>
      </c>
      <c r="O12">
        <f>(O13+1)*10</f>
        <v>9.9473800000000008</v>
      </c>
    </row>
    <row r="13" spans="1:15" x14ac:dyDescent="0.25">
      <c r="J13" t="s">
        <v>70</v>
      </c>
      <c r="O13" s="8">
        <v>-5.2620000000000002E-3</v>
      </c>
    </row>
    <row r="14" spans="1:15" x14ac:dyDescent="0.25">
      <c r="C14" t="s">
        <v>68</v>
      </c>
      <c r="F14">
        <f>91-28</f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J3" sqref="J3"/>
    </sheetView>
  </sheetViews>
  <sheetFormatPr defaultRowHeight="15.75" x14ac:dyDescent="0.25"/>
  <cols>
    <col min="1" max="16384" width="9.140625" style="24"/>
  </cols>
  <sheetData>
    <row r="1" spans="1:1" x14ac:dyDescent="0.25">
      <c r="A1" s="24" t="s">
        <v>63</v>
      </c>
    </row>
    <row r="2" spans="1:1" x14ac:dyDescent="0.25">
      <c r="A2" s="24" t="s">
        <v>62</v>
      </c>
    </row>
    <row r="3" spans="1:1" x14ac:dyDescent="0.25">
      <c r="A3" s="24" t="s">
        <v>61</v>
      </c>
    </row>
    <row r="4" spans="1:1" x14ac:dyDescent="0.25">
      <c r="A4" s="24" t="s">
        <v>60</v>
      </c>
    </row>
    <row r="5" spans="1:1" x14ac:dyDescent="0.25">
      <c r="A5" s="24" t="s">
        <v>59</v>
      </c>
    </row>
    <row r="6" spans="1:1" x14ac:dyDescent="0.25">
      <c r="A6" s="24" t="s">
        <v>58</v>
      </c>
    </row>
    <row r="7" spans="1:1" x14ac:dyDescent="0.25">
      <c r="A7" s="24" t="s">
        <v>57</v>
      </c>
    </row>
    <row r="8" spans="1:1" x14ac:dyDescent="0.25">
      <c r="A8" s="24" t="s">
        <v>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activeCell="H46" sqref="H46"/>
    </sheetView>
  </sheetViews>
  <sheetFormatPr defaultRowHeight="15" x14ac:dyDescent="0.25"/>
  <cols>
    <col min="1" max="1" width="34" customWidth="1"/>
    <col min="2" max="2" width="25" customWidth="1"/>
    <col min="3" max="3" width="23.42578125" customWidth="1"/>
    <col min="11" max="11" width="10.7109375" bestFit="1" customWidth="1"/>
  </cols>
  <sheetData>
    <row r="1" spans="1:14" ht="15.75" x14ac:dyDescent="0.25">
      <c r="A1" s="20" t="s">
        <v>50</v>
      </c>
    </row>
    <row r="2" spans="1:14" ht="23.25" x14ac:dyDescent="0.35">
      <c r="A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3.25" x14ac:dyDescent="0.35">
      <c r="A3" s="21" t="s">
        <v>51</v>
      </c>
      <c r="D3" s="23"/>
      <c r="E3" s="23" t="s">
        <v>55</v>
      </c>
      <c r="F3" s="23"/>
      <c r="G3" s="23"/>
      <c r="H3" s="23"/>
      <c r="I3" s="23"/>
      <c r="J3" s="23"/>
      <c r="K3" s="23"/>
      <c r="L3" s="23"/>
      <c r="M3" s="23"/>
      <c r="N3" s="23"/>
    </row>
    <row r="4" spans="1:14" ht="23.25" x14ac:dyDescent="0.35">
      <c r="A4" s="22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ht="23.25" x14ac:dyDescent="0.35">
      <c r="A5" s="21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x14ac:dyDescent="0.25">
      <c r="A6" s="21" t="s">
        <v>53</v>
      </c>
    </row>
    <row r="10" spans="1:14" ht="60" x14ac:dyDescent="0.25">
      <c r="A10" s="9" t="s">
        <v>28</v>
      </c>
      <c r="B10" s="10" t="s">
        <v>29</v>
      </c>
    </row>
    <row r="11" spans="1:14" ht="60" x14ac:dyDescent="0.25">
      <c r="A11" s="9" t="s">
        <v>30</v>
      </c>
      <c r="B11" s="11" t="s">
        <v>31</v>
      </c>
    </row>
    <row r="12" spans="1:14" x14ac:dyDescent="0.25">
      <c r="A12" s="9" t="s">
        <v>32</v>
      </c>
      <c r="B12" s="11" t="s">
        <v>33</v>
      </c>
    </row>
    <row r="13" spans="1:14" ht="30" x14ac:dyDescent="0.25">
      <c r="A13" s="9" t="s">
        <v>34</v>
      </c>
      <c r="B13" s="11" t="s">
        <v>35</v>
      </c>
    </row>
    <row r="14" spans="1:14" ht="30" x14ac:dyDescent="0.25">
      <c r="A14" s="9" t="s">
        <v>36</v>
      </c>
      <c r="B14" s="11" t="s">
        <v>37</v>
      </c>
    </row>
    <row r="15" spans="1:14" x14ac:dyDescent="0.25">
      <c r="A15" s="9" t="s">
        <v>38</v>
      </c>
      <c r="B15" s="11"/>
    </row>
    <row r="16" spans="1:14" x14ac:dyDescent="0.25">
      <c r="A16" s="9" t="s">
        <v>39</v>
      </c>
      <c r="B16" s="12"/>
    </row>
    <row r="17" spans="1:12" ht="61.5" customHeight="1" x14ac:dyDescent="0.25">
      <c r="A17" s="9" t="s">
        <v>40</v>
      </c>
      <c r="B17" s="11" t="s">
        <v>41</v>
      </c>
      <c r="C17" s="16" t="s">
        <v>42</v>
      </c>
      <c r="D17" s="16" t="s">
        <v>43</v>
      </c>
    </row>
    <row r="18" spans="1:12" x14ac:dyDescent="0.25">
      <c r="A18" s="15">
        <v>42817</v>
      </c>
      <c r="B18" s="13">
        <v>6.21</v>
      </c>
      <c r="C18">
        <f t="shared" ref="C18:C62" si="0">B18/100</f>
        <v>6.2100000000000002E-2</v>
      </c>
      <c r="D18">
        <f t="shared" ref="D18:D62" si="1">C18/360</f>
        <v>1.7250000000000002E-4</v>
      </c>
      <c r="E18">
        <f>D18+1</f>
        <v>1.0001724999999999</v>
      </c>
      <c r="K18" t="s">
        <v>48</v>
      </c>
    </row>
    <row r="19" spans="1:12" x14ac:dyDescent="0.25">
      <c r="A19" s="15">
        <v>42818</v>
      </c>
      <c r="B19" s="13">
        <v>6.1</v>
      </c>
      <c r="C19">
        <f t="shared" si="0"/>
        <v>6.0999999999999999E-2</v>
      </c>
      <c r="D19">
        <f t="shared" si="1"/>
        <v>1.6944444444444445E-4</v>
      </c>
      <c r="E19">
        <f>(D19+1)*E18</f>
        <v>1.000341973673611</v>
      </c>
      <c r="K19" s="6">
        <v>42845</v>
      </c>
    </row>
    <row r="20" spans="1:12" x14ac:dyDescent="0.25">
      <c r="A20" s="15">
        <v>42819</v>
      </c>
      <c r="B20" s="13">
        <v>6.21</v>
      </c>
      <c r="C20">
        <f t="shared" si="0"/>
        <v>6.2100000000000002E-2</v>
      </c>
      <c r="D20">
        <f t="shared" si="1"/>
        <v>1.7250000000000002E-4</v>
      </c>
      <c r="E20">
        <f t="shared" ref="E20:E62" si="2">(D20+1)*E19</f>
        <v>1.0005145326640696</v>
      </c>
      <c r="K20" s="6">
        <f>K19+28</f>
        <v>42873</v>
      </c>
      <c r="L20" t="s">
        <v>49</v>
      </c>
    </row>
    <row r="21" spans="1:12" x14ac:dyDescent="0.25">
      <c r="A21" s="15">
        <v>42820</v>
      </c>
      <c r="B21" s="13">
        <v>6.24</v>
      </c>
      <c r="C21">
        <f t="shared" si="0"/>
        <v>6.2400000000000004E-2</v>
      </c>
      <c r="D21">
        <f t="shared" si="1"/>
        <v>1.7333333333333334E-4</v>
      </c>
      <c r="E21">
        <f t="shared" si="2"/>
        <v>1.0006879551830647</v>
      </c>
    </row>
    <row r="22" spans="1:12" x14ac:dyDescent="0.25">
      <c r="A22" s="15">
        <v>42821</v>
      </c>
      <c r="B22" s="13">
        <v>6.25</v>
      </c>
      <c r="C22">
        <f t="shared" si="0"/>
        <v>6.25E-2</v>
      </c>
      <c r="D22">
        <f t="shared" si="1"/>
        <v>1.7361111111111112E-4</v>
      </c>
      <c r="E22">
        <f t="shared" si="2"/>
        <v>1.0008616857308394</v>
      </c>
      <c r="K22" t="s">
        <v>54</v>
      </c>
    </row>
    <row r="23" spans="1:12" x14ac:dyDescent="0.25">
      <c r="A23" s="15">
        <v>42822</v>
      </c>
      <c r="B23" s="13">
        <v>6.46</v>
      </c>
      <c r="C23">
        <f t="shared" si="0"/>
        <v>6.4600000000000005E-2</v>
      </c>
      <c r="D23">
        <f t="shared" si="1"/>
        <v>1.7944444444444445E-4</v>
      </c>
      <c r="E23">
        <f t="shared" si="2"/>
        <v>1.0010412848000012</v>
      </c>
      <c r="K23" s="6">
        <v>42860</v>
      </c>
    </row>
    <row r="24" spans="1:12" x14ac:dyDescent="0.25">
      <c r="A24" s="15">
        <v>42823</v>
      </c>
      <c r="B24" s="13">
        <v>6.59</v>
      </c>
      <c r="C24">
        <f t="shared" si="0"/>
        <v>6.59E-2</v>
      </c>
      <c r="D24">
        <f t="shared" si="1"/>
        <v>1.8305555555555555E-4</v>
      </c>
      <c r="E24">
        <f t="shared" si="2"/>
        <v>1.0012245309685244</v>
      </c>
      <c r="K24">
        <f>K23-K19</f>
        <v>15</v>
      </c>
    </row>
    <row r="25" spans="1:12" x14ac:dyDescent="0.25">
      <c r="A25" s="15">
        <v>42824</v>
      </c>
      <c r="B25" s="13">
        <v>6.61</v>
      </c>
      <c r="C25">
        <f t="shared" si="0"/>
        <v>6.6100000000000006E-2</v>
      </c>
      <c r="D25">
        <f t="shared" si="1"/>
        <v>1.8361111111111112E-4</v>
      </c>
      <c r="E25">
        <f t="shared" si="2"/>
        <v>1.0014083669171272</v>
      </c>
    </row>
    <row r="26" spans="1:12" x14ac:dyDescent="0.25">
      <c r="A26" s="15">
        <v>42825</v>
      </c>
      <c r="B26" s="13">
        <v>6.66</v>
      </c>
      <c r="C26">
        <f t="shared" si="0"/>
        <v>6.6600000000000006E-2</v>
      </c>
      <c r="D26">
        <f t="shared" si="1"/>
        <v>1.8500000000000002E-4</v>
      </c>
      <c r="E26">
        <f t="shared" si="2"/>
        <v>1.001593627465007</v>
      </c>
    </row>
    <row r="27" spans="1:12" x14ac:dyDescent="0.25">
      <c r="A27" s="15">
        <v>42826</v>
      </c>
      <c r="B27" s="13">
        <v>6.63</v>
      </c>
      <c r="C27">
        <f t="shared" si="0"/>
        <v>6.6299999999999998E-2</v>
      </c>
      <c r="D27">
        <f t="shared" si="1"/>
        <v>1.8416666666666665E-4</v>
      </c>
      <c r="E27">
        <f t="shared" si="2"/>
        <v>1.0017780876247318</v>
      </c>
    </row>
    <row r="28" spans="1:12" x14ac:dyDescent="0.25">
      <c r="A28" s="15">
        <v>42827</v>
      </c>
      <c r="B28" s="13">
        <v>6.42</v>
      </c>
      <c r="C28">
        <f t="shared" si="0"/>
        <v>6.4199999999999993E-2</v>
      </c>
      <c r="D28">
        <f t="shared" si="1"/>
        <v>1.7833333333333332E-4</v>
      </c>
      <c r="E28">
        <f t="shared" si="2"/>
        <v>1.0019567380503582</v>
      </c>
    </row>
    <row r="29" spans="1:12" x14ac:dyDescent="0.25">
      <c r="A29" s="15">
        <v>42828</v>
      </c>
      <c r="B29" s="13">
        <v>6.44</v>
      </c>
      <c r="C29">
        <f t="shared" si="0"/>
        <v>6.4399999999999999E-2</v>
      </c>
      <c r="D29">
        <f t="shared" si="1"/>
        <v>1.7888888888888889E-4</v>
      </c>
      <c r="E29">
        <f t="shared" si="2"/>
        <v>1.0021359769779428</v>
      </c>
    </row>
    <row r="30" spans="1:12" x14ac:dyDescent="0.25">
      <c r="A30" s="15">
        <v>42829</v>
      </c>
      <c r="B30" s="13">
        <v>6.5</v>
      </c>
      <c r="C30">
        <f t="shared" si="0"/>
        <v>6.5000000000000002E-2</v>
      </c>
      <c r="D30">
        <f t="shared" si="1"/>
        <v>1.8055555555555557E-4</v>
      </c>
      <c r="E30">
        <f t="shared" si="2"/>
        <v>1.0023169181960083</v>
      </c>
    </row>
    <row r="31" spans="1:12" x14ac:dyDescent="0.25">
      <c r="A31" s="15">
        <v>42830</v>
      </c>
      <c r="B31" s="13">
        <v>6.57</v>
      </c>
      <c r="C31">
        <f t="shared" si="0"/>
        <v>6.5700000000000008E-2</v>
      </c>
      <c r="D31">
        <f t="shared" si="1"/>
        <v>1.8250000000000002E-4</v>
      </c>
      <c r="E31">
        <f t="shared" si="2"/>
        <v>1.002499841033579</v>
      </c>
    </row>
    <row r="32" spans="1:12" x14ac:dyDescent="0.25">
      <c r="A32" s="15">
        <v>42831</v>
      </c>
      <c r="B32" s="13">
        <v>6.57</v>
      </c>
      <c r="C32">
        <f t="shared" si="0"/>
        <v>6.5700000000000008E-2</v>
      </c>
      <c r="D32">
        <f t="shared" si="1"/>
        <v>1.8250000000000002E-4</v>
      </c>
      <c r="E32">
        <f t="shared" si="2"/>
        <v>1.0026827972545675</v>
      </c>
    </row>
    <row r="33" spans="1:8" x14ac:dyDescent="0.25">
      <c r="A33" s="15">
        <v>42832</v>
      </c>
      <c r="B33" s="13">
        <v>6.44</v>
      </c>
      <c r="C33">
        <f t="shared" si="0"/>
        <v>6.4399999999999999E-2</v>
      </c>
      <c r="D33">
        <f t="shared" si="1"/>
        <v>1.7888888888888889E-4</v>
      </c>
      <c r="E33">
        <f t="shared" si="2"/>
        <v>1.0028621660660766</v>
      </c>
    </row>
    <row r="34" spans="1:8" x14ac:dyDescent="0.25">
      <c r="A34" s="15">
        <v>42833</v>
      </c>
      <c r="B34" s="13">
        <v>6.42</v>
      </c>
      <c r="C34">
        <f t="shared" si="0"/>
        <v>6.4199999999999993E-2</v>
      </c>
      <c r="D34">
        <f t="shared" si="1"/>
        <v>1.7833333333333332E-4</v>
      </c>
      <c r="E34">
        <f t="shared" si="2"/>
        <v>1.003041009819025</v>
      </c>
    </row>
    <row r="35" spans="1:8" x14ac:dyDescent="0.25">
      <c r="A35" s="15">
        <v>42834</v>
      </c>
      <c r="B35" s="13">
        <v>6.5</v>
      </c>
      <c r="C35">
        <f t="shared" si="0"/>
        <v>6.5000000000000002E-2</v>
      </c>
      <c r="D35">
        <f t="shared" si="1"/>
        <v>1.8055555555555557E-4</v>
      </c>
      <c r="E35">
        <f t="shared" si="2"/>
        <v>1.003222114445798</v>
      </c>
    </row>
    <row r="36" spans="1:8" x14ac:dyDescent="0.25">
      <c r="A36" s="15">
        <v>42835</v>
      </c>
      <c r="B36" s="13">
        <v>6.5</v>
      </c>
      <c r="C36">
        <f t="shared" si="0"/>
        <v>6.5000000000000002E-2</v>
      </c>
      <c r="D36">
        <f t="shared" si="1"/>
        <v>1.8055555555555557E-4</v>
      </c>
      <c r="E36">
        <f t="shared" si="2"/>
        <v>1.0034032517720175</v>
      </c>
    </row>
    <row r="37" spans="1:8" x14ac:dyDescent="0.25">
      <c r="A37" s="15">
        <v>42836</v>
      </c>
      <c r="B37" s="13">
        <v>6.58</v>
      </c>
      <c r="C37">
        <f t="shared" si="0"/>
        <v>6.5799999999999997E-2</v>
      </c>
      <c r="D37">
        <f t="shared" si="1"/>
        <v>1.8277777777777777E-4</v>
      </c>
      <c r="E37">
        <f t="shared" si="2"/>
        <v>1.0035866515885914</v>
      </c>
    </row>
    <row r="38" spans="1:8" x14ac:dyDescent="0.25">
      <c r="A38" s="15">
        <v>42837</v>
      </c>
      <c r="B38" s="13">
        <v>6.62</v>
      </c>
      <c r="C38">
        <f t="shared" si="0"/>
        <v>6.6199999999999995E-2</v>
      </c>
      <c r="D38">
        <f t="shared" si="1"/>
        <v>1.8388888888888887E-4</v>
      </c>
      <c r="E38">
        <f t="shared" si="2"/>
        <v>1.0037712000228558</v>
      </c>
    </row>
    <row r="39" spans="1:8" x14ac:dyDescent="0.25">
      <c r="A39" s="15">
        <v>42838</v>
      </c>
      <c r="B39" s="13">
        <v>6.69</v>
      </c>
      <c r="C39">
        <f t="shared" si="0"/>
        <v>6.6900000000000001E-2</v>
      </c>
      <c r="D39">
        <f t="shared" si="1"/>
        <v>1.8583333333333334E-4</v>
      </c>
      <c r="E39">
        <f t="shared" si="2"/>
        <v>1.0039577341708601</v>
      </c>
    </row>
    <row r="40" spans="1:8" x14ac:dyDescent="0.25">
      <c r="A40" s="15">
        <v>42839</v>
      </c>
      <c r="B40" s="13">
        <v>6.51</v>
      </c>
      <c r="C40">
        <f t="shared" si="0"/>
        <v>6.5099999999999991E-2</v>
      </c>
      <c r="D40">
        <f t="shared" si="1"/>
        <v>1.808333333333333E-4</v>
      </c>
      <c r="E40">
        <f t="shared" si="2"/>
        <v>1.004139283194456</v>
      </c>
    </row>
    <row r="41" spans="1:8" x14ac:dyDescent="0.25">
      <c r="A41" s="15">
        <v>42840</v>
      </c>
      <c r="B41" s="13">
        <v>6.48</v>
      </c>
      <c r="C41">
        <f t="shared" si="0"/>
        <v>6.480000000000001E-2</v>
      </c>
      <c r="D41">
        <f t="shared" si="1"/>
        <v>1.8000000000000004E-4</v>
      </c>
      <c r="E41">
        <f t="shared" si="2"/>
        <v>1.004320028265431</v>
      </c>
    </row>
    <row r="42" spans="1:8" x14ac:dyDescent="0.25">
      <c r="A42" s="15">
        <v>42841</v>
      </c>
      <c r="B42" s="13">
        <v>6.67</v>
      </c>
      <c r="C42">
        <f t="shared" si="0"/>
        <v>6.6699999999999995E-2</v>
      </c>
      <c r="D42">
        <f t="shared" si="1"/>
        <v>1.8527777777777775E-4</v>
      </c>
      <c r="E42">
        <f t="shared" si="2"/>
        <v>1.0045061064484457</v>
      </c>
    </row>
    <row r="43" spans="1:8" x14ac:dyDescent="0.25">
      <c r="A43" s="15">
        <v>42842</v>
      </c>
      <c r="B43" s="13">
        <v>6.66</v>
      </c>
      <c r="C43">
        <f t="shared" si="0"/>
        <v>6.6600000000000006E-2</v>
      </c>
      <c r="D43">
        <f t="shared" si="1"/>
        <v>1.8500000000000002E-4</v>
      </c>
      <c r="E43">
        <f t="shared" si="2"/>
        <v>1.0046919400781389</v>
      </c>
    </row>
    <row r="44" spans="1:8" x14ac:dyDescent="0.25">
      <c r="A44" s="15">
        <v>42843</v>
      </c>
      <c r="B44" s="13">
        <v>6.5</v>
      </c>
      <c r="C44">
        <f t="shared" si="0"/>
        <v>6.5000000000000002E-2</v>
      </c>
      <c r="D44">
        <f t="shared" si="1"/>
        <v>1.8055555555555557E-4</v>
      </c>
      <c r="E44">
        <f t="shared" si="2"/>
        <v>1.004873342789542</v>
      </c>
    </row>
    <row r="45" spans="1:8" x14ac:dyDescent="0.25">
      <c r="A45" s="15">
        <v>42844</v>
      </c>
      <c r="B45" s="14">
        <v>6.47</v>
      </c>
      <c r="C45">
        <f t="shared" si="0"/>
        <v>6.4699999999999994E-2</v>
      </c>
      <c r="D45">
        <f t="shared" si="1"/>
        <v>1.797222222222222E-4</v>
      </c>
      <c r="E45">
        <f t="shared" si="2"/>
        <v>1.0050539408597599</v>
      </c>
      <c r="H45" t="s">
        <v>86</v>
      </c>
    </row>
    <row r="46" spans="1:8" x14ac:dyDescent="0.25">
      <c r="A46" s="15">
        <v>42845</v>
      </c>
      <c r="B46" s="14">
        <v>6.47</v>
      </c>
      <c r="C46">
        <f t="shared" si="0"/>
        <v>6.4699999999999994E-2</v>
      </c>
      <c r="D46">
        <f t="shared" si="1"/>
        <v>1.797222222222222E-4</v>
      </c>
      <c r="E46">
        <f t="shared" si="2"/>
        <v>1.0052345713874644</v>
      </c>
    </row>
    <row r="47" spans="1:8" x14ac:dyDescent="0.25">
      <c r="A47" s="15">
        <v>42846</v>
      </c>
      <c r="B47" s="13">
        <v>6.58</v>
      </c>
      <c r="C47">
        <f t="shared" si="0"/>
        <v>6.5799999999999997E-2</v>
      </c>
      <c r="D47">
        <f t="shared" si="1"/>
        <v>1.8277777777777777E-4</v>
      </c>
      <c r="E47">
        <f t="shared" si="2"/>
        <v>1.0054183059285682</v>
      </c>
      <c r="H47">
        <f>D47+1</f>
        <v>1.0001827777777779</v>
      </c>
    </row>
    <row r="48" spans="1:8" x14ac:dyDescent="0.25">
      <c r="A48" s="15">
        <v>42847</v>
      </c>
      <c r="B48" s="13">
        <v>6.58</v>
      </c>
      <c r="C48">
        <f t="shared" si="0"/>
        <v>6.5799999999999997E-2</v>
      </c>
      <c r="D48">
        <f t="shared" si="1"/>
        <v>1.8277777777777777E-4</v>
      </c>
      <c r="E48">
        <f t="shared" si="2"/>
        <v>1.0056020740522631</v>
      </c>
      <c r="H48">
        <f>(D48+1)*H47</f>
        <v>1.0003655889632719</v>
      </c>
    </row>
    <row r="49" spans="1:8" x14ac:dyDescent="0.25">
      <c r="A49" s="15">
        <v>42848</v>
      </c>
      <c r="B49" s="13">
        <v>6.58</v>
      </c>
      <c r="C49">
        <f t="shared" si="0"/>
        <v>6.5799999999999997E-2</v>
      </c>
      <c r="D49">
        <f t="shared" si="1"/>
        <v>1.8277777777777777E-4</v>
      </c>
      <c r="E49">
        <f t="shared" si="2"/>
        <v>1.0057858757646871</v>
      </c>
      <c r="H49">
        <f t="shared" ref="H49:H62" si="3">(D49+1)*H48</f>
        <v>1.000548433562588</v>
      </c>
    </row>
    <row r="50" spans="1:8" x14ac:dyDescent="0.25">
      <c r="A50" s="15">
        <v>42849</v>
      </c>
      <c r="B50" s="13">
        <v>6.62</v>
      </c>
      <c r="C50">
        <f t="shared" si="0"/>
        <v>6.6199999999999995E-2</v>
      </c>
      <c r="D50">
        <f t="shared" si="1"/>
        <v>1.8388888888888887E-4</v>
      </c>
      <c r="E50">
        <f t="shared" si="2"/>
        <v>1.0059708286118418</v>
      </c>
      <c r="H50">
        <f t="shared" si="3"/>
        <v>1.0007324233023154</v>
      </c>
    </row>
    <row r="51" spans="1:8" x14ac:dyDescent="0.25">
      <c r="A51" s="15">
        <v>42850</v>
      </c>
      <c r="B51" s="13">
        <v>6.69</v>
      </c>
      <c r="C51">
        <f t="shared" si="0"/>
        <v>6.6900000000000001E-2</v>
      </c>
      <c r="D51">
        <f t="shared" si="1"/>
        <v>1.8583333333333334E-4</v>
      </c>
      <c r="E51">
        <f t="shared" si="2"/>
        <v>1.006157771524159</v>
      </c>
      <c r="H51">
        <f t="shared" si="3"/>
        <v>1.0009183927443124</v>
      </c>
    </row>
    <row r="52" spans="1:8" x14ac:dyDescent="0.25">
      <c r="A52" s="15">
        <v>42851</v>
      </c>
      <c r="B52" s="13">
        <v>6.51</v>
      </c>
      <c r="C52">
        <f t="shared" si="0"/>
        <v>6.5099999999999991E-2</v>
      </c>
      <c r="D52">
        <f t="shared" si="1"/>
        <v>1.808333333333333E-4</v>
      </c>
      <c r="E52">
        <f t="shared" si="2"/>
        <v>1.0063397183878429</v>
      </c>
      <c r="H52">
        <f t="shared" si="3"/>
        <v>1.0010993921536668</v>
      </c>
    </row>
    <row r="53" spans="1:8" x14ac:dyDescent="0.25">
      <c r="A53" s="15">
        <v>42852</v>
      </c>
      <c r="B53" s="13">
        <v>6.48</v>
      </c>
      <c r="C53">
        <f t="shared" si="0"/>
        <v>6.480000000000001E-2</v>
      </c>
      <c r="D53">
        <f t="shared" si="1"/>
        <v>1.8000000000000004E-4</v>
      </c>
      <c r="E53">
        <f t="shared" si="2"/>
        <v>1.0065208595371526</v>
      </c>
      <c r="H53">
        <f t="shared" si="3"/>
        <v>1.0012795900442546</v>
      </c>
    </row>
    <row r="54" spans="1:8" x14ac:dyDescent="0.25">
      <c r="A54" s="15">
        <v>42853</v>
      </c>
      <c r="B54" s="13">
        <v>6.67</v>
      </c>
      <c r="C54">
        <f t="shared" si="0"/>
        <v>6.6699999999999995E-2</v>
      </c>
      <c r="D54">
        <f t="shared" si="1"/>
        <v>1.8527777777777775E-4</v>
      </c>
      <c r="E54">
        <f t="shared" si="2"/>
        <v>1.0067073454852946</v>
      </c>
      <c r="H54">
        <f t="shared" si="3"/>
        <v>1.0014651049016323</v>
      </c>
    </row>
    <row r="55" spans="1:8" x14ac:dyDescent="0.25">
      <c r="A55" s="15">
        <v>42854</v>
      </c>
      <c r="B55" s="13">
        <v>6.67</v>
      </c>
      <c r="C55">
        <f t="shared" si="0"/>
        <v>6.6699999999999995E-2</v>
      </c>
      <c r="D55">
        <f t="shared" si="1"/>
        <v>1.8527777777777775E-4</v>
      </c>
      <c r="E55">
        <f t="shared" si="2"/>
        <v>1.0068938659851387</v>
      </c>
      <c r="H55">
        <f t="shared" si="3"/>
        <v>1.0016506541307906</v>
      </c>
    </row>
    <row r="56" spans="1:8" x14ac:dyDescent="0.25">
      <c r="A56" s="15">
        <v>42855</v>
      </c>
      <c r="B56" s="13">
        <v>6.67</v>
      </c>
      <c r="C56">
        <f t="shared" si="0"/>
        <v>6.6699999999999995E-2</v>
      </c>
      <c r="D56">
        <f t="shared" si="1"/>
        <v>1.8527777777777775E-4</v>
      </c>
      <c r="E56">
        <f t="shared" si="2"/>
        <v>1.0070804210430866</v>
      </c>
      <c r="H56">
        <f t="shared" si="3"/>
        <v>1.0018362377380976</v>
      </c>
    </row>
    <row r="57" spans="1:8" x14ac:dyDescent="0.25">
      <c r="A57" s="15">
        <v>42856</v>
      </c>
      <c r="B57" s="13">
        <v>6.67</v>
      </c>
      <c r="C57">
        <f t="shared" si="0"/>
        <v>6.6699999999999995E-2</v>
      </c>
      <c r="D57">
        <f t="shared" si="1"/>
        <v>1.8527777777777775E-4</v>
      </c>
      <c r="E57">
        <f t="shared" si="2"/>
        <v>1.007267010665541</v>
      </c>
      <c r="H57">
        <f t="shared" si="3"/>
        <v>1.002021855729923</v>
      </c>
    </row>
    <row r="58" spans="1:8" x14ac:dyDescent="0.25">
      <c r="A58" s="15">
        <v>42857</v>
      </c>
      <c r="B58" s="13">
        <v>6.67</v>
      </c>
      <c r="C58">
        <f t="shared" si="0"/>
        <v>6.6699999999999995E-2</v>
      </c>
      <c r="D58">
        <f t="shared" si="1"/>
        <v>1.8527777777777775E-4</v>
      </c>
      <c r="E58">
        <f t="shared" si="2"/>
        <v>1.007453634858906</v>
      </c>
      <c r="H58">
        <f>(D58+1)*H57-0.0002</f>
        <v>1.0020075081126374</v>
      </c>
    </row>
    <row r="59" spans="1:8" x14ac:dyDescent="0.25">
      <c r="A59" s="15">
        <v>42857</v>
      </c>
      <c r="B59" s="13">
        <v>6.66</v>
      </c>
      <c r="C59">
        <f t="shared" si="0"/>
        <v>6.6600000000000006E-2</v>
      </c>
      <c r="D59">
        <f t="shared" si="1"/>
        <v>1.8500000000000002E-4</v>
      </c>
      <c r="E59">
        <f t="shared" si="2"/>
        <v>1.007640013781355</v>
      </c>
      <c r="H59">
        <f>(D59+1)*H58</f>
        <v>1.0021928795016384</v>
      </c>
    </row>
    <row r="60" spans="1:8" x14ac:dyDescent="0.25">
      <c r="A60" s="15">
        <v>42858</v>
      </c>
      <c r="B60" s="13">
        <v>6.5</v>
      </c>
      <c r="C60">
        <f t="shared" si="0"/>
        <v>6.5000000000000002E-2</v>
      </c>
      <c r="D60">
        <f t="shared" si="1"/>
        <v>1.8055555555555557E-4</v>
      </c>
      <c r="E60">
        <f t="shared" si="2"/>
        <v>1.0078219487838433</v>
      </c>
      <c r="H60">
        <f t="shared" si="3"/>
        <v>1.0023738309937706</v>
      </c>
    </row>
    <row r="61" spans="1:8" x14ac:dyDescent="0.25">
      <c r="A61" s="15">
        <v>42859</v>
      </c>
      <c r="B61" s="14">
        <v>6.47</v>
      </c>
      <c r="C61">
        <f t="shared" si="0"/>
        <v>6.4699999999999994E-2</v>
      </c>
      <c r="D61">
        <f t="shared" si="1"/>
        <v>1.797222222222222E-4</v>
      </c>
      <c r="E61">
        <f t="shared" si="2"/>
        <v>1.0080030767840831</v>
      </c>
      <c r="H61">
        <f t="shared" si="3"/>
        <v>1.0025539798461742</v>
      </c>
    </row>
    <row r="62" spans="1:8" x14ac:dyDescent="0.25">
      <c r="A62" s="15">
        <v>42860</v>
      </c>
      <c r="B62" s="14">
        <v>6.47</v>
      </c>
      <c r="C62">
        <f t="shared" si="0"/>
        <v>6.4699999999999994E-2</v>
      </c>
      <c r="D62">
        <f t="shared" si="1"/>
        <v>1.797222222222222E-4</v>
      </c>
      <c r="E62">
        <f t="shared" si="2"/>
        <v>1.0081842373370495</v>
      </c>
      <c r="H62">
        <f t="shared" si="3"/>
        <v>1.00273416107533</v>
      </c>
    </row>
    <row r="65" spans="3:9" x14ac:dyDescent="0.25">
      <c r="H65" s="25">
        <f>(H62-1)/E66*360</f>
        <v>6.5619865807919453E-2</v>
      </c>
      <c r="I65" t="s">
        <v>71</v>
      </c>
    </row>
    <row r="66" spans="3:9" x14ac:dyDescent="0.25">
      <c r="C66" t="s">
        <v>54</v>
      </c>
      <c r="E66">
        <f>K24</f>
        <v>15</v>
      </c>
    </row>
    <row r="69" spans="3:9" x14ac:dyDescent="0.25">
      <c r="H69" s="30">
        <f>0.065915346</f>
        <v>6.5915346E-2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1"/>
  <sheetViews>
    <sheetView tabSelected="1" zoomScale="120" zoomScaleNormal="120" workbookViewId="0">
      <selection activeCell="G18" sqref="G18"/>
    </sheetView>
  </sheetViews>
  <sheetFormatPr defaultColWidth="11.42578125" defaultRowHeight="15" x14ac:dyDescent="0.25"/>
  <cols>
    <col min="2" max="2" width="34.7109375" customWidth="1"/>
    <col min="3" max="3" width="13.140625" customWidth="1"/>
  </cols>
  <sheetData>
    <row r="6" spans="2:7" x14ac:dyDescent="0.25">
      <c r="B6" s="29">
        <v>44637</v>
      </c>
      <c r="C6" t="s">
        <v>88</v>
      </c>
    </row>
    <row r="7" spans="2:7" x14ac:dyDescent="0.25">
      <c r="B7" s="6">
        <v>42860</v>
      </c>
      <c r="C7" t="s">
        <v>87</v>
      </c>
    </row>
    <row r="8" spans="2:7" x14ac:dyDescent="0.25">
      <c r="B8">
        <f>B6-B7</f>
        <v>1777</v>
      </c>
      <c r="C8" t="s">
        <v>84</v>
      </c>
    </row>
    <row r="9" spans="2:7" x14ac:dyDescent="0.25">
      <c r="B9">
        <f>B8/28</f>
        <v>63.464285714285715</v>
      </c>
      <c r="C9" t="s">
        <v>83</v>
      </c>
    </row>
    <row r="11" spans="2:7" ht="18" x14ac:dyDescent="0.35">
      <c r="B11" t="s">
        <v>82</v>
      </c>
      <c r="D11" s="26">
        <f>Bondes!H69</f>
        <v>6.5915346E-2</v>
      </c>
      <c r="E11" t="s">
        <v>85</v>
      </c>
    </row>
    <row r="12" spans="2:7" x14ac:dyDescent="0.25">
      <c r="B12" t="s">
        <v>81</v>
      </c>
      <c r="D12" t="s">
        <v>80</v>
      </c>
      <c r="E12" s="26">
        <f>(((1+D11*15/360)*(1+Bondes!C62/360)^(28-15))-1)*(360/15)</f>
        <v>0.12220335500047064</v>
      </c>
      <c r="F12" t="s">
        <v>79</v>
      </c>
      <c r="G12" s="26">
        <f>(((1+Bondes!C62/360)^15)-1)*360/15</f>
        <v>6.4781459619663195E-2</v>
      </c>
    </row>
    <row r="13" spans="2:7" x14ac:dyDescent="0.25">
      <c r="B13" t="s">
        <v>78</v>
      </c>
      <c r="D13" t="s">
        <v>77</v>
      </c>
      <c r="E13">
        <f>100*E12/360*15</f>
        <v>0.50918064583529432</v>
      </c>
      <c r="F13" t="s">
        <v>2</v>
      </c>
      <c r="G13">
        <f>100*G12/360*28</f>
        <v>0.50385579704182493</v>
      </c>
    </row>
    <row r="14" spans="2:7" x14ac:dyDescent="0.25">
      <c r="B14" t="s">
        <v>76</v>
      </c>
      <c r="D14">
        <f>((1+(Bondes!C62+0.001375)/360)^28)-1</f>
        <v>5.1519208370600644E-3</v>
      </c>
    </row>
    <row r="15" spans="2:7" x14ac:dyDescent="0.25">
      <c r="B15" s="27" t="s">
        <v>75</v>
      </c>
      <c r="C15" s="28">
        <f>(E13+C19+C20)/C21</f>
        <v>99.556334664037479</v>
      </c>
      <c r="D15" s="27" t="s">
        <v>74</v>
      </c>
    </row>
    <row r="16" spans="2:7" x14ac:dyDescent="0.25">
      <c r="C16" s="28">
        <f>C15-(100*D11/360*19)</f>
        <v>99.208448115704144</v>
      </c>
      <c r="D16" s="27" t="s">
        <v>73</v>
      </c>
    </row>
    <row r="17" spans="2:4" x14ac:dyDescent="0.25">
      <c r="D17">
        <f>D14</f>
        <v>5.1519208370600644E-3</v>
      </c>
    </row>
    <row r="19" spans="2:4" x14ac:dyDescent="0.25">
      <c r="B19" t="s">
        <v>72</v>
      </c>
      <c r="C19">
        <f>G13*(1/D17-(1/(D17*((1+D17)^24))))</f>
        <v>11.347387494230642</v>
      </c>
    </row>
    <row r="20" spans="2:4" x14ac:dyDescent="0.25">
      <c r="C20">
        <f>100/((1+D17)^24)</f>
        <v>88.397306844349188</v>
      </c>
    </row>
    <row r="21" spans="2:4" x14ac:dyDescent="0.25">
      <c r="C21">
        <f>(1.01+D17)^(1-15/28)</f>
        <v>1.0070064885648067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Hoja1</vt:lpstr>
      <vt:lpstr>BonosM</vt:lpstr>
      <vt:lpstr>cetes</vt:lpstr>
      <vt:lpstr>codigo BonosM</vt:lpstr>
      <vt:lpstr>Bondes</vt:lpstr>
      <vt:lpstr>BONDESPLANTILLA</vt:lpstr>
    </vt:vector>
  </TitlesOfParts>
  <Company>ITESO A.C.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sysprep</dc:creator>
  <cp:lastModifiedBy>juanpablo estavillo</cp:lastModifiedBy>
  <dcterms:created xsi:type="dcterms:W3CDTF">2017-05-08T18:15:38Z</dcterms:created>
  <dcterms:modified xsi:type="dcterms:W3CDTF">2017-05-08T20:07:15Z</dcterms:modified>
</cp:coreProperties>
</file>