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juanp\OneDrive\Iteso\Documentos\MATLAB\"/>
    </mc:Choice>
  </mc:AlternateContent>
  <bookViews>
    <workbookView xWindow="0" yWindow="0" windowWidth="11520" windowHeight="7530" tabRatio="500" firstSheet="2" activeTab="6"/>
  </bookViews>
  <sheets>
    <sheet name="Valuacion" sheetId="1" r:id="rId1"/>
    <sheet name="Creditos" sheetId="2" r:id="rId2"/>
    <sheet name="futuros inc" sheetId="7" r:id="rId3"/>
    <sheet name="MRP" sheetId="3" r:id="rId4"/>
    <sheet name="CETES" sheetId="4" r:id="rId5"/>
    <sheet name="BonosM" sheetId="6" r:id="rId6"/>
    <sheet name="Consulta" sheetId="8" r:id="rId7"/>
    <sheet name="Procedimiento" sheetId="9" r:id="rId8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8" l="1"/>
  <c r="B7" i="9" l="1"/>
  <c r="B8" i="9" s="1"/>
  <c r="B9" i="9" s="1"/>
  <c r="C19" i="8"/>
  <c r="D19" i="8" s="1"/>
  <c r="E19" i="8" s="1"/>
  <c r="C20" i="8"/>
  <c r="D20" i="8" s="1"/>
  <c r="C21" i="8"/>
  <c r="D21" i="8"/>
  <c r="C22" i="8"/>
  <c r="D22" i="8" s="1"/>
  <c r="C23" i="8"/>
  <c r="D23" i="8" s="1"/>
  <c r="C24" i="8"/>
  <c r="D24" i="8" s="1"/>
  <c r="C25" i="8"/>
  <c r="D25" i="8"/>
  <c r="C26" i="8"/>
  <c r="D26" i="8" s="1"/>
  <c r="C27" i="8"/>
  <c r="D27" i="8" s="1"/>
  <c r="C28" i="8"/>
  <c r="D28" i="8"/>
  <c r="C29" i="8"/>
  <c r="D29" i="8" s="1"/>
  <c r="C30" i="8"/>
  <c r="D30" i="8"/>
  <c r="C31" i="8"/>
  <c r="D31" i="8" s="1"/>
  <c r="C32" i="8"/>
  <c r="D32" i="8"/>
  <c r="C33" i="8"/>
  <c r="D33" i="8" s="1"/>
  <c r="C34" i="8"/>
  <c r="D34" i="8"/>
  <c r="C35" i="8"/>
  <c r="D35" i="8" s="1"/>
  <c r="C36" i="8"/>
  <c r="D36" i="8" s="1"/>
  <c r="C37" i="8"/>
  <c r="D14" i="9" s="1"/>
  <c r="D17" i="9" s="1"/>
  <c r="D37" i="8"/>
  <c r="E40" i="8"/>
  <c r="G12" i="9" l="1"/>
  <c r="G13" i="9" s="1"/>
  <c r="C19" i="9" s="1"/>
  <c r="C20" i="9"/>
  <c r="C21" i="9"/>
  <c r="E20" i="8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9" i="8" s="1"/>
  <c r="D11" i="9" s="1"/>
  <c r="E12" i="9" s="1"/>
  <c r="E13" i="9" s="1"/>
  <c r="C15" i="9" l="1"/>
  <c r="C16" i="9" s="1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15" i="6"/>
  <c r="H25" i="6"/>
  <c r="H56" i="6"/>
  <c r="H57" i="6"/>
  <c r="H58" i="6"/>
  <c r="H59" i="6"/>
  <c r="H60" i="6"/>
  <c r="H61" i="6"/>
  <c r="H62" i="6"/>
  <c r="H63" i="6"/>
  <c r="H64" i="6"/>
  <c r="H55" i="6"/>
  <c r="D56" i="6"/>
  <c r="D57" i="6"/>
  <c r="D58" i="6"/>
  <c r="D59" i="6"/>
  <c r="D60" i="6"/>
  <c r="D61" i="6"/>
  <c r="D62" i="6"/>
  <c r="D63" i="6"/>
  <c r="D64" i="6"/>
  <c r="D55" i="6"/>
  <c r="H46" i="6"/>
  <c r="H47" i="6"/>
  <c r="H48" i="6"/>
  <c r="H49" i="6"/>
  <c r="H50" i="6"/>
  <c r="H51" i="6"/>
  <c r="H52" i="6"/>
  <c r="H53" i="6"/>
  <c r="H54" i="6"/>
  <c r="H45" i="6"/>
  <c r="D46" i="6"/>
  <c r="D47" i="6"/>
  <c r="D48" i="6"/>
  <c r="D49" i="6"/>
  <c r="D50" i="6"/>
  <c r="D51" i="6"/>
  <c r="D52" i="6"/>
  <c r="D53" i="6"/>
  <c r="D54" i="6"/>
  <c r="D45" i="6"/>
  <c r="H36" i="6"/>
  <c r="H37" i="6"/>
  <c r="H38" i="6"/>
  <c r="H39" i="6"/>
  <c r="H40" i="6"/>
  <c r="H41" i="6"/>
  <c r="H42" i="6"/>
  <c r="H43" i="6"/>
  <c r="H44" i="6"/>
  <c r="H35" i="6"/>
  <c r="D37" i="6"/>
  <c r="D38" i="6"/>
  <c r="D39" i="6"/>
  <c r="D40" i="6"/>
  <c r="D41" i="6"/>
  <c r="D42" i="6"/>
  <c r="D43" i="6"/>
  <c r="D44" i="6"/>
  <c r="D35" i="6"/>
  <c r="H26" i="6"/>
  <c r="H27" i="6"/>
  <c r="H28" i="6"/>
  <c r="H29" i="6"/>
  <c r="H30" i="6"/>
  <c r="H31" i="6"/>
  <c r="H32" i="6"/>
  <c r="H33" i="6"/>
  <c r="H34" i="6"/>
  <c r="D26" i="6"/>
  <c r="D27" i="6"/>
  <c r="D29" i="6"/>
  <c r="D30" i="6"/>
  <c r="D31" i="6"/>
  <c r="D33" i="6"/>
  <c r="D25" i="6"/>
  <c r="D16" i="6"/>
  <c r="D17" i="6"/>
  <c r="D18" i="6"/>
  <c r="D19" i="6"/>
  <c r="D20" i="6"/>
  <c r="D21" i="6"/>
  <c r="D22" i="6"/>
  <c r="D23" i="6"/>
  <c r="D24" i="6"/>
  <c r="H24" i="6"/>
  <c r="H16" i="6"/>
  <c r="H17" i="6"/>
  <c r="H18" i="6"/>
  <c r="H19" i="6"/>
  <c r="H20" i="6"/>
  <c r="H21" i="6"/>
  <c r="H22" i="6"/>
  <c r="H23" i="6"/>
  <c r="H15" i="6"/>
  <c r="D28" i="6"/>
  <c r="D32" i="6"/>
  <c r="D34" i="6"/>
  <c r="D36" i="6"/>
  <c r="C3" i="7"/>
  <c r="C4" i="7"/>
  <c r="E4" i="7" s="1"/>
  <c r="C7" i="7"/>
  <c r="C8" i="7"/>
  <c r="E7" i="7" l="1"/>
  <c r="A54" i="6"/>
  <c r="A64" i="6"/>
  <c r="A24" i="6"/>
  <c r="L22" i="6" s="1"/>
  <c r="A44" i="6"/>
  <c r="A34" i="6"/>
  <c r="L27" i="6" s="1"/>
  <c r="S64" i="6"/>
  <c r="L18" i="6"/>
  <c r="D15" i="6"/>
  <c r="L21" i="6" l="1"/>
  <c r="L16" i="6"/>
  <c r="L20" i="6"/>
  <c r="L19" i="6"/>
  <c r="L24" i="6"/>
  <c r="L15" i="6"/>
  <c r="L23" i="6"/>
  <c r="L17" i="6"/>
  <c r="L34" i="6"/>
  <c r="L33" i="6"/>
  <c r="L32" i="6"/>
  <c r="L28" i="6"/>
  <c r="L25" i="6"/>
  <c r="L30" i="6"/>
  <c r="L29" i="6"/>
  <c r="L31" i="6"/>
  <c r="L26" i="6"/>
  <c r="D11" i="4" l="1"/>
  <c r="D26" i="4" l="1"/>
  <c r="D18" i="4" l="1"/>
  <c r="B30" i="4"/>
  <c r="F26" i="4" s="1"/>
  <c r="B21" i="4"/>
  <c r="F18" i="4" s="1"/>
  <c r="G18" i="4" s="1"/>
  <c r="H18" i="4" s="1"/>
  <c r="D5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3" i="2"/>
  <c r="B28" i="2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2" i="3"/>
  <c r="D2" i="3"/>
  <c r="E3" i="3"/>
  <c r="D3" i="3"/>
  <c r="G3" i="3" s="1"/>
  <c r="R23" i="1" s="1"/>
  <c r="K24" i="1" s="1"/>
  <c r="K25" i="1" s="1"/>
  <c r="C19" i="1" s="1"/>
  <c r="E54" i="1"/>
  <c r="E51" i="1"/>
  <c r="E55" i="1" s="1"/>
  <c r="E56" i="1" s="1"/>
  <c r="E59" i="1"/>
  <c r="E60" i="1"/>
  <c r="K30" i="1" s="1"/>
  <c r="M12" i="1"/>
  <c r="E10" i="1" s="1"/>
  <c r="K9" i="1"/>
  <c r="L9" i="1"/>
  <c r="M9" i="1"/>
  <c r="E9" i="1" s="1"/>
  <c r="E11" i="1" s="1"/>
  <c r="F25" i="1"/>
  <c r="K18" i="1" s="1"/>
  <c r="K20" i="1" s="1"/>
  <c r="C20" i="1" s="1"/>
  <c r="C55" i="1"/>
  <c r="C54" i="1"/>
  <c r="G2" i="3"/>
  <c r="D10" i="2" l="1"/>
  <c r="K19" i="1"/>
  <c r="C18" i="1" s="1"/>
  <c r="C28" i="2"/>
  <c r="D26" i="2" s="1"/>
  <c r="K29" i="1"/>
  <c r="K31" i="1" s="1"/>
  <c r="G30" i="1" s="1"/>
  <c r="K45" i="1"/>
  <c r="D7" i="2"/>
  <c r="D11" i="2"/>
  <c r="D23" i="2"/>
  <c r="D27" i="2"/>
  <c r="D12" i="2"/>
  <c r="D16" i="2"/>
  <c r="D3" i="2"/>
  <c r="D5" i="2"/>
  <c r="D17" i="2"/>
  <c r="D21" i="2"/>
  <c r="E33" i="1"/>
  <c r="E50" i="1" s="1"/>
  <c r="E52" i="1" s="1"/>
  <c r="D24" i="2" l="1"/>
  <c r="D19" i="2"/>
  <c r="D22" i="2"/>
  <c r="D18" i="2"/>
  <c r="D13" i="2"/>
  <c r="D8" i="2"/>
  <c r="D6" i="2"/>
  <c r="D25" i="2"/>
  <c r="D9" i="2"/>
  <c r="D20" i="2"/>
  <c r="D4" i="2"/>
  <c r="D15" i="2"/>
  <c r="D14" i="2"/>
  <c r="E28" i="2"/>
  <c r="C17" i="1" s="1"/>
  <c r="E28" i="1" s="1"/>
  <c r="E32" i="1" s="1"/>
  <c r="E35" i="1" s="1"/>
  <c r="F45" i="1" s="1"/>
  <c r="D28" i="2"/>
</calcChain>
</file>

<file path=xl/sharedStrings.xml><?xml version="1.0" encoding="utf-8"?>
<sst xmlns="http://schemas.openxmlformats.org/spreadsheetml/2006/main" count="312" uniqueCount="236">
  <si>
    <t>EBIT</t>
  </si>
  <si>
    <t>Impuestos</t>
  </si>
  <si>
    <t>Depreciaciones y amortizaciones</t>
  </si>
  <si>
    <t>Change Workcap</t>
  </si>
  <si>
    <t>CAPEX</t>
  </si>
  <si>
    <t>FCFF</t>
  </si>
  <si>
    <t>U. De operación</t>
  </si>
  <si>
    <t>Impuestos a utilidad</t>
  </si>
  <si>
    <t>Depr. Y Amort.</t>
  </si>
  <si>
    <t>Dif (Act Circ - Pas Circ)</t>
  </si>
  <si>
    <t>Dif (Prop Plan Y Equipo)</t>
  </si>
  <si>
    <t>-</t>
  </si>
  <si>
    <t>+</t>
  </si>
  <si>
    <t>=</t>
  </si>
  <si>
    <t>FLUJO DE EFECTIVO</t>
  </si>
  <si>
    <t>ACTIVO CIRCULANTE</t>
  </si>
  <si>
    <t>PASIVO CIRCULANTE</t>
  </si>
  <si>
    <t>CAPITAL DE TRABAJO</t>
  </si>
  <si>
    <t>2016</t>
  </si>
  <si>
    <t>2015</t>
  </si>
  <si>
    <t>Prop plant y equipo</t>
  </si>
  <si>
    <t>2 - CAPEX</t>
  </si>
  <si>
    <t>ENTERPRISE VALUE</t>
  </si>
  <si>
    <t>FCFF/(WACC-G)</t>
  </si>
  <si>
    <t>WACC = kd * wd*(1-t)+ke*we</t>
  </si>
  <si>
    <t>CREDITOS (kd)</t>
  </si>
  <si>
    <t>DEUDA TOTAL</t>
  </si>
  <si>
    <t>PROMEDIO</t>
  </si>
  <si>
    <t>KD</t>
  </si>
  <si>
    <t>kd: Costo Financiero de la deuda. (pasivos financieros)</t>
  </si>
  <si>
    <t>wd: Ponderación de la deuda financiera. </t>
  </si>
  <si>
    <t>we: Ponderación del equity.</t>
  </si>
  <si>
    <t>t: tasa de impuestos: ISR</t>
  </si>
  <si>
    <t>ke: Costo del equity. -&gt; Rentabilidad mínima exigida.</t>
  </si>
  <si>
    <t>TOTAL RECURSOS</t>
  </si>
  <si>
    <t>POND DEUDA</t>
  </si>
  <si>
    <t>WD</t>
  </si>
  <si>
    <t>POND EQUITY</t>
  </si>
  <si>
    <t>WE</t>
  </si>
  <si>
    <t>OTROS PASIVOS FINANCIEROS A CORTO PLAZO</t>
  </si>
  <si>
    <t>OTROS PASIVOS FINANCIEROS A LARGO PLAZO</t>
  </si>
  <si>
    <t>DEUDA FINANCIERA</t>
  </si>
  <si>
    <t xml:space="preserve"> </t>
  </si>
  <si>
    <t>KE</t>
  </si>
  <si>
    <t>BONOS M A 10 AÑOS</t>
  </si>
  <si>
    <t>WACC</t>
  </si>
  <si>
    <t>ESTADO DE RESULTADOS</t>
  </si>
  <si>
    <t>DATOS INFORMATIVOS DE ESTADO DE RESULTADOS</t>
  </si>
  <si>
    <t>ESTADO DE SITUACION FINANCIERA</t>
  </si>
  <si>
    <t>Deuda Financiera</t>
  </si>
  <si>
    <t>Efectivo</t>
  </si>
  <si>
    <t>Growth</t>
  </si>
  <si>
    <t>EQUITY VALUE</t>
  </si>
  <si>
    <t>Operaciones y Anexos</t>
  </si>
  <si>
    <t>Acciones En ciruclación</t>
  </si>
  <si>
    <t>Si esta 20% abajo = ¡Compra!</t>
  </si>
  <si>
    <t>Si esta 15% arriba = ¡Vende!</t>
  </si>
  <si>
    <t>Datos Informativos Del Estado de situación financiera</t>
  </si>
  <si>
    <t>ROIC</t>
  </si>
  <si>
    <t>Utilidad Neta</t>
  </si>
  <si>
    <t>Equity</t>
  </si>
  <si>
    <t>ROE</t>
  </si>
  <si>
    <t>PONDERACIONES Wd y We</t>
  </si>
  <si>
    <t>LINK TIIE</t>
  </si>
  <si>
    <t>LINK LIBOR</t>
  </si>
  <si>
    <t>REPORTES BMV LINK</t>
  </si>
  <si>
    <t>1- Workcap</t>
  </si>
  <si>
    <t>DEUDAS</t>
  </si>
  <si>
    <t>PONDERACIONES</t>
  </si>
  <si>
    <t>CRÉDITOS</t>
  </si>
  <si>
    <t>TOTAL CAPITAL CONTABLE o EQUITY</t>
  </si>
  <si>
    <t>RF: Tasa libre de riesgo</t>
  </si>
  <si>
    <t>MRP: Market Risk Premium</t>
  </si>
  <si>
    <t>Precio Acción</t>
  </si>
  <si>
    <t>IPC</t>
  </si>
  <si>
    <t>Market Risk Premium</t>
  </si>
  <si>
    <t>DATOS MENSUALES INVESTING O YAHOO</t>
  </si>
  <si>
    <t>5 años</t>
  </si>
  <si>
    <t>CALCULAR RENDIMIENTOS</t>
  </si>
  <si>
    <t>Precio Actual / Precio Ant -1</t>
  </si>
  <si>
    <t>REND.</t>
  </si>
  <si>
    <t>Beta: medida de riesgo, mide la sensibilidad la acción respecto al mercado (IPC)</t>
  </si>
  <si>
    <t>PENDIENTE (ACCION / IPC)</t>
  </si>
  <si>
    <t>Beta</t>
  </si>
  <si>
    <t>Beta(IPC-RF)</t>
  </si>
  <si>
    <t>Beta* (Rend. IPC - RF)</t>
  </si>
  <si>
    <t>Excel aparte</t>
  </si>
  <si>
    <t>ROE: Return Over Equity</t>
  </si>
  <si>
    <t>PR: Payout Ratio</t>
  </si>
  <si>
    <t>PR</t>
  </si>
  <si>
    <t>ESTADO DE FLUJO DE EFECTIVO</t>
  </si>
  <si>
    <t>Dividendos pagados</t>
  </si>
  <si>
    <t>EQUITY Value</t>
  </si>
  <si>
    <t>ENTRERPISE VALUE</t>
  </si>
  <si>
    <t>rend. IPC</t>
  </si>
  <si>
    <t>Múltiplo</t>
  </si>
  <si>
    <t xml:space="preserve"> = (1-g/ROE)/(k-g)</t>
  </si>
  <si>
    <t>P/E</t>
  </si>
  <si>
    <t>g</t>
  </si>
  <si>
    <t>k</t>
  </si>
  <si>
    <t>Date</t>
  </si>
  <si>
    <t>REND IPC</t>
  </si>
  <si>
    <t>REND ACC</t>
  </si>
  <si>
    <t>BETA</t>
  </si>
  <si>
    <t>PENDIENTE</t>
  </si>
  <si>
    <t>ACC</t>
  </si>
  <si>
    <t>COVAR</t>
  </si>
  <si>
    <t>YAHOO FINANCE</t>
  </si>
  <si>
    <t>TASA DE DESCUENTO</t>
  </si>
  <si>
    <t>Dias</t>
  </si>
  <si>
    <t xml:space="preserve">Tasa </t>
  </si>
  <si>
    <t>Valor Nominal</t>
  </si>
  <si>
    <t>Precio</t>
  </si>
  <si>
    <t>TASA DE RENDIMIENTO</t>
  </si>
  <si>
    <t>Dias de Cete</t>
  </si>
  <si>
    <t>Dias transcurridos</t>
  </si>
  <si>
    <t>Dias que quedan</t>
  </si>
  <si>
    <t>Tasa</t>
  </si>
  <si>
    <t>Redimiento de Cete con tasa de descuento</t>
  </si>
  <si>
    <t>Redimiento de Cete con tasa de rendimiento</t>
  </si>
  <si>
    <t>Rendimiento</t>
  </si>
  <si>
    <t>Tasa de descuento</t>
  </si>
  <si>
    <t>Tasa cete</t>
  </si>
  <si>
    <t xml:space="preserve">*Precio </t>
  </si>
  <si>
    <t>http://www.cmegroup.com/es/</t>
  </si>
  <si>
    <t xml:space="preserve">boletin chicago </t>
  </si>
  <si>
    <t>mexder-boletin diario</t>
  </si>
  <si>
    <t xml:space="preserve">boletin diario </t>
  </si>
  <si>
    <t>http://www.banxico.org.mx/SieInternet/consultarDirectorioInternetAction.do?sector=18&amp;accion=consultarDirectorioCuadros</t>
  </si>
  <si>
    <t>liga para intereses us</t>
  </si>
  <si>
    <t>https://www.treasury.gov/resource-center/data-chart-center/interest-rates/Pages/TextView.aspx?data=yield</t>
  </si>
  <si>
    <t>liga para intereses</t>
  </si>
  <si>
    <t>http://www.mexder.com.mx/wb3/wb/MEX</t>
  </si>
  <si>
    <t>liga para folletos</t>
  </si>
  <si>
    <t>vendes en corto dolares actuales 18.8606</t>
  </si>
  <si>
    <t xml:space="preserve">compras futuro a 19 </t>
  </si>
  <si>
    <t xml:space="preserve">a 3 meses </t>
  </si>
  <si>
    <t>cambio</t>
  </si>
  <si>
    <t xml:space="preserve">a 1 año </t>
  </si>
  <si>
    <t>Port A</t>
  </si>
  <si>
    <t>Port B</t>
  </si>
  <si>
    <t>Port C</t>
  </si>
  <si>
    <t>BonoM</t>
  </si>
  <si>
    <t>Titulos</t>
  </si>
  <si>
    <t>Bono M</t>
  </si>
  <si>
    <t>Títulos</t>
  </si>
  <si>
    <t>Port D</t>
  </si>
  <si>
    <t>BonosM</t>
  </si>
  <si>
    <t>A</t>
  </si>
  <si>
    <t>Fecha</t>
  </si>
  <si>
    <t>Nombre</t>
  </si>
  <si>
    <t>Cupón</t>
  </si>
  <si>
    <t>YTM</t>
  </si>
  <si>
    <t>titulos</t>
  </si>
  <si>
    <t>Port E</t>
  </si>
  <si>
    <t>títulos</t>
  </si>
  <si>
    <t>B</t>
  </si>
  <si>
    <t>C</t>
  </si>
  <si>
    <t>D</t>
  </si>
  <si>
    <t>E</t>
  </si>
  <si>
    <t>precio int</t>
  </si>
  <si>
    <t>tot port</t>
  </si>
  <si>
    <t>precio +</t>
  </si>
  <si>
    <t>precio -</t>
  </si>
  <si>
    <t>dmodificada</t>
  </si>
  <si>
    <t>% port</t>
  </si>
  <si>
    <t>d promedio</t>
  </si>
  <si>
    <t>total</t>
  </si>
  <si>
    <t>para hacer un portafolio sin riesgo</t>
  </si>
  <si>
    <t>% apropiado</t>
  </si>
  <si>
    <t>este numero es tu duracion modificada</t>
  </si>
  <si>
    <t>e +</t>
  </si>
  <si>
    <t>e-</t>
  </si>
  <si>
    <t>place data here</t>
  </si>
  <si>
    <t>&gt;&gt; resumenbolsadevalores</t>
  </si>
  <si>
    <t>cupon =</t>
  </si>
  <si>
    <t>YTM =</t>
  </si>
  <si>
    <t>fechas =</t>
  </si>
  <si>
    <t xml:space="preserve">         NaN</t>
  </si>
  <si>
    <t>vencimientos =</t>
  </si>
  <si>
    <t>Error using resumenbolsadevalores (line 6)</t>
  </si>
  <si>
    <t>non-conforming sizes</t>
  </si>
  <si>
    <t xml:space="preserve">&gt;&gt; </t>
  </si>
  <si>
    <t>http://sif.com.mx/SCI/UltHecBRK.html</t>
  </si>
  <si>
    <t>=SUMPRODUCT(C15:C24,K15:K24)/SUM(C15:C24)</t>
  </si>
  <si>
    <t>=SUMPRODUCT(C25:C34,K25:K34)/SUM(C25:C34)</t>
  </si>
  <si>
    <t>=SUMPRODUCT(C35:C44,K35:K44)/SUM(C35:C44)</t>
  </si>
  <si>
    <t>=SUMPRODUCT(C45:C54,K45:K54)/SUM(C45:C54)</t>
  </si>
  <si>
    <t>=SUMPRODUCT(C55:C64,K55:K64)/SUM(C55:C64)</t>
  </si>
  <si>
    <t xml:space="preserve">banamex </t>
  </si>
  <si>
    <t>https://www.banamex.com/analisis/#informes</t>
  </si>
  <si>
    <t>https://www.banamex.com/economia_finanzas/es/mercados/publicaciones/semana_bursatil_2017.htm</t>
  </si>
  <si>
    <t>https://www.bmv.com.mx/es/Grupo_BMV/Reportes_financieros/_rid/506?viewPage=REPORTE_FINANCIERO_TRIMESTRALES</t>
  </si>
  <si>
    <t>de hoy</t>
  </si>
  <si>
    <t xml:space="preserve">desde el 30 de marzo de 2017 que pagó cupón al día </t>
  </si>
  <si>
    <t>divido entre 19 porque son los días transcurridos</t>
  </si>
  <si>
    <r>
      <t>Esto es mi TC</t>
    </r>
    <r>
      <rPr>
        <vertAlign val="subscript"/>
        <sz val="10"/>
        <rFont val="Arial"/>
        <family val="2"/>
      </rPr>
      <t>dev</t>
    </r>
  </si>
  <si>
    <t>ESTO QUE VAMOS A HACER AQUÍ ES PARA CALCULAR Tcdev</t>
  </si>
  <si>
    <t>divido la tasa ya en decimales entre 360 para hacerla diaria</t>
  </si>
  <si>
    <t>Expreso en decimales</t>
  </si>
  <si>
    <t>SF43773</t>
  </si>
  <si>
    <t>Niveles</t>
  </si>
  <si>
    <t>Tipo de información</t>
  </si>
  <si>
    <t>Aviso</t>
  </si>
  <si>
    <t>Base</t>
  </si>
  <si>
    <t>Sin Unidad</t>
  </si>
  <si>
    <t>Unidad</t>
  </si>
  <si>
    <t>Porcentajes</t>
  </si>
  <si>
    <t>Cifra</t>
  </si>
  <si>
    <t>Diaria</t>
  </si>
  <si>
    <t>Periodicidad</t>
  </si>
  <si>
    <t>03/11/1998 - 12/04/2017</t>
  </si>
  <si>
    <t>Periodo disponible</t>
  </si>
  <si>
    <t>Tasa de fondeo bancario, Promedio ponderado, Tasa de interés en por ciento anual</t>
  </si>
  <si>
    <t>Título</t>
  </si>
  <si>
    <t>Fecha de consulta: 17/04/2017 01:46:10</t>
  </si>
  <si>
    <t>Tasas de Interés en el Mercado de Dinero</t>
  </si>
  <si>
    <t>Tasas y precios de referencia</t>
  </si>
  <si>
    <t>Banco de México</t>
  </si>
  <si>
    <t>Lo de abajo</t>
  </si>
  <si>
    <t>Vnentresabeque</t>
  </si>
  <si>
    <t>C*corchete</t>
  </si>
  <si>
    <t>precio limpio</t>
  </si>
  <si>
    <t>precio sucio</t>
  </si>
  <si>
    <t>Paso 5: Calcular el precio del bonde</t>
  </si>
  <si>
    <t>Paso 4: Calcular R</t>
  </si>
  <si>
    <t>C1</t>
  </si>
  <si>
    <t>Paso 3: Calcular C1 y C</t>
  </si>
  <si>
    <t>TC=</t>
  </si>
  <si>
    <t>TC1=</t>
  </si>
  <si>
    <t>Paso 2: Calcular TC1 y TC</t>
  </si>
  <si>
    <t>Para este paso entro a Banxico</t>
  </si>
  <si>
    <r>
      <t>Paso 1: Calcular TC</t>
    </r>
    <r>
      <rPr>
        <vertAlign val="subscript"/>
        <sz val="11"/>
        <color theme="1"/>
        <rFont val="Calibri"/>
        <family val="2"/>
        <scheme val="minor"/>
      </rPr>
      <t>dev</t>
    </r>
  </si>
  <si>
    <t>si divido estos días entre 28 me da K (o sea el número de cupones que le quedan)</t>
  </si>
  <si>
    <t>días que faltan para que venza (días al vencimiento)</t>
  </si>
  <si>
    <t>BondeD vence 28-mar-2019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</si>
</sst>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%"/>
    <numFmt numFmtId="165" formatCode="_-&quot;$&quot;* #,##0_-;\-&quot;$&quot;* #,##0_-;_-&quot;$&quot;* &quot;-&quot;??_-;_-@_-"/>
    <numFmt numFmtId="166" formatCode="0.0000000%"/>
    <numFmt numFmtId="167" formatCode="0.00000%"/>
    <numFmt numFmtId="168" formatCode="_-* #,##0_-;\-* #,##0_-;_-* &quot;-&quot;??_-;_-@_-"/>
    <numFmt numFmtId="169" formatCode="0.000%"/>
    <numFmt numFmtId="170" formatCode="0.0000"/>
    <numFmt numFmtId="171" formatCode="[$-F800]dddd\,\ mmmm\ dd\,\ yyyy"/>
  </numFmts>
  <fonts count="4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b/>
      <i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16"/>
      <color theme="1"/>
      <name val="Calibri"/>
      <family val="2"/>
      <scheme val="minor"/>
    </font>
    <font>
      <b/>
      <i/>
      <sz val="20"/>
      <color theme="1"/>
      <name val="Calibri"/>
      <scheme val="minor"/>
    </font>
    <font>
      <b/>
      <u/>
      <sz val="24"/>
      <color theme="1"/>
      <name val="Calibri"/>
      <family val="2"/>
      <scheme val="minor"/>
    </font>
    <font>
      <sz val="16"/>
      <color theme="5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u/>
      <sz val="12"/>
      <color theme="10"/>
      <name val="Calibri"/>
      <scheme val="minor"/>
    </font>
    <font>
      <sz val="26"/>
      <color theme="5"/>
      <name val="Calibri"/>
      <family val="2"/>
      <scheme val="minor"/>
    </font>
    <font>
      <b/>
      <sz val="36"/>
      <color theme="3"/>
      <name val="Calibri"/>
      <scheme val="minor"/>
    </font>
    <font>
      <sz val="13"/>
      <color rgb="FF222733"/>
      <name val="Helvetica Neue"/>
    </font>
    <font>
      <i/>
      <sz val="12"/>
      <color theme="2" tint="-0.499984740745262"/>
      <name val="Calibri"/>
      <scheme val="minor"/>
    </font>
    <font>
      <b/>
      <i/>
      <sz val="12"/>
      <color rgb="FFFF0000"/>
      <name val="Calibri"/>
      <scheme val="minor"/>
    </font>
    <font>
      <sz val="22"/>
      <color theme="5"/>
      <name val="Calibri"/>
      <family val="2"/>
      <scheme val="minor"/>
    </font>
    <font>
      <sz val="18"/>
      <color theme="5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sz val="12"/>
      <color rgb="FF70AD47"/>
      <name val="Calibri"/>
      <scheme val="minor"/>
    </font>
    <font>
      <b/>
      <sz val="12"/>
      <color rgb="FF000000"/>
      <name val="Calibri"/>
      <scheme val="minor"/>
    </font>
    <font>
      <sz val="14"/>
      <color theme="1"/>
      <name val="Calibri"/>
      <family val="2"/>
      <scheme val="minor"/>
    </font>
    <font>
      <b/>
      <u/>
      <sz val="20"/>
      <color theme="10"/>
      <name val="Calibri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42" fillId="0" borderId="0"/>
    <xf numFmtId="0" fontId="1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Fill="1"/>
    <xf numFmtId="0" fontId="0" fillId="0" borderId="0" xfId="0" applyFill="1"/>
    <xf numFmtId="44" fontId="0" fillId="0" borderId="0" xfId="1" applyFont="1" applyFill="1"/>
    <xf numFmtId="44" fontId="6" fillId="0" borderId="0" xfId="0" applyNumberFormat="1" applyFont="1" applyFill="1"/>
    <xf numFmtId="0" fontId="12" fillId="0" borderId="0" xfId="0" applyFont="1"/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/>
    <xf numFmtId="0" fontId="14" fillId="0" borderId="0" xfId="0" applyFont="1" applyFill="1"/>
    <xf numFmtId="0" fontId="5" fillId="0" borderId="0" xfId="0" applyFont="1" applyFill="1"/>
    <xf numFmtId="44" fontId="0" fillId="0" borderId="0" xfId="0" applyNumberFormat="1" applyFill="1"/>
    <xf numFmtId="164" fontId="5" fillId="0" borderId="0" xfId="2" applyNumberFormat="1" applyFont="1" applyFill="1"/>
    <xf numFmtId="0" fontId="7" fillId="0" borderId="0" xfId="0" applyFont="1" applyFill="1"/>
    <xf numFmtId="0" fontId="0" fillId="0" borderId="0" xfId="0" applyFill="1" applyAlignment="1">
      <alignment horizontal="center"/>
    </xf>
    <xf numFmtId="165" fontId="17" fillId="0" borderId="0" xfId="1" applyNumberFormat="1" applyFont="1" applyFill="1"/>
    <xf numFmtId="0" fontId="18" fillId="0" borderId="0" xfId="0" applyFont="1" applyFill="1"/>
    <xf numFmtId="0" fontId="23" fillId="0" borderId="2" xfId="0" applyFont="1" applyFill="1" applyBorder="1"/>
    <xf numFmtId="0" fontId="20" fillId="0" borderId="3" xfId="0" applyFont="1" applyBorder="1" applyAlignment="1">
      <alignment horizontal="center"/>
    </xf>
    <xf numFmtId="44" fontId="5" fillId="0" borderId="0" xfId="1" applyFont="1" applyFill="1"/>
    <xf numFmtId="0" fontId="25" fillId="0" borderId="0" xfId="0" applyFont="1"/>
    <xf numFmtId="0" fontId="0" fillId="6" borderId="0" xfId="0" applyFill="1"/>
    <xf numFmtId="0" fontId="15" fillId="0" borderId="0" xfId="11"/>
    <xf numFmtId="0" fontId="21" fillId="0" borderId="0" xfId="0" applyFont="1" applyAlignment="1">
      <alignment horizontal="center"/>
    </xf>
    <xf numFmtId="0" fontId="26" fillId="0" borderId="0" xfId="11" applyFont="1" applyFill="1" applyBorder="1"/>
    <xf numFmtId="44" fontId="0" fillId="7" borderId="1" xfId="1" applyFont="1" applyFill="1" applyBorder="1"/>
    <xf numFmtId="44" fontId="0" fillId="0" borderId="1" xfId="0" applyNumberFormat="1" applyFill="1" applyBorder="1"/>
    <xf numFmtId="44" fontId="0" fillId="7" borderId="1" xfId="0" applyNumberFormat="1" applyFill="1" applyBorder="1"/>
    <xf numFmtId="10" fontId="5" fillId="7" borderId="1" xfId="2" applyNumberFormat="1" applyFont="1" applyFill="1" applyBorder="1"/>
    <xf numFmtId="0" fontId="25" fillId="0" borderId="0" xfId="0" applyFont="1" applyFill="1"/>
    <xf numFmtId="0" fontId="11" fillId="0" borderId="0" xfId="0" applyFont="1" applyAlignment="1">
      <alignment horizontal="center"/>
    </xf>
    <xf numFmtId="44" fontId="0" fillId="0" borderId="0" xfId="1" applyFont="1"/>
    <xf numFmtId="44" fontId="6" fillId="0" borderId="0" xfId="1" applyFont="1"/>
    <xf numFmtId="10" fontId="0" fillId="0" borderId="0" xfId="0" applyNumberFormat="1" applyFill="1"/>
    <xf numFmtId="10" fontId="0" fillId="0" borderId="0" xfId="0" applyNumberFormat="1"/>
    <xf numFmtId="44" fontId="0" fillId="2" borderId="1" xfId="1" applyFont="1" applyFill="1" applyBorder="1"/>
    <xf numFmtId="44" fontId="0" fillId="0" borderId="1" xfId="1" applyFont="1" applyBorder="1" applyAlignment="1">
      <alignment horizontal="center"/>
    </xf>
    <xf numFmtId="44" fontId="6" fillId="2" borderId="1" xfId="1" applyFont="1" applyFill="1" applyBorder="1"/>
    <xf numFmtId="44" fontId="19" fillId="0" borderId="0" xfId="1" applyFont="1" applyFill="1"/>
    <xf numFmtId="10" fontId="0" fillId="2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3" fontId="29" fillId="0" borderId="0" xfId="0" applyNumberFormat="1" applyFont="1"/>
    <xf numFmtId="3" fontId="0" fillId="0" borderId="0" xfId="0" applyNumberFormat="1" applyFill="1"/>
    <xf numFmtId="0" fontId="29" fillId="0" borderId="0" xfId="0" applyFont="1"/>
    <xf numFmtId="0" fontId="6" fillId="0" borderId="0" xfId="0" applyFont="1" applyAlignment="1">
      <alignment horizontal="center"/>
    </xf>
    <xf numFmtId="3" fontId="0" fillId="0" borderId="0" xfId="0" applyNumberFormat="1" applyFont="1" applyFill="1"/>
    <xf numFmtId="10" fontId="0" fillId="0" borderId="0" xfId="2" applyNumberFormat="1" applyFont="1" applyFill="1"/>
    <xf numFmtId="0" fontId="5" fillId="0" borderId="0" xfId="0" applyFont="1"/>
    <xf numFmtId="0" fontId="0" fillId="3" borderId="0" xfId="0" applyFill="1"/>
    <xf numFmtId="168" fontId="0" fillId="0" borderId="0" xfId="12" applyNumberFormat="1" applyFont="1"/>
    <xf numFmtId="10" fontId="5" fillId="0" borderId="0" xfId="2" applyNumberFormat="1" applyFont="1" applyFill="1"/>
    <xf numFmtId="0" fontId="7" fillId="0" borderId="0" xfId="0" applyFont="1"/>
    <xf numFmtId="10" fontId="14" fillId="0" borderId="0" xfId="0" applyNumberFormat="1" applyFont="1" applyFill="1"/>
    <xf numFmtId="10" fontId="0" fillId="0" borderId="0" xfId="2" applyNumberFormat="1" applyFont="1"/>
    <xf numFmtId="167" fontId="20" fillId="0" borderId="4" xfId="0" applyNumberFormat="1" applyFont="1" applyBorder="1"/>
    <xf numFmtId="10" fontId="0" fillId="3" borderId="0" xfId="2" applyNumberFormat="1" applyFont="1" applyFill="1"/>
    <xf numFmtId="9" fontId="0" fillId="0" borderId="0" xfId="0" applyNumberFormat="1"/>
    <xf numFmtId="0" fontId="12" fillId="8" borderId="10" xfId="0" applyFont="1" applyFill="1" applyBorder="1"/>
    <xf numFmtId="0" fontId="37" fillId="8" borderId="10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0" borderId="10" xfId="0" applyFont="1" applyBorder="1"/>
    <xf numFmtId="3" fontId="29" fillId="0" borderId="10" xfId="0" applyNumberFormat="1" applyFont="1" applyBorder="1"/>
    <xf numFmtId="3" fontId="29" fillId="8" borderId="10" xfId="0" applyNumberFormat="1" applyFont="1" applyFill="1" applyBorder="1"/>
    <xf numFmtId="0" fontId="29" fillId="0" borderId="10" xfId="0" applyFont="1" applyBorder="1"/>
    <xf numFmtId="0" fontId="29" fillId="8" borderId="10" xfId="0" applyFont="1" applyFill="1" applyBorder="1"/>
    <xf numFmtId="0" fontId="38" fillId="2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8" fillId="5" borderId="1" xfId="0" applyFont="1" applyFill="1" applyBorder="1" applyAlignment="1">
      <alignment horizontal="center"/>
    </xf>
    <xf numFmtId="10" fontId="38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36" fillId="0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3" fontId="12" fillId="0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12" fillId="0" borderId="10" xfId="2" applyNumberFormat="1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164" fontId="14" fillId="0" borderId="10" xfId="0" applyNumberFormat="1" applyFont="1" applyFill="1" applyBorder="1" applyAlignment="1">
      <alignment horizontal="center" vertical="center"/>
    </xf>
    <xf numFmtId="166" fontId="31" fillId="0" borderId="10" xfId="0" applyNumberFormat="1" applyFont="1" applyFill="1" applyBorder="1" applyAlignment="1">
      <alignment horizontal="center" vertical="center"/>
    </xf>
    <xf numFmtId="10" fontId="12" fillId="7" borderId="0" xfId="0" applyNumberFormat="1" applyFont="1" applyFill="1"/>
    <xf numFmtId="0" fontId="0" fillId="7" borderId="0" xfId="0" applyFill="1"/>
    <xf numFmtId="0" fontId="21" fillId="0" borderId="0" xfId="0" applyFont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39" fillId="0" borderId="0" xfId="11" applyFont="1" applyAlignment="1">
      <alignment horizontal="center" vertical="center"/>
    </xf>
    <xf numFmtId="170" fontId="0" fillId="0" borderId="0" xfId="0" applyNumberFormat="1"/>
    <xf numFmtId="0" fontId="41" fillId="0" borderId="0" xfId="0" applyFont="1"/>
    <xf numFmtId="0" fontId="40" fillId="0" borderId="0" xfId="0" applyFont="1"/>
    <xf numFmtId="0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14"/>
    <xf numFmtId="170" fontId="2" fillId="0" borderId="0" xfId="14" applyNumberFormat="1"/>
    <xf numFmtId="2" fontId="0" fillId="0" borderId="0" xfId="0" applyNumberFormat="1"/>
    <xf numFmtId="9" fontId="0" fillId="0" borderId="0" xfId="2" applyFont="1"/>
    <xf numFmtId="14" fontId="0" fillId="6" borderId="0" xfId="0" applyNumberFormat="1" applyFill="1"/>
    <xf numFmtId="10" fontId="0" fillId="6" borderId="0" xfId="2" applyNumberFormat="1" applyFont="1" applyFill="1"/>
    <xf numFmtId="0" fontId="0" fillId="0" borderId="0" xfId="0" quotePrefix="1"/>
    <xf numFmtId="17" fontId="0" fillId="6" borderId="0" xfId="0" applyNumberFormat="1" applyFill="1"/>
    <xf numFmtId="0" fontId="42" fillId="0" borderId="0" xfId="15"/>
    <xf numFmtId="0" fontId="42" fillId="0" borderId="0" xfId="15" applyFont="1"/>
    <xf numFmtId="0" fontId="44" fillId="0" borderId="0" xfId="15" applyFont="1"/>
    <xf numFmtId="4" fontId="42" fillId="0" borderId="11" xfId="15" applyNumberFormat="1" applyBorder="1" applyAlignment="1">
      <alignment horizontal="right" vertical="center"/>
    </xf>
    <xf numFmtId="171" fontId="45" fillId="0" borderId="11" xfId="15" applyNumberFormat="1" applyFont="1" applyBorder="1" applyAlignment="1">
      <alignment horizontal="right" vertical="center"/>
    </xf>
    <xf numFmtId="0" fontId="45" fillId="0" borderId="0" xfId="15" applyFont="1"/>
    <xf numFmtId="0" fontId="45" fillId="9" borderId="11" xfId="15" applyFont="1" applyFill="1" applyBorder="1" applyAlignment="1">
      <alignment horizontal="center" vertical="center" wrapText="1"/>
    </xf>
    <xf numFmtId="0" fontId="45" fillId="9" borderId="11" xfId="15" applyFont="1" applyFill="1" applyBorder="1" applyAlignment="1">
      <alignment horizontal="right" vertical="center" wrapText="1"/>
    </xf>
    <xf numFmtId="0" fontId="42" fillId="10" borderId="11" xfId="15" applyFill="1" applyBorder="1" applyAlignment="1">
      <alignment horizontal="center" vertical="center" wrapText="1"/>
    </xf>
    <xf numFmtId="0" fontId="45" fillId="10" borderId="11" xfId="15" applyFont="1" applyFill="1" applyBorder="1" applyAlignment="1">
      <alignment horizontal="right" vertical="center" wrapText="1"/>
    </xf>
    <xf numFmtId="0" fontId="46" fillId="10" borderId="11" xfId="15" applyFont="1" applyFill="1" applyBorder="1" applyAlignment="1">
      <alignment horizontal="center" vertical="center" wrapText="1"/>
    </xf>
    <xf numFmtId="0" fontId="42" fillId="11" borderId="11" xfId="15" applyFill="1" applyBorder="1" applyAlignment="1">
      <alignment horizontal="center" vertical="top" wrapText="1"/>
    </xf>
    <xf numFmtId="0" fontId="47" fillId="0" borderId="0" xfId="15" applyFont="1"/>
    <xf numFmtId="0" fontId="1" fillId="0" borderId="0" xfId="16"/>
    <xf numFmtId="0" fontId="13" fillId="0" borderId="0" xfId="16" applyFont="1"/>
    <xf numFmtId="170" fontId="13" fillId="0" borderId="0" xfId="16" applyNumberFormat="1" applyFont="1"/>
    <xf numFmtId="164" fontId="0" fillId="0" borderId="0" xfId="17" applyNumberFormat="1" applyFont="1"/>
    <xf numFmtId="14" fontId="1" fillId="0" borderId="0" xfId="16" applyNumberFormat="1"/>
    <xf numFmtId="15" fontId="1" fillId="0" borderId="0" xfId="16" applyNumberFormat="1"/>
    <xf numFmtId="0" fontId="35" fillId="0" borderId="0" xfId="0" applyFont="1" applyFill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44" fontId="5" fillId="7" borderId="5" xfId="1" applyFont="1" applyFill="1" applyBorder="1" applyAlignment="1">
      <alignment horizontal="center"/>
    </xf>
    <xf numFmtId="44" fontId="5" fillId="7" borderId="7" xfId="1" applyFont="1" applyFill="1" applyBorder="1" applyAlignment="1">
      <alignment horizontal="center"/>
    </xf>
    <xf numFmtId="44" fontId="24" fillId="4" borderId="0" xfId="1" applyFont="1" applyFill="1" applyAlignment="1">
      <alignment horizontal="center"/>
    </xf>
    <xf numFmtId="0" fontId="32" fillId="7" borderId="0" xfId="0" applyFont="1" applyFill="1" applyAlignment="1">
      <alignment horizontal="center" vertical="center"/>
    </xf>
    <xf numFmtId="44" fontId="0" fillId="7" borderId="5" xfId="1" applyFont="1" applyFill="1" applyBorder="1" applyAlignment="1">
      <alignment horizontal="center"/>
    </xf>
    <xf numFmtId="44" fontId="0" fillId="7" borderId="7" xfId="1" applyFont="1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27" fillId="7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0" fillId="0" borderId="0" xfId="0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33" fillId="7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11" applyAlignment="1">
      <alignment horizontal="center"/>
    </xf>
  </cellXfs>
  <cellStyles count="18">
    <cellStyle name="Comma" xfId="1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  <cellStyle name="Normal 2" xfId="14"/>
    <cellStyle name="Normal 2 2" xfId="15"/>
    <cellStyle name="Normal 3" xfId="16"/>
    <cellStyle name="Percent" xfId="2" builtinId="5"/>
    <cellStyle name="Percent 2" xfId="17"/>
  </cellStyles>
  <dxfs count="21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114300</xdr:rowOff>
    </xdr:from>
    <xdr:to>
      <xdr:col>9</xdr:col>
      <xdr:colOff>76200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E622BE-FA19-43EF-8930-BF1796037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714375"/>
          <a:ext cx="33337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104775</xdr:colOff>
      <xdr:row>9</xdr:row>
      <xdr:rowOff>152400</xdr:rowOff>
    </xdr:from>
    <xdr:to>
      <xdr:col>9</xdr:col>
      <xdr:colOff>152400</xdr:colOff>
      <xdr:row>11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14A7AD-1AE7-4EFE-B23D-46625FE2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952625"/>
          <a:ext cx="34004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0</xdr:row>
      <xdr:rowOff>0</xdr:rowOff>
    </xdr:from>
    <xdr:to>
      <xdr:col>18</xdr:col>
      <xdr:colOff>504825</xdr:colOff>
      <xdr:row>14</xdr:row>
      <xdr:rowOff>0</xdr:rowOff>
    </xdr:to>
    <xdr:grpSp>
      <xdr:nvGrpSpPr>
        <xdr:cNvPr id="2" name="7 Grupo">
          <a:extLst>
            <a:ext uri="{FF2B5EF4-FFF2-40B4-BE49-F238E27FC236}">
              <a16:creationId xmlns:a16="http://schemas.microsoft.com/office/drawing/2014/main" id="{7C13BE48-A236-4052-A4A7-77853140B337}"/>
            </a:ext>
          </a:extLst>
        </xdr:cNvPr>
        <xdr:cNvGrpSpPr/>
      </xdr:nvGrpSpPr>
      <xdr:grpSpPr>
        <a:xfrm>
          <a:off x="12696825" y="0"/>
          <a:ext cx="2895600" cy="2800350"/>
          <a:chOff x="971600" y="980728"/>
          <a:chExt cx="1512168" cy="36004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0B32DE7-6C1E-40F6-9153-DB0B18F184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16828" t="57703" r="78447" b="13751"/>
          <a:stretch>
            <a:fillRect/>
          </a:stretch>
        </xdr:blipFill>
        <xdr:spPr bwMode="auto">
          <a:xfrm>
            <a:off x="971600" y="980728"/>
            <a:ext cx="576064" cy="20882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">
            <a:extLst>
              <a:ext uri="{FF2B5EF4-FFF2-40B4-BE49-F238E27FC236}">
                <a16:creationId xmlns:a16="http://schemas.microsoft.com/office/drawing/2014/main" id="{496B64F7-F9AE-4960-BA58-760AAECA25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48722" t="57703" r="43600" b="13751"/>
          <a:stretch>
            <a:fillRect/>
          </a:stretch>
        </xdr:blipFill>
        <xdr:spPr bwMode="auto">
          <a:xfrm>
            <a:off x="1547664" y="980728"/>
            <a:ext cx="936104" cy="20882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3">
            <a:extLst>
              <a:ext uri="{FF2B5EF4-FFF2-40B4-BE49-F238E27FC236}">
                <a16:creationId xmlns:a16="http://schemas.microsoft.com/office/drawing/2014/main" id="{E85CC520-09CC-43EA-B763-15942ECF64A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6926" t="62796" r="78349" b="16532"/>
          <a:stretch>
            <a:fillRect/>
          </a:stretch>
        </xdr:blipFill>
        <xdr:spPr bwMode="auto">
          <a:xfrm>
            <a:off x="971600" y="3068960"/>
            <a:ext cx="576064" cy="151216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3">
            <a:extLst>
              <a:ext uri="{FF2B5EF4-FFF2-40B4-BE49-F238E27FC236}">
                <a16:creationId xmlns:a16="http://schemas.microsoft.com/office/drawing/2014/main" id="{C4E6F5A9-E1FB-4E3A-9D62-6F612F883F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48819" t="62796" r="43503" b="16532"/>
          <a:stretch>
            <a:fillRect/>
          </a:stretch>
        </xdr:blipFill>
        <xdr:spPr bwMode="auto">
          <a:xfrm>
            <a:off x="1547664" y="3068960"/>
            <a:ext cx="936104" cy="151216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ables/table1.xml><?xml version="1.0" encoding="utf-8"?>
<table xmlns="http://schemas.openxmlformats.org/spreadsheetml/2006/main" id="1" name="Tabla1" displayName="Tabla1" ref="A6:E11" headerRowCount="0" totalsRowShown="0" headerRowDxfId="20" dataDxfId="19">
  <tableColumns count="5">
    <tableColumn id="1" name="Columna1" dataDxfId="18"/>
    <tableColumn id="2" name="Columna2" headerRowDxfId="17" dataDxfId="16"/>
    <tableColumn id="5" name="Columna5" headerRowDxfId="15" dataDxfId="14"/>
    <tableColumn id="7" name="Columna3" headerRowDxfId="13" dataDxfId="12"/>
    <tableColumn id="6" name="Columna6" dataDxfId="11">
      <calculatedColumnFormula>E1-E2+E3-E4-E5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J6:L9" totalsRowShown="0">
  <autoFilter ref="J6:L9"/>
  <tableColumns count="3">
    <tableColumn id="1" name="1- Workcap" dataDxfId="10"/>
    <tableColumn id="2" name="2016" dataDxfId="9"/>
    <tableColumn id="3" name="2015" dataDxfId="8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J11:L12" totalsRowShown="0">
  <autoFilter ref="J11:L12"/>
  <tableColumns count="3">
    <tableColumn id="1" name="2 - CAPEX" dataDxfId="7"/>
    <tableColumn id="2" name="2016" dataDxfId="6"/>
    <tableColumn id="3" name="2015" dataDxfId="5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J17:K20" totalsRowShown="0">
  <autoFilter ref="J17:K20"/>
  <tableColumns count="2">
    <tableColumn id="1" name="PONDERACIONES Wd y We" dataDxfId="4"/>
    <tableColumn id="2" name=" 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J22:K25" totalsRowShown="0">
  <autoFilter ref="J22:K25"/>
  <tableColumns count="2">
    <tableColumn id="1" name="KE"/>
    <tableColumn id="2" name=" 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9" name="Tabla9" displayName="Tabla9" ref="C32:E35" headerRowCount="0" totalsRowShown="0">
  <tableColumns count="3">
    <tableColumn id="1" name="Columna1" headerRowDxfId="3"/>
    <tableColumn id="2" name="Columna2" dataDxfId="2"/>
    <tableColumn id="3" name="Columna3" headerRowDxfId="1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8" name="Tabla69" displayName="Tabla69" ref="J28:K31" totalsRowShown="0">
  <autoFilter ref="J28:K31"/>
  <tableColumns count="2">
    <tableColumn id="1" name="Growth"/>
    <tableColumn id="2" name=" " dataDxfId="0">
      <calculatedColumnFormula>E59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www.banamex.com/economia_finanzas/es/mercados/publicaciones/semana_bursatil_2017.htm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www.piplatam.com/Home/filiales?country=MX" TargetMode="External"/><Relationship Id="rId1" Type="http://schemas.openxmlformats.org/officeDocument/2006/relationships/hyperlink" Target="http://www.bmv.com.mx/es/relacion-con-inversionistas/reportes-financieros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s.global-rates.com/tipos-de-interes/libor/libor.aspx" TargetMode="External"/><Relationship Id="rId1" Type="http://schemas.openxmlformats.org/officeDocument/2006/relationships/hyperlink" Target="http://www.banxico.org.m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75" workbookViewId="0">
      <selection activeCell="K38" sqref="K38"/>
    </sheetView>
  </sheetViews>
  <sheetFormatPr defaultColWidth="11" defaultRowHeight="15.75"/>
  <cols>
    <col min="1" max="1" width="6.625" customWidth="1"/>
    <col min="2" max="2" width="34.625" customWidth="1"/>
    <col min="3" max="3" width="21.125" customWidth="1"/>
    <col min="4" max="4" width="12" customWidth="1"/>
    <col min="5" max="5" width="22.125" customWidth="1"/>
    <col min="6" max="6" width="23.5" customWidth="1"/>
    <col min="9" max="9" width="3.375" customWidth="1"/>
    <col min="10" max="10" width="30.125" customWidth="1"/>
    <col min="11" max="11" width="17.375" customWidth="1"/>
    <col min="12" max="12" width="14.125" customWidth="1"/>
    <col min="13" max="13" width="15.375" customWidth="1"/>
    <col min="14" max="14" width="18.875" customWidth="1"/>
    <col min="15" max="15" width="6.875" customWidth="1"/>
    <col min="16" max="16" width="2.5" customWidth="1"/>
    <col min="17" max="17" width="2.625" customWidth="1"/>
    <col min="18" max="18" width="14.875" customWidth="1"/>
    <col min="19" max="23" width="12.125" customWidth="1"/>
  </cols>
  <sheetData>
    <row r="1" spans="1:22">
      <c r="A1" s="150"/>
      <c r="B1" s="150"/>
      <c r="C1" s="150"/>
    </row>
    <row r="2" spans="1:22">
      <c r="A2" s="150"/>
      <c r="B2" s="150"/>
      <c r="C2" s="150"/>
    </row>
    <row r="3" spans="1:22">
      <c r="A3" s="150"/>
      <c r="B3" s="150"/>
      <c r="C3" s="150"/>
    </row>
    <row r="4" spans="1:22" ht="31.5">
      <c r="A4" s="151" t="s">
        <v>14</v>
      </c>
      <c r="B4" s="151"/>
      <c r="C4" s="29" t="s">
        <v>65</v>
      </c>
      <c r="J4" s="135" t="s">
        <v>53</v>
      </c>
      <c r="K4" s="135"/>
      <c r="L4" s="135"/>
      <c r="M4" s="30"/>
      <c r="N4" s="87"/>
    </row>
    <row r="5" spans="1:22" ht="18" customHeight="1">
      <c r="A5" s="14"/>
      <c r="B5" s="13"/>
    </row>
    <row r="6" spans="1:22">
      <c r="B6" s="1" t="s">
        <v>0</v>
      </c>
      <c r="C6" s="2" t="s">
        <v>6</v>
      </c>
      <c r="D6" s="2"/>
      <c r="E6" s="38"/>
      <c r="F6" s="143" t="s">
        <v>46</v>
      </c>
      <c r="G6" s="143"/>
      <c r="H6" s="143"/>
      <c r="I6" s="21"/>
      <c r="J6" s="7" t="s">
        <v>66</v>
      </c>
      <c r="K6" s="8" t="s">
        <v>18</v>
      </c>
      <c r="L6" s="8" t="s">
        <v>19</v>
      </c>
      <c r="M6" s="8"/>
      <c r="N6" s="8"/>
      <c r="O6" s="8"/>
    </row>
    <row r="7" spans="1:22" ht="23.25">
      <c r="A7" s="3" t="s">
        <v>11</v>
      </c>
      <c r="B7" s="1" t="s">
        <v>1</v>
      </c>
      <c r="C7" s="2" t="s">
        <v>7</v>
      </c>
      <c r="D7" s="2"/>
      <c r="E7" s="38"/>
      <c r="F7" s="143" t="s">
        <v>46</v>
      </c>
      <c r="G7" s="143"/>
      <c r="H7" s="143"/>
      <c r="I7" s="21"/>
      <c r="J7" s="8" t="s">
        <v>15</v>
      </c>
      <c r="K7" s="9"/>
      <c r="L7" s="9"/>
      <c r="M7" s="9"/>
      <c r="N7" s="9"/>
      <c r="O7" s="8"/>
    </row>
    <row r="8" spans="1:22" ht="27.95" customHeight="1">
      <c r="A8" s="3" t="s">
        <v>12</v>
      </c>
      <c r="B8" s="6" t="s">
        <v>2</v>
      </c>
      <c r="C8" s="2" t="s">
        <v>8</v>
      </c>
      <c r="D8" s="12">
        <v>1</v>
      </c>
      <c r="E8" s="38"/>
      <c r="F8" s="143" t="s">
        <v>47</v>
      </c>
      <c r="G8" s="143"/>
      <c r="H8" s="143"/>
      <c r="I8" s="21"/>
      <c r="J8" s="8" t="s">
        <v>16</v>
      </c>
      <c r="K8" s="9"/>
      <c r="L8" s="9"/>
      <c r="M8" s="9"/>
      <c r="N8" s="9"/>
      <c r="O8" s="8"/>
    </row>
    <row r="9" spans="1:22" ht="23.25">
      <c r="A9" s="3" t="s">
        <v>11</v>
      </c>
      <c r="B9" s="37" t="s">
        <v>3</v>
      </c>
      <c r="C9" s="2" t="s">
        <v>9</v>
      </c>
      <c r="D9" s="12">
        <v>2</v>
      </c>
      <c r="E9" s="38">
        <f>M9</f>
        <v>0</v>
      </c>
      <c r="F9" s="143" t="s">
        <v>48</v>
      </c>
      <c r="G9" s="143"/>
      <c r="H9" s="143"/>
      <c r="I9" s="21"/>
      <c r="J9" s="8" t="s">
        <v>17</v>
      </c>
      <c r="K9" s="9">
        <f>K7-K8</f>
        <v>0</v>
      </c>
      <c r="L9" s="9">
        <f>L7-L8</f>
        <v>0</v>
      </c>
      <c r="M9">
        <f>Tabla2[[#This Row],[2016]]-Tabla2[[#This Row],[2015]]</f>
        <v>0</v>
      </c>
      <c r="O9" s="10"/>
    </row>
    <row r="10" spans="1:22" ht="23.25">
      <c r="A10" s="3" t="s">
        <v>11</v>
      </c>
      <c r="B10" s="37" t="s">
        <v>4</v>
      </c>
      <c r="C10" s="2" t="s">
        <v>10</v>
      </c>
      <c r="D10" s="2"/>
      <c r="E10" s="38">
        <f>M12</f>
        <v>0</v>
      </c>
      <c r="F10" s="143" t="s">
        <v>48</v>
      </c>
      <c r="G10" s="143"/>
      <c r="H10" s="143"/>
      <c r="I10" s="21"/>
    </row>
    <row r="11" spans="1:22" ht="23.25">
      <c r="A11" s="3" t="s">
        <v>13</v>
      </c>
      <c r="B11" s="1" t="s">
        <v>5</v>
      </c>
      <c r="E11" s="39">
        <f>E6-E7+E8-E9-E10</f>
        <v>0</v>
      </c>
      <c r="J11" s="7" t="s">
        <v>21</v>
      </c>
      <c r="K11" s="8" t="s">
        <v>18</v>
      </c>
      <c r="L11" s="8" t="s">
        <v>19</v>
      </c>
      <c r="M11" s="8"/>
      <c r="N11" s="8"/>
      <c r="O11" s="8"/>
    </row>
    <row r="12" spans="1:22">
      <c r="J12" s="11" t="s">
        <v>20</v>
      </c>
      <c r="K12" s="9"/>
      <c r="L12" s="9"/>
      <c r="M12">
        <f>Tabla24[2016]-Tabla24[2015]</f>
        <v>0</v>
      </c>
      <c r="O12" s="10"/>
    </row>
    <row r="14" spans="1:22" ht="31.5">
      <c r="A14" s="151" t="s">
        <v>22</v>
      </c>
      <c r="B14" s="151"/>
    </row>
    <row r="15" spans="1:22">
      <c r="B15" s="8" t="s">
        <v>23</v>
      </c>
    </row>
    <row r="16" spans="1:22">
      <c r="B16" s="8" t="s">
        <v>24</v>
      </c>
      <c r="M16" s="49"/>
      <c r="N16" s="49"/>
      <c r="R16" s="51"/>
      <c r="S16" s="1"/>
      <c r="T16" s="1"/>
      <c r="U16" s="1"/>
      <c r="V16" s="1"/>
    </row>
    <row r="17" spans="2:22" ht="16.5">
      <c r="C17" s="46" t="e">
        <f>Creditos!E28</f>
        <v>#DIV/0!</v>
      </c>
      <c r="D17" s="147" t="s">
        <v>29</v>
      </c>
      <c r="E17" s="148"/>
      <c r="F17" s="148"/>
      <c r="G17" s="149"/>
      <c r="J17" s="7" t="s">
        <v>62</v>
      </c>
      <c r="K17" s="8" t="s">
        <v>42</v>
      </c>
      <c r="L17" s="53"/>
      <c r="M17" s="8"/>
      <c r="N17" s="8"/>
      <c r="T17" s="48"/>
    </row>
    <row r="18" spans="2:22">
      <c r="C18" s="47" t="e">
        <f>K19</f>
        <v>#DIV/0!</v>
      </c>
      <c r="D18" s="144" t="s">
        <v>30</v>
      </c>
      <c r="E18" s="145"/>
      <c r="F18" s="145"/>
      <c r="G18" s="146"/>
      <c r="J18" s="8" t="s">
        <v>34</v>
      </c>
      <c r="K18" s="18">
        <f>F25+F26</f>
        <v>0</v>
      </c>
      <c r="L18" s="53"/>
      <c r="M18" s="8"/>
      <c r="N18" s="8"/>
    </row>
    <row r="19" spans="2:22" ht="18" customHeight="1">
      <c r="C19" s="46" t="e">
        <f>K25</f>
        <v>#DIV/0!</v>
      </c>
      <c r="D19" s="147" t="s">
        <v>33</v>
      </c>
      <c r="E19" s="148"/>
      <c r="F19" s="148"/>
      <c r="G19" s="149"/>
      <c r="J19" s="8" t="s">
        <v>35</v>
      </c>
      <c r="K19" s="19" t="e">
        <f>F25/K18</f>
        <v>#DIV/0!</v>
      </c>
      <c r="L19" s="88" t="s">
        <v>36</v>
      </c>
      <c r="M19" s="8"/>
      <c r="N19" s="8"/>
      <c r="P19" s="54" t="s">
        <v>86</v>
      </c>
      <c r="T19" s="48"/>
      <c r="U19" s="48"/>
    </row>
    <row r="20" spans="2:22" ht="16.5">
      <c r="C20" s="47" t="e">
        <f>K20</f>
        <v>#DIV/0!</v>
      </c>
      <c r="D20" s="144" t="s">
        <v>31</v>
      </c>
      <c r="E20" s="145"/>
      <c r="F20" s="145"/>
      <c r="G20" s="146"/>
      <c r="J20" s="8" t="s">
        <v>37</v>
      </c>
      <c r="K20" s="19" t="e">
        <f>F26/K18</f>
        <v>#DIV/0!</v>
      </c>
      <c r="L20" s="88" t="s">
        <v>38</v>
      </c>
      <c r="M20" s="8"/>
      <c r="N20" s="8"/>
      <c r="P20" s="15" t="s">
        <v>75</v>
      </c>
      <c r="T20" s="48"/>
    </row>
    <row r="21" spans="2:22" ht="16.5">
      <c r="C21" s="46">
        <v>0.3</v>
      </c>
      <c r="D21" s="147" t="s">
        <v>32</v>
      </c>
      <c r="E21" s="148"/>
      <c r="F21" s="148"/>
      <c r="G21" s="149"/>
      <c r="M21" s="53"/>
      <c r="N21" s="53"/>
      <c r="P21" t="s">
        <v>73</v>
      </c>
      <c r="T21" s="48"/>
      <c r="U21" s="48"/>
      <c r="V21" s="50"/>
    </row>
    <row r="22" spans="2:22">
      <c r="J22" s="7" t="s">
        <v>43</v>
      </c>
      <c r="K22" s="8" t="s">
        <v>42</v>
      </c>
      <c r="M22" s="8"/>
      <c r="N22" s="8"/>
      <c r="O22" t="s">
        <v>74</v>
      </c>
    </row>
    <row r="23" spans="2:22">
      <c r="B23" s="36" t="s">
        <v>48</v>
      </c>
      <c r="C23" s="152" t="s">
        <v>39</v>
      </c>
      <c r="D23" s="153"/>
      <c r="E23" s="154"/>
      <c r="F23" s="42"/>
      <c r="G23" s="4"/>
      <c r="J23" s="8" t="s">
        <v>71</v>
      </c>
      <c r="K23" s="40"/>
      <c r="M23" s="31" t="s">
        <v>44</v>
      </c>
      <c r="N23" s="31"/>
      <c r="O23" t="s">
        <v>83</v>
      </c>
      <c r="R23" t="e">
        <f>MRP!G3</f>
        <v>#DIV/0!</v>
      </c>
    </row>
    <row r="24" spans="2:22">
      <c r="B24" s="36" t="s">
        <v>48</v>
      </c>
      <c r="C24" s="140" t="s">
        <v>40</v>
      </c>
      <c r="D24" s="141"/>
      <c r="E24" s="142"/>
      <c r="F24" s="43"/>
      <c r="G24" s="5"/>
      <c r="J24" s="8" t="s">
        <v>72</v>
      </c>
      <c r="K24" s="60" t="e">
        <f>R23*(R33-K23)</f>
        <v>#DIV/0!</v>
      </c>
      <c r="M24" s="8"/>
      <c r="N24" s="8"/>
      <c r="O24" s="27" t="s">
        <v>84</v>
      </c>
    </row>
    <row r="25" spans="2:22">
      <c r="B25" s="27"/>
      <c r="C25" s="137" t="s">
        <v>41</v>
      </c>
      <c r="D25" s="138"/>
      <c r="E25" s="139"/>
      <c r="F25" s="44">
        <f>F23+F24</f>
        <v>0</v>
      </c>
      <c r="G25" s="4"/>
      <c r="J25" s="16" t="s">
        <v>43</v>
      </c>
      <c r="K25" s="59" t="e">
        <f>K23+K24</f>
        <v>#DIV/0!</v>
      </c>
      <c r="M25" s="8"/>
      <c r="N25" s="8"/>
      <c r="O25" t="s">
        <v>80</v>
      </c>
      <c r="P25" s="27" t="s">
        <v>79</v>
      </c>
    </row>
    <row r="26" spans="2:22">
      <c r="B26" s="36" t="s">
        <v>48</v>
      </c>
      <c r="C26" s="140" t="s">
        <v>70</v>
      </c>
      <c r="D26" s="141"/>
      <c r="E26" s="142"/>
      <c r="F26" s="43"/>
      <c r="G26" s="5"/>
      <c r="M26" s="52"/>
      <c r="N26" s="52"/>
      <c r="O26" s="58" t="s">
        <v>77</v>
      </c>
      <c r="P26" t="s">
        <v>76</v>
      </c>
    </row>
    <row r="27" spans="2:22">
      <c r="B27" s="27"/>
      <c r="P27" t="s">
        <v>78</v>
      </c>
    </row>
    <row r="28" spans="2:22" ht="21">
      <c r="B28" s="27"/>
      <c r="C28" s="24" t="s">
        <v>45</v>
      </c>
      <c r="D28" s="25" t="s">
        <v>13</v>
      </c>
      <c r="E28" s="61" t="e">
        <f>C17*C18*(1-C21)+C19*C20</f>
        <v>#DIV/0!</v>
      </c>
      <c r="F28" s="41"/>
      <c r="J28" s="7" t="s">
        <v>51</v>
      </c>
      <c r="K28" s="8" t="s">
        <v>42</v>
      </c>
      <c r="P28" t="s">
        <v>81</v>
      </c>
    </row>
    <row r="29" spans="2:22">
      <c r="J29" s="8" t="s">
        <v>61</v>
      </c>
      <c r="K29" s="40" t="e">
        <f>E56</f>
        <v>#DIV/0!</v>
      </c>
      <c r="M29" s="8"/>
      <c r="N29" s="8"/>
      <c r="P29" t="s">
        <v>82</v>
      </c>
    </row>
    <row r="30" spans="2:22">
      <c r="F30" s="55" t="s">
        <v>51</v>
      </c>
      <c r="G30" s="62" t="e">
        <f>K31</f>
        <v>#DIV/0!</v>
      </c>
      <c r="J30" s="8" t="s">
        <v>89</v>
      </c>
      <c r="K30" s="60" t="e">
        <f>E60</f>
        <v>#DIV/0!</v>
      </c>
      <c r="M30" s="8"/>
      <c r="N30" s="8"/>
    </row>
    <row r="31" spans="2:22">
      <c r="J31" s="16" t="s">
        <v>51</v>
      </c>
      <c r="K31" s="59" t="e">
        <f>K29*(1-K30)</f>
        <v>#DIV/0!</v>
      </c>
      <c r="M31" s="17"/>
      <c r="N31" s="17"/>
      <c r="P31" t="s">
        <v>85</v>
      </c>
    </row>
    <row r="32" spans="2:22">
      <c r="C32" s="8" t="s">
        <v>93</v>
      </c>
      <c r="E32" s="22" t="e">
        <f>E11/(E28-G30)</f>
        <v>#DIV/0!</v>
      </c>
      <c r="M32" s="17"/>
      <c r="N32" s="17"/>
    </row>
    <row r="33" spans="1:18">
      <c r="C33" s="20" t="s">
        <v>49</v>
      </c>
      <c r="D33" s="1" t="s">
        <v>11</v>
      </c>
      <c r="E33" s="9">
        <f>F25</f>
        <v>0</v>
      </c>
      <c r="P33" s="28" t="s">
        <v>94</v>
      </c>
      <c r="R33" s="63">
        <v>0.14000000000000001</v>
      </c>
    </row>
    <row r="34" spans="1:18">
      <c r="C34" s="20" t="s">
        <v>50</v>
      </c>
      <c r="D34" s="1" t="s">
        <v>12</v>
      </c>
      <c r="E34" s="9"/>
      <c r="F34" s="143" t="s">
        <v>48</v>
      </c>
      <c r="G34" s="143"/>
      <c r="H34" s="143"/>
      <c r="P34" s="15"/>
    </row>
    <row r="35" spans="1:18" ht="21">
      <c r="C35" s="23" t="s">
        <v>92</v>
      </c>
      <c r="D35" s="1" t="s">
        <v>13</v>
      </c>
      <c r="E35" s="45" t="e">
        <f>E32-E33+E34</f>
        <v>#DIV/0!</v>
      </c>
      <c r="O35" s="41"/>
    </row>
    <row r="39" spans="1:18" ht="31.5">
      <c r="A39" s="151" t="s">
        <v>52</v>
      </c>
      <c r="B39" s="151"/>
      <c r="J39" s="89" t="s">
        <v>95</v>
      </c>
      <c r="K39" t="s">
        <v>96</v>
      </c>
    </row>
    <row r="41" spans="1:18" ht="18.75">
      <c r="B41" s="155" t="s">
        <v>57</v>
      </c>
      <c r="C41" s="155"/>
      <c r="D41" s="136" t="s">
        <v>54</v>
      </c>
      <c r="E41" s="136"/>
      <c r="F41" s="56">
        <v>0</v>
      </c>
      <c r="J41" s="72" t="s">
        <v>97</v>
      </c>
      <c r="K41" s="72"/>
    </row>
    <row r="42" spans="1:18" ht="18.75">
      <c r="J42" s="73"/>
      <c r="K42" s="74"/>
    </row>
    <row r="43" spans="1:18" ht="18.75">
      <c r="J43" s="72" t="s">
        <v>98</v>
      </c>
      <c r="K43" s="72">
        <v>1E-4</v>
      </c>
    </row>
    <row r="44" spans="1:18" ht="18.75">
      <c r="J44" s="73" t="s">
        <v>99</v>
      </c>
      <c r="K44" s="73">
        <v>3.0000000000000001E-3</v>
      </c>
    </row>
    <row r="45" spans="1:18" ht="18.75">
      <c r="C45" s="125" t="s">
        <v>55</v>
      </c>
      <c r="D45" s="125"/>
      <c r="F45" s="128" t="e">
        <f>E35/F41*1000</f>
        <v>#DIV/0!</v>
      </c>
      <c r="G45" s="128"/>
      <c r="J45" s="72" t="s">
        <v>61</v>
      </c>
      <c r="K45" s="75" t="e">
        <f>E56</f>
        <v>#DIV/0!</v>
      </c>
    </row>
    <row r="46" spans="1:18">
      <c r="C46" s="125" t="s">
        <v>56</v>
      </c>
      <c r="D46" s="125"/>
      <c r="F46" s="128"/>
      <c r="G46" s="128"/>
    </row>
    <row r="47" spans="1:18">
      <c r="J47" t="s">
        <v>189</v>
      </c>
    </row>
    <row r="48" spans="1:18">
      <c r="C48" s="9"/>
      <c r="D48" s="9"/>
      <c r="E48" s="8"/>
      <c r="J48" t="s">
        <v>190</v>
      </c>
    </row>
    <row r="49" spans="2:10" ht="15.95" customHeight="1">
      <c r="B49" s="134" t="s">
        <v>58</v>
      </c>
      <c r="C49" s="130" t="s">
        <v>59</v>
      </c>
      <c r="D49" s="131"/>
      <c r="E49" s="32"/>
      <c r="F49" s="122" t="s">
        <v>46</v>
      </c>
      <c r="G49" s="122"/>
      <c r="H49" s="122"/>
      <c r="J49" t="s">
        <v>191</v>
      </c>
    </row>
    <row r="50" spans="2:10" ht="15.95" customHeight="1">
      <c r="B50" s="134"/>
      <c r="C50" s="132" t="s">
        <v>49</v>
      </c>
      <c r="D50" s="133"/>
      <c r="E50" s="33">
        <f>E33</f>
        <v>0</v>
      </c>
      <c r="J50" t="s">
        <v>192</v>
      </c>
    </row>
    <row r="51" spans="2:10" ht="15.95" customHeight="1">
      <c r="B51" s="134"/>
      <c r="C51" s="130" t="s">
        <v>60</v>
      </c>
      <c r="D51" s="131"/>
      <c r="E51" s="32">
        <f>F26</f>
        <v>0</v>
      </c>
    </row>
    <row r="52" spans="2:10" ht="15.95" customHeight="1">
      <c r="B52" s="20"/>
      <c r="C52" s="26" t="s">
        <v>58</v>
      </c>
      <c r="D52" s="26"/>
      <c r="E52" s="57" t="e">
        <f>E49/(E51+E50)</f>
        <v>#DIV/0!</v>
      </c>
    </row>
    <row r="53" spans="2:10">
      <c r="B53" s="20"/>
      <c r="C53" s="9"/>
      <c r="D53" s="9"/>
      <c r="E53" s="8"/>
    </row>
    <row r="54" spans="2:10">
      <c r="B54" s="156" t="s">
        <v>87</v>
      </c>
      <c r="C54" s="130" t="str">
        <f>C49</f>
        <v>Utilidad Neta</v>
      </c>
      <c r="D54" s="131"/>
      <c r="E54" s="34">
        <f>E49</f>
        <v>0</v>
      </c>
      <c r="F54" s="122" t="s">
        <v>46</v>
      </c>
      <c r="G54" s="122"/>
      <c r="H54" s="122"/>
    </row>
    <row r="55" spans="2:10">
      <c r="B55" s="156"/>
      <c r="C55" s="132" t="str">
        <f>C51</f>
        <v>Equity</v>
      </c>
      <c r="D55" s="133"/>
      <c r="E55" s="33">
        <f>E51</f>
        <v>0</v>
      </c>
    </row>
    <row r="56" spans="2:10">
      <c r="B56" s="156"/>
      <c r="C56" s="126" t="s">
        <v>61</v>
      </c>
      <c r="D56" s="127"/>
      <c r="E56" s="35" t="e">
        <f>E54/E55</f>
        <v>#DIV/0!</v>
      </c>
    </row>
    <row r="58" spans="2:10">
      <c r="B58" s="129" t="s">
        <v>88</v>
      </c>
      <c r="C58" s="130" t="s">
        <v>91</v>
      </c>
      <c r="D58" s="131"/>
      <c r="E58" s="34"/>
      <c r="F58" s="123" t="s">
        <v>90</v>
      </c>
      <c r="G58" s="124"/>
      <c r="H58" s="124"/>
    </row>
    <row r="59" spans="2:10">
      <c r="B59" s="129"/>
      <c r="C59" s="132" t="s">
        <v>59</v>
      </c>
      <c r="D59" s="133"/>
      <c r="E59" s="33">
        <f>E49</f>
        <v>0</v>
      </c>
      <c r="F59" s="122" t="s">
        <v>46</v>
      </c>
      <c r="G59" s="122"/>
      <c r="H59" s="122"/>
    </row>
    <row r="60" spans="2:10">
      <c r="B60" s="129"/>
      <c r="C60" s="126" t="s">
        <v>89</v>
      </c>
      <c r="D60" s="127"/>
      <c r="E60" s="35" t="e">
        <f>E58/E59</f>
        <v>#DIV/0!</v>
      </c>
    </row>
  </sheetData>
  <mergeCells count="41">
    <mergeCell ref="A1:C3"/>
    <mergeCell ref="C55:D55"/>
    <mergeCell ref="C54:D54"/>
    <mergeCell ref="C49:D49"/>
    <mergeCell ref="C50:D50"/>
    <mergeCell ref="C51:D51"/>
    <mergeCell ref="A4:B4"/>
    <mergeCell ref="A14:B14"/>
    <mergeCell ref="C23:E23"/>
    <mergeCell ref="A39:B39"/>
    <mergeCell ref="D19:G19"/>
    <mergeCell ref="B41:C41"/>
    <mergeCell ref="C24:E24"/>
    <mergeCell ref="F49:H49"/>
    <mergeCell ref="F54:H54"/>
    <mergeCell ref="B54:B56"/>
    <mergeCell ref="J4:L4"/>
    <mergeCell ref="D41:E41"/>
    <mergeCell ref="C25:E25"/>
    <mergeCell ref="C26:E26"/>
    <mergeCell ref="F6:H6"/>
    <mergeCell ref="F7:H7"/>
    <mergeCell ref="F8:H8"/>
    <mergeCell ref="F9:H9"/>
    <mergeCell ref="F10:H10"/>
    <mergeCell ref="D20:G20"/>
    <mergeCell ref="D21:G21"/>
    <mergeCell ref="D17:G17"/>
    <mergeCell ref="D18:G18"/>
    <mergeCell ref="F34:H34"/>
    <mergeCell ref="B58:B60"/>
    <mergeCell ref="C60:D60"/>
    <mergeCell ref="C58:D58"/>
    <mergeCell ref="C59:D59"/>
    <mergeCell ref="B49:B51"/>
    <mergeCell ref="F59:H59"/>
    <mergeCell ref="F58:H58"/>
    <mergeCell ref="C45:D45"/>
    <mergeCell ref="C46:D46"/>
    <mergeCell ref="C56:D56"/>
    <mergeCell ref="F45:G46"/>
  </mergeCells>
  <hyperlinks>
    <hyperlink ref="C4" r:id="rId1"/>
    <hyperlink ref="M23" r:id="rId2"/>
    <hyperlink ref="J39" r:id="rId3"/>
  </hyperlinks>
  <pageMargins left="0.7" right="0.7" top="0.75" bottom="0.75" header="0.3" footer="0.3"/>
  <pageSetup orientation="portrait" horizontalDpi="0" verticalDpi="0"/>
  <tableParts count="7"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G17" sqref="G17"/>
    </sheetView>
  </sheetViews>
  <sheetFormatPr defaultColWidth="11" defaultRowHeight="15.75"/>
  <cols>
    <col min="1" max="1" width="12.875" bestFit="1" customWidth="1"/>
    <col min="3" max="3" width="12.625" bestFit="1" customWidth="1"/>
    <col min="4" max="4" width="15.375" bestFit="1" customWidth="1"/>
    <col min="5" max="5" width="11.875" bestFit="1" customWidth="1"/>
  </cols>
  <sheetData>
    <row r="1" spans="1:1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>
      <c r="A2" s="77" t="s">
        <v>25</v>
      </c>
      <c r="B2" s="78" t="s">
        <v>69</v>
      </c>
      <c r="C2" s="78" t="s">
        <v>26</v>
      </c>
      <c r="D2" s="79" t="s">
        <v>68</v>
      </c>
      <c r="E2" s="80"/>
      <c r="F2" s="11"/>
      <c r="G2" s="11"/>
      <c r="H2" s="11"/>
      <c r="I2" s="65" t="s">
        <v>67</v>
      </c>
      <c r="J2" s="66"/>
      <c r="K2" s="66"/>
      <c r="L2" s="66"/>
      <c r="M2" s="66"/>
      <c r="N2" s="11"/>
    </row>
    <row r="3" spans="1:14" ht="16.5">
      <c r="A3" s="78"/>
      <c r="B3" s="81"/>
      <c r="C3" s="79">
        <f>SUM(I3:M3)</f>
        <v>0</v>
      </c>
      <c r="D3" s="81" t="e">
        <f>C3/$C$28</f>
        <v>#DIV/0!</v>
      </c>
      <c r="E3" s="80"/>
      <c r="F3" s="11"/>
      <c r="G3" s="11"/>
      <c r="H3" s="11"/>
      <c r="I3" s="68"/>
      <c r="J3" s="68"/>
      <c r="K3" s="68"/>
      <c r="L3" s="68"/>
      <c r="M3" s="67"/>
      <c r="N3" s="11"/>
    </row>
    <row r="4" spans="1:14" ht="16.5">
      <c r="A4" s="78"/>
      <c r="B4" s="81"/>
      <c r="C4" s="79">
        <f t="shared" ref="C4:C27" si="0">SUM(I4:M4)</f>
        <v>0</v>
      </c>
      <c r="D4" s="81" t="e">
        <f t="shared" ref="D4:D27" si="1">C4/$C$28</f>
        <v>#DIV/0!</v>
      </c>
      <c r="E4" s="80"/>
      <c r="F4" s="11"/>
      <c r="G4" s="11"/>
      <c r="H4" s="11"/>
      <c r="I4" s="69"/>
      <c r="J4" s="69"/>
      <c r="K4" s="69"/>
      <c r="L4" s="64"/>
      <c r="M4" s="64"/>
      <c r="N4" s="11"/>
    </row>
    <row r="5" spans="1:14" ht="16.5">
      <c r="A5" s="78"/>
      <c r="B5" s="81"/>
      <c r="C5" s="79">
        <f t="shared" si="0"/>
        <v>0</v>
      </c>
      <c r="D5" s="81" t="e">
        <f t="shared" si="1"/>
        <v>#DIV/0!</v>
      </c>
      <c r="E5" s="80"/>
      <c r="F5" s="85"/>
      <c r="G5" s="29" t="s">
        <v>63</v>
      </c>
      <c r="H5" s="11"/>
      <c r="I5" s="68"/>
      <c r="J5" s="68"/>
      <c r="K5" s="68"/>
      <c r="L5" s="68"/>
      <c r="M5" s="68"/>
      <c r="N5" s="11"/>
    </row>
    <row r="6" spans="1:14" ht="16.5">
      <c r="A6" s="78"/>
      <c r="B6" s="81"/>
      <c r="C6" s="79">
        <f t="shared" si="0"/>
        <v>0</v>
      </c>
      <c r="D6" s="81" t="e">
        <f t="shared" si="1"/>
        <v>#DIV/0!</v>
      </c>
      <c r="E6" s="80"/>
      <c r="F6" s="11"/>
      <c r="G6" s="11"/>
      <c r="H6" s="11"/>
      <c r="I6" s="69"/>
      <c r="J6" s="69"/>
      <c r="K6" s="69"/>
      <c r="L6" s="69"/>
      <c r="M6" s="64"/>
      <c r="N6" s="11"/>
    </row>
    <row r="7" spans="1:14" ht="16.5">
      <c r="A7" s="78"/>
      <c r="B7" s="81"/>
      <c r="C7" s="79">
        <f t="shared" si="0"/>
        <v>0</v>
      </c>
      <c r="D7" s="81" t="e">
        <f t="shared" si="1"/>
        <v>#DIV/0!</v>
      </c>
      <c r="E7" s="80"/>
      <c r="F7" s="85"/>
      <c r="G7" s="29" t="s">
        <v>64</v>
      </c>
      <c r="H7" s="11"/>
      <c r="I7" s="68"/>
      <c r="J7" s="68"/>
      <c r="K7" s="68"/>
      <c r="L7" s="68"/>
      <c r="M7" s="70"/>
      <c r="N7" s="11"/>
    </row>
    <row r="8" spans="1:14" ht="16.5">
      <c r="A8" s="78"/>
      <c r="B8" s="81"/>
      <c r="C8" s="79">
        <f t="shared" si="0"/>
        <v>0</v>
      </c>
      <c r="D8" s="81" t="e">
        <f t="shared" si="1"/>
        <v>#DIV/0!</v>
      </c>
      <c r="E8" s="80"/>
      <c r="F8" s="11"/>
      <c r="G8" s="11"/>
      <c r="H8" s="11"/>
      <c r="I8" s="69"/>
      <c r="J8" s="71"/>
      <c r="K8" s="64"/>
      <c r="L8" s="64"/>
      <c r="M8" s="64"/>
      <c r="N8" s="11"/>
    </row>
    <row r="9" spans="1:14" ht="16.5">
      <c r="A9" s="78"/>
      <c r="B9" s="81"/>
      <c r="C9" s="79">
        <f t="shared" si="0"/>
        <v>0</v>
      </c>
      <c r="D9" s="81" t="e">
        <f t="shared" si="1"/>
        <v>#DIV/0!</v>
      </c>
      <c r="E9" s="80"/>
      <c r="F9" s="11"/>
      <c r="G9" s="11"/>
      <c r="H9" s="11"/>
      <c r="I9" s="68"/>
      <c r="J9" s="70"/>
      <c r="K9" s="67"/>
      <c r="L9" s="67"/>
      <c r="M9" s="67"/>
      <c r="N9" s="11"/>
    </row>
    <row r="10" spans="1:14" ht="16.5">
      <c r="A10" s="78"/>
      <c r="B10" s="81"/>
      <c r="C10" s="79">
        <f t="shared" si="0"/>
        <v>0</v>
      </c>
      <c r="D10" s="81" t="e">
        <f t="shared" si="1"/>
        <v>#DIV/0!</v>
      </c>
      <c r="E10" s="80"/>
      <c r="F10" s="11"/>
      <c r="G10" s="11"/>
      <c r="H10" s="11"/>
      <c r="I10" s="69"/>
      <c r="J10" s="71"/>
      <c r="K10" s="64"/>
      <c r="L10" s="64"/>
      <c r="M10" s="64"/>
      <c r="N10" s="11"/>
    </row>
    <row r="11" spans="1:14" ht="16.5">
      <c r="A11" s="78"/>
      <c r="B11" s="81"/>
      <c r="C11" s="79">
        <f t="shared" si="0"/>
        <v>0</v>
      </c>
      <c r="D11" s="81" t="e">
        <f t="shared" si="1"/>
        <v>#DIV/0!</v>
      </c>
      <c r="E11" s="80"/>
      <c r="F11" s="11"/>
      <c r="G11" s="11"/>
      <c r="H11" s="11"/>
      <c r="I11" s="68"/>
      <c r="J11" s="67"/>
      <c r="K11" s="67"/>
      <c r="L11" s="67"/>
      <c r="M11" s="67"/>
      <c r="N11" s="11"/>
    </row>
    <row r="12" spans="1:14" ht="16.5">
      <c r="A12" s="78"/>
      <c r="B12" s="81"/>
      <c r="C12" s="79">
        <f t="shared" si="0"/>
        <v>0</v>
      </c>
      <c r="D12" s="81" t="e">
        <f t="shared" si="1"/>
        <v>#DIV/0!</v>
      </c>
      <c r="E12" s="80"/>
      <c r="G12" s="11"/>
      <c r="H12" s="11"/>
      <c r="I12" s="69"/>
      <c r="J12" s="69"/>
      <c r="K12" s="69"/>
      <c r="L12" s="64"/>
      <c r="M12" s="64"/>
      <c r="N12" s="11"/>
    </row>
    <row r="13" spans="1:14" ht="16.5">
      <c r="A13" s="78"/>
      <c r="B13" s="81"/>
      <c r="C13" s="79">
        <f t="shared" si="0"/>
        <v>0</v>
      </c>
      <c r="D13" s="81" t="e">
        <f t="shared" si="1"/>
        <v>#DIV/0!</v>
      </c>
      <c r="E13" s="80"/>
      <c r="I13" s="68"/>
      <c r="J13" s="68"/>
      <c r="K13" s="68"/>
      <c r="L13" s="68"/>
      <c r="M13" s="68"/>
    </row>
    <row r="14" spans="1:14" ht="16.5">
      <c r="A14" s="78"/>
      <c r="B14" s="81"/>
      <c r="C14" s="79">
        <f t="shared" si="0"/>
        <v>0</v>
      </c>
      <c r="D14" s="81" t="e">
        <f t="shared" si="1"/>
        <v>#DIV/0!</v>
      </c>
      <c r="E14" s="80"/>
      <c r="I14" s="69"/>
      <c r="J14" s="69"/>
      <c r="K14" s="69"/>
      <c r="L14" s="69"/>
      <c r="M14" s="64"/>
    </row>
    <row r="15" spans="1:14" ht="16.5">
      <c r="A15" s="78"/>
      <c r="B15" s="81"/>
      <c r="C15" s="79">
        <f t="shared" si="0"/>
        <v>0</v>
      </c>
      <c r="D15" s="81" t="e">
        <f t="shared" si="1"/>
        <v>#DIV/0!</v>
      </c>
      <c r="E15" s="80"/>
      <c r="I15" s="68"/>
      <c r="J15" s="68"/>
      <c r="K15" s="68"/>
      <c r="L15" s="68"/>
      <c r="M15" s="70"/>
    </row>
    <row r="16" spans="1:14" ht="16.5">
      <c r="A16" s="78"/>
      <c r="B16" s="81"/>
      <c r="C16" s="79">
        <f t="shared" si="0"/>
        <v>0</v>
      </c>
      <c r="D16" s="81" t="e">
        <f t="shared" si="1"/>
        <v>#DIV/0!</v>
      </c>
      <c r="E16" s="80"/>
      <c r="I16" s="69"/>
      <c r="J16" s="71"/>
      <c r="K16" s="64"/>
      <c r="L16" s="64"/>
      <c r="M16" s="64"/>
    </row>
    <row r="17" spans="1:13" ht="16.5">
      <c r="A17" s="78"/>
      <c r="B17" s="81"/>
      <c r="C17" s="79">
        <f t="shared" si="0"/>
        <v>0</v>
      </c>
      <c r="D17" s="81" t="e">
        <f t="shared" si="1"/>
        <v>#DIV/0!</v>
      </c>
      <c r="E17" s="80"/>
      <c r="I17" s="68"/>
      <c r="J17" s="70"/>
      <c r="K17" s="67"/>
      <c r="L17" s="67"/>
      <c r="M17" s="67"/>
    </row>
    <row r="18" spans="1:13" ht="16.5">
      <c r="A18" s="78"/>
      <c r="B18" s="81"/>
      <c r="C18" s="79">
        <f t="shared" si="0"/>
        <v>0</v>
      </c>
      <c r="D18" s="81" t="e">
        <f t="shared" si="1"/>
        <v>#DIV/0!</v>
      </c>
      <c r="E18" s="80"/>
      <c r="I18" s="69"/>
      <c r="J18" s="71"/>
      <c r="K18" s="64"/>
      <c r="L18" s="64"/>
      <c r="M18" s="64"/>
    </row>
    <row r="19" spans="1:13" ht="16.5">
      <c r="A19" s="78"/>
      <c r="B19" s="81"/>
      <c r="C19" s="79">
        <f t="shared" si="0"/>
        <v>0</v>
      </c>
      <c r="D19" s="81" t="e">
        <f t="shared" si="1"/>
        <v>#DIV/0!</v>
      </c>
      <c r="E19" s="80"/>
      <c r="I19" s="68"/>
      <c r="J19" s="67"/>
      <c r="K19" s="67"/>
      <c r="L19" s="67"/>
      <c r="M19" s="67"/>
    </row>
    <row r="20" spans="1:13" ht="16.5">
      <c r="A20" s="78"/>
      <c r="B20" s="81"/>
      <c r="C20" s="79">
        <f t="shared" si="0"/>
        <v>0</v>
      </c>
      <c r="D20" s="81" t="e">
        <f t="shared" si="1"/>
        <v>#DIV/0!</v>
      </c>
      <c r="E20" s="80"/>
      <c r="I20" s="69"/>
      <c r="J20" s="69"/>
      <c r="K20" s="69"/>
      <c r="L20" s="64"/>
      <c r="M20" s="64"/>
    </row>
    <row r="21" spans="1:13" ht="16.5">
      <c r="A21" s="78"/>
      <c r="B21" s="81"/>
      <c r="C21" s="79">
        <f t="shared" si="0"/>
        <v>0</v>
      </c>
      <c r="D21" s="81" t="e">
        <f t="shared" si="1"/>
        <v>#DIV/0!</v>
      </c>
      <c r="E21" s="80"/>
      <c r="I21" s="68"/>
      <c r="J21" s="68"/>
      <c r="K21" s="68"/>
      <c r="L21" s="68"/>
      <c r="M21" s="68"/>
    </row>
    <row r="22" spans="1:13" ht="16.5">
      <c r="A22" s="78"/>
      <c r="B22" s="81"/>
      <c r="C22" s="79">
        <f t="shared" si="0"/>
        <v>0</v>
      </c>
      <c r="D22" s="81" t="e">
        <f t="shared" si="1"/>
        <v>#DIV/0!</v>
      </c>
      <c r="E22" s="80"/>
      <c r="I22" s="69"/>
      <c r="J22" s="69"/>
      <c r="K22" s="69"/>
      <c r="L22" s="69"/>
      <c r="M22" s="64"/>
    </row>
    <row r="23" spans="1:13" ht="16.5">
      <c r="A23" s="78"/>
      <c r="B23" s="81"/>
      <c r="C23" s="79">
        <f t="shared" si="0"/>
        <v>0</v>
      </c>
      <c r="D23" s="81" t="e">
        <f t="shared" si="1"/>
        <v>#DIV/0!</v>
      </c>
      <c r="E23" s="80"/>
      <c r="I23" s="68"/>
      <c r="J23" s="68"/>
      <c r="K23" s="68"/>
      <c r="L23" s="68"/>
      <c r="M23" s="70"/>
    </row>
    <row r="24" spans="1:13" ht="16.5">
      <c r="A24" s="78"/>
      <c r="B24" s="81"/>
      <c r="C24" s="79">
        <f t="shared" si="0"/>
        <v>0</v>
      </c>
      <c r="D24" s="81" t="e">
        <f t="shared" si="1"/>
        <v>#DIV/0!</v>
      </c>
      <c r="E24" s="80"/>
      <c r="I24" s="69"/>
      <c r="J24" s="71"/>
      <c r="K24" s="64"/>
      <c r="L24" s="64"/>
      <c r="M24" s="64"/>
    </row>
    <row r="25" spans="1:13" ht="16.5">
      <c r="A25" s="78"/>
      <c r="B25" s="81"/>
      <c r="C25" s="79">
        <f t="shared" si="0"/>
        <v>0</v>
      </c>
      <c r="D25" s="81" t="e">
        <f t="shared" si="1"/>
        <v>#DIV/0!</v>
      </c>
      <c r="E25" s="80"/>
      <c r="I25" s="68"/>
      <c r="J25" s="70"/>
      <c r="K25" s="67"/>
      <c r="L25" s="67"/>
      <c r="M25" s="67"/>
    </row>
    <row r="26" spans="1:13" ht="16.5">
      <c r="A26" s="78"/>
      <c r="B26" s="81"/>
      <c r="C26" s="79">
        <f t="shared" si="0"/>
        <v>0</v>
      </c>
      <c r="D26" s="81" t="e">
        <f t="shared" si="1"/>
        <v>#DIV/0!</v>
      </c>
      <c r="E26" s="80"/>
      <c r="I26" s="69"/>
      <c r="J26" s="71"/>
      <c r="K26" s="64"/>
      <c r="L26" s="64"/>
      <c r="M26" s="64"/>
    </row>
    <row r="27" spans="1:13" ht="16.5">
      <c r="A27" s="78"/>
      <c r="B27" s="81"/>
      <c r="C27" s="79">
        <f t="shared" si="0"/>
        <v>0</v>
      </c>
      <c r="D27" s="81" t="e">
        <f t="shared" si="1"/>
        <v>#DIV/0!</v>
      </c>
      <c r="E27" s="80"/>
      <c r="I27" s="68"/>
      <c r="J27" s="67"/>
      <c r="K27" s="67"/>
      <c r="L27" s="67"/>
      <c r="M27" s="67"/>
    </row>
    <row r="28" spans="1:13">
      <c r="A28" s="82" t="s">
        <v>27</v>
      </c>
      <c r="B28" s="83" t="e">
        <f>AVERAGE(B3:B27)</f>
        <v>#DIV/0!</v>
      </c>
      <c r="C28" s="79">
        <f>SUM(C3:C27)</f>
        <v>0</v>
      </c>
      <c r="D28" s="79" t="e">
        <f>SUM(D3:D27)</f>
        <v>#DIV/0!</v>
      </c>
      <c r="E28" s="84" t="e">
        <f>SUMPRODUCT(B3:B27,D3:D27)</f>
        <v>#DIV/0!</v>
      </c>
      <c r="F28" s="54" t="s">
        <v>28</v>
      </c>
    </row>
  </sheetData>
  <hyperlinks>
    <hyperlink ref="G5" r:id="rId1"/>
    <hyperlink ref="G7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L13" sqref="L13"/>
    </sheetView>
  </sheetViews>
  <sheetFormatPr defaultColWidth="10" defaultRowHeight="15"/>
  <cols>
    <col min="1" max="4" width="10" style="95"/>
    <col min="5" max="5" width="11" style="95" customWidth="1"/>
    <col min="6" max="16384" width="10" style="95"/>
  </cols>
  <sheetData>
    <row r="2" spans="1:10">
      <c r="C2" s="95" t="s">
        <v>137</v>
      </c>
    </row>
    <row r="3" spans="1:10">
      <c r="C3" s="95">
        <f>1*(1+0.0098)</f>
        <v>1.0098</v>
      </c>
      <c r="E3" s="95" t="s">
        <v>138</v>
      </c>
    </row>
    <row r="4" spans="1:10">
      <c r="C4" s="95">
        <f>18.7*(1+0.068799)</f>
        <v>19.986541299999999</v>
      </c>
      <c r="E4" s="96">
        <f>C4/C3</f>
        <v>19.792574074074071</v>
      </c>
    </row>
    <row r="6" spans="1:10">
      <c r="C6" s="95" t="s">
        <v>137</v>
      </c>
      <c r="E6" s="95" t="s">
        <v>136</v>
      </c>
    </row>
    <row r="7" spans="1:10">
      <c r="C7" s="95">
        <f>18.7*(1+0.066214*(90/360))</f>
        <v>19.009550450000003</v>
      </c>
      <c r="E7" s="96">
        <f>C7/C8</f>
        <v>18.860552088500846</v>
      </c>
      <c r="J7" s="95" t="s">
        <v>135</v>
      </c>
    </row>
    <row r="8" spans="1:10">
      <c r="C8" s="95">
        <f>1*(1+0.0079)</f>
        <v>1.0079</v>
      </c>
    </row>
    <row r="9" spans="1:10">
      <c r="J9" s="95" t="s">
        <v>134</v>
      </c>
    </row>
    <row r="15" spans="1:10">
      <c r="A15" s="95" t="s">
        <v>133</v>
      </c>
      <c r="C15" s="95" t="s">
        <v>132</v>
      </c>
    </row>
    <row r="16" spans="1:10">
      <c r="A16" s="95" t="s">
        <v>131</v>
      </c>
      <c r="C16" s="95" t="s">
        <v>130</v>
      </c>
    </row>
    <row r="17" spans="1:3">
      <c r="A17" s="95" t="s">
        <v>129</v>
      </c>
      <c r="C17" s="95" t="s">
        <v>128</v>
      </c>
    </row>
    <row r="19" spans="1:3">
      <c r="A19" s="95" t="s">
        <v>127</v>
      </c>
      <c r="C19" s="95" t="s">
        <v>126</v>
      </c>
    </row>
    <row r="22" spans="1:3">
      <c r="A22" s="95" t="s">
        <v>125</v>
      </c>
      <c r="C22" s="95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G9" sqref="G9"/>
    </sheetView>
  </sheetViews>
  <sheetFormatPr defaultColWidth="11" defaultRowHeight="15.75"/>
  <sheetData>
    <row r="1" spans="1:8">
      <c r="A1" t="s">
        <v>100</v>
      </c>
      <c r="B1" t="s">
        <v>74</v>
      </c>
      <c r="C1" s="11" t="s">
        <v>105</v>
      </c>
      <c r="D1" t="s">
        <v>101</v>
      </c>
      <c r="E1" t="s">
        <v>102</v>
      </c>
      <c r="G1" s="157" t="s">
        <v>103</v>
      </c>
      <c r="H1" s="157"/>
    </row>
    <row r="2" spans="1:8">
      <c r="A2" s="76">
        <v>42795</v>
      </c>
      <c r="B2">
        <v>47539.21875</v>
      </c>
      <c r="C2" s="11"/>
      <c r="D2">
        <f>B2/B3-1</f>
        <v>1.456415818627721E-2</v>
      </c>
      <c r="E2" t="e">
        <f>C2/C3-1</f>
        <v>#DIV/0!</v>
      </c>
      <c r="G2" s="86" t="e">
        <f>SLOPE(E2:E61,D2:D61)</f>
        <v>#DIV/0!</v>
      </c>
      <c r="H2" s="86" t="s">
        <v>104</v>
      </c>
    </row>
    <row r="3" spans="1:8">
      <c r="A3" s="76">
        <v>42767</v>
      </c>
      <c r="B3">
        <v>46856.789062000003</v>
      </c>
      <c r="C3" s="11"/>
      <c r="D3">
        <f t="shared" ref="D3:E62" si="0">B3/B4-1</f>
        <v>-3.0694953755449061E-3</v>
      </c>
      <c r="E3" t="e">
        <f t="shared" si="0"/>
        <v>#DIV/0!</v>
      </c>
      <c r="G3" s="55" t="e">
        <f>COVAR(E2:E61,D2:D61)/VAR(D2:D61)</f>
        <v>#DIV/0!</v>
      </c>
      <c r="H3" s="55" t="s">
        <v>106</v>
      </c>
    </row>
    <row r="4" spans="1:8">
      <c r="A4" s="76">
        <v>42737</v>
      </c>
      <c r="B4">
        <v>47001.058594000002</v>
      </c>
      <c r="C4" s="11"/>
      <c r="D4">
        <f t="shared" si="0"/>
        <v>2.9756220627506602E-2</v>
      </c>
      <c r="E4" t="e">
        <f t="shared" si="0"/>
        <v>#DIV/0!</v>
      </c>
    </row>
    <row r="5" spans="1:8">
      <c r="A5" s="76">
        <v>42705</v>
      </c>
      <c r="B5">
        <v>45642.898437999997</v>
      </c>
      <c r="C5" s="11"/>
      <c r="D5">
        <f t="shared" si="0"/>
        <v>7.214621365909224E-3</v>
      </c>
      <c r="E5" t="e">
        <f t="shared" si="0"/>
        <v>#DIV/0!</v>
      </c>
    </row>
    <row r="6" spans="1:8">
      <c r="A6" s="76">
        <v>42675</v>
      </c>
      <c r="B6">
        <v>45315.960937999997</v>
      </c>
      <c r="C6" s="11"/>
      <c r="D6">
        <f t="shared" si="0"/>
        <v>-5.6099992373870533E-2</v>
      </c>
      <c r="E6" t="e">
        <f t="shared" si="0"/>
        <v>#DIV/0!</v>
      </c>
      <c r="G6" s="158" t="s">
        <v>107</v>
      </c>
      <c r="H6" s="158"/>
    </row>
    <row r="7" spans="1:8">
      <c r="A7" s="76">
        <v>42646</v>
      </c>
      <c r="B7">
        <v>48009.28125</v>
      </c>
      <c r="C7" s="11"/>
      <c r="D7">
        <f t="shared" si="0"/>
        <v>1.6159752959612028E-2</v>
      </c>
      <c r="E7" t="e">
        <f t="shared" si="0"/>
        <v>#DIV/0!</v>
      </c>
    </row>
    <row r="8" spans="1:8">
      <c r="A8" s="76">
        <v>42614</v>
      </c>
      <c r="B8">
        <v>47245.800780999998</v>
      </c>
      <c r="C8" s="11"/>
      <c r="D8">
        <f t="shared" si="0"/>
        <v>-6.2160564549027519E-3</v>
      </c>
      <c r="E8" t="e">
        <f t="shared" si="0"/>
        <v>#DIV/0!</v>
      </c>
    </row>
    <row r="9" spans="1:8">
      <c r="A9" s="76">
        <v>42583</v>
      </c>
      <c r="B9">
        <v>47541.320312000003</v>
      </c>
      <c r="C9" s="11"/>
      <c r="D9">
        <f t="shared" si="0"/>
        <v>1.8873462417326126E-2</v>
      </c>
      <c r="E9" t="e">
        <f t="shared" si="0"/>
        <v>#DIV/0!</v>
      </c>
    </row>
    <row r="10" spans="1:8">
      <c r="A10" s="76">
        <v>42552</v>
      </c>
      <c r="B10">
        <v>46660.671875</v>
      </c>
      <c r="C10" s="11"/>
      <c r="D10">
        <f t="shared" si="0"/>
        <v>1.5101949702060136E-2</v>
      </c>
      <c r="E10" t="e">
        <f t="shared" si="0"/>
        <v>#DIV/0!</v>
      </c>
    </row>
    <row r="11" spans="1:8">
      <c r="A11" s="76">
        <v>42522</v>
      </c>
      <c r="B11">
        <v>45966.488280999998</v>
      </c>
      <c r="C11" s="11"/>
      <c r="D11">
        <f t="shared" si="0"/>
        <v>1.1153656076151375E-2</v>
      </c>
      <c r="E11" t="e">
        <f t="shared" si="0"/>
        <v>#DIV/0!</v>
      </c>
    </row>
    <row r="12" spans="1:8">
      <c r="A12" s="76">
        <v>42492</v>
      </c>
      <c r="B12">
        <v>45459.449219000002</v>
      </c>
      <c r="C12" s="11"/>
      <c r="D12">
        <f t="shared" si="0"/>
        <v>-7.1054264405486789E-3</v>
      </c>
      <c r="E12" t="e">
        <f t="shared" si="0"/>
        <v>#DIV/0!</v>
      </c>
    </row>
    <row r="13" spans="1:8">
      <c r="A13" s="76">
        <v>42461</v>
      </c>
      <c r="B13">
        <v>45784.769530999998</v>
      </c>
      <c r="C13" s="11"/>
      <c r="D13">
        <f t="shared" si="0"/>
        <v>-2.0990917810957965E-3</v>
      </c>
      <c r="E13" t="e">
        <f t="shared" si="0"/>
        <v>#DIV/0!</v>
      </c>
    </row>
    <row r="14" spans="1:8">
      <c r="A14" s="76">
        <v>42430</v>
      </c>
      <c r="B14">
        <v>45881.078125</v>
      </c>
      <c r="C14" s="11"/>
      <c r="D14">
        <f t="shared" si="0"/>
        <v>4.9551685258563349E-2</v>
      </c>
      <c r="E14" t="e">
        <f t="shared" si="0"/>
        <v>#DIV/0!</v>
      </c>
    </row>
    <row r="15" spans="1:8">
      <c r="A15" s="76">
        <v>42402</v>
      </c>
      <c r="B15">
        <v>43714.929687999997</v>
      </c>
      <c r="C15" s="11"/>
      <c r="D15">
        <f t="shared" si="0"/>
        <v>1.9289175484333843E-3</v>
      </c>
      <c r="E15" t="e">
        <f t="shared" si="0"/>
        <v>#DIV/0!</v>
      </c>
    </row>
    <row r="16" spans="1:8">
      <c r="A16" s="76">
        <v>42373</v>
      </c>
      <c r="B16">
        <v>43630.769530999998</v>
      </c>
      <c r="C16" s="11"/>
      <c r="D16">
        <f t="shared" si="0"/>
        <v>1.5200268303181774E-2</v>
      </c>
      <c r="E16" t="e">
        <f t="shared" si="0"/>
        <v>#DIV/0!</v>
      </c>
    </row>
    <row r="17" spans="1:5">
      <c r="A17" s="76">
        <v>42339</v>
      </c>
      <c r="B17">
        <v>42977.5</v>
      </c>
      <c r="C17" s="11"/>
      <c r="D17">
        <f t="shared" si="0"/>
        <v>-1.0158118432478935E-2</v>
      </c>
      <c r="E17" t="e">
        <f t="shared" si="0"/>
        <v>#DIV/0!</v>
      </c>
    </row>
    <row r="18" spans="1:5">
      <c r="A18" s="76">
        <v>42311</v>
      </c>
      <c r="B18">
        <v>43418.550780999998</v>
      </c>
      <c r="C18" s="11"/>
      <c r="D18">
        <f t="shared" si="0"/>
        <v>-2.5238914126881951E-2</v>
      </c>
      <c r="E18" t="e">
        <f t="shared" si="0"/>
        <v>#DIV/0!</v>
      </c>
    </row>
    <row r="19" spans="1:5">
      <c r="A19" s="76">
        <v>42278</v>
      </c>
      <c r="B19">
        <v>44542.761719000002</v>
      </c>
      <c r="C19" s="11"/>
      <c r="D19">
        <f t="shared" si="0"/>
        <v>4.4806682853723245E-2</v>
      </c>
      <c r="E19" t="e">
        <f t="shared" si="0"/>
        <v>#DIV/0!</v>
      </c>
    </row>
    <row r="20" spans="1:5">
      <c r="A20" s="76">
        <v>42248</v>
      </c>
      <c r="B20">
        <v>42632.539062000003</v>
      </c>
      <c r="C20" s="11"/>
      <c r="D20">
        <f t="shared" si="0"/>
        <v>-2.4917040604488183E-2</v>
      </c>
      <c r="E20" t="e">
        <f t="shared" si="0"/>
        <v>#DIV/0!</v>
      </c>
    </row>
    <row r="21" spans="1:5">
      <c r="A21" s="76">
        <v>42219</v>
      </c>
      <c r="B21">
        <v>43721.960937999997</v>
      </c>
      <c r="C21" s="11"/>
      <c r="D21">
        <f t="shared" si="0"/>
        <v>-2.3036899644057085E-2</v>
      </c>
      <c r="E21" t="e">
        <f t="shared" si="0"/>
        <v>#DIV/0!</v>
      </c>
    </row>
    <row r="22" spans="1:5">
      <c r="A22" s="76">
        <v>42186</v>
      </c>
      <c r="B22">
        <v>44752.929687999997</v>
      </c>
      <c r="C22" s="11"/>
      <c r="D22">
        <f t="shared" si="0"/>
        <v>-6.6758010155393288E-3</v>
      </c>
      <c r="E22" t="e">
        <f t="shared" si="0"/>
        <v>#DIV/0!</v>
      </c>
    </row>
    <row r="23" spans="1:5">
      <c r="A23" s="76">
        <v>42156</v>
      </c>
      <c r="B23">
        <v>45053.699219000002</v>
      </c>
      <c r="C23" s="11"/>
      <c r="D23">
        <f t="shared" si="0"/>
        <v>7.8310910041017312E-3</v>
      </c>
      <c r="E23" t="e">
        <f t="shared" si="0"/>
        <v>#DIV/0!</v>
      </c>
    </row>
    <row r="24" spans="1:5">
      <c r="A24" s="76">
        <v>42125</v>
      </c>
      <c r="B24">
        <v>44703.621094000002</v>
      </c>
      <c r="C24" s="11"/>
      <c r="D24">
        <f t="shared" si="0"/>
        <v>2.7192455877864674E-3</v>
      </c>
      <c r="E24" t="e">
        <f t="shared" si="0"/>
        <v>#DIV/0!</v>
      </c>
    </row>
    <row r="25" spans="1:5">
      <c r="A25" s="76">
        <v>42095</v>
      </c>
      <c r="B25">
        <v>44582.390625</v>
      </c>
      <c r="C25" s="11"/>
      <c r="D25">
        <f t="shared" si="0"/>
        <v>1.9613805958148767E-2</v>
      </c>
      <c r="E25" t="e">
        <f t="shared" si="0"/>
        <v>#DIV/0!</v>
      </c>
    </row>
    <row r="26" spans="1:5">
      <c r="A26" s="76">
        <v>42065</v>
      </c>
      <c r="B26">
        <v>43724.78125</v>
      </c>
      <c r="C26" s="11"/>
      <c r="D26">
        <f t="shared" si="0"/>
        <v>-1.0531541409624756E-2</v>
      </c>
      <c r="E26" t="e">
        <f t="shared" si="0"/>
        <v>#DIV/0!</v>
      </c>
    </row>
    <row r="27" spans="1:5">
      <c r="A27" s="76">
        <v>42037</v>
      </c>
      <c r="B27">
        <v>44190.171875</v>
      </c>
      <c r="C27" s="11"/>
      <c r="D27">
        <f t="shared" si="0"/>
        <v>7.9109841626930688E-2</v>
      </c>
      <c r="E27" t="e">
        <f t="shared" si="0"/>
        <v>#DIV/0!</v>
      </c>
    </row>
    <row r="28" spans="1:5">
      <c r="A28" s="76">
        <v>42006</v>
      </c>
      <c r="B28">
        <v>40950.578125</v>
      </c>
      <c r="C28" s="11"/>
      <c r="D28">
        <f t="shared" si="0"/>
        <v>-5.0876079380019479E-2</v>
      </c>
      <c r="E28" t="e">
        <f t="shared" si="0"/>
        <v>#DIV/0!</v>
      </c>
    </row>
    <row r="29" spans="1:5">
      <c r="A29" s="76">
        <v>41974</v>
      </c>
      <c r="B29">
        <v>43145.660155999998</v>
      </c>
      <c r="C29" s="11"/>
      <c r="D29">
        <f t="shared" si="0"/>
        <v>-2.3643301905459047E-2</v>
      </c>
      <c r="E29" t="e">
        <f t="shared" si="0"/>
        <v>#DIV/0!</v>
      </c>
    </row>
    <row r="30" spans="1:5">
      <c r="A30" s="76">
        <v>41946</v>
      </c>
      <c r="B30">
        <v>44190.46875</v>
      </c>
      <c r="C30" s="11"/>
      <c r="D30">
        <f t="shared" si="0"/>
        <v>-1.8589759989415255E-2</v>
      </c>
      <c r="E30" t="e">
        <f t="shared" si="0"/>
        <v>#DIV/0!</v>
      </c>
    </row>
    <row r="31" spans="1:5">
      <c r="A31" s="76">
        <v>41913</v>
      </c>
      <c r="B31">
        <v>45027.519530999998</v>
      </c>
      <c r="C31" s="11"/>
      <c r="D31">
        <f t="shared" si="0"/>
        <v>9.3050485098666869E-4</v>
      </c>
      <c r="E31" t="e">
        <f t="shared" si="0"/>
        <v>#DIV/0!</v>
      </c>
    </row>
    <row r="32" spans="1:5">
      <c r="A32" s="76">
        <v>41883</v>
      </c>
      <c r="B32">
        <v>44985.660155999998</v>
      </c>
      <c r="C32" s="11"/>
      <c r="D32">
        <f t="shared" si="0"/>
        <v>-1.4079697182074358E-2</v>
      </c>
      <c r="E32" t="e">
        <f t="shared" si="0"/>
        <v>#DIV/0!</v>
      </c>
    </row>
    <row r="33" spans="1:5">
      <c r="A33" s="76">
        <v>41852</v>
      </c>
      <c r="B33">
        <v>45628.089844000002</v>
      </c>
      <c r="C33" s="11"/>
      <c r="D33">
        <f t="shared" si="0"/>
        <v>4.1316609339945742E-2</v>
      </c>
      <c r="E33" t="e">
        <f t="shared" si="0"/>
        <v>#DIV/0!</v>
      </c>
    </row>
    <row r="34" spans="1:5">
      <c r="A34" s="76">
        <v>41821</v>
      </c>
      <c r="B34">
        <v>43817.691405999998</v>
      </c>
      <c r="C34" s="11"/>
      <c r="D34">
        <f t="shared" si="0"/>
        <v>2.5282897384046876E-2</v>
      </c>
      <c r="E34" t="e">
        <f t="shared" si="0"/>
        <v>#DIV/0!</v>
      </c>
    </row>
    <row r="35" spans="1:5">
      <c r="A35" s="76">
        <v>41792</v>
      </c>
      <c r="B35">
        <v>42737.171875</v>
      </c>
      <c r="C35" s="11"/>
      <c r="D35">
        <f t="shared" si="0"/>
        <v>3.3234445851327399E-2</v>
      </c>
      <c r="E35" t="e">
        <f t="shared" si="0"/>
        <v>#DIV/0!</v>
      </c>
    </row>
    <row r="36" spans="1:5">
      <c r="A36" s="76">
        <v>41761</v>
      </c>
      <c r="B36">
        <v>41362.511719000002</v>
      </c>
      <c r="C36" s="11"/>
      <c r="D36">
        <f t="shared" si="0"/>
        <v>1.5989393368396776E-2</v>
      </c>
      <c r="E36" t="e">
        <f t="shared" si="0"/>
        <v>#DIV/0!</v>
      </c>
    </row>
    <row r="37" spans="1:5">
      <c r="A37" s="76">
        <v>41730</v>
      </c>
      <c r="B37">
        <v>40711.558594000002</v>
      </c>
      <c r="C37" s="11"/>
      <c r="D37">
        <f t="shared" si="0"/>
        <v>6.1776356434379842E-3</v>
      </c>
      <c r="E37" t="e">
        <f t="shared" si="0"/>
        <v>#DIV/0!</v>
      </c>
    </row>
    <row r="38" spans="1:5">
      <c r="A38" s="76">
        <v>41701</v>
      </c>
      <c r="B38">
        <v>40461.601562000003</v>
      </c>
      <c r="C38" s="11"/>
      <c r="D38">
        <f t="shared" si="0"/>
        <v>4.3284832820529529E-2</v>
      </c>
      <c r="E38" t="e">
        <f t="shared" si="0"/>
        <v>#DIV/0!</v>
      </c>
    </row>
    <row r="39" spans="1:5">
      <c r="A39" s="76">
        <v>41674</v>
      </c>
      <c r="B39">
        <v>38782.890625</v>
      </c>
      <c r="C39" s="11"/>
      <c r="D39">
        <f t="shared" si="0"/>
        <v>-5.1293351231355366E-2</v>
      </c>
      <c r="E39" t="e">
        <f t="shared" si="0"/>
        <v>#DIV/0!</v>
      </c>
    </row>
    <row r="40" spans="1:5">
      <c r="A40" s="76">
        <v>41641</v>
      </c>
      <c r="B40">
        <v>40879.75</v>
      </c>
      <c r="C40" s="11"/>
      <c r="D40">
        <f t="shared" si="0"/>
        <v>-4.3235798430101058E-2</v>
      </c>
      <c r="E40" t="e">
        <f t="shared" si="0"/>
        <v>#DIV/0!</v>
      </c>
    </row>
    <row r="41" spans="1:5">
      <c r="A41" s="76">
        <v>41610</v>
      </c>
      <c r="B41">
        <v>42727.089844000002</v>
      </c>
      <c r="C41" s="11"/>
      <c r="D41">
        <f t="shared" si="0"/>
        <v>5.3638967166647067E-3</v>
      </c>
      <c r="E41" t="e">
        <f t="shared" si="0"/>
        <v>#DIV/0!</v>
      </c>
    </row>
    <row r="42" spans="1:5">
      <c r="A42" s="76">
        <v>41579</v>
      </c>
      <c r="B42">
        <v>42499.128905999998</v>
      </c>
      <c r="C42" s="11"/>
      <c r="D42">
        <f t="shared" si="0"/>
        <v>3.5587928052904783E-2</v>
      </c>
      <c r="E42" t="e">
        <f t="shared" si="0"/>
        <v>#DIV/0!</v>
      </c>
    </row>
    <row r="43" spans="1:5">
      <c r="A43" s="76">
        <v>41548</v>
      </c>
      <c r="B43">
        <v>41038.648437999997</v>
      </c>
      <c r="C43" s="11"/>
      <c r="D43">
        <f t="shared" si="0"/>
        <v>2.1237105250854427E-2</v>
      </c>
      <c r="E43" t="e">
        <f t="shared" si="0"/>
        <v>#DIV/0!</v>
      </c>
    </row>
    <row r="44" spans="1:5">
      <c r="A44" s="76">
        <v>41519</v>
      </c>
      <c r="B44">
        <v>40185.230469000002</v>
      </c>
      <c r="C44" s="11"/>
      <c r="D44">
        <f t="shared" si="0"/>
        <v>1.7544132089482689E-2</v>
      </c>
      <c r="E44" t="e">
        <f t="shared" si="0"/>
        <v>#DIV/0!</v>
      </c>
    </row>
    <row r="45" spans="1:5">
      <c r="A45" s="76">
        <v>41487</v>
      </c>
      <c r="B45">
        <v>39492.371094000002</v>
      </c>
      <c r="C45" s="11"/>
      <c r="D45">
        <f t="shared" si="0"/>
        <v>-3.2947543997009832E-2</v>
      </c>
      <c r="E45" t="e">
        <f t="shared" si="0"/>
        <v>#DIV/0!</v>
      </c>
    </row>
    <row r="46" spans="1:5">
      <c r="A46" s="76">
        <v>41456</v>
      </c>
      <c r="B46">
        <v>40837.878905999998</v>
      </c>
      <c r="C46" s="11"/>
      <c r="D46">
        <f t="shared" si="0"/>
        <v>5.2821440127868158E-3</v>
      </c>
      <c r="E46" t="e">
        <f t="shared" si="0"/>
        <v>#DIV/0!</v>
      </c>
    </row>
    <row r="47" spans="1:5">
      <c r="A47" s="76">
        <v>41428</v>
      </c>
      <c r="B47">
        <v>40623.300780999998</v>
      </c>
      <c r="C47" s="11"/>
      <c r="D47">
        <f t="shared" si="0"/>
        <v>-2.3204099703001413E-2</v>
      </c>
      <c r="E47" t="e">
        <f t="shared" si="0"/>
        <v>#DIV/0!</v>
      </c>
    </row>
    <row r="48" spans="1:5">
      <c r="A48" s="76">
        <v>41396</v>
      </c>
      <c r="B48">
        <v>41588.320312000003</v>
      </c>
      <c r="C48" s="11"/>
      <c r="D48">
        <f t="shared" si="0"/>
        <v>-1.5975024998123977E-2</v>
      </c>
      <c r="E48" t="e">
        <f t="shared" si="0"/>
        <v>#DIV/0!</v>
      </c>
    </row>
    <row r="49" spans="1:5">
      <c r="A49" s="76">
        <v>41365</v>
      </c>
      <c r="B49">
        <v>42263.480469000002</v>
      </c>
      <c r="C49" s="11"/>
      <c r="D49">
        <f t="shared" si="0"/>
        <v>-4.1146304835886882E-2</v>
      </c>
      <c r="E49" t="e">
        <f t="shared" si="0"/>
        <v>#DIV/0!</v>
      </c>
    </row>
    <row r="50" spans="1:5">
      <c r="A50" s="76">
        <v>41334</v>
      </c>
      <c r="B50">
        <v>44077.089844000002</v>
      </c>
      <c r="C50" s="11"/>
      <c r="D50">
        <f t="shared" si="0"/>
        <v>-9.9495588631004495E-4</v>
      </c>
      <c r="E50" t="e">
        <f t="shared" si="0"/>
        <v>#DIV/0!</v>
      </c>
    </row>
    <row r="51" spans="1:5">
      <c r="A51" s="76">
        <v>41306</v>
      </c>
      <c r="B51">
        <v>44120.988280999998</v>
      </c>
      <c r="C51" s="11"/>
      <c r="D51">
        <f t="shared" si="0"/>
        <v>-2.5554768665662975E-2</v>
      </c>
      <c r="E51" t="e">
        <f t="shared" si="0"/>
        <v>#DIV/0!</v>
      </c>
    </row>
    <row r="52" spans="1:5">
      <c r="A52" s="76">
        <v>41276</v>
      </c>
      <c r="B52">
        <v>45278.058594000002</v>
      </c>
      <c r="C52" s="11"/>
      <c r="D52">
        <f t="shared" si="0"/>
        <v>3.5973016333276542E-2</v>
      </c>
      <c r="E52" t="e">
        <f t="shared" si="0"/>
        <v>#DIV/0!</v>
      </c>
    </row>
    <row r="53" spans="1:5">
      <c r="A53" s="76">
        <v>41246</v>
      </c>
      <c r="B53">
        <v>43705.828125</v>
      </c>
      <c r="C53" s="11"/>
      <c r="D53">
        <f t="shared" si="0"/>
        <v>4.4756181525978489E-2</v>
      </c>
      <c r="E53" t="e">
        <f t="shared" si="0"/>
        <v>#DIV/0!</v>
      </c>
    </row>
    <row r="54" spans="1:5">
      <c r="A54" s="76">
        <v>41214</v>
      </c>
      <c r="B54">
        <v>41833.519530999998</v>
      </c>
      <c r="C54" s="11"/>
      <c r="D54">
        <f t="shared" si="0"/>
        <v>5.1311579392909756E-3</v>
      </c>
      <c r="E54" t="e">
        <f t="shared" si="0"/>
        <v>#DIV/0!</v>
      </c>
    </row>
    <row r="55" spans="1:5">
      <c r="A55" s="76">
        <v>41183</v>
      </c>
      <c r="B55">
        <v>41619.960937999997</v>
      </c>
      <c r="C55" s="11"/>
      <c r="D55">
        <f t="shared" si="0"/>
        <v>2.0116126956767344E-2</v>
      </c>
      <c r="E55" t="e">
        <f t="shared" si="0"/>
        <v>#DIV/0!</v>
      </c>
    </row>
    <row r="56" spans="1:5">
      <c r="A56" s="76">
        <v>41155</v>
      </c>
      <c r="B56">
        <v>40799.238280999998</v>
      </c>
      <c r="C56" s="11"/>
      <c r="D56">
        <f t="shared" si="0"/>
        <v>3.4945008582444093E-2</v>
      </c>
      <c r="E56" t="e">
        <f t="shared" si="0"/>
        <v>#DIV/0!</v>
      </c>
    </row>
    <row r="57" spans="1:5">
      <c r="A57" s="76">
        <v>41122</v>
      </c>
      <c r="B57">
        <v>39421.648437999997</v>
      </c>
      <c r="C57" s="11"/>
      <c r="D57">
        <f t="shared" si="0"/>
        <v>-3.1511005049376761E-2</v>
      </c>
      <c r="E57" t="e">
        <f t="shared" si="0"/>
        <v>#DIV/0!</v>
      </c>
    </row>
    <row r="58" spans="1:5">
      <c r="A58" s="76">
        <v>41092</v>
      </c>
      <c r="B58">
        <v>40704.28125</v>
      </c>
      <c r="C58" s="11"/>
      <c r="D58">
        <f t="shared" si="0"/>
        <v>1.255562460759041E-2</v>
      </c>
      <c r="E58" t="e">
        <f t="shared" si="0"/>
        <v>#DIV/0!</v>
      </c>
    </row>
    <row r="59" spans="1:5">
      <c r="A59" s="76">
        <v>41061</v>
      </c>
      <c r="B59">
        <v>40199.550780999998</v>
      </c>
      <c r="C59" s="11"/>
      <c r="D59">
        <f t="shared" si="0"/>
        <v>6.1431750364790538E-2</v>
      </c>
      <c r="E59" t="e">
        <f t="shared" si="0"/>
        <v>#DIV/0!</v>
      </c>
    </row>
    <row r="60" spans="1:5">
      <c r="A60" s="76">
        <v>41031</v>
      </c>
      <c r="B60">
        <v>37872.949219000002</v>
      </c>
      <c r="C60" s="11"/>
      <c r="D60">
        <f t="shared" si="0"/>
        <v>-4.0243551379843367E-2</v>
      </c>
      <c r="E60" t="e">
        <f t="shared" si="0"/>
        <v>#DIV/0!</v>
      </c>
    </row>
    <row r="61" spans="1:5">
      <c r="A61" s="76">
        <v>41001</v>
      </c>
      <c r="B61">
        <v>39461</v>
      </c>
      <c r="C61" s="11"/>
      <c r="D61">
        <f t="shared" si="0"/>
        <v>-1.524200243213425E-3</v>
      </c>
      <c r="E61" t="e">
        <f t="shared" si="0"/>
        <v>#DIV/0!</v>
      </c>
    </row>
    <row r="62" spans="1:5">
      <c r="A62" s="76">
        <v>40977</v>
      </c>
      <c r="B62">
        <v>39521.238280999998</v>
      </c>
      <c r="C62" s="11"/>
      <c r="D62" t="e">
        <f t="shared" si="0"/>
        <v>#DIV/0!</v>
      </c>
      <c r="E62" t="e">
        <f t="shared" si="0"/>
        <v>#DIV/0!</v>
      </c>
    </row>
  </sheetData>
  <mergeCells count="2">
    <mergeCell ref="G1:H1"/>
    <mergeCell ref="G6:H6"/>
  </mergeCells>
  <hyperlinks>
    <hyperlink ref="G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zoomScale="110" zoomScaleNormal="110" workbookViewId="0">
      <selection activeCell="C13" sqref="C13"/>
    </sheetView>
  </sheetViews>
  <sheetFormatPr defaultColWidth="11" defaultRowHeight="15.75"/>
  <cols>
    <col min="1" max="1" width="19.875" customWidth="1"/>
    <col min="5" max="5" width="11.5" customWidth="1"/>
  </cols>
  <sheetData>
    <row r="2" spans="1:12">
      <c r="A2" s="28" t="s">
        <v>108</v>
      </c>
      <c r="J2" s="8"/>
      <c r="K2" s="8"/>
    </row>
    <row r="3" spans="1:12">
      <c r="J3" s="8"/>
      <c r="K3" s="8"/>
    </row>
    <row r="4" spans="1:12">
      <c r="A4" t="s">
        <v>109</v>
      </c>
      <c r="B4">
        <v>91</v>
      </c>
      <c r="D4" s="92" t="s">
        <v>112</v>
      </c>
      <c r="J4" s="8"/>
      <c r="K4" s="8"/>
    </row>
    <row r="5" spans="1:12">
      <c r="A5" t="s">
        <v>110</v>
      </c>
      <c r="B5" s="60">
        <v>6.7500000000000004E-2</v>
      </c>
      <c r="D5" s="90">
        <f>B6*(1-B5/360*B4)</f>
        <v>9.8293750000000006</v>
      </c>
      <c r="J5" s="8"/>
      <c r="K5" s="8"/>
    </row>
    <row r="6" spans="1:12">
      <c r="A6" t="s">
        <v>111</v>
      </c>
      <c r="B6">
        <v>10</v>
      </c>
      <c r="J6" s="8"/>
      <c r="K6" s="8"/>
    </row>
    <row r="7" spans="1:12">
      <c r="J7" s="8"/>
      <c r="K7" s="8"/>
    </row>
    <row r="8" spans="1:12">
      <c r="A8" s="28" t="s">
        <v>113</v>
      </c>
      <c r="J8" s="8"/>
      <c r="K8" s="8"/>
    </row>
    <row r="9" spans="1:12">
      <c r="J9" s="8"/>
      <c r="K9" s="8"/>
    </row>
    <row r="10" spans="1:12">
      <c r="A10" t="s">
        <v>109</v>
      </c>
      <c r="B10">
        <v>28</v>
      </c>
      <c r="D10" s="92" t="s">
        <v>112</v>
      </c>
      <c r="J10" s="8"/>
    </row>
    <row r="11" spans="1:12">
      <c r="A11" t="s">
        <v>110</v>
      </c>
      <c r="B11" s="60">
        <v>6.5000000000000002E-2</v>
      </c>
      <c r="D11" s="90">
        <f>B12/(1+B11/360*B10)</f>
        <v>9.9496987452324355</v>
      </c>
      <c r="J11" s="8"/>
    </row>
    <row r="12" spans="1:12">
      <c r="A12" t="s">
        <v>111</v>
      </c>
      <c r="B12">
        <v>10</v>
      </c>
      <c r="J12" s="8"/>
      <c r="K12" s="8"/>
      <c r="L12" s="8"/>
    </row>
    <row r="13" spans="1:12">
      <c r="J13" s="8"/>
      <c r="K13" s="8"/>
      <c r="L13" s="8"/>
    </row>
    <row r="14" spans="1:12">
      <c r="J14" s="8"/>
      <c r="K14" s="8"/>
      <c r="L14" s="8"/>
    </row>
    <row r="15" spans="1:12">
      <c r="A15" s="91" t="s">
        <v>118</v>
      </c>
      <c r="J15" s="8"/>
      <c r="K15" s="8"/>
      <c r="L15" s="8"/>
    </row>
    <row r="16" spans="1:12">
      <c r="J16" s="8"/>
      <c r="K16" s="8"/>
      <c r="L16" s="8"/>
    </row>
    <row r="17" spans="1:12">
      <c r="A17" t="s">
        <v>111</v>
      </c>
      <c r="B17">
        <v>10</v>
      </c>
      <c r="D17" s="92" t="s">
        <v>123</v>
      </c>
      <c r="F17" s="92" t="s">
        <v>112</v>
      </c>
      <c r="G17" s="92" t="s">
        <v>120</v>
      </c>
      <c r="H17" s="92" t="s">
        <v>121</v>
      </c>
      <c r="J17" s="8"/>
      <c r="K17" s="8"/>
      <c r="L17" s="8"/>
    </row>
    <row r="18" spans="1:12">
      <c r="A18" t="s">
        <v>117</v>
      </c>
      <c r="B18" s="60"/>
      <c r="D18">
        <f>B17*(1-D20/360*B19)</f>
        <v>10</v>
      </c>
      <c r="F18" s="90">
        <f>B17*(1-B18/360*B21)</f>
        <v>10</v>
      </c>
      <c r="G18" s="60" t="e">
        <f>+((F18/D18-1)*360)/B20</f>
        <v>#DIV/0!</v>
      </c>
      <c r="H18" s="93" t="e">
        <f>G18/B20*360</f>
        <v>#DIV/0!</v>
      </c>
      <c r="J18" s="8"/>
      <c r="K18" s="8"/>
      <c r="L18" s="8"/>
    </row>
    <row r="19" spans="1:12">
      <c r="A19" t="s">
        <v>114</v>
      </c>
      <c r="D19" t="s">
        <v>122</v>
      </c>
      <c r="K19" s="8"/>
      <c r="L19" s="8"/>
    </row>
    <row r="20" spans="1:12">
      <c r="A20" t="s">
        <v>115</v>
      </c>
      <c r="D20" s="60"/>
      <c r="J20" s="93"/>
      <c r="K20" s="8"/>
      <c r="L20" s="8"/>
    </row>
    <row r="21" spans="1:12">
      <c r="A21" t="s">
        <v>116</v>
      </c>
      <c r="B21">
        <f>B19-B20</f>
        <v>0</v>
      </c>
      <c r="K21" s="8"/>
      <c r="L21" s="8"/>
    </row>
    <row r="22" spans="1:12">
      <c r="K22" s="8"/>
      <c r="L22" s="8"/>
    </row>
    <row r="23" spans="1:12">
      <c r="K23" s="8"/>
      <c r="L23" s="8"/>
    </row>
    <row r="24" spans="1:12">
      <c r="A24" s="91" t="s">
        <v>119</v>
      </c>
      <c r="K24" s="8"/>
      <c r="L24" s="8"/>
    </row>
    <row r="25" spans="1:12">
      <c r="D25" s="92" t="s">
        <v>123</v>
      </c>
      <c r="F25" s="92" t="s">
        <v>112</v>
      </c>
      <c r="G25" s="92" t="s">
        <v>120</v>
      </c>
      <c r="H25" s="92" t="s">
        <v>121</v>
      </c>
      <c r="K25" s="8"/>
      <c r="L25" s="8"/>
    </row>
    <row r="26" spans="1:12">
      <c r="A26" t="s">
        <v>111</v>
      </c>
      <c r="B26">
        <v>10</v>
      </c>
      <c r="D26" s="90">
        <f>B26/(1+D28/360*B28)</f>
        <v>10</v>
      </c>
      <c r="F26" s="90">
        <f>B26/(1+B27/360*B30)</f>
        <v>10</v>
      </c>
      <c r="G26" s="60"/>
      <c r="H26" s="93"/>
      <c r="K26" s="8"/>
      <c r="L26" s="8"/>
    </row>
    <row r="27" spans="1:12">
      <c r="A27" t="s">
        <v>117</v>
      </c>
      <c r="B27" s="60"/>
      <c r="D27" t="s">
        <v>122</v>
      </c>
      <c r="K27" s="8"/>
      <c r="L27" s="8"/>
    </row>
    <row r="28" spans="1:12">
      <c r="A28" t="s">
        <v>114</v>
      </c>
      <c r="D28" s="60"/>
      <c r="K28" s="8"/>
      <c r="L28" s="8"/>
    </row>
    <row r="29" spans="1:12">
      <c r="A29" t="s">
        <v>115</v>
      </c>
      <c r="K29" s="8"/>
      <c r="L29" s="8"/>
    </row>
    <row r="30" spans="1:12">
      <c r="A30" t="s">
        <v>116</v>
      </c>
      <c r="B30">
        <f>B28-B29</f>
        <v>0</v>
      </c>
      <c r="K30" s="8"/>
      <c r="L30" s="8"/>
    </row>
    <row r="31" spans="1:12">
      <c r="K31" s="8"/>
      <c r="L31" s="8"/>
    </row>
    <row r="32" spans="1:12">
      <c r="K32" s="8"/>
      <c r="L32" s="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3"/>
  <sheetViews>
    <sheetView workbookViewId="0">
      <selection activeCell="G9" sqref="G9"/>
    </sheetView>
  </sheetViews>
  <sheetFormatPr defaultColWidth="11" defaultRowHeight="15.75"/>
  <sheetData>
    <row r="1" spans="1:27">
      <c r="A1" s="157" t="s">
        <v>139</v>
      </c>
      <c r="B1" s="157"/>
      <c r="C1" s="157" t="s">
        <v>140</v>
      </c>
      <c r="D1" s="157"/>
      <c r="E1" s="157" t="s">
        <v>141</v>
      </c>
      <c r="F1" s="157"/>
      <c r="G1" t="s">
        <v>146</v>
      </c>
      <c r="I1" t="s">
        <v>154</v>
      </c>
      <c r="L1" t="s">
        <v>183</v>
      </c>
      <c r="AA1" t="s">
        <v>173</v>
      </c>
    </row>
    <row r="2" spans="1:27">
      <c r="A2" s="94" t="s">
        <v>142</v>
      </c>
      <c r="B2" s="94" t="s">
        <v>143</v>
      </c>
      <c r="C2" s="94" t="s">
        <v>144</v>
      </c>
      <c r="D2" s="94" t="s">
        <v>145</v>
      </c>
      <c r="E2" s="94" t="s">
        <v>142</v>
      </c>
      <c r="F2" s="94" t="s">
        <v>145</v>
      </c>
      <c r="G2" s="94" t="s">
        <v>147</v>
      </c>
      <c r="H2" s="94" t="s">
        <v>145</v>
      </c>
      <c r="I2" s="94" t="s">
        <v>147</v>
      </c>
      <c r="J2" s="94" t="s">
        <v>155</v>
      </c>
    </row>
    <row r="3" spans="1:27">
      <c r="W3" t="s">
        <v>174</v>
      </c>
    </row>
    <row r="5" spans="1:27">
      <c r="W5" t="s">
        <v>175</v>
      </c>
    </row>
    <row r="7" spans="1:27">
      <c r="W7">
        <v>0.08</v>
      </c>
    </row>
    <row r="8" spans="1:27">
      <c r="W8">
        <v>6.5000000000000002E-2</v>
      </c>
    </row>
    <row r="9" spans="1:27">
      <c r="W9">
        <v>0.1</v>
      </c>
    </row>
    <row r="10" spans="1:27">
      <c r="W10">
        <v>5.7500000000000002E-2</v>
      </c>
    </row>
    <row r="11" spans="1:27">
      <c r="W11">
        <v>7.4999999999999997E-2</v>
      </c>
    </row>
    <row r="12" spans="1:27">
      <c r="N12" t="s">
        <v>168</v>
      </c>
      <c r="W12">
        <v>0</v>
      </c>
    </row>
    <row r="13" spans="1:27">
      <c r="AA13">
        <v>0</v>
      </c>
    </row>
    <row r="14" spans="1:27">
      <c r="B14" t="s">
        <v>150</v>
      </c>
      <c r="C14" t="s">
        <v>153</v>
      </c>
      <c r="D14" t="s">
        <v>149</v>
      </c>
      <c r="E14" t="s">
        <v>151</v>
      </c>
      <c r="F14" t="s">
        <v>152</v>
      </c>
      <c r="G14" t="s">
        <v>160</v>
      </c>
      <c r="H14" t="s">
        <v>161</v>
      </c>
      <c r="I14" t="s">
        <v>162</v>
      </c>
      <c r="J14" t="s">
        <v>163</v>
      </c>
      <c r="K14" t="s">
        <v>164</v>
      </c>
      <c r="L14" t="s">
        <v>165</v>
      </c>
      <c r="M14" t="s">
        <v>166</v>
      </c>
      <c r="N14" t="s">
        <v>171</v>
      </c>
      <c r="O14" t="s">
        <v>172</v>
      </c>
      <c r="R14" t="s">
        <v>169</v>
      </c>
      <c r="AA14">
        <v>0</v>
      </c>
    </row>
    <row r="15" spans="1:27">
      <c r="A15" t="s">
        <v>148</v>
      </c>
      <c r="B15" s="102"/>
      <c r="C15" s="28"/>
      <c r="D15" s="97">
        <f>B15</f>
        <v>0</v>
      </c>
      <c r="E15" s="100"/>
      <c r="F15" s="100"/>
      <c r="G15" s="28"/>
      <c r="H15">
        <f>G15*C15</f>
        <v>0</v>
      </c>
      <c r="I15" s="28"/>
      <c r="J15" s="28"/>
      <c r="K15" s="28"/>
      <c r="L15" s="93" t="e">
        <f>H15/$A$24</f>
        <v>#DIV/0!</v>
      </c>
      <c r="N15" s="98" t="e">
        <f>I15/G15-1</f>
        <v>#DIV/0!</v>
      </c>
      <c r="O15" s="98" t="e">
        <f>J15/G15-1</f>
        <v>#DIV/0!</v>
      </c>
      <c r="R15" s="98">
        <v>0</v>
      </c>
      <c r="AA15">
        <v>0</v>
      </c>
    </row>
    <row r="16" spans="1:27">
      <c r="B16" s="102"/>
      <c r="C16" s="28"/>
      <c r="D16" s="97">
        <f t="shared" ref="D16:D64" si="0">B16</f>
        <v>0</v>
      </c>
      <c r="E16" s="100"/>
      <c r="F16" s="100"/>
      <c r="G16" s="28"/>
      <c r="H16">
        <f t="shared" ref="H16:H64" si="1">G16*C16</f>
        <v>0</v>
      </c>
      <c r="I16" s="28"/>
      <c r="J16" s="28"/>
      <c r="K16" s="28"/>
      <c r="L16" s="98" t="e">
        <f t="shared" ref="L16:L23" si="2">H16/$A$24</f>
        <v>#DIV/0!</v>
      </c>
      <c r="N16" s="98" t="e">
        <f t="shared" ref="N16:N64" si="3">I16/G16-1</f>
        <v>#DIV/0!</v>
      </c>
      <c r="O16" s="98" t="e">
        <f t="shared" ref="O16:O64" si="4">J16/G16-1</f>
        <v>#DIV/0!</v>
      </c>
      <c r="R16" s="98">
        <v>0</v>
      </c>
      <c r="AA16">
        <v>0</v>
      </c>
    </row>
    <row r="17" spans="1:27">
      <c r="B17" s="102"/>
      <c r="C17" s="28"/>
      <c r="D17" s="97">
        <f t="shared" si="0"/>
        <v>0</v>
      </c>
      <c r="E17" s="100"/>
      <c r="F17" s="100"/>
      <c r="G17" s="28"/>
      <c r="H17">
        <f t="shared" si="1"/>
        <v>0</v>
      </c>
      <c r="I17" s="28"/>
      <c r="J17" s="28"/>
      <c r="K17" s="28"/>
      <c r="L17" s="98" t="e">
        <f t="shared" si="2"/>
        <v>#DIV/0!</v>
      </c>
      <c r="N17" s="98" t="e">
        <f t="shared" si="3"/>
        <v>#DIV/0!</v>
      </c>
      <c r="O17" s="98" t="e">
        <f t="shared" si="4"/>
        <v>#DIV/0!</v>
      </c>
      <c r="R17" s="98">
        <v>0</v>
      </c>
      <c r="AA17">
        <v>0</v>
      </c>
    </row>
    <row r="18" spans="1:27">
      <c r="B18" s="102"/>
      <c r="C18" s="28"/>
      <c r="D18" s="97">
        <f t="shared" si="0"/>
        <v>0</v>
      </c>
      <c r="E18" s="100"/>
      <c r="F18" s="100"/>
      <c r="G18" s="28"/>
      <c r="H18">
        <f t="shared" si="1"/>
        <v>0</v>
      </c>
      <c r="I18" s="28"/>
      <c r="J18" s="28"/>
      <c r="K18" s="28"/>
      <c r="L18" s="98" t="e">
        <f t="shared" si="2"/>
        <v>#DIV/0!</v>
      </c>
      <c r="N18" s="98" t="e">
        <f t="shared" si="3"/>
        <v>#DIV/0!</v>
      </c>
      <c r="O18" s="98" t="e">
        <f t="shared" si="4"/>
        <v>#DIV/0!</v>
      </c>
      <c r="R18" s="98">
        <v>0</v>
      </c>
      <c r="AA18">
        <v>0</v>
      </c>
    </row>
    <row r="19" spans="1:27">
      <c r="B19" s="102"/>
      <c r="C19" s="28"/>
      <c r="D19" s="97">
        <f t="shared" si="0"/>
        <v>0</v>
      </c>
      <c r="E19" s="100"/>
      <c r="F19" s="100"/>
      <c r="G19" s="28"/>
      <c r="H19">
        <f t="shared" si="1"/>
        <v>0</v>
      </c>
      <c r="I19" s="28"/>
      <c r="J19" s="28"/>
      <c r="K19" s="28"/>
      <c r="L19" s="98" t="e">
        <f t="shared" si="2"/>
        <v>#DIV/0!</v>
      </c>
      <c r="N19" s="98" t="e">
        <f t="shared" si="3"/>
        <v>#DIV/0!</v>
      </c>
      <c r="O19" s="98" t="e">
        <f t="shared" si="4"/>
        <v>#DIV/0!</v>
      </c>
      <c r="R19" s="98">
        <v>0</v>
      </c>
      <c r="AA19">
        <v>0</v>
      </c>
    </row>
    <row r="20" spans="1:27">
      <c r="B20" s="102"/>
      <c r="C20" s="28"/>
      <c r="D20" s="97">
        <f t="shared" si="0"/>
        <v>0</v>
      </c>
      <c r="E20" s="100"/>
      <c r="F20" s="100"/>
      <c r="G20" s="28"/>
      <c r="H20">
        <f t="shared" si="1"/>
        <v>0</v>
      </c>
      <c r="I20" s="28"/>
      <c r="J20" s="28"/>
      <c r="K20" s="28"/>
      <c r="L20" s="98" t="e">
        <f t="shared" si="2"/>
        <v>#DIV/0!</v>
      </c>
      <c r="N20" s="98" t="e">
        <f t="shared" si="3"/>
        <v>#DIV/0!</v>
      </c>
      <c r="O20" s="98" t="e">
        <f t="shared" si="4"/>
        <v>#DIV/0!</v>
      </c>
      <c r="R20" s="98">
        <v>0</v>
      </c>
      <c r="AA20">
        <v>0</v>
      </c>
    </row>
    <row r="21" spans="1:27">
      <c r="B21" s="102"/>
      <c r="C21" s="28"/>
      <c r="D21" s="97">
        <f t="shared" si="0"/>
        <v>0</v>
      </c>
      <c r="E21" s="100"/>
      <c r="F21" s="100"/>
      <c r="G21" s="28"/>
      <c r="H21">
        <f t="shared" si="1"/>
        <v>0</v>
      </c>
      <c r="I21" s="28"/>
      <c r="J21" s="28"/>
      <c r="K21" s="28"/>
      <c r="L21" s="98" t="e">
        <f t="shared" si="2"/>
        <v>#DIV/0!</v>
      </c>
      <c r="N21" s="98" t="e">
        <f t="shared" si="3"/>
        <v>#DIV/0!</v>
      </c>
      <c r="O21" s="98" t="e">
        <f t="shared" si="4"/>
        <v>#DIV/0!</v>
      </c>
      <c r="R21" s="98">
        <v>0</v>
      </c>
      <c r="AA21">
        <v>0</v>
      </c>
    </row>
    <row r="22" spans="1:27">
      <c r="B22" s="102"/>
      <c r="C22" s="28"/>
      <c r="D22" s="97">
        <f t="shared" si="0"/>
        <v>0</v>
      </c>
      <c r="E22" s="100"/>
      <c r="F22" s="100"/>
      <c r="G22" s="28"/>
      <c r="H22">
        <f t="shared" si="1"/>
        <v>0</v>
      </c>
      <c r="I22" s="28"/>
      <c r="J22" s="28"/>
      <c r="K22" s="28"/>
      <c r="L22" s="98" t="e">
        <f t="shared" si="2"/>
        <v>#DIV/0!</v>
      </c>
      <c r="N22" s="98" t="e">
        <f t="shared" si="3"/>
        <v>#DIV/0!</v>
      </c>
      <c r="O22" s="98" t="e">
        <f t="shared" si="4"/>
        <v>#DIV/0!</v>
      </c>
      <c r="R22" s="98">
        <v>0</v>
      </c>
      <c r="AA22">
        <v>0</v>
      </c>
    </row>
    <row r="23" spans="1:27">
      <c r="A23" s="15" t="s">
        <v>167</v>
      </c>
      <c r="B23" s="102"/>
      <c r="C23" s="28"/>
      <c r="D23" s="97">
        <f t="shared" si="0"/>
        <v>0</v>
      </c>
      <c r="E23" s="100"/>
      <c r="F23" s="100"/>
      <c r="G23" s="28"/>
      <c r="H23">
        <f t="shared" si="1"/>
        <v>0</v>
      </c>
      <c r="I23" s="28"/>
      <c r="J23" s="28"/>
      <c r="K23" s="28"/>
      <c r="L23" s="98" t="e">
        <f t="shared" si="2"/>
        <v>#DIV/0!</v>
      </c>
      <c r="N23" s="98" t="e">
        <f t="shared" si="3"/>
        <v>#DIV/0!</v>
      </c>
      <c r="O23" s="98" t="e">
        <f t="shared" si="4"/>
        <v>#DIV/0!</v>
      </c>
      <c r="R23" s="98">
        <v>0</v>
      </c>
      <c r="AA23">
        <v>0</v>
      </c>
    </row>
    <row r="24" spans="1:27">
      <c r="A24" s="38">
        <f>SUM(H15:H24)</f>
        <v>0</v>
      </c>
      <c r="B24" s="102"/>
      <c r="C24" s="28"/>
      <c r="D24" s="97">
        <f t="shared" si="0"/>
        <v>0</v>
      </c>
      <c r="E24" s="100"/>
      <c r="F24" s="100"/>
      <c r="G24" s="28"/>
      <c r="H24">
        <f t="shared" si="1"/>
        <v>0</v>
      </c>
      <c r="I24" s="28"/>
      <c r="J24" s="28"/>
      <c r="K24" s="28"/>
      <c r="L24" s="98" t="e">
        <f>H24/$A$24</f>
        <v>#DIV/0!</v>
      </c>
      <c r="M24" s="101" t="s">
        <v>184</v>
      </c>
      <c r="N24" s="98" t="e">
        <f t="shared" si="3"/>
        <v>#DIV/0!</v>
      </c>
      <c r="O24" s="98" t="e">
        <f t="shared" si="4"/>
        <v>#DIV/0!</v>
      </c>
      <c r="R24" s="98">
        <v>0</v>
      </c>
      <c r="AA24">
        <v>0</v>
      </c>
    </row>
    <row r="25" spans="1:27">
      <c r="A25" s="15" t="s">
        <v>156</v>
      </c>
      <c r="B25" s="102"/>
      <c r="C25" s="28"/>
      <c r="D25" s="97">
        <f t="shared" si="0"/>
        <v>0</v>
      </c>
      <c r="E25" s="100"/>
      <c r="F25" s="100"/>
      <c r="G25" s="28"/>
      <c r="H25">
        <f t="shared" si="1"/>
        <v>0</v>
      </c>
      <c r="I25" s="28"/>
      <c r="J25" s="28"/>
      <c r="K25" s="28"/>
      <c r="L25" s="98" t="e">
        <f>H25/$A$34</f>
        <v>#DIV/0!</v>
      </c>
      <c r="N25" s="98" t="e">
        <f t="shared" si="3"/>
        <v>#DIV/0!</v>
      </c>
      <c r="O25" s="98" t="e">
        <f t="shared" si="4"/>
        <v>#DIV/0!</v>
      </c>
      <c r="R25" s="98">
        <v>0</v>
      </c>
      <c r="AA25">
        <v>0</v>
      </c>
    </row>
    <row r="26" spans="1:27">
      <c r="B26" s="102"/>
      <c r="C26" s="28"/>
      <c r="D26" s="97">
        <f t="shared" si="0"/>
        <v>0</v>
      </c>
      <c r="E26" s="100"/>
      <c r="F26" s="100"/>
      <c r="G26" s="28"/>
      <c r="H26">
        <f t="shared" si="1"/>
        <v>0</v>
      </c>
      <c r="I26" s="28"/>
      <c r="J26" s="28"/>
      <c r="K26" s="28"/>
      <c r="L26" s="98" t="e">
        <f t="shared" ref="L26:L34" si="5">H26/$A$34</f>
        <v>#DIV/0!</v>
      </c>
      <c r="N26" s="98" t="e">
        <f t="shared" si="3"/>
        <v>#DIV/0!</v>
      </c>
      <c r="O26" s="98" t="e">
        <f t="shared" si="4"/>
        <v>#DIV/0!</v>
      </c>
      <c r="R26" s="98">
        <v>0</v>
      </c>
      <c r="AA26">
        <v>0</v>
      </c>
    </row>
    <row r="27" spans="1:27">
      <c r="B27" s="102"/>
      <c r="C27" s="28"/>
      <c r="D27" s="97">
        <f t="shared" si="0"/>
        <v>0</v>
      </c>
      <c r="E27" s="100"/>
      <c r="F27" s="100"/>
      <c r="G27" s="28"/>
      <c r="H27">
        <f t="shared" si="1"/>
        <v>0</v>
      </c>
      <c r="I27" s="28"/>
      <c r="J27" s="28"/>
      <c r="K27" s="28"/>
      <c r="L27" s="98" t="e">
        <f t="shared" si="5"/>
        <v>#DIV/0!</v>
      </c>
      <c r="N27" s="98" t="e">
        <f t="shared" si="3"/>
        <v>#DIV/0!</v>
      </c>
      <c r="O27" s="98" t="e">
        <f t="shared" si="4"/>
        <v>#DIV/0!</v>
      </c>
      <c r="R27" s="98">
        <v>0</v>
      </c>
      <c r="AA27">
        <v>0</v>
      </c>
    </row>
    <row r="28" spans="1:27">
      <c r="B28" s="102"/>
      <c r="C28" s="28"/>
      <c r="D28" s="97">
        <f t="shared" si="0"/>
        <v>0</v>
      </c>
      <c r="E28" s="100"/>
      <c r="F28" s="100"/>
      <c r="G28" s="28"/>
      <c r="H28">
        <f t="shared" si="1"/>
        <v>0</v>
      </c>
      <c r="I28" s="28"/>
      <c r="J28" s="28"/>
      <c r="K28" s="28"/>
      <c r="L28" s="98" t="e">
        <f t="shared" si="5"/>
        <v>#DIV/0!</v>
      </c>
      <c r="N28" s="98" t="e">
        <f t="shared" si="3"/>
        <v>#DIV/0!</v>
      </c>
      <c r="O28" s="98" t="e">
        <f t="shared" si="4"/>
        <v>#DIV/0!</v>
      </c>
      <c r="R28" s="98">
        <v>0</v>
      </c>
      <c r="AA28">
        <v>0</v>
      </c>
    </row>
    <row r="29" spans="1:27">
      <c r="B29" s="102"/>
      <c r="C29" s="28"/>
      <c r="D29" s="97">
        <f t="shared" si="0"/>
        <v>0</v>
      </c>
      <c r="E29" s="100"/>
      <c r="F29" s="100"/>
      <c r="G29" s="28"/>
      <c r="H29">
        <f t="shared" si="1"/>
        <v>0</v>
      </c>
      <c r="I29" s="28"/>
      <c r="J29" s="28"/>
      <c r="K29" s="28"/>
      <c r="L29" s="98" t="e">
        <f t="shared" si="5"/>
        <v>#DIV/0!</v>
      </c>
      <c r="N29" s="98" t="e">
        <f t="shared" si="3"/>
        <v>#DIV/0!</v>
      </c>
      <c r="O29" s="98" t="e">
        <f t="shared" si="4"/>
        <v>#DIV/0!</v>
      </c>
      <c r="R29" s="98">
        <v>0</v>
      </c>
      <c r="AA29">
        <v>0</v>
      </c>
    </row>
    <row r="30" spans="1:27">
      <c r="B30" s="99"/>
      <c r="C30" s="28"/>
      <c r="D30" s="97">
        <f t="shared" si="0"/>
        <v>0</v>
      </c>
      <c r="E30" s="100"/>
      <c r="F30" s="28"/>
      <c r="G30" s="28"/>
      <c r="H30">
        <f t="shared" si="1"/>
        <v>0</v>
      </c>
      <c r="I30" s="28"/>
      <c r="J30" s="28"/>
      <c r="K30" s="28"/>
      <c r="L30" s="98" t="e">
        <f t="shared" si="5"/>
        <v>#DIV/0!</v>
      </c>
      <c r="N30" s="98" t="e">
        <f t="shared" si="3"/>
        <v>#DIV/0!</v>
      </c>
      <c r="O30" s="98" t="e">
        <f t="shared" si="4"/>
        <v>#DIV/0!</v>
      </c>
      <c r="R30" s="98">
        <v>0</v>
      </c>
      <c r="AA30">
        <v>0</v>
      </c>
    </row>
    <row r="31" spans="1:27">
      <c r="B31" s="99"/>
      <c r="C31" s="28"/>
      <c r="D31" s="97">
        <f t="shared" si="0"/>
        <v>0</v>
      </c>
      <c r="E31" s="100"/>
      <c r="F31" s="28"/>
      <c r="G31" s="28"/>
      <c r="H31">
        <f t="shared" si="1"/>
        <v>0</v>
      </c>
      <c r="I31" s="28"/>
      <c r="J31" s="28"/>
      <c r="K31" s="28"/>
      <c r="L31" s="98" t="e">
        <f t="shared" si="5"/>
        <v>#DIV/0!</v>
      </c>
      <c r="N31" s="98" t="e">
        <f t="shared" si="3"/>
        <v>#DIV/0!</v>
      </c>
      <c r="O31" s="98" t="e">
        <f t="shared" si="4"/>
        <v>#DIV/0!</v>
      </c>
      <c r="R31" s="98">
        <v>0</v>
      </c>
      <c r="AA31">
        <v>0</v>
      </c>
    </row>
    <row r="32" spans="1:27">
      <c r="B32" s="99"/>
      <c r="C32" s="28"/>
      <c r="D32" s="97">
        <f t="shared" si="0"/>
        <v>0</v>
      </c>
      <c r="E32" s="100"/>
      <c r="F32" s="28"/>
      <c r="G32" s="28"/>
      <c r="H32">
        <f t="shared" si="1"/>
        <v>0</v>
      </c>
      <c r="I32" s="28"/>
      <c r="J32" s="28"/>
      <c r="K32" s="28"/>
      <c r="L32" s="98" t="e">
        <f t="shared" si="5"/>
        <v>#DIV/0!</v>
      </c>
      <c r="N32" s="98" t="e">
        <f t="shared" si="3"/>
        <v>#DIV/0!</v>
      </c>
      <c r="O32" s="98" t="e">
        <f t="shared" si="4"/>
        <v>#DIV/0!</v>
      </c>
      <c r="R32" s="98">
        <v>0</v>
      </c>
      <c r="AA32">
        <v>0</v>
      </c>
    </row>
    <row r="33" spans="1:27">
      <c r="A33" s="15" t="s">
        <v>167</v>
      </c>
      <c r="B33" s="99"/>
      <c r="C33" s="28"/>
      <c r="D33" s="97">
        <f t="shared" si="0"/>
        <v>0</v>
      </c>
      <c r="E33" s="100"/>
      <c r="F33" s="28"/>
      <c r="G33" s="28"/>
      <c r="H33">
        <f t="shared" si="1"/>
        <v>0</v>
      </c>
      <c r="I33" s="28"/>
      <c r="J33" s="28"/>
      <c r="K33" s="28"/>
      <c r="L33" s="98" t="e">
        <f t="shared" si="5"/>
        <v>#DIV/0!</v>
      </c>
      <c r="N33" s="98" t="e">
        <f t="shared" si="3"/>
        <v>#DIV/0!</v>
      </c>
      <c r="O33" s="98" t="e">
        <f t="shared" si="4"/>
        <v>#DIV/0!</v>
      </c>
      <c r="R33" s="98">
        <v>0</v>
      </c>
      <c r="AA33">
        <v>0</v>
      </c>
    </row>
    <row r="34" spans="1:27">
      <c r="A34">
        <f>SUM(H25:H34)</f>
        <v>0</v>
      </c>
      <c r="B34" s="99"/>
      <c r="C34" s="28"/>
      <c r="D34" s="97">
        <f t="shared" si="0"/>
        <v>0</v>
      </c>
      <c r="E34" s="100"/>
      <c r="F34" s="28"/>
      <c r="G34" s="28"/>
      <c r="H34">
        <f t="shared" si="1"/>
        <v>0</v>
      </c>
      <c r="I34" s="28"/>
      <c r="J34" s="28"/>
      <c r="K34" s="28"/>
      <c r="L34" s="98" t="e">
        <f t="shared" si="5"/>
        <v>#DIV/0!</v>
      </c>
      <c r="M34" s="101" t="s">
        <v>185</v>
      </c>
      <c r="N34" s="98" t="e">
        <f t="shared" si="3"/>
        <v>#DIV/0!</v>
      </c>
      <c r="O34" s="98" t="e">
        <f t="shared" si="4"/>
        <v>#DIV/0!</v>
      </c>
      <c r="R34" s="98">
        <v>0</v>
      </c>
      <c r="AA34">
        <v>0</v>
      </c>
    </row>
    <row r="35" spans="1:27">
      <c r="A35" s="15" t="s">
        <v>157</v>
      </c>
      <c r="B35" s="99"/>
      <c r="C35" s="28"/>
      <c r="D35" s="97">
        <f t="shared" si="0"/>
        <v>0</v>
      </c>
      <c r="E35" s="100"/>
      <c r="F35" s="28"/>
      <c r="G35" s="28"/>
      <c r="H35">
        <f t="shared" si="1"/>
        <v>0</v>
      </c>
      <c r="I35" s="28"/>
      <c r="J35" s="28"/>
      <c r="K35" s="28"/>
      <c r="L35" s="98"/>
      <c r="N35" s="98" t="e">
        <f t="shared" si="3"/>
        <v>#DIV/0!</v>
      </c>
      <c r="O35" s="98" t="e">
        <f t="shared" si="4"/>
        <v>#DIV/0!</v>
      </c>
      <c r="R35" s="98">
        <v>0</v>
      </c>
      <c r="AA35">
        <v>0</v>
      </c>
    </row>
    <row r="36" spans="1:27">
      <c r="B36" s="99"/>
      <c r="C36" s="28"/>
      <c r="D36" s="97">
        <f t="shared" si="0"/>
        <v>0</v>
      </c>
      <c r="E36" s="100"/>
      <c r="F36" s="28"/>
      <c r="G36" s="28"/>
      <c r="H36">
        <f t="shared" si="1"/>
        <v>0</v>
      </c>
      <c r="I36" s="28"/>
      <c r="J36" s="28"/>
      <c r="K36" s="28"/>
      <c r="L36" s="98"/>
      <c r="N36" s="98" t="e">
        <f t="shared" si="3"/>
        <v>#DIV/0!</v>
      </c>
      <c r="O36" s="98" t="e">
        <f t="shared" si="4"/>
        <v>#DIV/0!</v>
      </c>
      <c r="R36" s="98">
        <v>0</v>
      </c>
      <c r="AA36">
        <v>0</v>
      </c>
    </row>
    <row r="37" spans="1:27">
      <c r="B37" s="99"/>
      <c r="C37" s="28"/>
      <c r="D37" s="97">
        <f t="shared" si="0"/>
        <v>0</v>
      </c>
      <c r="E37" s="100"/>
      <c r="F37" s="28"/>
      <c r="G37" s="28"/>
      <c r="H37">
        <f t="shared" si="1"/>
        <v>0</v>
      </c>
      <c r="I37" s="28"/>
      <c r="J37" s="28"/>
      <c r="K37" s="28"/>
      <c r="L37" s="98"/>
      <c r="N37" s="98" t="e">
        <f t="shared" si="3"/>
        <v>#DIV/0!</v>
      </c>
      <c r="O37" s="98" t="e">
        <f t="shared" si="4"/>
        <v>#DIV/0!</v>
      </c>
      <c r="R37" s="98">
        <v>0</v>
      </c>
      <c r="AA37">
        <v>0</v>
      </c>
    </row>
    <row r="38" spans="1:27">
      <c r="B38" s="99"/>
      <c r="C38" s="28"/>
      <c r="D38" s="97">
        <f t="shared" si="0"/>
        <v>0</v>
      </c>
      <c r="E38" s="100"/>
      <c r="F38" s="28"/>
      <c r="G38" s="28"/>
      <c r="H38">
        <f t="shared" si="1"/>
        <v>0</v>
      </c>
      <c r="I38" s="28"/>
      <c r="J38" s="28"/>
      <c r="K38" s="28"/>
      <c r="L38" s="98"/>
      <c r="N38" s="98" t="e">
        <f t="shared" si="3"/>
        <v>#DIV/0!</v>
      </c>
      <c r="O38" s="98" t="e">
        <f t="shared" si="4"/>
        <v>#DIV/0!</v>
      </c>
      <c r="R38" s="98">
        <v>0</v>
      </c>
      <c r="AA38">
        <v>0</v>
      </c>
    </row>
    <row r="39" spans="1:27">
      <c r="B39" s="99"/>
      <c r="C39" s="28"/>
      <c r="D39" s="97">
        <f t="shared" si="0"/>
        <v>0</v>
      </c>
      <c r="E39" s="100"/>
      <c r="F39" s="28"/>
      <c r="G39" s="28"/>
      <c r="H39">
        <f t="shared" si="1"/>
        <v>0</v>
      </c>
      <c r="I39" s="28"/>
      <c r="J39" s="28"/>
      <c r="K39" s="28"/>
      <c r="L39" s="98"/>
      <c r="N39" s="98" t="e">
        <f t="shared" si="3"/>
        <v>#DIV/0!</v>
      </c>
      <c r="O39" s="98" t="e">
        <f t="shared" si="4"/>
        <v>#DIV/0!</v>
      </c>
      <c r="R39" s="98">
        <v>0</v>
      </c>
      <c r="AA39">
        <v>0</v>
      </c>
    </row>
    <row r="40" spans="1:27">
      <c r="B40" s="99"/>
      <c r="C40" s="28"/>
      <c r="D40" s="97">
        <f t="shared" si="0"/>
        <v>0</v>
      </c>
      <c r="E40" s="100"/>
      <c r="F40" s="28"/>
      <c r="G40" s="28"/>
      <c r="H40">
        <f t="shared" si="1"/>
        <v>0</v>
      </c>
      <c r="I40" s="28"/>
      <c r="J40" s="28"/>
      <c r="K40" s="28"/>
      <c r="L40" s="98"/>
      <c r="N40" s="98" t="e">
        <f t="shared" si="3"/>
        <v>#DIV/0!</v>
      </c>
      <c r="O40" s="98" t="e">
        <f t="shared" si="4"/>
        <v>#DIV/0!</v>
      </c>
      <c r="R40" s="98">
        <v>0</v>
      </c>
      <c r="AA40">
        <v>0</v>
      </c>
    </row>
    <row r="41" spans="1:27">
      <c r="B41" s="99"/>
      <c r="C41" s="28"/>
      <c r="D41" s="97">
        <f t="shared" si="0"/>
        <v>0</v>
      </c>
      <c r="E41" s="100"/>
      <c r="F41" s="28"/>
      <c r="G41" s="28"/>
      <c r="H41">
        <f t="shared" si="1"/>
        <v>0</v>
      </c>
      <c r="I41" s="28"/>
      <c r="J41" s="28"/>
      <c r="K41" s="28"/>
      <c r="L41" s="98"/>
      <c r="N41" s="98" t="e">
        <f t="shared" si="3"/>
        <v>#DIV/0!</v>
      </c>
      <c r="O41" s="98" t="e">
        <f t="shared" si="4"/>
        <v>#DIV/0!</v>
      </c>
      <c r="R41" s="98">
        <v>0</v>
      </c>
      <c r="AA41">
        <v>0</v>
      </c>
    </row>
    <row r="42" spans="1:27">
      <c r="B42" s="99"/>
      <c r="C42" s="28"/>
      <c r="D42" s="97">
        <f t="shared" si="0"/>
        <v>0</v>
      </c>
      <c r="E42" s="100"/>
      <c r="F42" s="28"/>
      <c r="G42" s="28"/>
      <c r="H42">
        <f t="shared" si="1"/>
        <v>0</v>
      </c>
      <c r="I42" s="28"/>
      <c r="J42" s="28"/>
      <c r="K42" s="28"/>
      <c r="L42" s="98"/>
      <c r="N42" s="98" t="e">
        <f t="shared" si="3"/>
        <v>#DIV/0!</v>
      </c>
      <c r="O42" s="98" t="e">
        <f t="shared" si="4"/>
        <v>#DIV/0!</v>
      </c>
      <c r="R42" s="98">
        <v>0</v>
      </c>
      <c r="AA42">
        <v>0</v>
      </c>
    </row>
    <row r="43" spans="1:27">
      <c r="A43" s="15" t="s">
        <v>167</v>
      </c>
      <c r="B43" s="99"/>
      <c r="C43" s="28"/>
      <c r="D43" s="97">
        <f t="shared" si="0"/>
        <v>0</v>
      </c>
      <c r="E43" s="100"/>
      <c r="F43" s="28"/>
      <c r="G43" s="28"/>
      <c r="H43">
        <f t="shared" si="1"/>
        <v>0</v>
      </c>
      <c r="I43" s="28"/>
      <c r="J43" s="28"/>
      <c r="K43" s="28"/>
      <c r="L43" s="98"/>
      <c r="N43" s="98" t="e">
        <f t="shared" si="3"/>
        <v>#DIV/0!</v>
      </c>
      <c r="O43" s="98" t="e">
        <f t="shared" si="4"/>
        <v>#DIV/0!</v>
      </c>
      <c r="R43" s="98">
        <v>0</v>
      </c>
      <c r="AA43">
        <v>0</v>
      </c>
    </row>
    <row r="44" spans="1:27">
      <c r="A44">
        <f>SUM(H35:H44)</f>
        <v>0</v>
      </c>
      <c r="B44" s="99"/>
      <c r="C44" s="28"/>
      <c r="D44" s="97">
        <f t="shared" si="0"/>
        <v>0</v>
      </c>
      <c r="E44" s="100"/>
      <c r="F44" s="28"/>
      <c r="G44" s="28"/>
      <c r="H44">
        <f t="shared" si="1"/>
        <v>0</v>
      </c>
      <c r="I44" s="28"/>
      <c r="J44" s="28"/>
      <c r="K44" s="28"/>
      <c r="L44" s="98"/>
      <c r="M44" s="101" t="s">
        <v>186</v>
      </c>
      <c r="N44" s="98" t="e">
        <f t="shared" si="3"/>
        <v>#DIV/0!</v>
      </c>
      <c r="O44" s="98" t="e">
        <f t="shared" si="4"/>
        <v>#DIV/0!</v>
      </c>
      <c r="R44" s="98">
        <v>0</v>
      </c>
      <c r="AA44">
        <v>0</v>
      </c>
    </row>
    <row r="45" spans="1:27">
      <c r="A45" s="15" t="s">
        <v>158</v>
      </c>
      <c r="B45" s="99"/>
      <c r="C45" s="28"/>
      <c r="D45" s="97">
        <f t="shared" si="0"/>
        <v>0</v>
      </c>
      <c r="E45" s="100"/>
      <c r="F45" s="28"/>
      <c r="G45" s="28"/>
      <c r="H45">
        <f t="shared" si="1"/>
        <v>0</v>
      </c>
      <c r="I45" s="28"/>
      <c r="J45" s="28"/>
      <c r="K45" s="28"/>
      <c r="L45" s="98"/>
      <c r="N45" s="98" t="e">
        <f t="shared" si="3"/>
        <v>#DIV/0!</v>
      </c>
      <c r="O45" s="98" t="e">
        <f t="shared" si="4"/>
        <v>#DIV/0!</v>
      </c>
      <c r="R45" s="98">
        <v>0</v>
      </c>
      <c r="AA45">
        <v>0</v>
      </c>
    </row>
    <row r="46" spans="1:27">
      <c r="B46" s="99"/>
      <c r="C46" s="28"/>
      <c r="D46" s="97">
        <f t="shared" si="0"/>
        <v>0</v>
      </c>
      <c r="E46" s="100"/>
      <c r="F46" s="28"/>
      <c r="G46" s="28"/>
      <c r="H46">
        <f t="shared" si="1"/>
        <v>0</v>
      </c>
      <c r="I46" s="28"/>
      <c r="J46" s="28"/>
      <c r="K46" s="28"/>
      <c r="L46" s="98"/>
      <c r="N46" s="98" t="e">
        <f t="shared" si="3"/>
        <v>#DIV/0!</v>
      </c>
      <c r="O46" s="98" t="e">
        <f t="shared" si="4"/>
        <v>#DIV/0!</v>
      </c>
      <c r="R46" s="98">
        <v>0</v>
      </c>
      <c r="AA46">
        <v>0</v>
      </c>
    </row>
    <row r="47" spans="1:27">
      <c r="B47" s="99"/>
      <c r="C47" s="28"/>
      <c r="D47" s="97">
        <f t="shared" si="0"/>
        <v>0</v>
      </c>
      <c r="E47" s="100"/>
      <c r="F47" s="28"/>
      <c r="G47" s="28"/>
      <c r="H47">
        <f t="shared" si="1"/>
        <v>0</v>
      </c>
      <c r="I47" s="28"/>
      <c r="J47" s="28"/>
      <c r="K47" s="28"/>
      <c r="L47" s="98"/>
      <c r="N47" s="98" t="e">
        <f t="shared" si="3"/>
        <v>#DIV/0!</v>
      </c>
      <c r="O47" s="98" t="e">
        <f t="shared" si="4"/>
        <v>#DIV/0!</v>
      </c>
      <c r="R47" s="98">
        <v>0</v>
      </c>
      <c r="AA47">
        <v>0</v>
      </c>
    </row>
    <row r="48" spans="1:27">
      <c r="B48" s="99"/>
      <c r="C48" s="28"/>
      <c r="D48" s="97">
        <f t="shared" si="0"/>
        <v>0</v>
      </c>
      <c r="E48" s="100"/>
      <c r="F48" s="28"/>
      <c r="G48" s="28"/>
      <c r="H48">
        <f t="shared" si="1"/>
        <v>0</v>
      </c>
      <c r="I48" s="28"/>
      <c r="J48" s="28"/>
      <c r="K48" s="28"/>
      <c r="L48" s="98"/>
      <c r="N48" s="98" t="e">
        <f t="shared" si="3"/>
        <v>#DIV/0!</v>
      </c>
      <c r="O48" s="98" t="e">
        <f t="shared" si="4"/>
        <v>#DIV/0!</v>
      </c>
      <c r="R48" s="98">
        <v>0</v>
      </c>
      <c r="AA48">
        <v>0</v>
      </c>
    </row>
    <row r="49" spans="1:27">
      <c r="B49" s="99"/>
      <c r="C49" s="28"/>
      <c r="D49" s="97">
        <f t="shared" si="0"/>
        <v>0</v>
      </c>
      <c r="E49" s="100"/>
      <c r="F49" s="28"/>
      <c r="G49" s="28"/>
      <c r="H49">
        <f t="shared" si="1"/>
        <v>0</v>
      </c>
      <c r="I49" s="28"/>
      <c r="J49" s="28"/>
      <c r="K49" s="28"/>
      <c r="L49" s="98"/>
      <c r="N49" s="98" t="e">
        <f t="shared" si="3"/>
        <v>#DIV/0!</v>
      </c>
      <c r="O49" s="98" t="e">
        <f t="shared" si="4"/>
        <v>#DIV/0!</v>
      </c>
      <c r="R49" s="98">
        <v>0</v>
      </c>
      <c r="AA49">
        <v>0</v>
      </c>
    </row>
    <row r="50" spans="1:27">
      <c r="B50" s="99"/>
      <c r="C50" s="28"/>
      <c r="D50" s="97">
        <f t="shared" si="0"/>
        <v>0</v>
      </c>
      <c r="E50" s="100"/>
      <c r="F50" s="28"/>
      <c r="G50" s="28"/>
      <c r="H50">
        <f t="shared" si="1"/>
        <v>0</v>
      </c>
      <c r="I50" s="28"/>
      <c r="J50" s="28"/>
      <c r="K50" s="28"/>
      <c r="L50" s="98"/>
      <c r="N50" s="98" t="e">
        <f t="shared" si="3"/>
        <v>#DIV/0!</v>
      </c>
      <c r="O50" s="98" t="e">
        <f t="shared" si="4"/>
        <v>#DIV/0!</v>
      </c>
      <c r="R50" s="98">
        <v>0</v>
      </c>
      <c r="AA50">
        <v>0</v>
      </c>
    </row>
    <row r="51" spans="1:27">
      <c r="B51" s="99"/>
      <c r="C51" s="28"/>
      <c r="D51" s="97">
        <f t="shared" si="0"/>
        <v>0</v>
      </c>
      <c r="E51" s="100"/>
      <c r="F51" s="28"/>
      <c r="G51" s="28"/>
      <c r="H51">
        <f t="shared" si="1"/>
        <v>0</v>
      </c>
      <c r="I51" s="28"/>
      <c r="J51" s="28"/>
      <c r="K51" s="28"/>
      <c r="L51" s="98"/>
      <c r="N51" s="98" t="e">
        <f t="shared" si="3"/>
        <v>#DIV/0!</v>
      </c>
      <c r="O51" s="98" t="e">
        <f t="shared" si="4"/>
        <v>#DIV/0!</v>
      </c>
      <c r="R51" s="98">
        <v>0</v>
      </c>
      <c r="AA51">
        <v>0</v>
      </c>
    </row>
    <row r="52" spans="1:27">
      <c r="B52" s="99"/>
      <c r="C52" s="28"/>
      <c r="D52" s="97">
        <f t="shared" si="0"/>
        <v>0</v>
      </c>
      <c r="E52" s="100"/>
      <c r="F52" s="28"/>
      <c r="G52" s="28"/>
      <c r="H52">
        <f t="shared" si="1"/>
        <v>0</v>
      </c>
      <c r="I52" s="28"/>
      <c r="J52" s="28"/>
      <c r="K52" s="28"/>
      <c r="L52" s="98"/>
      <c r="N52" s="98" t="e">
        <f t="shared" si="3"/>
        <v>#DIV/0!</v>
      </c>
      <c r="O52" s="98" t="e">
        <f t="shared" si="4"/>
        <v>#DIV/0!</v>
      </c>
      <c r="R52" s="98">
        <v>0</v>
      </c>
      <c r="AA52">
        <v>0</v>
      </c>
    </row>
    <row r="53" spans="1:27">
      <c r="A53" s="15" t="s">
        <v>167</v>
      </c>
      <c r="B53" s="99"/>
      <c r="C53" s="28"/>
      <c r="D53" s="97">
        <f t="shared" si="0"/>
        <v>0</v>
      </c>
      <c r="E53" s="100"/>
      <c r="F53" s="28"/>
      <c r="G53" s="28"/>
      <c r="H53">
        <f t="shared" si="1"/>
        <v>0</v>
      </c>
      <c r="I53" s="28"/>
      <c r="J53" s="28"/>
      <c r="K53" s="28"/>
      <c r="L53" s="98"/>
      <c r="N53" s="98" t="e">
        <f t="shared" si="3"/>
        <v>#DIV/0!</v>
      </c>
      <c r="O53" s="98" t="e">
        <f t="shared" si="4"/>
        <v>#DIV/0!</v>
      </c>
      <c r="R53" s="98">
        <v>0</v>
      </c>
      <c r="AA53">
        <v>0</v>
      </c>
    </row>
    <row r="54" spans="1:27">
      <c r="A54">
        <f>SUM(H45:H54)</f>
        <v>0</v>
      </c>
      <c r="B54" s="99"/>
      <c r="C54" s="28"/>
      <c r="D54" s="97">
        <f t="shared" si="0"/>
        <v>0</v>
      </c>
      <c r="E54" s="100"/>
      <c r="F54" s="28"/>
      <c r="G54" s="28"/>
      <c r="H54">
        <f t="shared" si="1"/>
        <v>0</v>
      </c>
      <c r="I54" s="28"/>
      <c r="J54" s="28"/>
      <c r="K54" s="28"/>
      <c r="L54" s="98"/>
      <c r="M54" s="101" t="s">
        <v>187</v>
      </c>
      <c r="N54" s="98" t="e">
        <f t="shared" si="3"/>
        <v>#DIV/0!</v>
      </c>
      <c r="O54" s="98" t="e">
        <f t="shared" si="4"/>
        <v>#DIV/0!</v>
      </c>
      <c r="R54" s="98">
        <v>0</v>
      </c>
      <c r="AA54">
        <v>0</v>
      </c>
    </row>
    <row r="55" spans="1:27">
      <c r="A55" s="15" t="s">
        <v>159</v>
      </c>
      <c r="B55" s="99"/>
      <c r="C55" s="28"/>
      <c r="D55" s="97">
        <f t="shared" si="0"/>
        <v>0</v>
      </c>
      <c r="E55" s="100"/>
      <c r="F55" s="28"/>
      <c r="G55" s="28"/>
      <c r="H55">
        <f t="shared" si="1"/>
        <v>0</v>
      </c>
      <c r="I55" s="28"/>
      <c r="J55" s="28"/>
      <c r="K55" s="28"/>
      <c r="L55" s="98"/>
      <c r="N55" s="98" t="e">
        <f t="shared" si="3"/>
        <v>#DIV/0!</v>
      </c>
      <c r="O55" s="98" t="e">
        <f t="shared" si="4"/>
        <v>#DIV/0!</v>
      </c>
      <c r="R55" s="98">
        <v>0</v>
      </c>
      <c r="AA55">
        <v>0</v>
      </c>
    </row>
    <row r="56" spans="1:27">
      <c r="B56" s="99"/>
      <c r="C56" s="28"/>
      <c r="D56" s="97">
        <f t="shared" si="0"/>
        <v>0</v>
      </c>
      <c r="E56" s="100"/>
      <c r="F56" s="28"/>
      <c r="G56" s="28"/>
      <c r="H56">
        <f t="shared" si="1"/>
        <v>0</v>
      </c>
      <c r="I56" s="28"/>
      <c r="J56" s="28"/>
      <c r="K56" s="28"/>
      <c r="L56" s="98"/>
      <c r="N56" s="98" t="e">
        <f t="shared" si="3"/>
        <v>#DIV/0!</v>
      </c>
      <c r="O56" s="98" t="e">
        <f t="shared" si="4"/>
        <v>#DIV/0!</v>
      </c>
      <c r="R56" s="98">
        <v>0</v>
      </c>
      <c r="AA56">
        <v>0</v>
      </c>
    </row>
    <row r="57" spans="1:27">
      <c r="B57" s="99"/>
      <c r="C57" s="28"/>
      <c r="D57" s="97">
        <f t="shared" si="0"/>
        <v>0</v>
      </c>
      <c r="E57" s="100"/>
      <c r="F57" s="28"/>
      <c r="G57" s="28"/>
      <c r="H57">
        <f t="shared" si="1"/>
        <v>0</v>
      </c>
      <c r="I57" s="28"/>
      <c r="J57" s="28"/>
      <c r="K57" s="28"/>
      <c r="L57" s="98"/>
      <c r="N57" s="98" t="e">
        <f t="shared" si="3"/>
        <v>#DIV/0!</v>
      </c>
      <c r="O57" s="98" t="e">
        <f t="shared" si="4"/>
        <v>#DIV/0!</v>
      </c>
      <c r="R57" s="98">
        <v>0</v>
      </c>
    </row>
    <row r="58" spans="1:27">
      <c r="B58" s="99"/>
      <c r="C58" s="28"/>
      <c r="D58" s="97">
        <f t="shared" si="0"/>
        <v>0</v>
      </c>
      <c r="E58" s="100"/>
      <c r="F58" s="28"/>
      <c r="G58" s="28"/>
      <c r="H58">
        <f t="shared" si="1"/>
        <v>0</v>
      </c>
      <c r="I58" s="28"/>
      <c r="J58" s="28"/>
      <c r="K58" s="28"/>
      <c r="L58" s="98"/>
      <c r="N58" s="98" t="e">
        <f t="shared" si="3"/>
        <v>#DIV/0!</v>
      </c>
      <c r="O58" s="98" t="e">
        <f t="shared" si="4"/>
        <v>#DIV/0!</v>
      </c>
      <c r="R58" s="98">
        <v>0</v>
      </c>
    </row>
    <row r="59" spans="1:27">
      <c r="B59" s="99"/>
      <c r="C59" s="28"/>
      <c r="D59" s="97">
        <f t="shared" si="0"/>
        <v>0</v>
      </c>
      <c r="E59" s="100"/>
      <c r="F59" s="28"/>
      <c r="G59" s="28"/>
      <c r="H59">
        <f t="shared" si="1"/>
        <v>0</v>
      </c>
      <c r="I59" s="28"/>
      <c r="J59" s="28"/>
      <c r="K59" s="28"/>
      <c r="L59" s="98"/>
      <c r="N59" s="98" t="e">
        <f t="shared" si="3"/>
        <v>#DIV/0!</v>
      </c>
      <c r="O59" s="98" t="e">
        <f t="shared" si="4"/>
        <v>#DIV/0!</v>
      </c>
      <c r="R59" s="98">
        <v>0</v>
      </c>
      <c r="AA59" t="s">
        <v>176</v>
      </c>
    </row>
    <row r="60" spans="1:27">
      <c r="B60" s="99"/>
      <c r="C60" s="28"/>
      <c r="D60" s="97">
        <f t="shared" si="0"/>
        <v>0</v>
      </c>
      <c r="E60" s="100"/>
      <c r="F60" s="28"/>
      <c r="G60" s="28"/>
      <c r="H60">
        <f t="shared" si="1"/>
        <v>0</v>
      </c>
      <c r="I60" s="28"/>
      <c r="J60" s="28"/>
      <c r="K60" s="28"/>
      <c r="L60" s="98"/>
      <c r="N60" s="98" t="e">
        <f t="shared" si="3"/>
        <v>#DIV/0!</v>
      </c>
      <c r="O60" s="98" t="e">
        <f t="shared" si="4"/>
        <v>#DIV/0!</v>
      </c>
      <c r="R60" s="98">
        <v>0</v>
      </c>
    </row>
    <row r="61" spans="1:27">
      <c r="B61" s="99"/>
      <c r="C61" s="28"/>
      <c r="D61" s="97">
        <f t="shared" si="0"/>
        <v>0</v>
      </c>
      <c r="E61" s="100"/>
      <c r="F61" s="28"/>
      <c r="G61" s="28"/>
      <c r="H61">
        <f t="shared" si="1"/>
        <v>0</v>
      </c>
      <c r="I61" s="28"/>
      <c r="J61" s="28"/>
      <c r="K61" s="28"/>
      <c r="L61" s="98"/>
      <c r="N61" s="98" t="e">
        <f t="shared" si="3"/>
        <v>#DIV/0!</v>
      </c>
      <c r="O61" s="98" t="e">
        <f t="shared" si="4"/>
        <v>#DIV/0!</v>
      </c>
      <c r="R61" s="98">
        <v>0</v>
      </c>
      <c r="AA61">
        <v>6.9900000000000004E-2</v>
      </c>
    </row>
    <row r="62" spans="1:27">
      <c r="B62" s="99"/>
      <c r="C62" s="28"/>
      <c r="D62" s="97">
        <f t="shared" si="0"/>
        <v>0</v>
      </c>
      <c r="E62" s="100"/>
      <c r="F62" s="28"/>
      <c r="G62" s="28"/>
      <c r="H62">
        <f t="shared" si="1"/>
        <v>0</v>
      </c>
      <c r="I62" s="28"/>
      <c r="J62" s="28"/>
      <c r="K62" s="28"/>
      <c r="L62" s="98"/>
      <c r="N62" s="98" t="e">
        <f t="shared" si="3"/>
        <v>#DIV/0!</v>
      </c>
      <c r="O62" s="98" t="e">
        <f t="shared" si="4"/>
        <v>#DIV/0!</v>
      </c>
      <c r="R62" s="98">
        <v>0</v>
      </c>
      <c r="AA62">
        <v>7.0099999999999996E-2</v>
      </c>
    </row>
    <row r="63" spans="1:27">
      <c r="A63" s="15" t="s">
        <v>167</v>
      </c>
      <c r="B63" s="99"/>
      <c r="C63" s="28"/>
      <c r="D63" s="97">
        <f t="shared" si="0"/>
        <v>0</v>
      </c>
      <c r="E63" s="100"/>
      <c r="F63" s="28"/>
      <c r="G63" s="28"/>
      <c r="H63">
        <f t="shared" si="1"/>
        <v>0</v>
      </c>
      <c r="I63" s="28"/>
      <c r="J63" s="28"/>
      <c r="K63" s="28"/>
      <c r="L63" s="98"/>
      <c r="N63" s="98" t="e">
        <f t="shared" si="3"/>
        <v>#DIV/0!</v>
      </c>
      <c r="O63" s="98" t="e">
        <f t="shared" si="4"/>
        <v>#DIV/0!</v>
      </c>
      <c r="R63" s="98">
        <v>0</v>
      </c>
      <c r="AA63">
        <v>7.0699999999999999E-2</v>
      </c>
    </row>
    <row r="64" spans="1:27">
      <c r="A64">
        <f>SUM(H55:H64)</f>
        <v>0</v>
      </c>
      <c r="B64" s="99"/>
      <c r="C64" s="28"/>
      <c r="D64" s="97">
        <f t="shared" si="0"/>
        <v>0</v>
      </c>
      <c r="E64" s="100"/>
      <c r="F64" s="28"/>
      <c r="G64" s="28"/>
      <c r="H64">
        <f t="shared" si="1"/>
        <v>0</v>
      </c>
      <c r="I64" s="28"/>
      <c r="J64" s="28"/>
      <c r="K64" s="28"/>
      <c r="L64" s="98"/>
      <c r="M64" s="101" t="s">
        <v>188</v>
      </c>
      <c r="N64" s="98" t="e">
        <f t="shared" si="3"/>
        <v>#DIV/0!</v>
      </c>
      <c r="O64" s="98" t="e">
        <f t="shared" si="4"/>
        <v>#DIV/0!</v>
      </c>
      <c r="R64" s="98">
        <v>0</v>
      </c>
      <c r="S64">
        <f>SUMPRODUCT(C15:C64,R15:R64)</f>
        <v>0</v>
      </c>
      <c r="T64" t="s">
        <v>170</v>
      </c>
      <c r="AA64">
        <v>7.0999999999999994E-2</v>
      </c>
    </row>
    <row r="65" spans="27:27">
      <c r="AA65">
        <v>7.17E-2</v>
      </c>
    </row>
    <row r="66" spans="27:27">
      <c r="AA66">
        <v>0</v>
      </c>
    </row>
    <row r="67" spans="27:27">
      <c r="AA67">
        <v>0</v>
      </c>
    </row>
    <row r="68" spans="27:27">
      <c r="AA68">
        <v>0</v>
      </c>
    </row>
    <row r="69" spans="27:27">
      <c r="AA69">
        <v>0</v>
      </c>
    </row>
    <row r="70" spans="27:27">
      <c r="AA70">
        <v>0</v>
      </c>
    </row>
    <row r="71" spans="27:27">
      <c r="AA71">
        <v>0</v>
      </c>
    </row>
    <row r="72" spans="27:27">
      <c r="AA72">
        <v>0</v>
      </c>
    </row>
    <row r="73" spans="27:27">
      <c r="AA73">
        <v>0</v>
      </c>
    </row>
    <row r="74" spans="27:27">
      <c r="AA74">
        <v>0</v>
      </c>
    </row>
    <row r="75" spans="27:27">
      <c r="AA75">
        <v>0</v>
      </c>
    </row>
    <row r="76" spans="27:27">
      <c r="AA76">
        <v>0</v>
      </c>
    </row>
    <row r="77" spans="27:27">
      <c r="AA77">
        <v>0</v>
      </c>
    </row>
    <row r="78" spans="27:27">
      <c r="AA78">
        <v>0</v>
      </c>
    </row>
    <row r="79" spans="27:27">
      <c r="AA79">
        <v>0</v>
      </c>
    </row>
    <row r="80" spans="27:27">
      <c r="AA80">
        <v>0</v>
      </c>
    </row>
    <row r="81" spans="27:27">
      <c r="AA81">
        <v>0</v>
      </c>
    </row>
    <row r="82" spans="27:27">
      <c r="AA82">
        <v>0</v>
      </c>
    </row>
    <row r="83" spans="27:27">
      <c r="AA83">
        <v>0</v>
      </c>
    </row>
    <row r="84" spans="27:27">
      <c r="AA84">
        <v>0</v>
      </c>
    </row>
    <row r="85" spans="27:27">
      <c r="AA85">
        <v>0</v>
      </c>
    </row>
    <row r="86" spans="27:27">
      <c r="AA86">
        <v>0</v>
      </c>
    </row>
    <row r="87" spans="27:27">
      <c r="AA87">
        <v>0</v>
      </c>
    </row>
    <row r="88" spans="27:27">
      <c r="AA88">
        <v>0</v>
      </c>
    </row>
    <row r="89" spans="27:27">
      <c r="AA89">
        <v>0</v>
      </c>
    </row>
    <row r="90" spans="27:27">
      <c r="AA90">
        <v>0</v>
      </c>
    </row>
    <row r="91" spans="27:27">
      <c r="AA91">
        <v>0</v>
      </c>
    </row>
    <row r="92" spans="27:27">
      <c r="AA92">
        <v>0</v>
      </c>
    </row>
    <row r="93" spans="27:27">
      <c r="AA93">
        <v>0</v>
      </c>
    </row>
    <row r="94" spans="27:27">
      <c r="AA94">
        <v>0</v>
      </c>
    </row>
    <row r="95" spans="27:27">
      <c r="AA95">
        <v>0</v>
      </c>
    </row>
    <row r="96" spans="27:27">
      <c r="AA96">
        <v>0</v>
      </c>
    </row>
    <row r="97" spans="27:27">
      <c r="AA97">
        <v>0</v>
      </c>
    </row>
    <row r="98" spans="27:27">
      <c r="AA98">
        <v>0</v>
      </c>
    </row>
    <row r="99" spans="27:27">
      <c r="AA99">
        <v>0</v>
      </c>
    </row>
    <row r="100" spans="27:27">
      <c r="AA100">
        <v>0</v>
      </c>
    </row>
    <row r="101" spans="27:27">
      <c r="AA101">
        <v>0</v>
      </c>
    </row>
    <row r="102" spans="27:27">
      <c r="AA102">
        <v>0</v>
      </c>
    </row>
    <row r="103" spans="27:27">
      <c r="AA103">
        <v>0</v>
      </c>
    </row>
    <row r="104" spans="27:27">
      <c r="AA104">
        <v>0</v>
      </c>
    </row>
    <row r="105" spans="27:27">
      <c r="AA105">
        <v>0</v>
      </c>
    </row>
    <row r="106" spans="27:27">
      <c r="AA106">
        <v>0</v>
      </c>
    </row>
    <row r="107" spans="27:27">
      <c r="AA107">
        <v>0</v>
      </c>
    </row>
    <row r="108" spans="27:27">
      <c r="AA108">
        <v>0</v>
      </c>
    </row>
    <row r="109" spans="27:27">
      <c r="AA109">
        <v>0</v>
      </c>
    </row>
    <row r="110" spans="27:27">
      <c r="AA110">
        <v>0</v>
      </c>
    </row>
    <row r="113" spans="27:27">
      <c r="AA113" t="s">
        <v>177</v>
      </c>
    </row>
    <row r="115" spans="27:27">
      <c r="AA115">
        <v>43983</v>
      </c>
    </row>
    <row r="116" spans="27:27">
      <c r="AA116">
        <v>44348</v>
      </c>
    </row>
    <row r="117" spans="27:27">
      <c r="AA117">
        <v>45627</v>
      </c>
    </row>
    <row r="118" spans="27:27">
      <c r="AA118">
        <v>46082</v>
      </c>
    </row>
    <row r="119" spans="27:27">
      <c r="AA119">
        <v>46539</v>
      </c>
    </row>
    <row r="120" spans="27:27">
      <c r="AA120" t="s">
        <v>178</v>
      </c>
    </row>
    <row r="121" spans="27:27">
      <c r="AA121" t="s">
        <v>178</v>
      </c>
    </row>
    <row r="122" spans="27:27">
      <c r="AA122" t="s">
        <v>178</v>
      </c>
    </row>
    <row r="123" spans="27:27">
      <c r="AA123" t="s">
        <v>178</v>
      </c>
    </row>
    <row r="124" spans="27:27">
      <c r="AA124" t="s">
        <v>178</v>
      </c>
    </row>
    <row r="125" spans="27:27">
      <c r="AA125">
        <v>44348</v>
      </c>
    </row>
    <row r="126" spans="27:27">
      <c r="AA126">
        <v>45627</v>
      </c>
    </row>
    <row r="127" spans="27:27">
      <c r="AA127">
        <v>46082</v>
      </c>
    </row>
    <row r="128" spans="27:27">
      <c r="AA128">
        <v>47239</v>
      </c>
    </row>
    <row r="129" spans="27:27">
      <c r="AA129">
        <v>47969</v>
      </c>
    </row>
    <row r="130" spans="27:27">
      <c r="AA130" t="s">
        <v>178</v>
      </c>
    </row>
    <row r="131" spans="27:27">
      <c r="AA131" t="s">
        <v>178</v>
      </c>
    </row>
    <row r="132" spans="27:27">
      <c r="AA132" t="s">
        <v>178</v>
      </c>
    </row>
    <row r="133" spans="27:27">
      <c r="AA133" t="s">
        <v>178</v>
      </c>
    </row>
    <row r="134" spans="27:27">
      <c r="AA134" t="s">
        <v>178</v>
      </c>
    </row>
    <row r="135" spans="27:27">
      <c r="AA135">
        <v>49249</v>
      </c>
    </row>
    <row r="136" spans="27:27">
      <c r="AA136">
        <v>49980</v>
      </c>
    </row>
    <row r="137" spans="27:27">
      <c r="AA137">
        <v>50710</v>
      </c>
    </row>
    <row r="138" spans="27:27">
      <c r="AA138">
        <v>52171</v>
      </c>
    </row>
    <row r="139" spans="27:27">
      <c r="AA139">
        <v>53997</v>
      </c>
    </row>
    <row r="142" spans="27:27">
      <c r="AA142" t="s">
        <v>179</v>
      </c>
    </row>
    <row r="144" spans="27:27">
      <c r="AA144">
        <v>737943</v>
      </c>
    </row>
    <row r="145" spans="27:27">
      <c r="AA145">
        <v>738308</v>
      </c>
    </row>
    <row r="146" spans="27:27">
      <c r="AA146">
        <v>739587</v>
      </c>
    </row>
    <row r="147" spans="27:27">
      <c r="AA147">
        <v>740042</v>
      </c>
    </row>
    <row r="148" spans="27:27">
      <c r="AA148">
        <v>740499</v>
      </c>
    </row>
    <row r="149" spans="27:27">
      <c r="AA149" t="s">
        <v>178</v>
      </c>
    </row>
    <row r="150" spans="27:27">
      <c r="AA150" t="s">
        <v>178</v>
      </c>
    </row>
    <row r="151" spans="27:27">
      <c r="AA151" t="s">
        <v>178</v>
      </c>
    </row>
    <row r="152" spans="27:27">
      <c r="AA152" t="s">
        <v>178</v>
      </c>
    </row>
    <row r="153" spans="27:27">
      <c r="AA153" t="s">
        <v>178</v>
      </c>
    </row>
    <row r="154" spans="27:27">
      <c r="AA154">
        <v>738308</v>
      </c>
    </row>
    <row r="155" spans="27:27">
      <c r="AA155">
        <v>739587</v>
      </c>
    </row>
    <row r="156" spans="27:27">
      <c r="AA156">
        <v>740042</v>
      </c>
    </row>
    <row r="157" spans="27:27">
      <c r="AA157">
        <v>741199</v>
      </c>
    </row>
    <row r="158" spans="27:27">
      <c r="AA158">
        <v>741929</v>
      </c>
    </row>
    <row r="159" spans="27:27">
      <c r="AA159" t="s">
        <v>178</v>
      </c>
    </row>
    <row r="160" spans="27:27">
      <c r="AA160" t="s">
        <v>178</v>
      </c>
    </row>
    <row r="161" spans="27:27">
      <c r="AA161" t="s">
        <v>178</v>
      </c>
    </row>
    <row r="162" spans="27:27">
      <c r="AA162" t="s">
        <v>178</v>
      </c>
    </row>
    <row r="163" spans="27:27">
      <c r="AA163" t="s">
        <v>178</v>
      </c>
    </row>
    <row r="164" spans="27:27">
      <c r="AA164">
        <v>743209</v>
      </c>
    </row>
    <row r="165" spans="27:27">
      <c r="AA165">
        <v>743940</v>
      </c>
    </row>
    <row r="166" spans="27:27">
      <c r="AA166">
        <v>744670</v>
      </c>
    </row>
    <row r="167" spans="27:27">
      <c r="AA167">
        <v>746131</v>
      </c>
    </row>
    <row r="168" spans="27:27">
      <c r="AA168">
        <v>747957</v>
      </c>
    </row>
    <row r="170" spans="27:27">
      <c r="AA170" t="s">
        <v>180</v>
      </c>
    </row>
    <row r="171" spans="27:27">
      <c r="AA171" t="s">
        <v>181</v>
      </c>
    </row>
    <row r="172" spans="27:27">
      <c r="AA172" t="s">
        <v>42</v>
      </c>
    </row>
    <row r="173" spans="27:27">
      <c r="AA173" t="s">
        <v>182</v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9" zoomScale="130" zoomScaleNormal="130" workbookViewId="0">
      <selection activeCell="E39" sqref="E39"/>
    </sheetView>
  </sheetViews>
  <sheetFormatPr defaultColWidth="10" defaultRowHeight="12.75"/>
  <cols>
    <col min="1" max="1" width="24.875" style="103" customWidth="1"/>
    <col min="2" max="2" width="19.625" style="103" customWidth="1"/>
    <col min="3" max="256" width="8" style="103" customWidth="1"/>
    <col min="257" max="257" width="24.875" style="103" customWidth="1"/>
    <col min="258" max="258" width="19.625" style="103" customWidth="1"/>
    <col min="259" max="512" width="8" style="103" customWidth="1"/>
    <col min="513" max="513" width="24.875" style="103" customWidth="1"/>
    <col min="514" max="514" width="19.625" style="103" customWidth="1"/>
    <col min="515" max="768" width="8" style="103" customWidth="1"/>
    <col min="769" max="769" width="24.875" style="103" customWidth="1"/>
    <col min="770" max="770" width="19.625" style="103" customWidth="1"/>
    <col min="771" max="1024" width="8" style="103" customWidth="1"/>
    <col min="1025" max="1025" width="24.875" style="103" customWidth="1"/>
    <col min="1026" max="1026" width="19.625" style="103" customWidth="1"/>
    <col min="1027" max="1280" width="8" style="103" customWidth="1"/>
    <col min="1281" max="1281" width="24.875" style="103" customWidth="1"/>
    <col min="1282" max="1282" width="19.625" style="103" customWidth="1"/>
    <col min="1283" max="1536" width="8" style="103" customWidth="1"/>
    <col min="1537" max="1537" width="24.875" style="103" customWidth="1"/>
    <col min="1538" max="1538" width="19.625" style="103" customWidth="1"/>
    <col min="1539" max="1792" width="8" style="103" customWidth="1"/>
    <col min="1793" max="1793" width="24.875" style="103" customWidth="1"/>
    <col min="1794" max="1794" width="19.625" style="103" customWidth="1"/>
    <col min="1795" max="2048" width="8" style="103" customWidth="1"/>
    <col min="2049" max="2049" width="24.875" style="103" customWidth="1"/>
    <col min="2050" max="2050" width="19.625" style="103" customWidth="1"/>
    <col min="2051" max="2304" width="8" style="103" customWidth="1"/>
    <col min="2305" max="2305" width="24.875" style="103" customWidth="1"/>
    <col min="2306" max="2306" width="19.625" style="103" customWidth="1"/>
    <col min="2307" max="2560" width="8" style="103" customWidth="1"/>
    <col min="2561" max="2561" width="24.875" style="103" customWidth="1"/>
    <col min="2562" max="2562" width="19.625" style="103" customWidth="1"/>
    <col min="2563" max="2816" width="8" style="103" customWidth="1"/>
    <col min="2817" max="2817" width="24.875" style="103" customWidth="1"/>
    <col min="2818" max="2818" width="19.625" style="103" customWidth="1"/>
    <col min="2819" max="3072" width="8" style="103" customWidth="1"/>
    <col min="3073" max="3073" width="24.875" style="103" customWidth="1"/>
    <col min="3074" max="3074" width="19.625" style="103" customWidth="1"/>
    <col min="3075" max="3328" width="8" style="103" customWidth="1"/>
    <col min="3329" max="3329" width="24.875" style="103" customWidth="1"/>
    <col min="3330" max="3330" width="19.625" style="103" customWidth="1"/>
    <col min="3331" max="3584" width="8" style="103" customWidth="1"/>
    <col min="3585" max="3585" width="24.875" style="103" customWidth="1"/>
    <col min="3586" max="3586" width="19.625" style="103" customWidth="1"/>
    <col min="3587" max="3840" width="8" style="103" customWidth="1"/>
    <col min="3841" max="3841" width="24.875" style="103" customWidth="1"/>
    <col min="3842" max="3842" width="19.625" style="103" customWidth="1"/>
    <col min="3843" max="4096" width="8" style="103" customWidth="1"/>
    <col min="4097" max="4097" width="24.875" style="103" customWidth="1"/>
    <col min="4098" max="4098" width="19.625" style="103" customWidth="1"/>
    <col min="4099" max="4352" width="8" style="103" customWidth="1"/>
    <col min="4353" max="4353" width="24.875" style="103" customWidth="1"/>
    <col min="4354" max="4354" width="19.625" style="103" customWidth="1"/>
    <col min="4355" max="4608" width="8" style="103" customWidth="1"/>
    <col min="4609" max="4609" width="24.875" style="103" customWidth="1"/>
    <col min="4610" max="4610" width="19.625" style="103" customWidth="1"/>
    <col min="4611" max="4864" width="8" style="103" customWidth="1"/>
    <col min="4865" max="4865" width="24.875" style="103" customWidth="1"/>
    <col min="4866" max="4866" width="19.625" style="103" customWidth="1"/>
    <col min="4867" max="5120" width="8" style="103" customWidth="1"/>
    <col min="5121" max="5121" width="24.875" style="103" customWidth="1"/>
    <col min="5122" max="5122" width="19.625" style="103" customWidth="1"/>
    <col min="5123" max="5376" width="8" style="103" customWidth="1"/>
    <col min="5377" max="5377" width="24.875" style="103" customWidth="1"/>
    <col min="5378" max="5378" width="19.625" style="103" customWidth="1"/>
    <col min="5379" max="5632" width="8" style="103" customWidth="1"/>
    <col min="5633" max="5633" width="24.875" style="103" customWidth="1"/>
    <col min="5634" max="5634" width="19.625" style="103" customWidth="1"/>
    <col min="5635" max="5888" width="8" style="103" customWidth="1"/>
    <col min="5889" max="5889" width="24.875" style="103" customWidth="1"/>
    <col min="5890" max="5890" width="19.625" style="103" customWidth="1"/>
    <col min="5891" max="6144" width="8" style="103" customWidth="1"/>
    <col min="6145" max="6145" width="24.875" style="103" customWidth="1"/>
    <col min="6146" max="6146" width="19.625" style="103" customWidth="1"/>
    <col min="6147" max="6400" width="8" style="103" customWidth="1"/>
    <col min="6401" max="6401" width="24.875" style="103" customWidth="1"/>
    <col min="6402" max="6402" width="19.625" style="103" customWidth="1"/>
    <col min="6403" max="6656" width="8" style="103" customWidth="1"/>
    <col min="6657" max="6657" width="24.875" style="103" customWidth="1"/>
    <col min="6658" max="6658" width="19.625" style="103" customWidth="1"/>
    <col min="6659" max="6912" width="8" style="103" customWidth="1"/>
    <col min="6913" max="6913" width="24.875" style="103" customWidth="1"/>
    <col min="6914" max="6914" width="19.625" style="103" customWidth="1"/>
    <col min="6915" max="7168" width="8" style="103" customWidth="1"/>
    <col min="7169" max="7169" width="24.875" style="103" customWidth="1"/>
    <col min="7170" max="7170" width="19.625" style="103" customWidth="1"/>
    <col min="7171" max="7424" width="8" style="103" customWidth="1"/>
    <col min="7425" max="7425" width="24.875" style="103" customWidth="1"/>
    <col min="7426" max="7426" width="19.625" style="103" customWidth="1"/>
    <col min="7427" max="7680" width="8" style="103" customWidth="1"/>
    <col min="7681" max="7681" width="24.875" style="103" customWidth="1"/>
    <col min="7682" max="7682" width="19.625" style="103" customWidth="1"/>
    <col min="7683" max="7936" width="8" style="103" customWidth="1"/>
    <col min="7937" max="7937" width="24.875" style="103" customWidth="1"/>
    <col min="7938" max="7938" width="19.625" style="103" customWidth="1"/>
    <col min="7939" max="8192" width="8" style="103" customWidth="1"/>
    <col min="8193" max="8193" width="24.875" style="103" customWidth="1"/>
    <col min="8194" max="8194" width="19.625" style="103" customWidth="1"/>
    <col min="8195" max="8448" width="8" style="103" customWidth="1"/>
    <col min="8449" max="8449" width="24.875" style="103" customWidth="1"/>
    <col min="8450" max="8450" width="19.625" style="103" customWidth="1"/>
    <col min="8451" max="8704" width="8" style="103" customWidth="1"/>
    <col min="8705" max="8705" width="24.875" style="103" customWidth="1"/>
    <col min="8706" max="8706" width="19.625" style="103" customWidth="1"/>
    <col min="8707" max="8960" width="8" style="103" customWidth="1"/>
    <col min="8961" max="8961" width="24.875" style="103" customWidth="1"/>
    <col min="8962" max="8962" width="19.625" style="103" customWidth="1"/>
    <col min="8963" max="9216" width="8" style="103" customWidth="1"/>
    <col min="9217" max="9217" width="24.875" style="103" customWidth="1"/>
    <col min="9218" max="9218" width="19.625" style="103" customWidth="1"/>
    <col min="9219" max="9472" width="8" style="103" customWidth="1"/>
    <col min="9473" max="9473" width="24.875" style="103" customWidth="1"/>
    <col min="9474" max="9474" width="19.625" style="103" customWidth="1"/>
    <col min="9475" max="9728" width="8" style="103" customWidth="1"/>
    <col min="9729" max="9729" width="24.875" style="103" customWidth="1"/>
    <col min="9730" max="9730" width="19.625" style="103" customWidth="1"/>
    <col min="9731" max="9984" width="8" style="103" customWidth="1"/>
    <col min="9985" max="9985" width="24.875" style="103" customWidth="1"/>
    <col min="9986" max="9986" width="19.625" style="103" customWidth="1"/>
    <col min="9987" max="10240" width="8" style="103" customWidth="1"/>
    <col min="10241" max="10241" width="24.875" style="103" customWidth="1"/>
    <col min="10242" max="10242" width="19.625" style="103" customWidth="1"/>
    <col min="10243" max="10496" width="8" style="103" customWidth="1"/>
    <col min="10497" max="10497" width="24.875" style="103" customWidth="1"/>
    <col min="10498" max="10498" width="19.625" style="103" customWidth="1"/>
    <col min="10499" max="10752" width="8" style="103" customWidth="1"/>
    <col min="10753" max="10753" width="24.875" style="103" customWidth="1"/>
    <col min="10754" max="10754" width="19.625" style="103" customWidth="1"/>
    <col min="10755" max="11008" width="8" style="103" customWidth="1"/>
    <col min="11009" max="11009" width="24.875" style="103" customWidth="1"/>
    <col min="11010" max="11010" width="19.625" style="103" customWidth="1"/>
    <col min="11011" max="11264" width="8" style="103" customWidth="1"/>
    <col min="11265" max="11265" width="24.875" style="103" customWidth="1"/>
    <col min="11266" max="11266" width="19.625" style="103" customWidth="1"/>
    <col min="11267" max="11520" width="8" style="103" customWidth="1"/>
    <col min="11521" max="11521" width="24.875" style="103" customWidth="1"/>
    <col min="11522" max="11522" width="19.625" style="103" customWidth="1"/>
    <col min="11523" max="11776" width="8" style="103" customWidth="1"/>
    <col min="11777" max="11777" width="24.875" style="103" customWidth="1"/>
    <col min="11778" max="11778" width="19.625" style="103" customWidth="1"/>
    <col min="11779" max="12032" width="8" style="103" customWidth="1"/>
    <col min="12033" max="12033" width="24.875" style="103" customWidth="1"/>
    <col min="12034" max="12034" width="19.625" style="103" customWidth="1"/>
    <col min="12035" max="12288" width="8" style="103" customWidth="1"/>
    <col min="12289" max="12289" width="24.875" style="103" customWidth="1"/>
    <col min="12290" max="12290" width="19.625" style="103" customWidth="1"/>
    <col min="12291" max="12544" width="8" style="103" customWidth="1"/>
    <col min="12545" max="12545" width="24.875" style="103" customWidth="1"/>
    <col min="12546" max="12546" width="19.625" style="103" customWidth="1"/>
    <col min="12547" max="12800" width="8" style="103" customWidth="1"/>
    <col min="12801" max="12801" width="24.875" style="103" customWidth="1"/>
    <col min="12802" max="12802" width="19.625" style="103" customWidth="1"/>
    <col min="12803" max="13056" width="8" style="103" customWidth="1"/>
    <col min="13057" max="13057" width="24.875" style="103" customWidth="1"/>
    <col min="13058" max="13058" width="19.625" style="103" customWidth="1"/>
    <col min="13059" max="13312" width="8" style="103" customWidth="1"/>
    <col min="13313" max="13313" width="24.875" style="103" customWidth="1"/>
    <col min="13314" max="13314" width="19.625" style="103" customWidth="1"/>
    <col min="13315" max="13568" width="8" style="103" customWidth="1"/>
    <col min="13569" max="13569" width="24.875" style="103" customWidth="1"/>
    <col min="13570" max="13570" width="19.625" style="103" customWidth="1"/>
    <col min="13571" max="13824" width="8" style="103" customWidth="1"/>
    <col min="13825" max="13825" width="24.875" style="103" customWidth="1"/>
    <col min="13826" max="13826" width="19.625" style="103" customWidth="1"/>
    <col min="13827" max="14080" width="8" style="103" customWidth="1"/>
    <col min="14081" max="14081" width="24.875" style="103" customWidth="1"/>
    <col min="14082" max="14082" width="19.625" style="103" customWidth="1"/>
    <col min="14083" max="14336" width="8" style="103" customWidth="1"/>
    <col min="14337" max="14337" width="24.875" style="103" customWidth="1"/>
    <col min="14338" max="14338" width="19.625" style="103" customWidth="1"/>
    <col min="14339" max="14592" width="8" style="103" customWidth="1"/>
    <col min="14593" max="14593" width="24.875" style="103" customWidth="1"/>
    <col min="14594" max="14594" width="19.625" style="103" customWidth="1"/>
    <col min="14595" max="14848" width="8" style="103" customWidth="1"/>
    <col min="14849" max="14849" width="24.875" style="103" customWidth="1"/>
    <col min="14850" max="14850" width="19.625" style="103" customWidth="1"/>
    <col min="14851" max="15104" width="8" style="103" customWidth="1"/>
    <col min="15105" max="15105" width="24.875" style="103" customWidth="1"/>
    <col min="15106" max="15106" width="19.625" style="103" customWidth="1"/>
    <col min="15107" max="15360" width="8" style="103" customWidth="1"/>
    <col min="15361" max="15361" width="24.875" style="103" customWidth="1"/>
    <col min="15362" max="15362" width="19.625" style="103" customWidth="1"/>
    <col min="15363" max="15616" width="8" style="103" customWidth="1"/>
    <col min="15617" max="15617" width="24.875" style="103" customWidth="1"/>
    <col min="15618" max="15618" width="19.625" style="103" customWidth="1"/>
    <col min="15619" max="15872" width="8" style="103" customWidth="1"/>
    <col min="15873" max="15873" width="24.875" style="103" customWidth="1"/>
    <col min="15874" max="15874" width="19.625" style="103" customWidth="1"/>
    <col min="15875" max="16128" width="8" style="103" customWidth="1"/>
    <col min="16129" max="16129" width="24.875" style="103" customWidth="1"/>
    <col min="16130" max="16130" width="19.625" style="103" customWidth="1"/>
    <col min="16131" max="16384" width="8" style="103" customWidth="1"/>
  </cols>
  <sheetData>
    <row r="1" spans="1:2" ht="15.75">
      <c r="A1" s="115" t="s">
        <v>218</v>
      </c>
    </row>
    <row r="3" spans="1:2">
      <c r="A3" s="103" t="s">
        <v>217</v>
      </c>
    </row>
    <row r="4" spans="1:2">
      <c r="A4" s="108" t="s">
        <v>216</v>
      </c>
    </row>
    <row r="6" spans="1:2">
      <c r="A6" s="103" t="s">
        <v>215</v>
      </c>
    </row>
    <row r="10" spans="1:2" ht="51">
      <c r="A10" s="112" t="s">
        <v>214</v>
      </c>
      <c r="B10" s="114" t="s">
        <v>213</v>
      </c>
    </row>
    <row r="11" spans="1:2">
      <c r="A11" s="112" t="s">
        <v>212</v>
      </c>
      <c r="B11" s="111" t="s">
        <v>211</v>
      </c>
    </row>
    <row r="12" spans="1:2">
      <c r="A12" s="112" t="s">
        <v>210</v>
      </c>
      <c r="B12" s="111" t="s">
        <v>209</v>
      </c>
    </row>
    <row r="13" spans="1:2">
      <c r="A13" s="112" t="s">
        <v>208</v>
      </c>
      <c r="B13" s="111" t="s">
        <v>207</v>
      </c>
    </row>
    <row r="14" spans="1:2">
      <c r="A14" s="112" t="s">
        <v>206</v>
      </c>
      <c r="B14" s="111" t="s">
        <v>205</v>
      </c>
    </row>
    <row r="15" spans="1:2">
      <c r="A15" s="112" t="s">
        <v>204</v>
      </c>
      <c r="B15" s="111"/>
    </row>
    <row r="16" spans="1:2">
      <c r="A16" s="112" t="s">
        <v>203</v>
      </c>
      <c r="B16" s="113"/>
    </row>
    <row r="17" spans="1:6">
      <c r="A17" s="112" t="s">
        <v>202</v>
      </c>
      <c r="B17" s="111" t="s">
        <v>201</v>
      </c>
    </row>
    <row r="18" spans="1:6">
      <c r="A18" s="110" t="s">
        <v>149</v>
      </c>
      <c r="B18" s="109" t="s">
        <v>200</v>
      </c>
      <c r="C18" s="104" t="s">
        <v>199</v>
      </c>
      <c r="D18" s="104" t="s">
        <v>198</v>
      </c>
      <c r="F18" s="108" t="s">
        <v>197</v>
      </c>
    </row>
    <row r="19" spans="1:6">
      <c r="A19" s="107">
        <v>42824</v>
      </c>
      <c r="B19" s="106">
        <v>6.46</v>
      </c>
      <c r="C19" s="103">
        <f t="shared" ref="C19:C37" si="0">+B19/100</f>
        <v>6.4600000000000005E-2</v>
      </c>
      <c r="D19" s="103">
        <f t="shared" ref="D19:D37" si="1">C19/360</f>
        <v>1.7944444444444445E-4</v>
      </c>
      <c r="E19" s="103">
        <f>1+D19</f>
        <v>1.0001794444444445</v>
      </c>
    </row>
    <row r="20" spans="1:6">
      <c r="A20" s="107">
        <v>42825</v>
      </c>
      <c r="B20" s="106">
        <v>6.59</v>
      </c>
      <c r="C20" s="103">
        <f t="shared" si="0"/>
        <v>6.59E-2</v>
      </c>
      <c r="D20" s="103">
        <f t="shared" si="1"/>
        <v>1.8305555555555555E-4</v>
      </c>
      <c r="E20" s="103">
        <f t="shared" ref="E20:E37" si="2">E19*(1+D20)</f>
        <v>1.0003625328483026</v>
      </c>
    </row>
    <row r="21" spans="1:6">
      <c r="A21" s="107">
        <v>42826</v>
      </c>
      <c r="B21" s="106">
        <v>6.59</v>
      </c>
      <c r="C21" s="103">
        <f t="shared" si="0"/>
        <v>6.59E-2</v>
      </c>
      <c r="D21" s="103">
        <f t="shared" si="1"/>
        <v>1.8305555555555555E-4</v>
      </c>
      <c r="E21" s="103">
        <f t="shared" si="2"/>
        <v>1.00054565476751</v>
      </c>
    </row>
    <row r="22" spans="1:6">
      <c r="A22" s="107">
        <v>42827</v>
      </c>
      <c r="B22" s="106">
        <v>6.59</v>
      </c>
      <c r="C22" s="103">
        <f t="shared" si="0"/>
        <v>6.59E-2</v>
      </c>
      <c r="D22" s="103">
        <f t="shared" si="1"/>
        <v>1.8305555555555555E-4</v>
      </c>
      <c r="E22" s="103">
        <f t="shared" si="2"/>
        <v>1.0007288102082021</v>
      </c>
    </row>
    <row r="23" spans="1:6">
      <c r="A23" s="107">
        <v>42828</v>
      </c>
      <c r="B23" s="106">
        <v>6.61</v>
      </c>
      <c r="C23" s="103">
        <f t="shared" si="0"/>
        <v>6.6100000000000006E-2</v>
      </c>
      <c r="D23" s="103">
        <f t="shared" si="1"/>
        <v>1.8361111111111112E-4</v>
      </c>
      <c r="E23" s="103">
        <f t="shared" si="2"/>
        <v>1.0009125551369653</v>
      </c>
    </row>
    <row r="24" spans="1:6">
      <c r="A24" s="107">
        <v>42829</v>
      </c>
      <c r="B24" s="106">
        <v>6.66</v>
      </c>
      <c r="C24" s="103">
        <f t="shared" si="0"/>
        <v>6.6600000000000006E-2</v>
      </c>
      <c r="D24" s="103">
        <f t="shared" si="1"/>
        <v>1.8500000000000002E-4</v>
      </c>
      <c r="E24" s="103">
        <f t="shared" si="2"/>
        <v>1.0010977239596657</v>
      </c>
    </row>
    <row r="25" spans="1:6">
      <c r="A25" s="107">
        <v>42830</v>
      </c>
      <c r="B25" s="106">
        <v>6.63</v>
      </c>
      <c r="C25" s="103">
        <f t="shared" si="0"/>
        <v>6.6299999999999998E-2</v>
      </c>
      <c r="D25" s="103">
        <f t="shared" si="1"/>
        <v>1.8416666666666665E-4</v>
      </c>
      <c r="E25" s="103">
        <f t="shared" si="2"/>
        <v>1.0012820927904948</v>
      </c>
    </row>
    <row r="26" spans="1:6">
      <c r="A26" s="107">
        <v>42831</v>
      </c>
      <c r="B26" s="106">
        <v>6.42</v>
      </c>
      <c r="C26" s="103">
        <f t="shared" si="0"/>
        <v>6.4199999999999993E-2</v>
      </c>
      <c r="D26" s="103">
        <f t="shared" si="1"/>
        <v>1.7833333333333332E-4</v>
      </c>
      <c r="E26" s="103">
        <f t="shared" si="2"/>
        <v>1.0014606547637093</v>
      </c>
    </row>
    <row r="27" spans="1:6">
      <c r="A27" s="107">
        <v>42832</v>
      </c>
      <c r="B27" s="106">
        <v>6.44</v>
      </c>
      <c r="C27" s="103">
        <f t="shared" si="0"/>
        <v>6.4399999999999999E-2</v>
      </c>
      <c r="D27" s="103">
        <f t="shared" si="1"/>
        <v>1.7888888888888889E-4</v>
      </c>
      <c r="E27" s="103">
        <f t="shared" si="2"/>
        <v>1.0016398049475059</v>
      </c>
    </row>
    <row r="28" spans="1:6">
      <c r="A28" s="107">
        <v>42833</v>
      </c>
      <c r="B28" s="106">
        <v>6.44</v>
      </c>
      <c r="C28" s="103">
        <f t="shared" si="0"/>
        <v>6.4399999999999999E-2</v>
      </c>
      <c r="D28" s="103">
        <f t="shared" si="1"/>
        <v>1.7888888888888889E-4</v>
      </c>
      <c r="E28" s="103">
        <f t="shared" si="2"/>
        <v>1.00181898717928</v>
      </c>
    </row>
    <row r="29" spans="1:6">
      <c r="A29" s="107">
        <v>42834</v>
      </c>
      <c r="B29" s="106">
        <v>6.44</v>
      </c>
      <c r="C29" s="103">
        <f t="shared" si="0"/>
        <v>6.4399999999999999E-2</v>
      </c>
      <c r="D29" s="103">
        <f t="shared" si="1"/>
        <v>1.7888888888888889E-4</v>
      </c>
      <c r="E29" s="103">
        <f t="shared" si="2"/>
        <v>1.0019982014647644</v>
      </c>
    </row>
    <row r="30" spans="1:6">
      <c r="A30" s="107">
        <v>42835</v>
      </c>
      <c r="B30" s="106">
        <v>6.5</v>
      </c>
      <c r="C30" s="103">
        <f t="shared" si="0"/>
        <v>6.5000000000000002E-2</v>
      </c>
      <c r="D30" s="103">
        <f t="shared" si="1"/>
        <v>1.8055555555555557E-4</v>
      </c>
      <c r="E30" s="103">
        <f t="shared" si="2"/>
        <v>1.0021791178066957</v>
      </c>
    </row>
    <row r="31" spans="1:6">
      <c r="A31" s="107">
        <v>42836</v>
      </c>
      <c r="B31" s="106">
        <v>6.57</v>
      </c>
      <c r="C31" s="103">
        <f t="shared" si="0"/>
        <v>6.5700000000000008E-2</v>
      </c>
      <c r="D31" s="103">
        <f t="shared" si="1"/>
        <v>1.8250000000000002E-4</v>
      </c>
      <c r="E31" s="103">
        <f t="shared" si="2"/>
        <v>1.0023620154956954</v>
      </c>
    </row>
    <row r="32" spans="1:6">
      <c r="A32" s="107">
        <v>42837</v>
      </c>
      <c r="B32" s="106">
        <v>6.57</v>
      </c>
      <c r="C32" s="103">
        <f t="shared" si="0"/>
        <v>6.5700000000000008E-2</v>
      </c>
      <c r="D32" s="103">
        <f t="shared" si="1"/>
        <v>1.8250000000000002E-4</v>
      </c>
      <c r="E32" s="103">
        <f t="shared" si="2"/>
        <v>1.0025449465635232</v>
      </c>
    </row>
    <row r="33" spans="1:6">
      <c r="A33" s="107">
        <v>42838</v>
      </c>
      <c r="B33" s="106">
        <v>6.57</v>
      </c>
      <c r="C33" s="103">
        <f t="shared" si="0"/>
        <v>6.5700000000000008E-2</v>
      </c>
      <c r="D33" s="103">
        <f t="shared" si="1"/>
        <v>1.8250000000000002E-4</v>
      </c>
      <c r="E33" s="103">
        <f t="shared" si="2"/>
        <v>1.002727911016271</v>
      </c>
    </row>
    <row r="34" spans="1:6">
      <c r="A34" s="107">
        <v>42839</v>
      </c>
      <c r="B34" s="106">
        <v>6.57</v>
      </c>
      <c r="C34" s="103">
        <f t="shared" si="0"/>
        <v>6.5700000000000008E-2</v>
      </c>
      <c r="D34" s="103">
        <f t="shared" si="1"/>
        <v>1.8250000000000002E-4</v>
      </c>
      <c r="E34" s="103">
        <f t="shared" si="2"/>
        <v>1.0029109088600314</v>
      </c>
    </row>
    <row r="35" spans="1:6">
      <c r="A35" s="107">
        <v>42840</v>
      </c>
      <c r="B35" s="106">
        <v>6.57</v>
      </c>
      <c r="C35" s="103">
        <f t="shared" si="0"/>
        <v>6.5700000000000008E-2</v>
      </c>
      <c r="D35" s="103">
        <f t="shared" si="1"/>
        <v>1.8250000000000002E-4</v>
      </c>
      <c r="E35" s="103">
        <f t="shared" si="2"/>
        <v>1.0030939401008983</v>
      </c>
    </row>
    <row r="36" spans="1:6">
      <c r="A36" s="107">
        <v>42841</v>
      </c>
      <c r="B36" s="106">
        <v>6.57</v>
      </c>
      <c r="C36" s="103">
        <f t="shared" si="0"/>
        <v>6.5700000000000008E-2</v>
      </c>
      <c r="D36" s="103">
        <f t="shared" si="1"/>
        <v>1.8250000000000002E-4</v>
      </c>
      <c r="E36" s="103">
        <f t="shared" si="2"/>
        <v>1.0032770047449666</v>
      </c>
    </row>
    <row r="37" spans="1:6">
      <c r="A37" s="107">
        <v>42842</v>
      </c>
      <c r="B37" s="106">
        <v>6.57</v>
      </c>
      <c r="C37" s="103">
        <f t="shared" si="0"/>
        <v>6.5700000000000008E-2</v>
      </c>
      <c r="D37" s="103">
        <f t="shared" si="1"/>
        <v>1.8250000000000002E-4</v>
      </c>
      <c r="E37" s="103">
        <f t="shared" si="2"/>
        <v>1.0034601027983325</v>
      </c>
    </row>
    <row r="38" spans="1:6">
      <c r="A38" s="103">
        <f>COUNT(A19:A37)</f>
        <v>19</v>
      </c>
    </row>
    <row r="39" spans="1:6" ht="15.75">
      <c r="E39" s="105">
        <f>(E37-1)/19*360</f>
        <v>6.5559842494721646E-2</v>
      </c>
      <c r="F39" s="104" t="s">
        <v>196</v>
      </c>
    </row>
    <row r="40" spans="1:6">
      <c r="E40" s="103">
        <f>COUNT(B19:B37)</f>
        <v>19</v>
      </c>
      <c r="F40" s="104" t="s">
        <v>195</v>
      </c>
    </row>
    <row r="41" spans="1:6">
      <c r="F41" s="104" t="s">
        <v>194</v>
      </c>
    </row>
    <row r="42" spans="1:6">
      <c r="F42" s="104" t="s">
        <v>193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1"/>
  <sheetViews>
    <sheetView zoomScale="160" zoomScaleNormal="160" workbookViewId="0">
      <selection activeCell="C44" sqref="C44"/>
    </sheetView>
  </sheetViews>
  <sheetFormatPr defaultColWidth="10" defaultRowHeight="15"/>
  <cols>
    <col min="1" max="1" width="10" style="116"/>
    <col min="2" max="2" width="30.375" style="116" customWidth="1"/>
    <col min="3" max="3" width="11.5" style="116" customWidth="1"/>
    <col min="4" max="16384" width="10" style="116"/>
  </cols>
  <sheetData>
    <row r="4" spans="2:7">
      <c r="B4" s="116" t="s">
        <v>235</v>
      </c>
    </row>
    <row r="6" spans="2:7">
      <c r="B6" s="121">
        <v>43552</v>
      </c>
    </row>
    <row r="7" spans="2:7">
      <c r="B7" s="120">
        <f ca="1">TODAY()</f>
        <v>42863</v>
      </c>
    </row>
    <row r="8" spans="2:7">
      <c r="B8" s="116">
        <f ca="1">B6-B7</f>
        <v>689</v>
      </c>
      <c r="C8" s="116" t="s">
        <v>234</v>
      </c>
    </row>
    <row r="9" spans="2:7">
      <c r="B9" s="116">
        <f ca="1">B8/28</f>
        <v>24.607142857142858</v>
      </c>
      <c r="C9" s="116" t="s">
        <v>233</v>
      </c>
    </row>
    <row r="11" spans="2:7" ht="18">
      <c r="B11" s="116" t="s">
        <v>232</v>
      </c>
      <c r="D11" s="119">
        <f>Consulta!E39</f>
        <v>6.5559842494721646E-2</v>
      </c>
      <c r="E11" s="116" t="s">
        <v>231</v>
      </c>
    </row>
    <row r="12" spans="2:7" ht="15.75">
      <c r="B12" s="116" t="s">
        <v>230</v>
      </c>
      <c r="D12" s="116" t="s">
        <v>229</v>
      </c>
      <c r="E12" s="119">
        <f>(((1+D11*19/360)*(1+Consulta!C37/360)^(28-19))-1)*(360/28)</f>
        <v>6.569343904397229E-2</v>
      </c>
      <c r="F12" s="116" t="s">
        <v>228</v>
      </c>
      <c r="G12" s="119">
        <f>(((1+Consulta!C37/360)^28)-1)*360/28</f>
        <v>6.5862124689084478E-2</v>
      </c>
    </row>
    <row r="13" spans="2:7">
      <c r="B13" s="116" t="s">
        <v>227</v>
      </c>
      <c r="D13" s="116" t="s">
        <v>226</v>
      </c>
      <c r="E13" s="116">
        <f>100*E12/360*28</f>
        <v>0.5109489703420067</v>
      </c>
      <c r="F13" s="116" t="s">
        <v>157</v>
      </c>
      <c r="G13" s="116">
        <f>100*G12/360*28</f>
        <v>0.51226096980399038</v>
      </c>
    </row>
    <row r="14" spans="2:7">
      <c r="B14" s="116" t="s">
        <v>225</v>
      </c>
      <c r="D14" s="116">
        <f>((1+(Consulta!C37+0.001375)/360)^28)-1</f>
        <v>5.2300879041045079E-3</v>
      </c>
    </row>
    <row r="15" spans="2:7">
      <c r="B15" s="117" t="s">
        <v>224</v>
      </c>
      <c r="C15" s="118">
        <f>(E13+C19+C20)/C21</f>
        <v>100.10114445862332</v>
      </c>
      <c r="D15" s="117" t="s">
        <v>223</v>
      </c>
    </row>
    <row r="16" spans="2:7">
      <c r="C16" s="118">
        <f>C15-(100*D11/360*19)</f>
        <v>99.755134178790072</v>
      </c>
      <c r="D16" s="117" t="s">
        <v>222</v>
      </c>
    </row>
    <row r="17" spans="2:4">
      <c r="D17" s="116">
        <f>D14</f>
        <v>5.2300879041045079E-3</v>
      </c>
    </row>
    <row r="19" spans="2:4">
      <c r="B19" s="116" t="s">
        <v>221</v>
      </c>
      <c r="C19" s="116">
        <f>G13*(1/D17-(1/(D17*((1+D17)^24))))</f>
        <v>11.525694846717739</v>
      </c>
    </row>
    <row r="20" spans="2:4">
      <c r="B20" s="116" t="s">
        <v>220</v>
      </c>
      <c r="C20" s="116">
        <f>100/((1+D17)^24)</f>
        <v>88.232482902751002</v>
      </c>
    </row>
    <row r="21" spans="2:4">
      <c r="B21" s="116" t="s">
        <v>219</v>
      </c>
      <c r="C21" s="116">
        <f>(1+D17)^(1-19/28)</f>
        <v>1.0016781252811435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Valuacion</vt:lpstr>
      <vt:lpstr>Creditos</vt:lpstr>
      <vt:lpstr>futuros inc</vt:lpstr>
      <vt:lpstr>MRP</vt:lpstr>
      <vt:lpstr>CETES</vt:lpstr>
      <vt:lpstr>BonosM</vt:lpstr>
      <vt:lpstr>Consulta</vt:lpstr>
      <vt:lpstr>Procedimiento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juanpablo estavillo</cp:lastModifiedBy>
  <dcterms:created xsi:type="dcterms:W3CDTF">2017-02-27T21:41:52Z</dcterms:created>
  <dcterms:modified xsi:type="dcterms:W3CDTF">2017-05-08T20:32:05Z</dcterms:modified>
</cp:coreProperties>
</file>