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2E4487EA-D47A-43C2-BF2A-CC8EB6633383}" xr6:coauthVersionLast="47" xr6:coauthVersionMax="47" xr10:uidLastSave="{00000000-0000-0000-0000-000000000000}"/>
  <bookViews>
    <workbookView xWindow="-108" yWindow="-108" windowWidth="23256" windowHeight="12576" xr2:uid="{00000000-000D-0000-FFFF-FFFF00000000}"/>
  </bookViews>
  <sheets>
    <sheet name="task_time" sheetId="1" r:id="rId1"/>
    <sheet name="tool_path_length" sheetId="2" r:id="rId2"/>
    <sheet name="tool_idle" sheetId="11" r:id="rId3"/>
    <sheet name="tool_jerk" sheetId="10" r:id="rId4"/>
    <sheet name="tool_acceleration" sheetId="15" r:id="rId5"/>
    <sheet name="tool_velocity" sheetId="3" r:id="rId6"/>
    <sheet name="tool_grasps" sheetId="4" r:id="rId7"/>
    <sheet name="tool_bimanual" sheetId="5" r:id="rId8"/>
    <sheet name="pupil_dilation" sheetId="6" r:id="rId9"/>
    <sheet name="tool_movements" sheetId="8" r:id="rId10"/>
    <sheet name="pupil_blinks" sheetId="7" r:id="rId11"/>
    <sheet name="scale_UWOMSAb" sheetId="12" r:id="rId12"/>
    <sheet name="tool_force" sheetId="14" r:id="rId13"/>
    <sheet name="scale_OSATS" sheetId="1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4" l="1"/>
  <c r="P8" i="14" s="1"/>
  <c r="K8" i="14"/>
  <c r="N8" i="14"/>
  <c r="O9" i="13"/>
  <c r="P9" i="13" s="1"/>
  <c r="N9" i="13"/>
  <c r="K9" i="13"/>
  <c r="N3" i="7"/>
  <c r="O3" i="7" s="1"/>
  <c r="P3" i="7" s="1"/>
  <c r="K3" i="7"/>
  <c r="O8" i="6"/>
  <c r="P8" i="6" s="1"/>
  <c r="N8" i="6"/>
  <c r="K8" i="6"/>
  <c r="O8" i="13"/>
  <c r="P8" i="13"/>
  <c r="R8" i="13" s="1"/>
  <c r="Q8" i="13"/>
  <c r="N8" i="13"/>
  <c r="K8" i="13"/>
  <c r="O7" i="13"/>
  <c r="P7" i="13" s="1"/>
  <c r="N7" i="13"/>
  <c r="K7" i="13"/>
  <c r="O6" i="13"/>
  <c r="P6" i="13" s="1"/>
  <c r="N6" i="13"/>
  <c r="O5" i="13"/>
  <c r="P5" i="13" s="1"/>
  <c r="N5" i="13"/>
  <c r="K5" i="13"/>
  <c r="O4" i="13"/>
  <c r="P4" i="13" s="1"/>
  <c r="O3" i="13"/>
  <c r="P3" i="13" s="1"/>
  <c r="O2" i="13"/>
  <c r="P2" i="13" s="1"/>
  <c r="O3" i="11"/>
  <c r="P3" i="11" s="1"/>
  <c r="O4" i="11"/>
  <c r="P4" i="11" s="1"/>
  <c r="O5" i="11"/>
  <c r="P5" i="11" s="1"/>
  <c r="O6" i="11"/>
  <c r="P6" i="11" s="1"/>
  <c r="O7" i="11"/>
  <c r="P7" i="11" s="1"/>
  <c r="O8" i="11"/>
  <c r="P8" i="11" s="1"/>
  <c r="O3" i="2"/>
  <c r="P3" i="2" s="1"/>
  <c r="O4" i="2"/>
  <c r="P4" i="2" s="1"/>
  <c r="O5" i="2"/>
  <c r="P5" i="2" s="1"/>
  <c r="O6" i="2"/>
  <c r="P6" i="2" s="1"/>
  <c r="O7" i="2"/>
  <c r="P7" i="2" s="1"/>
  <c r="O8" i="2"/>
  <c r="P8" i="2" s="1"/>
  <c r="O9" i="2"/>
  <c r="P9" i="2" s="1"/>
  <c r="O10" i="2"/>
  <c r="P10" i="2" s="1"/>
  <c r="O11" i="2"/>
  <c r="P11" i="2" s="1"/>
  <c r="O12" i="2"/>
  <c r="P12" i="2" s="1"/>
  <c r="O13" i="2"/>
  <c r="P13" i="2" s="1"/>
  <c r="O14" i="2"/>
  <c r="P14" i="2" s="1"/>
  <c r="O15" i="2"/>
  <c r="P15" i="2" s="1"/>
  <c r="O16" i="2"/>
  <c r="P16" i="2" s="1"/>
  <c r="O17" i="2"/>
  <c r="P17" i="2" s="1"/>
  <c r="O3" i="1"/>
  <c r="P3" i="1"/>
  <c r="Q3" i="1" s="1"/>
  <c r="O4" i="1"/>
  <c r="P4" i="1" s="1"/>
  <c r="O5" i="1"/>
  <c r="P5" i="1" s="1"/>
  <c r="O6" i="1"/>
  <c r="P6" i="1" s="1"/>
  <c r="O7" i="1"/>
  <c r="P7" i="1" s="1"/>
  <c r="O8" i="1"/>
  <c r="P8" i="1" s="1"/>
  <c r="O9" i="1"/>
  <c r="P9" i="1" s="1"/>
  <c r="O10" i="1"/>
  <c r="P10" i="1" s="1"/>
  <c r="O11" i="1"/>
  <c r="P11" i="1" s="1"/>
  <c r="O12" i="1"/>
  <c r="P12" i="1"/>
  <c r="Q12" i="1" s="1"/>
  <c r="O13" i="1"/>
  <c r="P13" i="1" s="1"/>
  <c r="O14" i="1"/>
  <c r="P14" i="1" s="1"/>
  <c r="O15" i="1"/>
  <c r="P15" i="1"/>
  <c r="Q15" i="1" s="1"/>
  <c r="O16" i="1"/>
  <c r="P16" i="1" s="1"/>
  <c r="O17" i="1"/>
  <c r="P17" i="1" s="1"/>
  <c r="O18" i="1"/>
  <c r="P18" i="1"/>
  <c r="Q18" i="1" s="1"/>
  <c r="O19" i="1"/>
  <c r="P19" i="1" s="1"/>
  <c r="O20" i="1"/>
  <c r="P20" i="1" s="1"/>
  <c r="O21" i="1"/>
  <c r="P21" i="1"/>
  <c r="Q21" i="1" s="1"/>
  <c r="O22" i="1"/>
  <c r="P22" i="1" s="1"/>
  <c r="O23" i="1"/>
  <c r="P23" i="1" s="1"/>
  <c r="O24" i="1"/>
  <c r="P24" i="1"/>
  <c r="Q24" i="1" s="1"/>
  <c r="O25" i="1"/>
  <c r="P25" i="1" s="1"/>
  <c r="O26" i="1"/>
  <c r="P26" i="1" s="1"/>
  <c r="K6" i="15"/>
  <c r="N6" i="15"/>
  <c r="N26" i="1"/>
  <c r="K26" i="1"/>
  <c r="J26" i="1"/>
  <c r="M26" i="1"/>
  <c r="K17" i="2"/>
  <c r="N17" i="2"/>
  <c r="O13" i="10"/>
  <c r="P13" i="10" s="1"/>
  <c r="K13" i="10"/>
  <c r="N13" i="10"/>
  <c r="O11" i="3"/>
  <c r="P11" i="3" s="1"/>
  <c r="O5" i="15"/>
  <c r="P5" i="15" s="1"/>
  <c r="N4" i="15"/>
  <c r="K4" i="15"/>
  <c r="O4" i="15"/>
  <c r="P4" i="15" s="1"/>
  <c r="O3" i="15"/>
  <c r="P3" i="15" s="1"/>
  <c r="N10" i="3"/>
  <c r="K10" i="3"/>
  <c r="O10" i="3" s="1"/>
  <c r="P10" i="3" s="1"/>
  <c r="O2" i="15"/>
  <c r="P2" i="15" s="1"/>
  <c r="N2" i="15"/>
  <c r="K2" i="15"/>
  <c r="O12" i="10"/>
  <c r="P12" i="10" s="1"/>
  <c r="O7" i="14"/>
  <c r="P7" i="14" s="1"/>
  <c r="K7" i="14"/>
  <c r="N7" i="14"/>
  <c r="O6" i="14"/>
  <c r="P6" i="14" s="1"/>
  <c r="K6" i="14"/>
  <c r="N6" i="14"/>
  <c r="O5" i="14"/>
  <c r="P5" i="14" s="1"/>
  <c r="O4" i="14"/>
  <c r="P4" i="14" s="1"/>
  <c r="K4" i="14"/>
  <c r="N4" i="14"/>
  <c r="O3" i="14"/>
  <c r="P3" i="14" s="1"/>
  <c r="N3" i="14"/>
  <c r="K3" i="14"/>
  <c r="N2" i="14"/>
  <c r="O2" i="14" s="1"/>
  <c r="M2" i="14"/>
  <c r="K2" i="14"/>
  <c r="O2" i="12"/>
  <c r="P2" i="12" s="1"/>
  <c r="O11" i="10"/>
  <c r="P11" i="10" s="1"/>
  <c r="N11" i="10"/>
  <c r="K11" i="10"/>
  <c r="N10" i="10"/>
  <c r="K10" i="10"/>
  <c r="O10" i="10" s="1"/>
  <c r="P10" i="10" s="1"/>
  <c r="O9" i="3"/>
  <c r="P9" i="3" s="1"/>
  <c r="N8" i="3"/>
  <c r="K8" i="3"/>
  <c r="O8" i="3"/>
  <c r="P8" i="3" s="1"/>
  <c r="L7" i="3"/>
  <c r="I7" i="3"/>
  <c r="O7" i="3" s="1"/>
  <c r="P7" i="3" s="1"/>
  <c r="K6" i="3"/>
  <c r="N6" i="3"/>
  <c r="N16" i="2"/>
  <c r="K16" i="2"/>
  <c r="N5" i="3"/>
  <c r="K5" i="3"/>
  <c r="O5" i="3"/>
  <c r="P5" i="3" s="1"/>
  <c r="O4" i="3"/>
  <c r="P4" i="3" s="1"/>
  <c r="O3" i="3"/>
  <c r="P3" i="3" s="1"/>
  <c r="O2" i="3"/>
  <c r="P2" i="3" s="1"/>
  <c r="O7" i="5"/>
  <c r="P7" i="5" s="1"/>
  <c r="N7" i="5"/>
  <c r="K7" i="5"/>
  <c r="K24" i="1"/>
  <c r="N24" i="1"/>
  <c r="N15" i="2"/>
  <c r="K15" i="2"/>
  <c r="I13" i="2"/>
  <c r="N22" i="1"/>
  <c r="K22" i="1"/>
  <c r="N12" i="2"/>
  <c r="K12" i="2"/>
  <c r="N7" i="11"/>
  <c r="K7" i="11"/>
  <c r="N6" i="11"/>
  <c r="K6" i="11"/>
  <c r="N5" i="11"/>
  <c r="K5" i="11"/>
  <c r="K4" i="11"/>
  <c r="N4" i="11"/>
  <c r="M2" i="11"/>
  <c r="J2" i="11"/>
  <c r="O2" i="11"/>
  <c r="O9" i="10"/>
  <c r="P9" i="10"/>
  <c r="Q9" i="10" s="1"/>
  <c r="N9" i="10"/>
  <c r="K9" i="10"/>
  <c r="O8" i="10"/>
  <c r="P8" i="10" s="1"/>
  <c r="N10" i="2"/>
  <c r="K10" i="2"/>
  <c r="N9" i="2"/>
  <c r="K9" i="2"/>
  <c r="O7" i="10"/>
  <c r="P7" i="10" s="1"/>
  <c r="O6" i="10"/>
  <c r="P6" i="10" s="1"/>
  <c r="N5" i="10"/>
  <c r="K5" i="10"/>
  <c r="O5" i="10"/>
  <c r="P5" i="10" s="1"/>
  <c r="O4" i="10"/>
  <c r="P4" i="10" s="1"/>
  <c r="N4" i="10"/>
  <c r="K4" i="10"/>
  <c r="O3" i="10"/>
  <c r="P3" i="10" s="1"/>
  <c r="O2" i="10"/>
  <c r="P2" i="10" s="1"/>
  <c r="K21" i="1"/>
  <c r="K12" i="8"/>
  <c r="O12" i="8" s="1"/>
  <c r="P12" i="8" s="1"/>
  <c r="K8" i="2"/>
  <c r="N7" i="2"/>
  <c r="K7" i="2"/>
  <c r="O11" i="8"/>
  <c r="P11" i="8" s="1"/>
  <c r="I10" i="8"/>
  <c r="O10" i="8"/>
  <c r="P10" i="8" s="1"/>
  <c r="O9" i="8"/>
  <c r="P9" i="8" s="1"/>
  <c r="L9" i="8"/>
  <c r="I9" i="8"/>
  <c r="O8" i="8"/>
  <c r="P8" i="8" s="1"/>
  <c r="N19" i="1"/>
  <c r="K19" i="1"/>
  <c r="O2" i="2"/>
  <c r="P2" i="2" s="1"/>
  <c r="N2" i="2"/>
  <c r="K2" i="2"/>
  <c r="O7" i="8"/>
  <c r="P7" i="8" s="1"/>
  <c r="N7" i="8"/>
  <c r="K7" i="8"/>
  <c r="O6" i="8"/>
  <c r="P6" i="8" s="1"/>
  <c r="O5" i="8"/>
  <c r="P5" i="8" s="1"/>
  <c r="N5" i="8"/>
  <c r="K5" i="8"/>
  <c r="O4" i="8"/>
  <c r="P4" i="8" s="1"/>
  <c r="O3" i="8"/>
  <c r="P3" i="8" s="1"/>
  <c r="O2" i="8"/>
  <c r="P2" i="8" s="1"/>
  <c r="O7" i="6"/>
  <c r="P7" i="6" s="1"/>
  <c r="N2" i="7"/>
  <c r="K2" i="7"/>
  <c r="O6" i="6"/>
  <c r="P6" i="6" s="1"/>
  <c r="N6" i="6"/>
  <c r="K6" i="6"/>
  <c r="O5" i="6"/>
  <c r="P5" i="6" s="1"/>
  <c r="J4" i="6"/>
  <c r="O4" i="6"/>
  <c r="O3" i="6"/>
  <c r="P3" i="6" s="1"/>
  <c r="O2" i="6"/>
  <c r="P2" i="6" s="1"/>
  <c r="L2" i="6"/>
  <c r="I2" i="6"/>
  <c r="O6" i="5"/>
  <c r="P6" i="5" s="1"/>
  <c r="K5" i="5"/>
  <c r="N5" i="5"/>
  <c r="O5" i="5"/>
  <c r="P5" i="5" s="1"/>
  <c r="O4" i="5"/>
  <c r="P4" i="5" s="1"/>
  <c r="O3" i="5"/>
  <c r="P3" i="5" s="1"/>
  <c r="P2" i="5"/>
  <c r="J2" i="5"/>
  <c r="O2" i="5"/>
  <c r="O3" i="4"/>
  <c r="P3" i="4" s="1"/>
  <c r="R2" i="4"/>
  <c r="R2" i="1"/>
  <c r="Q2" i="4"/>
  <c r="Q2" i="1"/>
  <c r="P2" i="4"/>
  <c r="P2" i="1"/>
  <c r="O2" i="4"/>
  <c r="O2" i="1"/>
  <c r="I5" i="1"/>
  <c r="N4" i="1"/>
  <c r="K4" i="1"/>
  <c r="Q8" i="14" l="1"/>
  <c r="R8" i="14"/>
  <c r="R9" i="13"/>
  <c r="Q9" i="13"/>
  <c r="R3" i="7"/>
  <c r="Q3" i="7"/>
  <c r="R8" i="6"/>
  <c r="Q8" i="6"/>
  <c r="R7" i="13"/>
  <c r="Q7" i="13"/>
  <c r="Q6" i="13"/>
  <c r="R6" i="13"/>
  <c r="Q4" i="13"/>
  <c r="R4" i="13"/>
  <c r="Q5" i="13"/>
  <c r="R5" i="13"/>
  <c r="Q3" i="13"/>
  <c r="R3" i="13"/>
  <c r="R2" i="13"/>
  <c r="Q2" i="13"/>
  <c r="Q5" i="11"/>
  <c r="R5" i="11"/>
  <c r="Q4" i="11"/>
  <c r="R4" i="11"/>
  <c r="R3" i="11"/>
  <c r="Q3" i="11"/>
  <c r="Q8" i="11"/>
  <c r="R8" i="11"/>
  <c r="Q6" i="11"/>
  <c r="R6" i="11"/>
  <c r="Q7" i="11"/>
  <c r="R7" i="11"/>
  <c r="Q8" i="2"/>
  <c r="R8" i="2"/>
  <c r="Q17" i="2"/>
  <c r="R17" i="2"/>
  <c r="Q4" i="2"/>
  <c r="R4" i="2"/>
  <c r="Q15" i="2"/>
  <c r="R15" i="2"/>
  <c r="Q3" i="2"/>
  <c r="R3" i="2"/>
  <c r="Q14" i="2"/>
  <c r="R14" i="2"/>
  <c r="Q13" i="2"/>
  <c r="R13" i="2"/>
  <c r="Q16" i="2"/>
  <c r="R16" i="2"/>
  <c r="Q10" i="2"/>
  <c r="R10" i="2"/>
  <c r="Q5" i="2"/>
  <c r="R5" i="2"/>
  <c r="Q12" i="2"/>
  <c r="R12" i="2"/>
  <c r="Q11" i="2"/>
  <c r="R11" i="2"/>
  <c r="Q9" i="2"/>
  <c r="R9" i="2"/>
  <c r="Q7" i="2"/>
  <c r="R7" i="2"/>
  <c r="Q6" i="2"/>
  <c r="R6" i="2"/>
  <c r="Q25" i="1"/>
  <c r="R25" i="1"/>
  <c r="Q14" i="1"/>
  <c r="R14" i="1"/>
  <c r="Q13" i="1"/>
  <c r="R13" i="1"/>
  <c r="Q10" i="1"/>
  <c r="R10" i="1"/>
  <c r="Q9" i="1"/>
  <c r="R9" i="1"/>
  <c r="Q23" i="1"/>
  <c r="R23" i="1"/>
  <c r="Q22" i="1"/>
  <c r="R22" i="1"/>
  <c r="Q20" i="1"/>
  <c r="R20" i="1"/>
  <c r="Q11" i="1"/>
  <c r="R11" i="1"/>
  <c r="Q19" i="1"/>
  <c r="R19" i="1"/>
  <c r="Q8" i="1"/>
  <c r="R8" i="1"/>
  <c r="Q26" i="1"/>
  <c r="R26" i="1"/>
  <c r="Q17" i="1"/>
  <c r="R17" i="1"/>
  <c r="Q7" i="1"/>
  <c r="R7" i="1"/>
  <c r="Q16" i="1"/>
  <c r="R16" i="1"/>
  <c r="Q6" i="1"/>
  <c r="R6" i="1"/>
  <c r="Q5" i="1"/>
  <c r="R5" i="1"/>
  <c r="Q4" i="1"/>
  <c r="R4" i="1"/>
  <c r="R24" i="1"/>
  <c r="R21" i="1"/>
  <c r="R18" i="1"/>
  <c r="R15" i="1"/>
  <c r="R12" i="1"/>
  <c r="R3" i="1"/>
  <c r="O6" i="15"/>
  <c r="P6" i="15" s="1"/>
  <c r="Q6" i="15" s="1"/>
  <c r="Q13" i="10"/>
  <c r="R13" i="10"/>
  <c r="R11" i="3"/>
  <c r="Q11" i="3"/>
  <c r="Q5" i="15"/>
  <c r="R5" i="15"/>
  <c r="Q4" i="15"/>
  <c r="R4" i="15"/>
  <c r="Q3" i="15"/>
  <c r="R3" i="15"/>
  <c r="R10" i="3"/>
  <c r="Q10" i="3"/>
  <c r="R2" i="15"/>
  <c r="Q2" i="15"/>
  <c r="R12" i="10"/>
  <c r="Q12" i="10"/>
  <c r="Q7" i="14"/>
  <c r="R7" i="14"/>
  <c r="Q6" i="14"/>
  <c r="R6" i="14"/>
  <c r="R5" i="14"/>
  <c r="Q5" i="14"/>
  <c r="Q4" i="14"/>
  <c r="R4" i="14"/>
  <c r="R3" i="14"/>
  <c r="Q3" i="14"/>
  <c r="P2" i="14"/>
  <c r="R2" i="14" s="1"/>
  <c r="Q2" i="14"/>
  <c r="R2" i="12"/>
  <c r="Q2" i="12"/>
  <c r="Q11" i="10"/>
  <c r="R11" i="10"/>
  <c r="R10" i="10"/>
  <c r="Q10" i="10"/>
  <c r="R9" i="3"/>
  <c r="Q9" i="3"/>
  <c r="R8" i="3"/>
  <c r="Q8" i="3"/>
  <c r="Q7" i="3"/>
  <c r="R7" i="3"/>
  <c r="O6" i="3"/>
  <c r="P6" i="3" s="1"/>
  <c r="Q6" i="3" s="1"/>
  <c r="R5" i="3"/>
  <c r="Q5" i="3"/>
  <c r="R4" i="3"/>
  <c r="Q4" i="3"/>
  <c r="Q3" i="3"/>
  <c r="R3" i="3"/>
  <c r="R2" i="3"/>
  <c r="Q2" i="3"/>
  <c r="Q7" i="5"/>
  <c r="R7" i="5"/>
  <c r="P2" i="11"/>
  <c r="R2" i="11" s="1"/>
  <c r="R9" i="10"/>
  <c r="Q8" i="10"/>
  <c r="R8" i="10"/>
  <c r="Q7" i="10"/>
  <c r="R7" i="10"/>
  <c r="Q6" i="10"/>
  <c r="R6" i="10"/>
  <c r="Q5" i="10"/>
  <c r="R5" i="10"/>
  <c r="Q4" i="10"/>
  <c r="R4" i="10"/>
  <c r="Q3" i="10"/>
  <c r="R3" i="10"/>
  <c r="R2" i="10"/>
  <c r="Q2" i="10"/>
  <c r="R12" i="8"/>
  <c r="Q12" i="8"/>
  <c r="Q11" i="8"/>
  <c r="R11" i="8"/>
  <c r="Q10" i="8"/>
  <c r="R10" i="8"/>
  <c r="Q9" i="8"/>
  <c r="R9" i="8"/>
  <c r="Q8" i="8"/>
  <c r="R8" i="8"/>
  <c r="R2" i="2"/>
  <c r="Q2" i="2"/>
  <c r="Q7" i="8"/>
  <c r="R7" i="8"/>
  <c r="Q6" i="8"/>
  <c r="R6" i="8"/>
  <c r="Q5" i="8"/>
  <c r="R5" i="8"/>
  <c r="R4" i="8"/>
  <c r="Q4" i="8"/>
  <c r="Q3" i="8"/>
  <c r="R3" i="8"/>
  <c r="R2" i="8"/>
  <c r="Q2" i="8"/>
  <c r="Q7" i="6"/>
  <c r="R7" i="6"/>
  <c r="O2" i="7"/>
  <c r="P2" i="7" s="1"/>
  <c r="Q2" i="7" s="1"/>
  <c r="Q6" i="6"/>
  <c r="R6" i="6"/>
  <c r="R5" i="6"/>
  <c r="Q5" i="6"/>
  <c r="P4" i="6"/>
  <c r="R4" i="6" s="1"/>
  <c r="Q4" i="6"/>
  <c r="Q3" i="6"/>
  <c r="R3" i="6"/>
  <c r="R2" i="6"/>
  <c r="Q2" i="6"/>
  <c r="Q6" i="5"/>
  <c r="R6" i="5"/>
  <c r="R5" i="5"/>
  <c r="Q5" i="5"/>
  <c r="R4" i="5"/>
  <c r="Q4" i="5"/>
  <c r="Q3" i="5"/>
  <c r="R3" i="5"/>
  <c r="R2" i="5"/>
  <c r="Q3" i="4"/>
  <c r="R3" i="4"/>
  <c r="R6" i="15" l="1"/>
  <c r="R6" i="3"/>
  <c r="Q2" i="11"/>
  <c r="R2" i="7"/>
  <c r="Q2" i="5"/>
</calcChain>
</file>

<file path=xl/sharedStrings.xml><?xml version="1.0" encoding="utf-8"?>
<sst xmlns="http://schemas.openxmlformats.org/spreadsheetml/2006/main" count="929" uniqueCount="345">
  <si>
    <t>Author</t>
  </si>
  <si>
    <t>Year</t>
  </si>
  <si>
    <t>Study</t>
  </si>
  <si>
    <t>Mn</t>
  </si>
  <si>
    <t>Nn</t>
  </si>
  <si>
    <t>SDn</t>
  </si>
  <si>
    <t>Ne</t>
  </si>
  <si>
    <t>Me</t>
  </si>
  <si>
    <t>Koskinen et al.</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</si>
  <si>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</si>
  <si>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</si>
  <si>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</si>
  <si>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</si>
  <si>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</si>
  <si>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</si>
  <si>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</si>
  <si>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</si>
  <si>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</si>
  <si>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</si>
  <si>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World Neurosurgery</t>
  </si>
  <si>
    <t>suturing</t>
  </si>
  <si>
    <t>SDpooled</t>
  </si>
  <si>
    <t>SMD</t>
  </si>
  <si>
    <t>g</t>
  </si>
  <si>
    <t>SDg</t>
  </si>
  <si>
    <t>i</t>
  </si>
  <si>
    <t>Vedula et al.</t>
  </si>
  <si>
    <t>Task-Level vs. Segment-Level Quantitative Metrics for Surgical Skill Assessment</t>
  </si>
  <si>
    <t>Journal of Surgical Education</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</si>
  <si>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</si>
  <si>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</si>
  <si>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</si>
  <si>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</si>
  <si>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</si>
  <si>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</si>
  <si>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</si>
  <si>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</si>
  <si>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</si>
  <si>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</si>
  <si>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</si>
  <si>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</si>
  <si>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</si>
  <si>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</si>
  <si>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</si>
  <si>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</si>
  <si>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</si>
  <si>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</si>
  <si>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</si>
  <si>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</si>
  <si>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</si>
  <si>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</si>
  <si>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</si>
  <si>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</si>
  <si>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</si>
  <si>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</si>
  <si>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</si>
  <si>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</si>
  <si>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</si>
  <si>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</si>
  <si>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</si>
  <si>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</si>
  <si>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</si>
  <si>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</si>
  <si>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</si>
  <si>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</si>
  <si>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</si>
  <si>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</si>
  <si>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</si>
  <si>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</si>
  <si>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</si>
  <si>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</si>
  <si>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</si>
  <si>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</si>
  <si>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</si>
  <si>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</si>
  <si>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</si>
  <si>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</si>
  <si>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</si>
  <si>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</si>
  <si>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</si>
  <si>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</si>
  <si>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</si>
  <si>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</si>
  <si>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</si>
  <si>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</si>
  <si>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</si>
  <si>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</si>
  <si>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</si>
  <si>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</si>
  <si>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</si>
  <si>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</si>
  <si>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</si>
  <si>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</si>
  <si>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</si>
  <si>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</si>
  <si>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</si>
  <si>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</si>
  <si>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</si>
  <si>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</si>
  <si>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</si>
  <si>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</si>
  <si>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</si>
  <si>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</si>
  <si>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</si>
  <si>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</si>
  <si>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</si>
  <si>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</si>
  <si>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</si>
  <si>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</si>
  <si>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</si>
  <si>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</si>
  <si>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</si>
  <si>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</si>
  <si>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</si>
  <si>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</si>
  <si>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</si>
  <si>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</si>
  <si>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</si>
  <si>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</si>
  <si>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</si>
  <si>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</si>
  <si>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</si>
  <si>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</si>
  <si>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</si>
  <si>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</si>
  <si>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</si>
  <si>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</si>
  <si>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</si>
  <si>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</si>
  <si>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</si>
  <si>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</si>
  <si>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</si>
  <si>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</si>
  <si>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</si>
  <si>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</si>
  <si>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</si>
  <si>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</si>
  <si>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</si>
  <si>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</si>
  <si>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</si>
  <si>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</si>
  <si>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</si>
  <si>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</si>
  <si>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</si>
  <si>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</si>
  <si>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</si>
  <si>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</si>
  <si>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</si>
  <si>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</si>
  <si>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</si>
  <si>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</si>
  <si>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</si>
  <si>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</si>
  <si>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</si>
  <si>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</si>
  <si>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</si>
  <si>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</si>
  <si>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</si>
  <si>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</si>
  <si>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</si>
  <si>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</si>
  <si>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</si>
  <si>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</si>
  <si>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</si>
  <si>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</si>
  <si>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</si>
  <si>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</si>
  <si>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</si>
  <si>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</si>
  <si>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</si>
  <si>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</si>
  <si>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</si>
  <si>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</si>
  <si>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</si>
  <si>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</si>
  <si>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</si>
  <si>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</si>
  <si>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</si>
  <si>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</si>
  <si>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</si>
  <si>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</si>
  <si>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</si>
  <si>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</si>
  <si>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</si>
  <si>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</si>
  <si>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</si>
  <si>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</si>
  <si>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</si>
  <si>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</si>
  <si>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</si>
  <si>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</si>
  <si>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</si>
  <si>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</si>
  <si>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</si>
  <si>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</si>
  <si>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</si>
  <si>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</si>
  <si>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</si>
  <si>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</si>
  <si>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</si>
  <si>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</si>
  <si>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</si>
  <si>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</si>
  <si>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</si>
  <si>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</si>
  <si>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</si>
  <si>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</si>
  <si>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</si>
  <si>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</si>
  <si>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</si>
  <si>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</si>
  <si>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</si>
  <si>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</si>
  <si>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</si>
  <si>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</si>
  <si>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</si>
  <si>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</si>
  <si>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</si>
  <si>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</si>
  <si>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</si>
  <si>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</si>
  <si>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</si>
  <si>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</si>
  <si>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</si>
  <si>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</si>
  <si>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</si>
  <si>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</si>
  <si>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</si>
  <si>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</si>
  <si>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</si>
  <si>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</si>
  <si>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</si>
  <si>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</si>
  <si>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</si>
  <si>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</si>
  <si>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</si>
  <si>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</si>
  <si>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</si>
  <si>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</si>
  <si>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</si>
  <si>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</si>
  <si>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</si>
  <si>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</si>
  <si>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</si>
  <si>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</si>
  <si>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</si>
  <si>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</si>
  <si>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</si>
  <si>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</si>
  <si>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</si>
  <si>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</si>
  <si>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</si>
  <si>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</si>
  <si>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</si>
  <si>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</si>
  <si>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</si>
  <si>
    <t>Topalli et al.</t>
  </si>
  <si>
    <t>Eye-Hand Coordination Patterns of Intermediate and Novice Surgeons in a Simulation-Based Endoscopic Surgery Training Environment</t>
  </si>
  <si>
    <t>Journal of Eye Movement Research</t>
  </si>
  <si>
    <t>Endoscopy</t>
  </si>
  <si>
    <t>Simulated training tasks</t>
  </si>
  <si>
    <t>Reports "Stand still duration", which measures the time when tools were still. Corresponds roughly to idle time. Compares novices and intermediates</t>
  </si>
  <si>
    <t>Mean values estimated from boxplot. Standard deviations were not given, I used the similar-ish values as in our study (i = 0), so novice's SD is about 1/5 of the mean, experts is 1/12. Measured jerk with "jerkiness score"</t>
  </si>
  <si>
    <t>Technique</t>
  </si>
  <si>
    <t>Task</t>
  </si>
  <si>
    <t>Note</t>
  </si>
  <si>
    <t>Animal organ training task</t>
  </si>
  <si>
    <t>Values estimated from boxplot, used results for US hook</t>
  </si>
  <si>
    <t>Values not reported directly in paper, calculated from data</t>
  </si>
  <si>
    <t>Results for needle extraction phase (c), estimated from boxplot. Maximum needle gripping force</t>
  </si>
  <si>
    <t>Prasad et al.</t>
  </si>
  <si>
    <t>Objective Assessment of Laparoscopic Force and Psychomotor Skills in a Novel Virtual Reality-Based Haptic Simulator</t>
  </si>
  <si>
    <t>Virtual reality haptic simulator</t>
  </si>
  <si>
    <t>Results estimated from boxplot. Whole group data (subplot a) reported here.</t>
  </si>
  <si>
    <t>Horeman et al.</t>
  </si>
  <si>
    <t>Assessment of Laparoscopic Skills Based on Force and Motion Parameters</t>
  </si>
  <si>
    <t>IEEE Transactions on Biomedical Engineering</t>
  </si>
  <si>
    <t>Results estimated from boxplot, for task 2. Max force values used.</t>
  </si>
  <si>
    <t>Trejos et al.</t>
  </si>
  <si>
    <t>Development of force-based metrics for skills assessment in minimally invasive surgery</t>
  </si>
  <si>
    <t>Simulated tumor removal and suturing</t>
  </si>
  <si>
    <t>Used results for max grasp force, values evaluated from Fig. 4 (a). Compared experience level 1 and 6</t>
  </si>
  <si>
    <t>Woodrow et al.</t>
  </si>
  <si>
    <t>Training and evaluating spinal surgeons: The development of novel performance measures</t>
  </si>
  <si>
    <t>Spine</t>
  </si>
  <si>
    <t>Lumbar pedicle cannulation</t>
  </si>
  <si>
    <t>Values estimated from Fig. 2. Values are mean forces. Compared results for lumbar level L2.</t>
  </si>
  <si>
    <t>Sugiyama et al.</t>
  </si>
  <si>
    <t>JAMA Surgery</t>
  </si>
  <si>
    <t>Forces of Tool-Tissue Interaction to Assess Surgical Skill Level</t>
  </si>
  <si>
    <t xml:space="preserve">Evaluated values from Fig. 3 c. Standardizer, maximum force. </t>
  </si>
  <si>
    <t>Real neurosurgical procedures with various conditions</t>
  </si>
  <si>
    <t>Shafiel et al.</t>
  </si>
  <si>
    <t>Motor Skill Evaluation During Robot-Assisted Surgery</t>
  </si>
  <si>
    <t>Volume 5A: 41st Mechanisms and Robotics Conference</t>
  </si>
  <si>
    <t>Simple interrupted suturing</t>
  </si>
  <si>
    <t>Did not report SDs for motion metrics. I estimated SD from the subjective grading fluidity of motion SD, so acceleration SD = acceleration Mean * (grade SD/grade Mean).</t>
  </si>
  <si>
    <t>Used results for without secondary task</t>
  </si>
  <si>
    <t>Junior and Senior residents. Did task with and without secondary task (to add distractions). Acceleration was reported for three degrees of freedom of motion (yaw, pitch, roll). Results here are for Roll and NO secondary task.</t>
  </si>
  <si>
    <t>First subtask results</t>
  </si>
  <si>
    <t>Study reported left and right hand movements separately, I picked left hand. First subtask</t>
  </si>
  <si>
    <t>Chmarra et al.</t>
  </si>
  <si>
    <t>Objective classification of residents based on their psychomotor laparoscopic skills</t>
  </si>
  <si>
    <t>Values estimated from plots, used the pipe cleaner task results.</t>
  </si>
  <si>
    <t>Values given as medians. Sd estimated from boxplot</t>
  </si>
  <si>
    <t>Mackenzie et al.</t>
  </si>
  <si>
    <t>Goldbraikh et al.</t>
  </si>
  <si>
    <t>Robotic Surgery</t>
  </si>
  <si>
    <t>Nickel et al.</t>
  </si>
  <si>
    <t>Direct Observation versus Endoscopic Video Recording-Based Rating with the Objective Structured Assessment of Technical Skills for Training of Laparoscopic Cholecystectomy</t>
  </si>
  <si>
    <t>European Surgical Research</t>
  </si>
  <si>
    <t>OSATS score from Table 1, direct observation, novices and experts compared</t>
  </si>
  <si>
    <t>Paley et al.</t>
  </si>
  <si>
    <t>Crowdsourced Assessment of Surgical Skill Proficiency in Cataract Surgery</t>
  </si>
  <si>
    <t>Used modified OSATS. SD estimated from Figure 1F. Used expert ratings.</t>
  </si>
  <si>
    <t>Kassab et al.</t>
  </si>
  <si>
    <t>"Blowing up the barriers" in surgical training: Exploring and validating the concept of distributed simulation</t>
  </si>
  <si>
    <t>Study had two tasks, results are for DS (distributed simulation) because these results were given in the text (box trainer results only as figure). Note that DS was novel task developed for this study.</t>
  </si>
  <si>
    <t>Black et al.</t>
  </si>
  <si>
    <t>Assessment of surgical competence at carotid endarterectomy under local anaesthesia in a simulated operating theatre</t>
  </si>
  <si>
    <t>British Journal of Surgery</t>
  </si>
  <si>
    <t>Results for crisis scenario</t>
  </si>
  <si>
    <t>Willems et al.</t>
  </si>
  <si>
    <t>Assessing Endovascular Skills using the Simulator for Testing and Rating Endovascular Skills (STRESS) Machine</t>
  </si>
  <si>
    <t>European Journal of Vascular and Endovascular Surgery</t>
  </si>
  <si>
    <t>Combination of OSATS and some other score? May not be suitable for comparison here. Remove in the future. SDs estimated from Figure 2.</t>
  </si>
  <si>
    <t>Leong et al.</t>
  </si>
  <si>
    <t>Validation of orthopaedic bench models for trauma surgery</t>
  </si>
  <si>
    <t>Journal of Bone and Joint Surgery - Series B</t>
  </si>
  <si>
    <t>Used results for DCP, dynamic comperssion plate. Esimtaed values from boxplot.</t>
  </si>
  <si>
    <t>Hance et al.</t>
  </si>
  <si>
    <t>Objective assessment of technical skills in cardiac surgery</t>
  </si>
  <si>
    <t>European Journal of Cardio-thoracic Surgery</t>
  </si>
  <si>
    <t>LAD anastomosis</t>
  </si>
  <si>
    <t>Paper reported several tasks, live and blinded scoring. Values here are for LAD anastomosis, blinded scoring.</t>
  </si>
  <si>
    <t>Erridge et al.</t>
  </si>
  <si>
    <t>Comparison of gaze behaviour of trainee and experienced surgeons during laparoscopic gastric bypass</t>
  </si>
  <si>
    <t>Gastric bypass</t>
  </si>
  <si>
    <t>Results for Segment 1, maximum pupil size</t>
  </si>
  <si>
    <t>Zevin et al.</t>
  </si>
  <si>
    <t>Development, feasibility, validity, and reliability of a scale for objective assessment of operative performance in laparoscopic gastric bypass surgery</t>
  </si>
  <si>
    <t>Results are for Jejunojejunostomy</t>
  </si>
  <si>
    <t>Araki et al.</t>
  </si>
  <si>
    <t>Comparison of the performance of experienced and novice surgeons: measurement of gripping force during laparoscopic surgery performed on pigs using forceps with pressure sensors</t>
  </si>
  <si>
    <t>The plot shows that novices grasped with force that is slightly over 8, but the text reports 7.15. Typo in text? SDs evaluated from boxplots. 4 novices and 4 experts, task completed twice.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</si>
</sst>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tabSelected="1" workbookViewId="0">
      <selection activeCell="F10" sqref="F10"/>
    </sheetView>
  </sheetViews>
  <sheetFormatPr defaultRowHeight="14.4" x14ac:dyDescent="0.3"/>
  <cols>
    <col min="2" max="2" width="16.44140625" customWidth="1"/>
    <col min="5" max="5" width="18.88671875" customWidth="1"/>
    <col min="6" max="6" width="27" customWidth="1"/>
    <col min="10" max="12" width="8.88671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16</v>
      </c>
      <c r="E2" t="s">
        <v>14</v>
      </c>
      <c r="F2" t="s">
        <v>72</v>
      </c>
      <c r="G2" t="s">
        <v>9</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12</v>
      </c>
      <c r="C3">
        <v>2021</v>
      </c>
      <c r="D3" t="s">
        <v>15</v>
      </c>
      <c r="E3" t="s">
        <v>19</v>
      </c>
      <c r="F3" t="s">
        <v>72</v>
      </c>
      <c r="G3" t="s">
        <v>11</v>
      </c>
      <c r="I3">
        <v>18</v>
      </c>
      <c r="J3">
        <v>330.02</v>
      </c>
      <c r="K3">
        <v>96.52</v>
      </c>
      <c r="L3">
        <v>19</v>
      </c>
      <c r="M3">
        <v>258.52</v>
      </c>
      <c r="N3">
        <v>102.14</v>
      </c>
      <c r="O3">
        <f t="shared" ref="O3:O26" si="0">SQRT(((I3-1)*POWER(K3,2) + (L3-1)*POWER(N3,2))/((I3-1)+(L3-1)))</f>
        <v>99.449960080434423</v>
      </c>
      <c r="P3">
        <f t="shared" ref="P3:P26" si="1">(J3-M3)/O3</f>
        <v>0.71895453695679024</v>
      </c>
      <c r="Q3">
        <f t="shared" ref="Q3:Q26" si="2">P3*(1- (3/(4*(I3+L3)-9)))</f>
        <v>0.70343753256203934</v>
      </c>
      <c r="R3">
        <f t="shared" ref="R3:R26" si="3">SQRT((I3+L3)/(I3*L3)+(POWER(P3,2)/(2*(I3+L3))))</f>
        <v>0.33937031474894647</v>
      </c>
    </row>
    <row r="4" spans="1:18" x14ac:dyDescent="0.3">
      <c r="A4">
        <v>2</v>
      </c>
      <c r="B4" t="s">
        <v>17</v>
      </c>
      <c r="C4">
        <v>2015</v>
      </c>
      <c r="D4" t="s">
        <v>18</v>
      </c>
      <c r="E4" t="s">
        <v>19</v>
      </c>
      <c r="F4" t="s">
        <v>72</v>
      </c>
      <c r="G4" t="s">
        <v>20</v>
      </c>
      <c r="H4" t="s">
        <v>29</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26</v>
      </c>
      <c r="C5">
        <v>2016</v>
      </c>
      <c r="D5" t="s">
        <v>27</v>
      </c>
      <c r="E5" t="s">
        <v>28</v>
      </c>
      <c r="F5" t="s">
        <v>307</v>
      </c>
      <c r="G5" t="s">
        <v>20</v>
      </c>
      <c r="H5" t="s">
        <v>30</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31</v>
      </c>
      <c r="C6">
        <v>2009</v>
      </c>
      <c r="D6" t="s">
        <v>32</v>
      </c>
      <c r="E6" t="s">
        <v>33</v>
      </c>
      <c r="F6" t="s">
        <v>307</v>
      </c>
      <c r="G6" t="s">
        <v>34</v>
      </c>
      <c r="H6" t="s">
        <v>35</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36</v>
      </c>
      <c r="C7">
        <v>2002</v>
      </c>
      <c r="D7" t="s">
        <v>37</v>
      </c>
      <c r="E7" t="s">
        <v>38</v>
      </c>
      <c r="F7" t="s">
        <v>77</v>
      </c>
      <c r="G7" t="s">
        <v>40</v>
      </c>
      <c r="H7" t="s">
        <v>41</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42</v>
      </c>
      <c r="C8">
        <v>2002</v>
      </c>
      <c r="D8" t="s">
        <v>43</v>
      </c>
      <c r="E8" t="s">
        <v>44</v>
      </c>
      <c r="F8" t="s">
        <v>77</v>
      </c>
      <c r="G8" t="s">
        <v>45</v>
      </c>
      <c r="H8" t="s">
        <v>46</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47</v>
      </c>
      <c r="C9">
        <v>2004</v>
      </c>
      <c r="D9" t="s">
        <v>48</v>
      </c>
      <c r="E9" t="s">
        <v>38</v>
      </c>
      <c r="F9" t="s">
        <v>77</v>
      </c>
      <c r="G9" t="s">
        <v>49</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50</v>
      </c>
      <c r="C10">
        <v>2008</v>
      </c>
      <c r="D10" t="s">
        <v>51</v>
      </c>
      <c r="E10" t="s">
        <v>52</v>
      </c>
      <c r="F10" t="s">
        <v>77</v>
      </c>
      <c r="G10" t="s">
        <v>53</v>
      </c>
      <c r="H10" t="s">
        <v>54</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55</v>
      </c>
      <c r="C11">
        <v>2009</v>
      </c>
      <c r="D11" t="s">
        <v>56</v>
      </c>
      <c r="E11" t="s">
        <v>38</v>
      </c>
      <c r="F11" t="s">
        <v>77</v>
      </c>
      <c r="G11" t="s">
        <v>57</v>
      </c>
      <c r="H11" t="s">
        <v>58</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59</v>
      </c>
      <c r="C12">
        <v>2020</v>
      </c>
      <c r="D12" t="s">
        <v>60</v>
      </c>
      <c r="E12" t="s">
        <v>28</v>
      </c>
      <c r="F12" t="s">
        <v>147</v>
      </c>
      <c r="G12" t="s">
        <v>61</v>
      </c>
      <c r="H12" t="s">
        <v>62</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63</v>
      </c>
      <c r="C13">
        <v>2004</v>
      </c>
      <c r="D13" t="s">
        <v>64</v>
      </c>
      <c r="E13" t="s">
        <v>65</v>
      </c>
      <c r="F13" t="s">
        <v>77</v>
      </c>
      <c r="G13" t="s">
        <v>66</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70</v>
      </c>
      <c r="C14">
        <v>2010</v>
      </c>
      <c r="D14" t="s">
        <v>71</v>
      </c>
      <c r="E14" t="s">
        <v>72</v>
      </c>
      <c r="F14" t="s">
        <v>72</v>
      </c>
      <c r="G14" t="s">
        <v>73</v>
      </c>
      <c r="H14" t="s">
        <v>74</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76</v>
      </c>
      <c r="C15">
        <v>1999</v>
      </c>
      <c r="D15" t="s">
        <v>75</v>
      </c>
      <c r="E15" t="s">
        <v>79</v>
      </c>
      <c r="F15" t="s">
        <v>77</v>
      </c>
      <c r="G15" t="s">
        <v>78</v>
      </c>
      <c r="H15" t="s">
        <v>80</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128</v>
      </c>
      <c r="C16">
        <v>2021</v>
      </c>
      <c r="D16" t="s">
        <v>129</v>
      </c>
      <c r="E16" t="s">
        <v>130</v>
      </c>
      <c r="F16" t="s">
        <v>77</v>
      </c>
      <c r="G16" t="s">
        <v>131</v>
      </c>
      <c r="H16" t="s">
        <v>132</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144</v>
      </c>
      <c r="C17">
        <v>2001</v>
      </c>
      <c r="D17" t="s">
        <v>145</v>
      </c>
      <c r="E17" t="s">
        <v>146</v>
      </c>
      <c r="F17" t="s">
        <v>147</v>
      </c>
      <c r="G17" t="s">
        <v>78</v>
      </c>
      <c r="H17" t="s">
        <v>148</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149</v>
      </c>
      <c r="C18">
        <v>2012</v>
      </c>
      <c r="D18" t="s">
        <v>150</v>
      </c>
      <c r="E18" t="s">
        <v>87</v>
      </c>
      <c r="F18" t="s">
        <v>77</v>
      </c>
      <c r="G18" t="s">
        <v>131</v>
      </c>
      <c r="H18" t="s">
        <v>299</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159</v>
      </c>
      <c r="C19">
        <v>2007</v>
      </c>
      <c r="D19" t="s">
        <v>160</v>
      </c>
      <c r="E19" t="s">
        <v>161</v>
      </c>
      <c r="F19" t="s">
        <v>77</v>
      </c>
      <c r="G19" t="s">
        <v>157</v>
      </c>
      <c r="H19" t="s">
        <v>162</v>
      </c>
      <c r="I19">
        <v>14</v>
      </c>
      <c r="J19">
        <v>2175</v>
      </c>
      <c r="K19">
        <f>(3127-1954)*(3/4)</f>
        <v>879.75</v>
      </c>
      <c r="L19">
        <v>33</v>
      </c>
      <c r="M19">
        <v>1979</v>
      </c>
      <c r="N19">
        <f>(2582-1137)*(3/4)</f>
        <v>1083.75</v>
      </c>
      <c r="O19">
        <f t="shared" si="0"/>
        <v>1028.9793304532409</v>
      </c>
      <c r="P19">
        <f t="shared" si="1"/>
        <v>0.19048001665268308</v>
      </c>
      <c r="Q19">
        <f t="shared" si="2"/>
        <v>0.18728761413895095</v>
      </c>
      <c r="R19">
        <f t="shared" si="3"/>
        <v>0.31955842537614054</v>
      </c>
    </row>
    <row r="20" spans="1:18" x14ac:dyDescent="0.3">
      <c r="A20">
        <v>18</v>
      </c>
      <c r="B20" t="s">
        <v>171</v>
      </c>
      <c r="C20">
        <v>2010</v>
      </c>
      <c r="D20" t="s">
        <v>172</v>
      </c>
      <c r="E20" t="s">
        <v>33</v>
      </c>
      <c r="F20" t="s">
        <v>77</v>
      </c>
      <c r="G20" t="s">
        <v>173</v>
      </c>
      <c r="I20">
        <v>6</v>
      </c>
      <c r="J20">
        <v>74.5</v>
      </c>
      <c r="K20">
        <v>13.44</v>
      </c>
      <c r="L20">
        <v>8</v>
      </c>
      <c r="M20">
        <v>56.56</v>
      </c>
      <c r="N20">
        <v>11.93</v>
      </c>
      <c r="O20">
        <f t="shared" si="0"/>
        <v>12.581210527343277</v>
      </c>
      <c r="P20">
        <f t="shared" si="1"/>
        <v>1.4259359193624681</v>
      </c>
      <c r="Q20">
        <f t="shared" si="2"/>
        <v>1.334918733020183</v>
      </c>
      <c r="R20">
        <f t="shared" si="3"/>
        <v>0.60355967608829919</v>
      </c>
    </row>
    <row r="21" spans="1:18" x14ac:dyDescent="0.3">
      <c r="A21">
        <v>19</v>
      </c>
      <c r="B21" t="s">
        <v>89</v>
      </c>
      <c r="C21">
        <v>2013</v>
      </c>
      <c r="D21" t="s">
        <v>178</v>
      </c>
      <c r="E21" t="s">
        <v>38</v>
      </c>
      <c r="F21" t="s">
        <v>77</v>
      </c>
      <c r="H21" t="s">
        <v>177</v>
      </c>
      <c r="I21">
        <v>11</v>
      </c>
      <c r="J21">
        <v>4.5</v>
      </c>
      <c r="K21">
        <f>3*(3/4)</f>
        <v>2.25</v>
      </c>
      <c r="L21">
        <v>7</v>
      </c>
      <c r="M21">
        <v>1.9</v>
      </c>
      <c r="N21">
        <v>0.4</v>
      </c>
      <c r="O21">
        <f t="shared" si="0"/>
        <v>1.7955674590502024</v>
      </c>
      <c r="P21">
        <f t="shared" si="1"/>
        <v>1.4480102025101951</v>
      </c>
      <c r="Q21">
        <f t="shared" si="2"/>
        <v>1.3790573357239952</v>
      </c>
      <c r="R21">
        <f t="shared" si="3"/>
        <v>0.54037841581818158</v>
      </c>
    </row>
    <row r="22" spans="1:18" x14ac:dyDescent="0.3">
      <c r="A22">
        <v>20</v>
      </c>
      <c r="B22" t="s">
        <v>226</v>
      </c>
      <c r="C22">
        <v>2018</v>
      </c>
      <c r="D22" t="s">
        <v>227</v>
      </c>
      <c r="E22" t="s">
        <v>228</v>
      </c>
      <c r="F22" t="s">
        <v>307</v>
      </c>
      <c r="G22" t="s">
        <v>230</v>
      </c>
      <c r="H22" t="s">
        <v>231</v>
      </c>
      <c r="I22">
        <v>42</v>
      </c>
      <c r="J22">
        <v>26.8</v>
      </c>
      <c r="K22">
        <f>SQRT(I22)*(29-24.2)/3.92</f>
        <v>7.9356008551933002</v>
      </c>
      <c r="L22">
        <v>54</v>
      </c>
      <c r="M22">
        <v>10.6</v>
      </c>
      <c r="N22">
        <f>SQRT(L22)*(12.5-9)/3.92</f>
        <v>6.5611332395977984</v>
      </c>
      <c r="O22">
        <f t="shared" si="0"/>
        <v>7.1930027137798414</v>
      </c>
      <c r="P22">
        <f t="shared" si="1"/>
        <v>2.252188779098498</v>
      </c>
      <c r="Q22">
        <f t="shared" si="2"/>
        <v>2.23417126886571</v>
      </c>
      <c r="R22">
        <f t="shared" si="3"/>
        <v>0.26219564124906203</v>
      </c>
    </row>
    <row r="23" spans="1:18" x14ac:dyDescent="0.3">
      <c r="A23">
        <v>21</v>
      </c>
      <c r="B23" t="s">
        <v>163</v>
      </c>
      <c r="C23">
        <v>2011</v>
      </c>
      <c r="D23" t="s">
        <v>233</v>
      </c>
      <c r="E23" t="s">
        <v>33</v>
      </c>
      <c r="F23" t="s">
        <v>77</v>
      </c>
      <c r="G23" t="s">
        <v>57</v>
      </c>
      <c r="H23" t="s">
        <v>235</v>
      </c>
      <c r="I23">
        <v>9</v>
      </c>
      <c r="J23">
        <v>279</v>
      </c>
      <c r="K23">
        <v>22</v>
      </c>
      <c r="L23">
        <v>9</v>
      </c>
      <c r="M23">
        <v>180</v>
      </c>
      <c r="N23">
        <v>19</v>
      </c>
      <c r="O23">
        <f t="shared" si="0"/>
        <v>20.554804791094465</v>
      </c>
      <c r="P23">
        <f t="shared" si="1"/>
        <v>4.8163921285641473</v>
      </c>
      <c r="Q23">
        <f t="shared" si="2"/>
        <v>4.587040122442045</v>
      </c>
      <c r="R23">
        <f t="shared" si="3"/>
        <v>0.93091402419722646</v>
      </c>
    </row>
    <row r="24" spans="1:18" x14ac:dyDescent="0.3">
      <c r="A24">
        <v>22</v>
      </c>
      <c r="B24" t="s">
        <v>201</v>
      </c>
      <c r="C24">
        <v>2009</v>
      </c>
      <c r="D24" t="s">
        <v>202</v>
      </c>
      <c r="E24" t="s">
        <v>154</v>
      </c>
      <c r="F24" t="s">
        <v>77</v>
      </c>
      <c r="G24" t="s">
        <v>203</v>
      </c>
      <c r="H24" t="s">
        <v>239</v>
      </c>
      <c r="I24">
        <v>10</v>
      </c>
      <c r="J24">
        <v>500</v>
      </c>
      <c r="K24">
        <f>(200/2.5)*(3/4)</f>
        <v>60</v>
      </c>
      <c r="L24">
        <v>10</v>
      </c>
      <c r="M24">
        <v>175</v>
      </c>
      <c r="N24">
        <f>(200/3)*(3/4)</f>
        <v>50</v>
      </c>
      <c r="O24">
        <f t="shared" si="0"/>
        <v>55.226805085936306</v>
      </c>
      <c r="P24">
        <f t="shared" si="1"/>
        <v>5.8848234927637044</v>
      </c>
      <c r="Q24">
        <f t="shared" si="2"/>
        <v>5.6361689789849567</v>
      </c>
      <c r="R24">
        <f t="shared" si="3"/>
        <v>1.0323655789131048</v>
      </c>
    </row>
    <row r="25" spans="1:18" x14ac:dyDescent="0.3">
      <c r="A25">
        <v>23</v>
      </c>
      <c r="B25" t="s">
        <v>245</v>
      </c>
      <c r="C25">
        <v>2021</v>
      </c>
      <c r="D25" t="s">
        <v>246</v>
      </c>
      <c r="E25" t="s">
        <v>28</v>
      </c>
      <c r="F25" t="s">
        <v>77</v>
      </c>
      <c r="G25" t="s">
        <v>131</v>
      </c>
      <c r="H25" t="s">
        <v>297</v>
      </c>
      <c r="I25">
        <v>14</v>
      </c>
      <c r="J25">
        <v>84.5</v>
      </c>
      <c r="K25">
        <v>27.9</v>
      </c>
      <c r="L25">
        <v>23</v>
      </c>
      <c r="M25">
        <v>71.099999999999994</v>
      </c>
      <c r="N25">
        <v>20.3</v>
      </c>
      <c r="O25">
        <f t="shared" si="0"/>
        <v>23.412640053734101</v>
      </c>
      <c r="P25">
        <f t="shared" si="1"/>
        <v>0.57234040967809729</v>
      </c>
      <c r="Q25">
        <f t="shared" si="2"/>
        <v>0.55998773896562037</v>
      </c>
      <c r="R25">
        <f t="shared" si="3"/>
        <v>0.34544681474734895</v>
      </c>
    </row>
    <row r="26" spans="1:18" x14ac:dyDescent="0.3">
      <c r="A26">
        <v>24</v>
      </c>
      <c r="B26" t="s">
        <v>301</v>
      </c>
      <c r="C26">
        <v>2010</v>
      </c>
      <c r="D26" t="s">
        <v>302</v>
      </c>
      <c r="E26" t="s">
        <v>38</v>
      </c>
      <c r="F26" t="s">
        <v>77</v>
      </c>
      <c r="G26" t="s">
        <v>131</v>
      </c>
      <c r="H26" t="s">
        <v>303</v>
      </c>
      <c r="I26">
        <v>11</v>
      </c>
      <c r="J26">
        <f>(3/7)*400</f>
        <v>171.42857142857142</v>
      </c>
      <c r="K26">
        <f>(400*(2/5))*(3/4)</f>
        <v>120</v>
      </c>
      <c r="L26">
        <v>10</v>
      </c>
      <c r="M26">
        <f>400/5</f>
        <v>80</v>
      </c>
      <c r="N26">
        <f>(400/10)*(3/4)</f>
        <v>30</v>
      </c>
      <c r="O26">
        <f t="shared" si="0"/>
        <v>89.472136209519093</v>
      </c>
      <c r="P26">
        <f t="shared" si="1"/>
        <v>1.021866418998546</v>
      </c>
      <c r="Q26">
        <f t="shared" si="2"/>
        <v>0.98099176223860418</v>
      </c>
      <c r="R26">
        <f t="shared" si="3"/>
        <v>0.46451184813580504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2"/>
  <sheetViews>
    <sheetView workbookViewId="0">
      <selection activeCell="G12" sqref="G12"/>
    </sheetView>
  </sheetViews>
  <sheetFormatPr defaultRowHeight="14.4" x14ac:dyDescent="0.3"/>
  <cols>
    <col min="2" max="2" width="18.66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144</v>
      </c>
      <c r="C2">
        <v>2001</v>
      </c>
      <c r="D2" t="s">
        <v>145</v>
      </c>
      <c r="E2" t="s">
        <v>146</v>
      </c>
      <c r="F2" t="s">
        <v>147</v>
      </c>
      <c r="G2" t="s">
        <v>78</v>
      </c>
      <c r="H2" t="s">
        <v>148</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149</v>
      </c>
      <c r="C3">
        <v>2012</v>
      </c>
      <c r="D3" t="s">
        <v>150</v>
      </c>
      <c r="E3" t="s">
        <v>87</v>
      </c>
      <c r="F3" t="s">
        <v>77</v>
      </c>
      <c r="G3" t="s">
        <v>131</v>
      </c>
      <c r="H3" t="s">
        <v>151</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67</v>
      </c>
      <c r="E4" t="s">
        <v>14</v>
      </c>
      <c r="F4" t="s">
        <v>68</v>
      </c>
      <c r="G4" t="s">
        <v>20</v>
      </c>
      <c r="H4" t="s">
        <v>69</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152</v>
      </c>
      <c r="C5">
        <v>2003</v>
      </c>
      <c r="D5" t="s">
        <v>153</v>
      </c>
      <c r="E5" t="s">
        <v>154</v>
      </c>
      <c r="F5" t="s">
        <v>147</v>
      </c>
      <c r="G5" t="s">
        <v>155</v>
      </c>
      <c r="H5" t="s">
        <v>156</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36</v>
      </c>
      <c r="C6">
        <v>2002</v>
      </c>
      <c r="D6" t="s">
        <v>37</v>
      </c>
      <c r="E6" t="s">
        <v>38</v>
      </c>
      <c r="F6" t="s">
        <v>77</v>
      </c>
      <c r="G6" t="s">
        <v>157</v>
      </c>
      <c r="H6" t="s">
        <v>158</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159</v>
      </c>
      <c r="C7">
        <v>2007</v>
      </c>
      <c r="D7" t="s">
        <v>160</v>
      </c>
      <c r="E7" t="s">
        <v>161</v>
      </c>
      <c r="F7" t="s">
        <v>77</v>
      </c>
      <c r="G7" t="s">
        <v>157</v>
      </c>
      <c r="H7" t="s">
        <v>162</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163</v>
      </c>
      <c r="C8">
        <v>2007</v>
      </c>
      <c r="D8" t="s">
        <v>164</v>
      </c>
      <c r="E8" t="s">
        <v>38</v>
      </c>
      <c r="F8" t="s">
        <v>77</v>
      </c>
      <c r="G8" t="s">
        <v>165</v>
      </c>
      <c r="H8" t="s">
        <v>166</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306</v>
      </c>
      <c r="C9">
        <v>2021</v>
      </c>
      <c r="D9" t="s">
        <v>167</v>
      </c>
      <c r="E9" t="s">
        <v>87</v>
      </c>
      <c r="H9" t="s">
        <v>168</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26</v>
      </c>
      <c r="C10">
        <v>2016</v>
      </c>
      <c r="D10" t="s">
        <v>169</v>
      </c>
      <c r="E10" t="s">
        <v>28</v>
      </c>
      <c r="F10" t="s">
        <v>136</v>
      </c>
      <c r="G10" t="s">
        <v>155</v>
      </c>
      <c r="H10" t="s">
        <v>170</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171</v>
      </c>
      <c r="C11">
        <v>2010</v>
      </c>
      <c r="D11" t="s">
        <v>172</v>
      </c>
      <c r="E11" t="s">
        <v>33</v>
      </c>
      <c r="F11" t="s">
        <v>77</v>
      </c>
      <c r="G11" t="s">
        <v>173</v>
      </c>
      <c r="H11" t="s">
        <v>174</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89</v>
      </c>
      <c r="C12">
        <v>2013</v>
      </c>
      <c r="D12" t="s">
        <v>178</v>
      </c>
      <c r="E12" t="s">
        <v>38</v>
      </c>
      <c r="F12" t="s">
        <v>77</v>
      </c>
      <c r="H12" t="s">
        <v>177</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3"/>
  <sheetViews>
    <sheetView workbookViewId="0">
      <selection activeCell="F7" sqref="F7"/>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134</v>
      </c>
      <c r="C2">
        <v>2020</v>
      </c>
      <c r="D2" t="s">
        <v>133</v>
      </c>
      <c r="E2" t="s">
        <v>135</v>
      </c>
      <c r="F2" t="s">
        <v>136</v>
      </c>
      <c r="G2" t="s">
        <v>137</v>
      </c>
      <c r="H2" t="s">
        <v>138</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row r="3" spans="1:18" x14ac:dyDescent="0.3">
      <c r="A3">
        <v>1</v>
      </c>
      <c r="B3" t="s">
        <v>335</v>
      </c>
      <c r="C3">
        <v>2018</v>
      </c>
      <c r="D3" t="s">
        <v>336</v>
      </c>
      <c r="E3" t="s">
        <v>320</v>
      </c>
      <c r="F3" t="s">
        <v>77</v>
      </c>
      <c r="G3" t="s">
        <v>337</v>
      </c>
      <c r="H3" t="s">
        <v>338</v>
      </c>
      <c r="I3">
        <v>2</v>
      </c>
      <c r="J3">
        <v>1</v>
      </c>
      <c r="K3">
        <f>(1.7-0.4)*(3/4)</f>
        <v>0.97499999999999987</v>
      </c>
      <c r="L3">
        <v>2</v>
      </c>
      <c r="M3">
        <v>0.3</v>
      </c>
      <c r="N3">
        <f>(0.4-0.3)*(3/4)</f>
        <v>7.5000000000000025E-2</v>
      </c>
      <c r="O3">
        <f t="shared" ref="O3" si="0">SQRT(((I3-1)*POWER(K3,2) + (L3-1)*POWER(N3,2))/((I3-1)+(L3-1)))</f>
        <v>0.6914658342969664</v>
      </c>
      <c r="P3">
        <f t="shared" ref="P3" si="1">(J3-M3)/O3</f>
        <v>1.0123421364870624</v>
      </c>
      <c r="Q3">
        <f t="shared" ref="Q3" si="2">P3*(1- (3/(4*(I3+L3)-9)))</f>
        <v>0.57848122084974996</v>
      </c>
      <c r="R3">
        <f t="shared" ref="R3" si="3">SQRT((I3+L3)/(I3*L3)+(POWER(P3,2)/(2*(I3+L3))))</f>
        <v>1.0621226742534964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9462-4AD5-4A95-B8F1-A29FBB82FC76}">
  <dimension ref="A1:R2"/>
  <sheetViews>
    <sheetView workbookViewId="0">
      <selection activeCell="R1" sqref="A1:R1"/>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268</v>
      </c>
      <c r="I2">
        <v>30</v>
      </c>
      <c r="J2">
        <v>1.8</v>
      </c>
      <c r="K2">
        <v>0.85</v>
      </c>
      <c r="L2">
        <v>30</v>
      </c>
      <c r="M2">
        <v>4.13</v>
      </c>
      <c r="N2">
        <v>0.68</v>
      </c>
      <c r="O2">
        <f t="shared" ref="O2" si="0">SQRT(((I2-1)*POWER(K2,2) + (L2-1)*POWER(N2,2))/((I2-1)+(L2-1)))</f>
        <v>0.76970773674168036</v>
      </c>
      <c r="P2">
        <f t="shared" ref="P2" si="1">(J2-M2)/O2</f>
        <v>-3.0271230088752055</v>
      </c>
      <c r="Q2">
        <f t="shared" ref="Q2" si="2">P2*(1- (3/(4*(I2+L2)-9)))</f>
        <v>-2.9878097230456575</v>
      </c>
      <c r="R2">
        <f t="shared" ref="R2" si="3">SQRT((I2+L2)/(I2*L2)+(POWER(P2,2)/(2*(I2+L2))))</f>
        <v>0.37819168101706574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B5582-C584-406A-ABB8-AA0332D414F1}">
  <dimension ref="A1:R8"/>
  <sheetViews>
    <sheetView workbookViewId="0">
      <selection activeCell="M12" sqref="M12"/>
    </sheetView>
  </sheetViews>
  <sheetFormatPr defaultRowHeight="14.4" x14ac:dyDescent="0.3"/>
  <cols>
    <col min="2" max="2" width="16.66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17</v>
      </c>
      <c r="C2">
        <v>2015</v>
      </c>
      <c r="D2" t="s">
        <v>236</v>
      </c>
      <c r="E2" t="s">
        <v>19</v>
      </c>
      <c r="F2" t="s">
        <v>72</v>
      </c>
      <c r="G2" t="s">
        <v>237</v>
      </c>
      <c r="H2" t="s">
        <v>269</v>
      </c>
      <c r="I2">
        <v>23</v>
      </c>
      <c r="J2">
        <v>1</v>
      </c>
      <c r="K2">
        <f>1*(3/4)</f>
        <v>0.75</v>
      </c>
      <c r="L2">
        <v>19</v>
      </c>
      <c r="M2">
        <f>2/3</f>
        <v>0.66666666666666663</v>
      </c>
      <c r="N2">
        <f>0.5*(3/4)</f>
        <v>0.375</v>
      </c>
      <c r="O2">
        <f t="shared" ref="O2" si="0">SQRT(((I2-1)*POWER(K2,2) + (L2-1)*POWER(N2,2))/((I2-1)+(L2-1)))</f>
        <v>0.61045577235373905</v>
      </c>
      <c r="P2">
        <f t="shared" ref="P2" si="1">(J2-M2)/O2</f>
        <v>0.54604010385240109</v>
      </c>
      <c r="Q2">
        <f t="shared" ref="Q2" si="2">P2*(1- (3/(4*(I2+L2)-9)))</f>
        <v>0.53573746038348791</v>
      </c>
      <c r="R2">
        <f t="shared" ref="R2" si="3">SQRT((I2+L2)/(I2*L2)+(POWER(P2,2)/(2*(I2+L2))))</f>
        <v>0.31568870931055087</v>
      </c>
    </row>
    <row r="3" spans="1:18" x14ac:dyDescent="0.3">
      <c r="A3">
        <v>1</v>
      </c>
      <c r="B3" t="s">
        <v>270</v>
      </c>
      <c r="C3">
        <v>2016</v>
      </c>
      <c r="D3" t="s">
        <v>271</v>
      </c>
      <c r="E3" t="s">
        <v>28</v>
      </c>
      <c r="F3" t="s">
        <v>77</v>
      </c>
      <c r="G3" t="s">
        <v>272</v>
      </c>
      <c r="H3" t="s">
        <v>273</v>
      </c>
      <c r="I3">
        <v>25</v>
      </c>
      <c r="J3">
        <v>10</v>
      </c>
      <c r="K3">
        <f>4*(3/4)</f>
        <v>3</v>
      </c>
      <c r="L3">
        <v>25</v>
      </c>
      <c r="M3">
        <v>7</v>
      </c>
      <c r="N3">
        <f>2*(3/4)</f>
        <v>1.5</v>
      </c>
      <c r="O3">
        <f t="shared" ref="O3" si="4">SQRT(((I3-1)*POWER(K3,2) + (L3-1)*POWER(N3,2))/((I3-1)+(L3-1)))</f>
        <v>2.3717082451262845</v>
      </c>
      <c r="P3">
        <f t="shared" ref="P3" si="5">(J3-M3)/O3</f>
        <v>1.2649110640673518</v>
      </c>
      <c r="Q3">
        <f t="shared" ref="Q3" si="6">P3*(1- (3/(4*(I3+L3)-9)))</f>
        <v>1.2450433510191734</v>
      </c>
      <c r="R3">
        <f t="shared" ref="R3" si="7">SQRT((I3+L3)/(I3*L3)+(POWER(P3,2)/(2*(I3+L3))))</f>
        <v>0.30983866769659335</v>
      </c>
    </row>
    <row r="4" spans="1:18" x14ac:dyDescent="0.3">
      <c r="A4">
        <v>3</v>
      </c>
      <c r="B4" t="s">
        <v>274</v>
      </c>
      <c r="C4">
        <v>2014</v>
      </c>
      <c r="D4" t="s">
        <v>275</v>
      </c>
      <c r="E4" t="s">
        <v>276</v>
      </c>
      <c r="F4" t="s">
        <v>77</v>
      </c>
      <c r="G4" t="s">
        <v>131</v>
      </c>
      <c r="H4" t="s">
        <v>277</v>
      </c>
      <c r="I4">
        <v>12</v>
      </c>
      <c r="J4">
        <v>10</v>
      </c>
      <c r="K4">
        <f>4*(3/4)</f>
        <v>3</v>
      </c>
      <c r="L4">
        <v>11</v>
      </c>
      <c r="M4">
        <v>2.5</v>
      </c>
      <c r="N4">
        <f>3*(3/4)</f>
        <v>2.25</v>
      </c>
      <c r="O4">
        <f t="shared" ref="O4" si="8">SQRT(((I4-1)*POWER(K4,2) + (L4-1)*POWER(N4,2))/((I4-1)+(L4-1)))</f>
        <v>2.6692695630078278</v>
      </c>
      <c r="P4">
        <f t="shared" ref="P4" si="9">(J4-M4)/O4</f>
        <v>2.809757434745082</v>
      </c>
      <c r="Q4">
        <f t="shared" ref="Q4" si="10">P4*(1- (3/(4*(I4+L4)-9)))</f>
        <v>2.7081999371036933</v>
      </c>
      <c r="R4">
        <f t="shared" ref="R4" si="11">SQRT((I4+L4)/(I4*L4)+(POWER(P4,2)/(2*(I4+L4))))</f>
        <v>0.58810470003328008</v>
      </c>
    </row>
    <row r="5" spans="1:18" x14ac:dyDescent="0.3">
      <c r="A5">
        <v>4</v>
      </c>
      <c r="B5" t="s">
        <v>278</v>
      </c>
      <c r="C5">
        <v>2014</v>
      </c>
      <c r="D5" t="s">
        <v>279</v>
      </c>
      <c r="E5" t="s">
        <v>33</v>
      </c>
      <c r="F5" t="s">
        <v>77</v>
      </c>
      <c r="G5" t="s">
        <v>280</v>
      </c>
      <c r="H5" t="s">
        <v>281</v>
      </c>
      <c r="I5">
        <v>6</v>
      </c>
      <c r="J5">
        <v>20</v>
      </c>
      <c r="K5">
        <v>8</v>
      </c>
      <c r="L5">
        <v>6</v>
      </c>
      <c r="M5">
        <v>7.5</v>
      </c>
      <c r="N5">
        <v>7</v>
      </c>
      <c r="O5">
        <f t="shared" ref="O5" si="12">SQRT(((I5-1)*POWER(K5,2) + (L5-1)*POWER(N5,2))/((I5-1)+(L5-1)))</f>
        <v>7.5166481891864541</v>
      </c>
      <c r="P5">
        <f t="shared" ref="P5" si="13">(J5-M5)/O5</f>
        <v>1.6629752630943482</v>
      </c>
      <c r="Q5">
        <f t="shared" ref="Q5" si="14">P5*(1- (3/(4*(I5+L5)-9)))</f>
        <v>1.5350540890101676</v>
      </c>
      <c r="R5">
        <f t="shared" ref="R5" si="15">SQRT((I5+L5)/(I5*L5)+(POWER(P5,2)/(2*(I5+L5))))</f>
        <v>0.66974767405542723</v>
      </c>
    </row>
    <row r="6" spans="1:18" x14ac:dyDescent="0.3">
      <c r="A6">
        <v>5</v>
      </c>
      <c r="B6" t="s">
        <v>282</v>
      </c>
      <c r="C6">
        <v>2007</v>
      </c>
      <c r="D6" t="s">
        <v>283</v>
      </c>
      <c r="E6" t="s">
        <v>284</v>
      </c>
      <c r="F6" t="s">
        <v>147</v>
      </c>
      <c r="G6" t="s">
        <v>285</v>
      </c>
      <c r="H6" t="s">
        <v>286</v>
      </c>
      <c r="I6">
        <v>12</v>
      </c>
      <c r="J6">
        <v>122</v>
      </c>
      <c r="K6">
        <f>12*(3/4)</f>
        <v>9</v>
      </c>
      <c r="L6">
        <v>7</v>
      </c>
      <c r="M6">
        <v>88</v>
      </c>
      <c r="N6">
        <f>10*(3/4)</f>
        <v>7.5</v>
      </c>
      <c r="O6">
        <f t="shared" ref="O6:O8" si="16">SQRT(((I6-1)*POWER(K6,2) + (L6-1)*POWER(N6,2))/((I6-1)+(L6-1)))</f>
        <v>8.5008650078890753</v>
      </c>
      <c r="P6">
        <f t="shared" ref="P6:P8" si="17">(J6-M6)/O6</f>
        <v>3.9995929788847264</v>
      </c>
      <c r="Q6">
        <f t="shared" ref="Q6:Q8" si="18">P6*(1- (3/(4*(I6+L6)-9)))</f>
        <v>3.8205067260988432</v>
      </c>
      <c r="R6">
        <f t="shared" ref="R6:R8" si="19">SQRT((I6+L6)/(I6*L6)+(POWER(P6,2)/(2*(I6+L6))))</f>
        <v>0.80446095211216628</v>
      </c>
    </row>
    <row r="7" spans="1:18" x14ac:dyDescent="0.3">
      <c r="A7">
        <v>6</v>
      </c>
      <c r="B7" t="s">
        <v>287</v>
      </c>
      <c r="C7">
        <v>2018</v>
      </c>
      <c r="D7" t="s">
        <v>289</v>
      </c>
      <c r="E7" t="s">
        <v>288</v>
      </c>
      <c r="F7" t="s">
        <v>72</v>
      </c>
      <c r="G7" t="s">
        <v>291</v>
      </c>
      <c r="H7" t="s">
        <v>290</v>
      </c>
      <c r="I7">
        <v>6</v>
      </c>
      <c r="J7">
        <v>0.5</v>
      </c>
      <c r="K7">
        <f>2.9*(3/4)</f>
        <v>2.1749999999999998</v>
      </c>
      <c r="L7">
        <v>5</v>
      </c>
      <c r="M7">
        <v>-0.1</v>
      </c>
      <c r="N7">
        <f>1.5*(3/4)</f>
        <v>1.125</v>
      </c>
      <c r="O7">
        <f t="shared" si="16"/>
        <v>1.7862320677896251</v>
      </c>
      <c r="P7">
        <f t="shared" si="17"/>
        <v>0.33590260236592362</v>
      </c>
      <c r="Q7">
        <f t="shared" si="18"/>
        <v>0.30711095073455874</v>
      </c>
      <c r="R7">
        <f t="shared" si="19"/>
        <v>0.60975021804546647</v>
      </c>
    </row>
    <row r="8" spans="1:18" x14ac:dyDescent="0.3">
      <c r="A8">
        <v>7</v>
      </c>
      <c r="B8" t="s">
        <v>342</v>
      </c>
      <c r="C8">
        <v>2017</v>
      </c>
      <c r="D8" t="s">
        <v>343</v>
      </c>
      <c r="E8" t="s">
        <v>33</v>
      </c>
      <c r="H8" t="s">
        <v>344</v>
      </c>
      <c r="I8">
        <v>8</v>
      </c>
      <c r="J8">
        <v>8.16</v>
      </c>
      <c r="K8">
        <f>6*(3/4)</f>
        <v>4.5</v>
      </c>
      <c r="L8">
        <v>8</v>
      </c>
      <c r="M8">
        <v>3.06</v>
      </c>
      <c r="N8">
        <f>1.4*(3/4)</f>
        <v>1.0499999999999998</v>
      </c>
      <c r="O8">
        <f t="shared" si="16"/>
        <v>3.2674531366187947</v>
      </c>
      <c r="P8">
        <f t="shared" si="17"/>
        <v>1.5608487059366212</v>
      </c>
      <c r="Q8">
        <f t="shared" si="18"/>
        <v>1.4757115037946236</v>
      </c>
      <c r="R8">
        <f t="shared" si="19"/>
        <v>0.57108035453712713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254F-A5B3-4B18-98B0-711AB8CE8C49}">
  <dimension ref="A1:R9"/>
  <sheetViews>
    <sheetView workbookViewId="0">
      <selection activeCell="P14" sqref="P14"/>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308</v>
      </c>
      <c r="C2">
        <v>2016</v>
      </c>
      <c r="D2" t="s">
        <v>309</v>
      </c>
      <c r="E2" t="s">
        <v>310</v>
      </c>
      <c r="F2" t="s">
        <v>77</v>
      </c>
      <c r="H2" t="s">
        <v>311</v>
      </c>
      <c r="I2">
        <v>15</v>
      </c>
      <c r="J2">
        <v>48.6</v>
      </c>
      <c r="K2">
        <v>8.8000000000000007</v>
      </c>
      <c r="L2">
        <v>6</v>
      </c>
      <c r="M2">
        <v>65.3</v>
      </c>
      <c r="N2">
        <v>10.4</v>
      </c>
      <c r="O2">
        <f t="shared" ref="O2" si="0">SQRT(((I2-1)*POWER(K2,2) + (L2-1)*POWER(N2,2))/((I2-1)+(L2-1)))</f>
        <v>9.2479300671185758</v>
      </c>
      <c r="P2">
        <f t="shared" ref="P2" si="1">(J2-M2)/O2</f>
        <v>-1.8058095031857544</v>
      </c>
      <c r="Q2">
        <f t="shared" ref="Q2" si="2">P2*(1- (3/(4*(I2+L2)-9)))</f>
        <v>-1.7335771230583241</v>
      </c>
      <c r="R2">
        <f t="shared" ref="R2" si="3">SQRT((I2+L2)/(I2*L2)+(POWER(P2,2)/(2*(I2+L2))))</f>
        <v>0.55765128124243823</v>
      </c>
    </row>
    <row r="3" spans="1:18" x14ac:dyDescent="0.3">
      <c r="A3">
        <v>1</v>
      </c>
      <c r="B3" t="s">
        <v>312</v>
      </c>
      <c r="C3">
        <v>2021</v>
      </c>
      <c r="D3" t="s">
        <v>313</v>
      </c>
      <c r="E3" t="s">
        <v>28</v>
      </c>
      <c r="H3" t="s">
        <v>314</v>
      </c>
      <c r="I3">
        <v>6</v>
      </c>
      <c r="J3">
        <v>7.3</v>
      </c>
      <c r="K3">
        <v>2</v>
      </c>
      <c r="L3">
        <v>9</v>
      </c>
      <c r="M3">
        <v>21</v>
      </c>
      <c r="N3">
        <v>4</v>
      </c>
      <c r="O3">
        <f t="shared" ref="O3" si="4">SQRT(((I3-1)*POWER(K3,2) + (L3-1)*POWER(N3,2))/((I3-1)+(L3-1)))</f>
        <v>3.3741095691478935</v>
      </c>
      <c r="P3">
        <f t="shared" ref="P3" si="5">(J3-M3)/O3</f>
        <v>-4.0603305017921612</v>
      </c>
      <c r="Q3">
        <f t="shared" ref="Q3" si="6">P3*(1- (3/(4*(I3+L3)-9)))</f>
        <v>-3.8214875310985046</v>
      </c>
      <c r="R3">
        <f t="shared" ref="R3" si="7">SQRT((I3+L3)/(I3*L3)+(POWER(P3,2)/(2*(I3+L3))))</f>
        <v>0.9095716412523922</v>
      </c>
    </row>
    <row r="4" spans="1:18" x14ac:dyDescent="0.3">
      <c r="A4">
        <v>2</v>
      </c>
      <c r="B4" t="s">
        <v>315</v>
      </c>
      <c r="C4">
        <v>2011</v>
      </c>
      <c r="D4" t="s">
        <v>316</v>
      </c>
      <c r="E4" t="s">
        <v>161</v>
      </c>
      <c r="F4" t="s">
        <v>77</v>
      </c>
      <c r="G4" t="s">
        <v>131</v>
      </c>
      <c r="H4" t="s">
        <v>317</v>
      </c>
      <c r="I4">
        <v>10</v>
      </c>
      <c r="J4">
        <v>16.3</v>
      </c>
      <c r="K4">
        <v>3.8</v>
      </c>
      <c r="L4">
        <v>10</v>
      </c>
      <c r="M4">
        <v>27.3</v>
      </c>
      <c r="N4">
        <v>5.7</v>
      </c>
      <c r="O4">
        <f t="shared" ref="O4" si="8">SQRT(((I4-1)*POWER(K4,2) + (L4-1)*POWER(N4,2))/((I4-1)+(L4-1)))</f>
        <v>4.8440685379131452</v>
      </c>
      <c r="P4">
        <f t="shared" ref="P4" si="9">(J4-M4)/O4</f>
        <v>-2.2708184068631838</v>
      </c>
      <c r="Q4">
        <f t="shared" ref="Q4" si="10">P4*(1- (3/(4*(I4+L4)-9)))</f>
        <v>-2.1748683333337535</v>
      </c>
      <c r="R4">
        <f t="shared" ref="R4" si="11">SQRT((I4+L4)/(I4*L4)+(POWER(P4,2)/(2*(I4+L4))))</f>
        <v>0.5735114697403324</v>
      </c>
    </row>
    <row r="5" spans="1:18" x14ac:dyDescent="0.3">
      <c r="A5">
        <v>3</v>
      </c>
      <c r="B5" t="s">
        <v>318</v>
      </c>
      <c r="C5">
        <v>2010</v>
      </c>
      <c r="D5" t="s">
        <v>319</v>
      </c>
      <c r="E5" t="s">
        <v>320</v>
      </c>
      <c r="H5" t="s">
        <v>321</v>
      </c>
      <c r="I5">
        <v>10</v>
      </c>
      <c r="J5">
        <v>15.5</v>
      </c>
      <c r="K5">
        <f>(19-12)*(3/4)</f>
        <v>5.25</v>
      </c>
      <c r="L5">
        <v>10</v>
      </c>
      <c r="M5">
        <v>36</v>
      </c>
      <c r="N5">
        <f>(36-35)*(3/4)</f>
        <v>0.75</v>
      </c>
      <c r="O5">
        <f t="shared" ref="O5" si="12">SQRT(((I5-1)*POWER(K5,2) + (L5-1)*POWER(N5,2))/((I5-1)+(L5-1)))</f>
        <v>3.75</v>
      </c>
      <c r="P5">
        <f t="shared" ref="P5" si="13">(J5-M5)/O5</f>
        <v>-5.4666666666666668</v>
      </c>
      <c r="Q5">
        <f t="shared" ref="Q5" si="14">P5*(1- (3/(4*(I5+L5)-9)))</f>
        <v>-5.2356807511737093</v>
      </c>
      <c r="R5">
        <f t="shared" ref="R5" si="15">SQRT((I5+L5)/(I5*L5)+(POWER(P5,2)/(2*(I5+L5))))</f>
        <v>0.97319633739092493</v>
      </c>
    </row>
    <row r="6" spans="1:18" x14ac:dyDescent="0.3">
      <c r="A6">
        <v>4</v>
      </c>
      <c r="B6" t="s">
        <v>322</v>
      </c>
      <c r="C6">
        <v>2009</v>
      </c>
      <c r="D6" t="s">
        <v>323</v>
      </c>
      <c r="E6" t="s">
        <v>324</v>
      </c>
      <c r="H6" t="s">
        <v>325</v>
      </c>
      <c r="I6">
        <v>8</v>
      </c>
      <c r="J6">
        <v>42.75</v>
      </c>
      <c r="K6">
        <v>5</v>
      </c>
      <c r="L6">
        <v>5</v>
      </c>
      <c r="M6">
        <v>82.8</v>
      </c>
      <c r="N6">
        <f>25*(3/5)</f>
        <v>15</v>
      </c>
      <c r="O6">
        <f t="shared" ref="O6" si="16">SQRT(((I6-1)*POWER(K6,2) + (L6-1)*POWER(N6,2))/((I6-1)+(L6-1)))</f>
        <v>9.8857105322416121</v>
      </c>
      <c r="P6">
        <f t="shared" ref="P6" si="17">(J6-M6)/O6</f>
        <v>-4.0513021162595733</v>
      </c>
      <c r="Q6">
        <f t="shared" ref="Q6" si="18">P6*(1- (3/(4*(I6+L6)-9)))</f>
        <v>-3.7686531314042542</v>
      </c>
      <c r="R6">
        <f t="shared" ref="R6" si="19">SQRT((I6+L6)/(I6*L6)+(POWER(P6,2)/(2*(I6+L6))))</f>
        <v>0.977891154026579</v>
      </c>
    </row>
    <row r="7" spans="1:18" x14ac:dyDescent="0.3">
      <c r="A7">
        <v>5</v>
      </c>
      <c r="B7" t="s">
        <v>326</v>
      </c>
      <c r="C7">
        <v>2008</v>
      </c>
      <c r="D7" t="s">
        <v>327</v>
      </c>
      <c r="E7" t="s">
        <v>328</v>
      </c>
      <c r="H7" t="s">
        <v>329</v>
      </c>
      <c r="I7">
        <v>8</v>
      </c>
      <c r="J7">
        <v>35</v>
      </c>
      <c r="K7">
        <f>15*(3/4)</f>
        <v>11.25</v>
      </c>
      <c r="L7">
        <v>6</v>
      </c>
      <c r="M7">
        <v>65</v>
      </c>
      <c r="N7">
        <f>12*(3/4)</f>
        <v>9</v>
      </c>
      <c r="O7">
        <f t="shared" ref="O7:O8" si="20">SQRT(((I7-1)*POWER(K7,2) + (L7-1)*POWER(N7,2))/((I7-1)+(L7-1)))</f>
        <v>10.371987514454498</v>
      </c>
      <c r="P7">
        <f t="shared" ref="P7:P8" si="21">(J7-M7)/O7</f>
        <v>-2.892406104248749</v>
      </c>
      <c r="Q7">
        <f t="shared" ref="Q7:Q8" si="22">P7*(1- (3/(4*(I7+L7)-9)))</f>
        <v>-2.7077844380201057</v>
      </c>
      <c r="R7">
        <f t="shared" ref="R7:R8" si="23">SQRT((I7+L7)/(I7*L7)+(POWER(P7,2)/(2*(I7+L7))))</f>
        <v>0.768409297058403</v>
      </c>
    </row>
    <row r="8" spans="1:18" x14ac:dyDescent="0.3">
      <c r="A8">
        <v>6</v>
      </c>
      <c r="B8" t="s">
        <v>330</v>
      </c>
      <c r="C8">
        <v>2005</v>
      </c>
      <c r="D8" t="s">
        <v>331</v>
      </c>
      <c r="E8" t="s">
        <v>332</v>
      </c>
      <c r="G8" t="s">
        <v>333</v>
      </c>
      <c r="H8" t="s">
        <v>334</v>
      </c>
      <c r="I8">
        <v>12</v>
      </c>
      <c r="J8">
        <v>15.5</v>
      </c>
      <c r="K8">
        <f>(19.5-13.25)*(3/4)</f>
        <v>4.6875</v>
      </c>
      <c r="L8">
        <v>13</v>
      </c>
      <c r="M8">
        <v>24</v>
      </c>
      <c r="N8">
        <f>(34-21)*(3/4)</f>
        <v>9.75</v>
      </c>
      <c r="O8">
        <f t="shared" si="20"/>
        <v>7.752837401347918</v>
      </c>
      <c r="P8">
        <f t="shared" si="21"/>
        <v>-1.0963727935945335</v>
      </c>
      <c r="Q8">
        <f t="shared" si="22"/>
        <v>-1.0602286355639445</v>
      </c>
      <c r="R8">
        <f t="shared" si="23"/>
        <v>0.42929835348752027</v>
      </c>
    </row>
    <row r="9" spans="1:18" x14ac:dyDescent="0.3">
      <c r="A9">
        <v>7</v>
      </c>
      <c r="B9" t="s">
        <v>339</v>
      </c>
      <c r="C9">
        <v>2013</v>
      </c>
      <c r="D9" t="s">
        <v>340</v>
      </c>
      <c r="E9" t="s">
        <v>146</v>
      </c>
      <c r="F9" t="s">
        <v>77</v>
      </c>
      <c r="G9" t="s">
        <v>337</v>
      </c>
      <c r="H9" t="s">
        <v>341</v>
      </c>
      <c r="I9">
        <v>22</v>
      </c>
      <c r="J9">
        <v>24.5</v>
      </c>
      <c r="K9">
        <f>(27-21)*(3/4)</f>
        <v>4.5</v>
      </c>
      <c r="L9">
        <v>30</v>
      </c>
      <c r="M9">
        <v>31</v>
      </c>
      <c r="N9">
        <f>(32-29)*(3/4)</f>
        <v>2.25</v>
      </c>
      <c r="O9">
        <f t="shared" ref="O9" si="24">SQRT(((I9-1)*POWER(K9,2) + (L9-1)*POWER(N9,2))/((I9-1)+(L9-1)))</f>
        <v>3.3824916851339042</v>
      </c>
      <c r="P9">
        <f t="shared" ref="P9" si="25">(J9-M9)/O9</f>
        <v>-1.9216603040201359</v>
      </c>
      <c r="Q9">
        <f t="shared" ref="Q9" si="26">P9*(1- (3/(4*(I9+L9)-9)))</f>
        <v>-1.8926905506931992</v>
      </c>
      <c r="R9">
        <f t="shared" ref="R9" si="27">SQRT((I9+L9)/(I9*L9)+(POWER(P9,2)/(2*(I9+L9))))</f>
        <v>0.33807597174739257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17"/>
  <sheetViews>
    <sheetView workbookViewId="0">
      <selection activeCell="I25" sqref="I25"/>
    </sheetView>
  </sheetViews>
  <sheetFormatPr defaultRowHeight="14.4" x14ac:dyDescent="0.3"/>
  <cols>
    <col min="2" max="2" width="25.5546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159</v>
      </c>
      <c r="C2">
        <v>2007</v>
      </c>
      <c r="D2" t="s">
        <v>160</v>
      </c>
      <c r="E2" t="s">
        <v>161</v>
      </c>
      <c r="F2" t="s">
        <v>77</v>
      </c>
      <c r="G2" t="s">
        <v>157</v>
      </c>
      <c r="H2" t="s">
        <v>162</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47</v>
      </c>
      <c r="C3">
        <v>2004</v>
      </c>
      <c r="D3" t="s">
        <v>48</v>
      </c>
      <c r="E3" t="s">
        <v>38</v>
      </c>
      <c r="F3" t="s">
        <v>77</v>
      </c>
      <c r="G3" t="s">
        <v>39</v>
      </c>
      <c r="H3" t="s">
        <v>49</v>
      </c>
      <c r="I3">
        <v>13</v>
      </c>
      <c r="J3">
        <v>10050</v>
      </c>
      <c r="K3">
        <v>7554.5</v>
      </c>
      <c r="L3">
        <v>6</v>
      </c>
      <c r="M3">
        <v>1299.23</v>
      </c>
      <c r="N3">
        <v>437.7</v>
      </c>
      <c r="O3">
        <f t="shared" ref="O3:O17" si="4">SQRT(((I3-1)*POWER(K3,2) + (L3-1)*POWER(N3,2))/((I3-1)+(L3-1)))</f>
        <v>6351.4868544117062</v>
      </c>
      <c r="P3">
        <f t="shared" ref="P3:P17" si="5">(J3-M3)/O3</f>
        <v>1.3777514148394665</v>
      </c>
      <c r="Q3">
        <f t="shared" ref="Q3:Q17" si="6">P3*(1- (3/(4*(I3+L3)-9)))</f>
        <v>1.3160610529809829</v>
      </c>
      <c r="R3">
        <f t="shared" ref="R3:R17" si="7">SQRT((I3+L3)/(I3*L3)+(POWER(P3,2)/(2*(I3+L3))))</f>
        <v>0.54179548524236587</v>
      </c>
    </row>
    <row r="4" spans="1:18" x14ac:dyDescent="0.3">
      <c r="A4">
        <v>2</v>
      </c>
      <c r="B4" t="s">
        <v>36</v>
      </c>
      <c r="C4">
        <v>2002</v>
      </c>
      <c r="D4" t="s">
        <v>37</v>
      </c>
      <c r="E4" t="s">
        <v>38</v>
      </c>
      <c r="F4" t="s">
        <v>77</v>
      </c>
      <c r="G4" t="s">
        <v>157</v>
      </c>
      <c r="H4" t="s">
        <v>158</v>
      </c>
      <c r="I4">
        <v>15</v>
      </c>
      <c r="J4">
        <v>1329.5</v>
      </c>
      <c r="K4">
        <v>403.9</v>
      </c>
      <c r="L4">
        <v>9</v>
      </c>
      <c r="M4">
        <v>422.7</v>
      </c>
      <c r="N4">
        <v>117.3</v>
      </c>
      <c r="O4">
        <f t="shared" si="4"/>
        <v>329.87375408838398</v>
      </c>
      <c r="P4">
        <f t="shared" si="5"/>
        <v>2.7489304279631734</v>
      </c>
      <c r="Q4">
        <f t="shared" si="6"/>
        <v>2.6541397235506503</v>
      </c>
      <c r="R4">
        <f t="shared" si="7"/>
        <v>0.57897092311695464</v>
      </c>
    </row>
    <row r="5" spans="1:18" x14ac:dyDescent="0.3">
      <c r="A5">
        <v>3</v>
      </c>
      <c r="B5" t="s">
        <v>149</v>
      </c>
      <c r="C5">
        <v>2012</v>
      </c>
      <c r="D5" t="s">
        <v>150</v>
      </c>
      <c r="E5" t="s">
        <v>87</v>
      </c>
      <c r="F5" t="s">
        <v>77</v>
      </c>
      <c r="G5" t="s">
        <v>131</v>
      </c>
      <c r="H5" t="s">
        <v>151</v>
      </c>
      <c r="I5">
        <v>4</v>
      </c>
      <c r="J5">
        <v>203.06</v>
      </c>
      <c r="K5">
        <v>16.79</v>
      </c>
      <c r="L5">
        <v>4</v>
      </c>
      <c r="M5">
        <v>55.54</v>
      </c>
      <c r="N5">
        <v>23.47</v>
      </c>
      <c r="O5">
        <f t="shared" si="4"/>
        <v>20.405207668632045</v>
      </c>
      <c r="P5">
        <f t="shared" si="5"/>
        <v>7.229527010733416</v>
      </c>
      <c r="Q5">
        <f t="shared" si="6"/>
        <v>6.2865452267247095</v>
      </c>
      <c r="R5">
        <f t="shared" si="7"/>
        <v>1.9407804615496191</v>
      </c>
    </row>
    <row r="6" spans="1:18" x14ac:dyDescent="0.3">
      <c r="A6">
        <v>4</v>
      </c>
      <c r="B6" t="s">
        <v>306</v>
      </c>
      <c r="C6">
        <v>2021</v>
      </c>
      <c r="D6" t="s">
        <v>167</v>
      </c>
      <c r="E6" t="s">
        <v>87</v>
      </c>
      <c r="F6" t="s">
        <v>147</v>
      </c>
      <c r="H6" t="s">
        <v>168</v>
      </c>
      <c r="I6">
        <v>24</v>
      </c>
      <c r="J6">
        <v>12000</v>
      </c>
      <c r="K6">
        <v>2500</v>
      </c>
      <c r="L6">
        <v>26</v>
      </c>
      <c r="M6">
        <v>8000</v>
      </c>
      <c r="N6">
        <v>1250</v>
      </c>
      <c r="O6">
        <f t="shared" si="4"/>
        <v>1951.5618744994995</v>
      </c>
      <c r="P6">
        <f t="shared" si="5"/>
        <v>2.0496403687051155</v>
      </c>
      <c r="Q6">
        <f t="shared" si="6"/>
        <v>2.0174470644846165</v>
      </c>
      <c r="R6">
        <f t="shared" si="7"/>
        <v>0.34948313484124172</v>
      </c>
    </row>
    <row r="7" spans="1:18" x14ac:dyDescent="0.3">
      <c r="A7">
        <v>5</v>
      </c>
      <c r="B7" t="s">
        <v>175</v>
      </c>
      <c r="C7">
        <v>2017</v>
      </c>
      <c r="D7" t="s">
        <v>176</v>
      </c>
      <c r="E7" t="s">
        <v>33</v>
      </c>
      <c r="F7" t="s">
        <v>77</v>
      </c>
      <c r="G7" t="s">
        <v>121</v>
      </c>
      <c r="H7" t="s">
        <v>177</v>
      </c>
      <c r="I7">
        <v>24</v>
      </c>
      <c r="J7">
        <v>15000</v>
      </c>
      <c r="K7">
        <f>9000*(3/4)</f>
        <v>6750</v>
      </c>
      <c r="L7">
        <v>15</v>
      </c>
      <c r="M7">
        <v>10000</v>
      </c>
      <c r="N7">
        <f>4000*(3/4)</f>
        <v>3000</v>
      </c>
      <c r="O7">
        <f t="shared" si="4"/>
        <v>5632.7649108178248</v>
      </c>
      <c r="P7">
        <f t="shared" si="5"/>
        <v>0.88766353277009868</v>
      </c>
      <c r="Q7">
        <f t="shared" si="6"/>
        <v>0.86954795046866806</v>
      </c>
      <c r="R7">
        <f t="shared" si="7"/>
        <v>0.34414417348878751</v>
      </c>
    </row>
    <row r="8" spans="1:18" x14ac:dyDescent="0.3">
      <c r="A8">
        <v>6</v>
      </c>
      <c r="B8" t="s">
        <v>89</v>
      </c>
      <c r="C8">
        <v>2013</v>
      </c>
      <c r="D8" t="s">
        <v>178</v>
      </c>
      <c r="E8" t="s">
        <v>38</v>
      </c>
      <c r="F8" t="s">
        <v>77</v>
      </c>
      <c r="H8" t="s">
        <v>177</v>
      </c>
      <c r="I8">
        <v>11</v>
      </c>
      <c r="J8">
        <v>6</v>
      </c>
      <c r="K8">
        <f>5*(3/4)</f>
        <v>3.75</v>
      </c>
      <c r="L8">
        <v>7</v>
      </c>
      <c r="M8">
        <v>3.5</v>
      </c>
      <c r="N8">
        <v>0.5</v>
      </c>
      <c r="O8">
        <f t="shared" si="4"/>
        <v>2.980404754391591</v>
      </c>
      <c r="P8">
        <f t="shared" si="5"/>
        <v>0.83881224398004317</v>
      </c>
      <c r="Q8">
        <f t="shared" si="6"/>
        <v>0.79886880379051728</v>
      </c>
      <c r="R8">
        <f t="shared" si="7"/>
        <v>0.50329995463924693</v>
      </c>
    </row>
    <row r="9" spans="1:18" x14ac:dyDescent="0.3">
      <c r="A9">
        <v>7</v>
      </c>
      <c r="B9" t="s">
        <v>196</v>
      </c>
      <c r="C9">
        <v>2013</v>
      </c>
      <c r="D9" t="s">
        <v>197</v>
      </c>
      <c r="E9" t="s">
        <v>198</v>
      </c>
      <c r="F9" t="s">
        <v>77</v>
      </c>
      <c r="G9" t="s">
        <v>199</v>
      </c>
      <c r="H9" t="s">
        <v>200</v>
      </c>
      <c r="I9">
        <v>16</v>
      </c>
      <c r="J9">
        <v>1000</v>
      </c>
      <c r="K9">
        <f>900*(3/4)</f>
        <v>675</v>
      </c>
      <c r="L9">
        <v>4</v>
      </c>
      <c r="M9">
        <v>800</v>
      </c>
      <c r="N9">
        <f>800*(3/4)</f>
        <v>600</v>
      </c>
      <c r="O9">
        <f t="shared" si="4"/>
        <v>663.08936049374222</v>
      </c>
      <c r="P9">
        <f t="shared" si="5"/>
        <v>0.30161847243496448</v>
      </c>
      <c r="Q9">
        <f t="shared" si="6"/>
        <v>0.2888740299377125</v>
      </c>
      <c r="R9">
        <f t="shared" si="7"/>
        <v>0.5610475403857057</v>
      </c>
    </row>
    <row r="10" spans="1:18" x14ac:dyDescent="0.3">
      <c r="A10">
        <v>8</v>
      </c>
      <c r="B10" t="s">
        <v>201</v>
      </c>
      <c r="C10">
        <v>2009</v>
      </c>
      <c r="D10" t="s">
        <v>202</v>
      </c>
      <c r="E10" t="s">
        <v>154</v>
      </c>
      <c r="F10" t="s">
        <v>77</v>
      </c>
      <c r="G10" t="s">
        <v>203</v>
      </c>
      <c r="H10" t="s">
        <v>204</v>
      </c>
      <c r="I10">
        <v>10</v>
      </c>
      <c r="J10">
        <v>1750</v>
      </c>
      <c r="K10">
        <f>1000*(3/4)</f>
        <v>750</v>
      </c>
      <c r="L10">
        <v>10</v>
      </c>
      <c r="M10">
        <v>500</v>
      </c>
      <c r="N10">
        <f>400*(3/4)</f>
        <v>300</v>
      </c>
      <c r="O10">
        <f t="shared" si="4"/>
        <v>571.18298293979308</v>
      </c>
      <c r="P10">
        <f t="shared" si="5"/>
        <v>2.1884405476620428</v>
      </c>
      <c r="Q10">
        <f t="shared" si="6"/>
        <v>2.0959712287467451</v>
      </c>
      <c r="R10">
        <f t="shared" si="7"/>
        <v>0.565448318386644</v>
      </c>
    </row>
    <row r="11" spans="1:18" x14ac:dyDescent="0.3">
      <c r="A11">
        <v>9</v>
      </c>
      <c r="B11" t="s">
        <v>218</v>
      </c>
      <c r="C11">
        <v>2015</v>
      </c>
      <c r="D11" t="s">
        <v>219</v>
      </c>
      <c r="E11" t="s">
        <v>220</v>
      </c>
      <c r="F11" t="s">
        <v>147</v>
      </c>
      <c r="G11" t="s">
        <v>221</v>
      </c>
      <c r="I11">
        <v>5</v>
      </c>
      <c r="J11">
        <v>6.5</v>
      </c>
      <c r="K11">
        <v>1.29</v>
      </c>
      <c r="L11">
        <v>6</v>
      </c>
      <c r="M11">
        <v>4.03</v>
      </c>
      <c r="N11">
        <v>1.29</v>
      </c>
      <c r="O11">
        <f t="shared" si="4"/>
        <v>1.29</v>
      </c>
      <c r="P11">
        <f t="shared" si="5"/>
        <v>1.9147286821705425</v>
      </c>
      <c r="Q11">
        <f t="shared" si="6"/>
        <v>1.7506090808416388</v>
      </c>
      <c r="R11">
        <f t="shared" si="7"/>
        <v>0.73028178225921214</v>
      </c>
    </row>
    <row r="12" spans="1:18" x14ac:dyDescent="0.3">
      <c r="A12">
        <v>10</v>
      </c>
      <c r="B12" t="s">
        <v>226</v>
      </c>
      <c r="C12">
        <v>2018</v>
      </c>
      <c r="D12" t="s">
        <v>227</v>
      </c>
      <c r="E12" t="s">
        <v>228</v>
      </c>
      <c r="F12" t="s">
        <v>229</v>
      </c>
      <c r="G12" t="s">
        <v>230</v>
      </c>
      <c r="H12" t="s">
        <v>232</v>
      </c>
      <c r="I12">
        <v>42</v>
      </c>
      <c r="J12">
        <v>18.2</v>
      </c>
      <c r="K12">
        <f>SQRT(I12)*(20-16.4)/3.92</f>
        <v>5.951700641394976</v>
      </c>
      <c r="L12">
        <v>54</v>
      </c>
      <c r="M12">
        <v>8.1</v>
      </c>
      <c r="N12">
        <f>SQRT(L12)*(9.6-6.8)/3.92</f>
        <v>5.2489065916782387</v>
      </c>
      <c r="O12">
        <f t="shared" si="4"/>
        <v>5.5663659820625027</v>
      </c>
      <c r="P12">
        <f t="shared" si="5"/>
        <v>1.8144692664023596</v>
      </c>
      <c r="Q12">
        <f t="shared" si="6"/>
        <v>1.7999535122711408</v>
      </c>
      <c r="R12">
        <f t="shared" si="7"/>
        <v>0.24387585261365186</v>
      </c>
    </row>
    <row r="13" spans="1:18" x14ac:dyDescent="0.3">
      <c r="A13">
        <v>11</v>
      </c>
      <c r="B13" t="s">
        <v>26</v>
      </c>
      <c r="C13">
        <v>2016</v>
      </c>
      <c r="D13" t="s">
        <v>169</v>
      </c>
      <c r="E13" t="s">
        <v>28</v>
      </c>
      <c r="F13" t="s">
        <v>136</v>
      </c>
      <c r="G13" t="s">
        <v>155</v>
      </c>
      <c r="H13" t="s">
        <v>170</v>
      </c>
      <c r="I13">
        <f>(14/18)*135</f>
        <v>105</v>
      </c>
      <c r="J13">
        <v>2.25</v>
      </c>
      <c r="K13">
        <v>0.25</v>
      </c>
      <c r="L13">
        <v>30</v>
      </c>
      <c r="M13">
        <v>1.7</v>
      </c>
      <c r="N13">
        <v>0.1</v>
      </c>
      <c r="O13">
        <f t="shared" si="4"/>
        <v>0.22594829403858613</v>
      </c>
      <c r="P13">
        <f t="shared" si="5"/>
        <v>2.4341852295909536</v>
      </c>
      <c r="Q13">
        <f t="shared" si="6"/>
        <v>2.4204327706667113</v>
      </c>
      <c r="R13">
        <f t="shared" si="7"/>
        <v>0.25456343387139785</v>
      </c>
    </row>
    <row r="14" spans="1:18" x14ac:dyDescent="0.3">
      <c r="A14">
        <v>12</v>
      </c>
      <c r="B14" t="s">
        <v>163</v>
      </c>
      <c r="C14">
        <v>2011</v>
      </c>
      <c r="D14" t="s">
        <v>233</v>
      </c>
      <c r="E14" t="s">
        <v>33</v>
      </c>
      <c r="F14" t="s">
        <v>77</v>
      </c>
      <c r="G14" t="s">
        <v>57</v>
      </c>
      <c r="H14" t="s">
        <v>234</v>
      </c>
      <c r="I14">
        <v>9</v>
      </c>
      <c r="J14">
        <v>3453</v>
      </c>
      <c r="K14">
        <v>309</v>
      </c>
      <c r="L14">
        <v>9</v>
      </c>
      <c r="M14">
        <v>2505</v>
      </c>
      <c r="N14">
        <v>220</v>
      </c>
      <c r="O14">
        <f t="shared" si="4"/>
        <v>268.21726268083489</v>
      </c>
      <c r="P14">
        <f t="shared" si="5"/>
        <v>3.5344481206195608</v>
      </c>
      <c r="Q14">
        <f t="shared" si="6"/>
        <v>3.3661410672567245</v>
      </c>
      <c r="R14">
        <f t="shared" si="7"/>
        <v>0.75447412733327679</v>
      </c>
    </row>
    <row r="15" spans="1:18" x14ac:dyDescent="0.3">
      <c r="A15">
        <v>13</v>
      </c>
      <c r="B15" t="s">
        <v>17</v>
      </c>
      <c r="C15">
        <v>2015</v>
      </c>
      <c r="D15" t="s">
        <v>236</v>
      </c>
      <c r="E15" t="s">
        <v>19</v>
      </c>
      <c r="F15" t="s">
        <v>72</v>
      </c>
      <c r="G15" t="s">
        <v>237</v>
      </c>
      <c r="H15" t="s">
        <v>238</v>
      </c>
      <c r="I15">
        <v>23</v>
      </c>
      <c r="J15">
        <v>1100</v>
      </c>
      <c r="K15">
        <f>1000*(3/4)</f>
        <v>750</v>
      </c>
      <c r="L15">
        <v>19</v>
      </c>
      <c r="M15">
        <v>500</v>
      </c>
      <c r="N15">
        <f>300*(3/4)</f>
        <v>225</v>
      </c>
      <c r="O15">
        <f t="shared" si="4"/>
        <v>576.32998360314377</v>
      </c>
      <c r="P15">
        <f t="shared" si="5"/>
        <v>1.0410702498052837</v>
      </c>
      <c r="Q15">
        <f t="shared" si="6"/>
        <v>1.0214274149032974</v>
      </c>
      <c r="R15">
        <f t="shared" si="7"/>
        <v>0.33017047922702103</v>
      </c>
    </row>
    <row r="16" spans="1:18" x14ac:dyDescent="0.3">
      <c r="A16">
        <v>14</v>
      </c>
      <c r="B16" t="s">
        <v>184</v>
      </c>
      <c r="C16">
        <v>2021</v>
      </c>
      <c r="D16" t="s">
        <v>185</v>
      </c>
      <c r="E16" t="s">
        <v>33</v>
      </c>
      <c r="F16" t="s">
        <v>77</v>
      </c>
      <c r="G16" t="s">
        <v>186</v>
      </c>
      <c r="H16" t="s">
        <v>249</v>
      </c>
      <c r="I16">
        <v>15</v>
      </c>
      <c r="J16">
        <v>8.8000000000000007</v>
      </c>
      <c r="K16">
        <f>(14.9-6.9)*(3/4)</f>
        <v>6</v>
      </c>
      <c r="L16">
        <v>18</v>
      </c>
      <c r="M16">
        <v>5</v>
      </c>
      <c r="N16">
        <f>(5.6-4.4)*(3/4)</f>
        <v>0.89999999999999947</v>
      </c>
      <c r="O16">
        <f t="shared" si="4"/>
        <v>4.0868396181543671</v>
      </c>
      <c r="P16">
        <f t="shared" si="5"/>
        <v>0.92981383050115773</v>
      </c>
      <c r="Q16">
        <f t="shared" si="6"/>
        <v>0.90713544439137339</v>
      </c>
      <c r="R16">
        <f t="shared" si="7"/>
        <v>0.36786073670199965</v>
      </c>
    </row>
    <row r="17" spans="1:18" x14ac:dyDescent="0.3">
      <c r="A17">
        <v>15</v>
      </c>
      <c r="B17" t="s">
        <v>301</v>
      </c>
      <c r="C17">
        <v>2010</v>
      </c>
      <c r="D17" t="s">
        <v>302</v>
      </c>
      <c r="E17" t="s">
        <v>38</v>
      </c>
      <c r="F17" t="s">
        <v>77</v>
      </c>
      <c r="G17" t="s">
        <v>131</v>
      </c>
      <c r="H17" t="s">
        <v>303</v>
      </c>
      <c r="I17">
        <v>11</v>
      </c>
      <c r="J17">
        <v>3</v>
      </c>
      <c r="K17">
        <f>(10/9)*(3/4)</f>
        <v>0.83333333333333337</v>
      </c>
      <c r="L17">
        <v>10</v>
      </c>
      <c r="M17">
        <v>2</v>
      </c>
      <c r="N17">
        <f>(10/10)*(3/4)</f>
        <v>0.75</v>
      </c>
      <c r="O17">
        <f t="shared" si="4"/>
        <v>0.79494933451412142</v>
      </c>
      <c r="P17">
        <f t="shared" si="5"/>
        <v>1.257941804066302</v>
      </c>
      <c r="Q17">
        <f t="shared" si="6"/>
        <v>1.2076241319036498</v>
      </c>
      <c r="R17">
        <f t="shared" si="7"/>
        <v>0.47810636893297231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8"/>
  <sheetViews>
    <sheetView workbookViewId="0">
      <selection activeCell="D13" sqref="D13"/>
    </sheetView>
  </sheetViews>
  <sheetFormatPr defaultRowHeight="14.4" x14ac:dyDescent="0.3"/>
  <cols>
    <col min="2" max="2" width="16"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2021</v>
      </c>
      <c r="D2" t="s">
        <v>86</v>
      </c>
      <c r="E2" t="s">
        <v>87</v>
      </c>
      <c r="F2" t="s">
        <v>72</v>
      </c>
      <c r="G2" t="s">
        <v>121</v>
      </c>
      <c r="H2" t="s">
        <v>213</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215</v>
      </c>
      <c r="C3">
        <v>2015</v>
      </c>
      <c r="D3" t="s">
        <v>214</v>
      </c>
      <c r="E3" t="s">
        <v>87</v>
      </c>
      <c r="F3" t="s">
        <v>77</v>
      </c>
      <c r="G3" t="s">
        <v>121</v>
      </c>
      <c r="H3" t="s">
        <v>217</v>
      </c>
      <c r="I3">
        <v>15</v>
      </c>
      <c r="J3">
        <v>17.739999999999998</v>
      </c>
      <c r="K3">
        <v>9.11</v>
      </c>
      <c r="L3">
        <v>11</v>
      </c>
      <c r="M3">
        <v>5.46</v>
      </c>
      <c r="N3">
        <v>1.48</v>
      </c>
      <c r="O3">
        <f t="shared" ref="O3:O8" si="4">SQRT(((I3-1)*POWER(K3,2) + (L3-1)*POWER(N3,2))/((I3-1)+(L3-1)))</f>
        <v>7.0231563417027818</v>
      </c>
      <c r="P3">
        <f t="shared" ref="P3:P8" si="5">(J3-M3)/O3</f>
        <v>1.7485015856877082</v>
      </c>
      <c r="Q3">
        <f t="shared" ref="Q3:Q8" si="6">P3*(1- (3/(4*(I3+L3)-9)))</f>
        <v>1.6932857461396753</v>
      </c>
      <c r="R3">
        <f t="shared" ref="R3:R8" si="7">SQRT((I3+L3)/(I3*L3)+(POWER(P3,2)/(2*(I3+L3))))</f>
        <v>0.46515500288968653</v>
      </c>
    </row>
    <row r="4" spans="1:18" x14ac:dyDescent="0.3">
      <c r="A4">
        <v>2</v>
      </c>
      <c r="B4" t="s">
        <v>218</v>
      </c>
      <c r="C4">
        <v>2015</v>
      </c>
      <c r="D4" t="s">
        <v>219</v>
      </c>
      <c r="E4" t="s">
        <v>220</v>
      </c>
      <c r="F4" t="s">
        <v>147</v>
      </c>
      <c r="G4" t="s">
        <v>221</v>
      </c>
      <c r="H4" t="s">
        <v>222</v>
      </c>
      <c r="I4">
        <v>5</v>
      </c>
      <c r="J4">
        <v>64</v>
      </c>
      <c r="K4">
        <f>64*(17.83/85.52)</f>
        <v>13.343311506080449</v>
      </c>
      <c r="L4">
        <v>6</v>
      </c>
      <c r="M4">
        <v>29</v>
      </c>
      <c r="N4">
        <f>29*(17.84/52.43)</f>
        <v>9.8676330345222194</v>
      </c>
      <c r="O4">
        <f t="shared" si="4"/>
        <v>11.542321913112083</v>
      </c>
      <c r="P4">
        <f t="shared" si="5"/>
        <v>3.0323188231511704</v>
      </c>
      <c r="Q4">
        <f t="shared" si="6"/>
        <v>2.7724057811667842</v>
      </c>
      <c r="R4">
        <f t="shared" si="7"/>
        <v>0.88578737731681323</v>
      </c>
    </row>
    <row r="5" spans="1:18" x14ac:dyDescent="0.3">
      <c r="A5">
        <v>3</v>
      </c>
      <c r="B5" t="s">
        <v>305</v>
      </c>
      <c r="C5">
        <v>2021</v>
      </c>
      <c r="D5" t="s">
        <v>223</v>
      </c>
      <c r="E5" t="s">
        <v>154</v>
      </c>
      <c r="F5" t="s">
        <v>147</v>
      </c>
      <c r="G5" t="s">
        <v>224</v>
      </c>
      <c r="H5" t="s">
        <v>225</v>
      </c>
      <c r="I5">
        <v>2</v>
      </c>
      <c r="J5">
        <v>5.0999999999999996</v>
      </c>
      <c r="K5">
        <f>5.1*((871-308)/589)</f>
        <v>4.8748726655348049</v>
      </c>
      <c r="L5">
        <v>2</v>
      </c>
      <c r="M5">
        <v>2.9</v>
      </c>
      <c r="N5">
        <f>2.9*((320-294)/307)</f>
        <v>0.24560260586319216</v>
      </c>
      <c r="O5">
        <f t="shared" si="4"/>
        <v>3.4514275412635569</v>
      </c>
      <c r="P5">
        <f t="shared" si="5"/>
        <v>0.63741740879618369</v>
      </c>
      <c r="Q5">
        <f t="shared" si="6"/>
        <v>0.36423851931210494</v>
      </c>
      <c r="R5">
        <f t="shared" si="7"/>
        <v>1.0250793233352993</v>
      </c>
    </row>
    <row r="6" spans="1:18" x14ac:dyDescent="0.3">
      <c r="A6">
        <v>4</v>
      </c>
      <c r="B6" t="s">
        <v>196</v>
      </c>
      <c r="C6">
        <v>2013</v>
      </c>
      <c r="D6" t="s">
        <v>197</v>
      </c>
      <c r="E6" t="s">
        <v>198</v>
      </c>
      <c r="F6" t="s">
        <v>77</v>
      </c>
      <c r="G6" t="s">
        <v>199</v>
      </c>
      <c r="H6" t="s">
        <v>200</v>
      </c>
      <c r="I6">
        <v>16</v>
      </c>
      <c r="J6">
        <v>55</v>
      </c>
      <c r="K6">
        <f>20*(3/4)</f>
        <v>15</v>
      </c>
      <c r="L6">
        <v>4</v>
      </c>
      <c r="M6">
        <v>41</v>
      </c>
      <c r="N6">
        <f>10*(3/4)</f>
        <v>7.5</v>
      </c>
      <c r="O6">
        <f t="shared" si="4"/>
        <v>14.031215200402281</v>
      </c>
      <c r="P6">
        <f t="shared" si="5"/>
        <v>0.99777530313971763</v>
      </c>
      <c r="Q6">
        <f t="shared" si="6"/>
        <v>0.95561578328874375</v>
      </c>
      <c r="R6">
        <f t="shared" si="7"/>
        <v>0.5808518648406743</v>
      </c>
    </row>
    <row r="7" spans="1:18" x14ac:dyDescent="0.3">
      <c r="A7">
        <v>5</v>
      </c>
      <c r="B7" t="s">
        <v>226</v>
      </c>
      <c r="C7">
        <v>2018</v>
      </c>
      <c r="D7" t="s">
        <v>227</v>
      </c>
      <c r="E7" t="s">
        <v>228</v>
      </c>
      <c r="F7" t="s">
        <v>229</v>
      </c>
      <c r="G7" t="s">
        <v>230</v>
      </c>
      <c r="H7" t="s">
        <v>231</v>
      </c>
      <c r="I7">
        <v>42</v>
      </c>
      <c r="J7">
        <v>392</v>
      </c>
      <c r="K7">
        <f>SQRT(I7)*(569-185)/3.92</f>
        <v>634.8480684154639</v>
      </c>
      <c r="L7">
        <v>54</v>
      </c>
      <c r="M7">
        <v>91</v>
      </c>
      <c r="N7">
        <f>SQRT(L7)*(127-69)/3.92</f>
        <v>108.72735082762065</v>
      </c>
      <c r="O7">
        <f t="shared" si="4"/>
        <v>427.1486564213152</v>
      </c>
      <c r="P7">
        <f t="shared" si="5"/>
        <v>0.70467270697232554</v>
      </c>
      <c r="Q7">
        <f t="shared" si="6"/>
        <v>0.69903532531654688</v>
      </c>
      <c r="R7">
        <f t="shared" si="7"/>
        <v>0.21192996768458866</v>
      </c>
    </row>
    <row r="8" spans="1:18" x14ac:dyDescent="0.3">
      <c r="A8">
        <v>6</v>
      </c>
      <c r="B8" t="s">
        <v>256</v>
      </c>
      <c r="C8">
        <v>2018</v>
      </c>
      <c r="D8" t="s">
        <v>257</v>
      </c>
      <c r="E8" t="s">
        <v>258</v>
      </c>
      <c r="F8" t="s">
        <v>259</v>
      </c>
      <c r="G8" t="s">
        <v>260</v>
      </c>
      <c r="H8" t="s">
        <v>261</v>
      </c>
      <c r="I8">
        <v>10</v>
      </c>
      <c r="J8">
        <v>101.98</v>
      </c>
      <c r="K8">
        <v>15.03</v>
      </c>
      <c r="L8">
        <v>5</v>
      </c>
      <c r="M8">
        <v>92.99</v>
      </c>
      <c r="N8">
        <v>10.25</v>
      </c>
      <c r="O8">
        <f t="shared" si="4"/>
        <v>13.73753448935266</v>
      </c>
      <c r="P8">
        <f t="shared" si="5"/>
        <v>0.65441145985604265</v>
      </c>
      <c r="Q8">
        <f t="shared" si="6"/>
        <v>0.61591666809980483</v>
      </c>
      <c r="R8">
        <f t="shared" si="7"/>
        <v>0.56060248420162262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13"/>
  <sheetViews>
    <sheetView workbookViewId="0">
      <selection activeCell="E25" sqref="E25"/>
    </sheetView>
  </sheetViews>
  <sheetFormatPr defaultRowHeight="14.4" x14ac:dyDescent="0.3"/>
  <cols>
    <col min="2" max="2" width="18.441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179</v>
      </c>
      <c r="C2">
        <v>2017</v>
      </c>
      <c r="D2" t="s">
        <v>216</v>
      </c>
      <c r="E2" t="s">
        <v>28</v>
      </c>
      <c r="F2" t="s">
        <v>72</v>
      </c>
      <c r="G2" t="s">
        <v>180</v>
      </c>
      <c r="H2" t="s">
        <v>181</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182</v>
      </c>
      <c r="C3">
        <v>2006</v>
      </c>
      <c r="D3" t="s">
        <v>183</v>
      </c>
      <c r="E3" t="s">
        <v>38</v>
      </c>
      <c r="F3" t="s">
        <v>77</v>
      </c>
      <c r="G3" t="s">
        <v>157</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184</v>
      </c>
      <c r="C4">
        <v>2021</v>
      </c>
      <c r="D4" t="s">
        <v>185</v>
      </c>
      <c r="E4" t="s">
        <v>33</v>
      </c>
      <c r="F4" t="s">
        <v>77</v>
      </c>
      <c r="G4" t="s">
        <v>186</v>
      </c>
      <c r="H4" t="s">
        <v>187</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188</v>
      </c>
      <c r="C5">
        <v>2018</v>
      </c>
      <c r="D5" t="s">
        <v>189</v>
      </c>
      <c r="E5" t="s">
        <v>190</v>
      </c>
      <c r="F5" t="s">
        <v>147</v>
      </c>
      <c r="G5" t="s">
        <v>121</v>
      </c>
      <c r="H5" t="s">
        <v>191</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192</v>
      </c>
      <c r="C6">
        <v>2021</v>
      </c>
      <c r="D6" t="s">
        <v>193</v>
      </c>
      <c r="E6" t="s">
        <v>19</v>
      </c>
      <c r="F6" t="s">
        <v>72</v>
      </c>
      <c r="G6" t="s">
        <v>194</v>
      </c>
      <c r="H6" t="s">
        <v>195</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196</v>
      </c>
      <c r="C7">
        <v>2013</v>
      </c>
      <c r="D7" t="s">
        <v>197</v>
      </c>
      <c r="E7" t="s">
        <v>198</v>
      </c>
      <c r="F7" t="s">
        <v>77</v>
      </c>
      <c r="G7" t="s">
        <v>199</v>
      </c>
      <c r="H7" t="s">
        <v>200</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205</v>
      </c>
      <c r="C8">
        <v>2005</v>
      </c>
      <c r="D8" t="s">
        <v>206</v>
      </c>
      <c r="E8" t="s">
        <v>38</v>
      </c>
      <c r="F8" t="s">
        <v>77</v>
      </c>
      <c r="G8" t="s">
        <v>207</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208</v>
      </c>
      <c r="C9">
        <v>2018</v>
      </c>
      <c r="D9" t="s">
        <v>209</v>
      </c>
      <c r="E9" t="s">
        <v>210</v>
      </c>
      <c r="F9" t="s">
        <v>136</v>
      </c>
      <c r="G9" t="s">
        <v>211</v>
      </c>
      <c r="H9" t="s">
        <v>212</v>
      </c>
      <c r="I9">
        <v>10</v>
      </c>
      <c r="J9">
        <v>0.3</v>
      </c>
      <c r="K9">
        <f>0.4*(3/4)</f>
        <v>0.30000000000000004</v>
      </c>
      <c r="L9">
        <v>10</v>
      </c>
      <c r="M9">
        <v>0.25</v>
      </c>
      <c r="N9">
        <f>0.4*(3/4)</f>
        <v>0.30000000000000004</v>
      </c>
      <c r="O9">
        <f t="shared" ref="O9:O11" si="20">SQRT(((I9-1)*POWER(K9,2) + (L9-1)*POWER(N9,2))/((I9-1)+(L9-1)))</f>
        <v>0.30000000000000004</v>
      </c>
      <c r="P9">
        <f t="shared" ref="P9:P11" si="21">(J9-M9)/O9</f>
        <v>0.1666666666666666</v>
      </c>
      <c r="Q9">
        <f t="shared" ref="Q9:Q11" si="22">P9*(1- (3/(4*(I9+L9)-9)))</f>
        <v>0.15962441314553985</v>
      </c>
      <c r="R9">
        <f t="shared" ref="R9:R11" si="23">SQRT((I9+L9)/(I9*L9)+(POWER(P9,2)/(2*(I9+L9))))</f>
        <v>0.44798933519052042</v>
      </c>
    </row>
    <row r="10" spans="1:18" x14ac:dyDescent="0.3">
      <c r="A10">
        <v>8</v>
      </c>
      <c r="B10" t="s">
        <v>97</v>
      </c>
      <c r="C10">
        <v>2016</v>
      </c>
      <c r="D10" t="s">
        <v>96</v>
      </c>
      <c r="E10" t="s">
        <v>98</v>
      </c>
      <c r="F10" t="s">
        <v>39</v>
      </c>
      <c r="G10" t="s">
        <v>100</v>
      </c>
      <c r="H10" t="s">
        <v>262</v>
      </c>
      <c r="I10">
        <v>32</v>
      </c>
      <c r="J10">
        <v>75</v>
      </c>
      <c r="K10">
        <f>J10/5</f>
        <v>15</v>
      </c>
      <c r="L10">
        <v>8</v>
      </c>
      <c r="M10">
        <v>25</v>
      </c>
      <c r="N10">
        <f>M10/12</f>
        <v>2.0833333333333335</v>
      </c>
      <c r="O10">
        <f t="shared" si="20"/>
        <v>13.577634419616274</v>
      </c>
      <c r="P10">
        <f t="shared" si="21"/>
        <v>3.6825266062372801</v>
      </c>
      <c r="Q10">
        <f t="shared" si="22"/>
        <v>3.6093638259809104</v>
      </c>
      <c r="R10">
        <f t="shared" si="23"/>
        <v>0.57075610164988011</v>
      </c>
    </row>
    <row r="11" spans="1:18" x14ac:dyDescent="0.3">
      <c r="A11">
        <v>9</v>
      </c>
      <c r="B11" t="s">
        <v>89</v>
      </c>
      <c r="C11">
        <v>2017</v>
      </c>
      <c r="D11" t="s">
        <v>90</v>
      </c>
      <c r="E11" t="s">
        <v>91</v>
      </c>
      <c r="F11" t="s">
        <v>77</v>
      </c>
      <c r="G11" t="s">
        <v>266</v>
      </c>
      <c r="H11" t="s">
        <v>267</v>
      </c>
      <c r="I11">
        <v>28</v>
      </c>
      <c r="J11">
        <v>15</v>
      </c>
      <c r="K11">
        <f>10*(3/4)</f>
        <v>7.5</v>
      </c>
      <c r="L11">
        <v>2</v>
      </c>
      <c r="M11">
        <v>5</v>
      </c>
      <c r="N11">
        <f>2*(3/4)</f>
        <v>1.5</v>
      </c>
      <c r="O11">
        <f t="shared" si="20"/>
        <v>7.370307223679931</v>
      </c>
      <c r="P11">
        <f t="shared" si="21"/>
        <v>1.3567955441356874</v>
      </c>
      <c r="Q11">
        <f t="shared" si="22"/>
        <v>1.3201253942941824</v>
      </c>
      <c r="R11">
        <f t="shared" si="23"/>
        <v>0.75259275498598399</v>
      </c>
    </row>
    <row r="12" spans="1:18" x14ac:dyDescent="0.3">
      <c r="A12">
        <v>10</v>
      </c>
      <c r="B12" t="s">
        <v>292</v>
      </c>
      <c r="C12">
        <v>2017</v>
      </c>
      <c r="D12" t="s">
        <v>293</v>
      </c>
      <c r="E12" t="s">
        <v>294</v>
      </c>
      <c r="F12" t="s">
        <v>136</v>
      </c>
      <c r="I12">
        <v>717</v>
      </c>
      <c r="J12">
        <v>599.13</v>
      </c>
      <c r="K12">
        <v>881.81</v>
      </c>
      <c r="L12">
        <v>413</v>
      </c>
      <c r="M12">
        <v>271.37</v>
      </c>
      <c r="N12">
        <v>578.65</v>
      </c>
      <c r="O12">
        <f t="shared" ref="O12" si="24">SQRT(((I12-1)*POWER(K12,2) + (L12-1)*POWER(N12,2))/((I12-1)+(L12-1)))</f>
        <v>784.77647027401667</v>
      </c>
      <c r="P12">
        <f t="shared" ref="P12" si="25">(J12-M12)/O12</f>
        <v>0.4176475880903483</v>
      </c>
      <c r="Q12">
        <f t="shared" ref="Q12" si="26">P12*(1- (3/(4*(I12+L12)-9)))</f>
        <v>0.41736983531618049</v>
      </c>
      <c r="R12">
        <f t="shared" ref="R12" si="27">SQRT((I12+L12)/(I12*L12)+(POWER(P12,2)/(2*(I12+L12))))</f>
        <v>6.2395423259094494E-2</v>
      </c>
    </row>
    <row r="13" spans="1:18" x14ac:dyDescent="0.3">
      <c r="A13">
        <v>11</v>
      </c>
      <c r="B13" t="s">
        <v>301</v>
      </c>
      <c r="C13">
        <v>2010</v>
      </c>
      <c r="D13" t="s">
        <v>302</v>
      </c>
      <c r="E13" t="s">
        <v>38</v>
      </c>
      <c r="F13" t="s">
        <v>77</v>
      </c>
      <c r="G13" t="s">
        <v>131</v>
      </c>
      <c r="H13" t="s">
        <v>303</v>
      </c>
      <c r="I13">
        <v>11</v>
      </c>
      <c r="J13">
        <v>800</v>
      </c>
      <c r="K13">
        <f>(1250/8)*(3/4)</f>
        <v>117.1875</v>
      </c>
      <c r="L13">
        <v>10</v>
      </c>
      <c r="M13">
        <v>700</v>
      </c>
      <c r="N13">
        <f>(1250/10)*(3/4)</f>
        <v>93.75</v>
      </c>
      <c r="O13">
        <f t="shared" ref="O13" si="28">SQRT(((I13-1)*POWER(K13,2) + (L13-1)*POWER(N13,2))/((I13-1)+(L13-1)))</f>
        <v>106.72903813975296</v>
      </c>
      <c r="P13">
        <f t="shared" ref="P13" si="29">(J13-M13)/O13</f>
        <v>0.93695213358016183</v>
      </c>
      <c r="Q13">
        <f t="shared" ref="Q13" si="30">P13*(1- (3/(4*(I13+L13)-9)))</f>
        <v>0.89947404823695531</v>
      </c>
      <c r="R13">
        <f t="shared" ref="R13" si="31">SQRT((I13+L13)/(I13*L13)+(POWER(P13,2)/(2*(I13+L13))))</f>
        <v>0.46022926788623608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5FBFA-590A-44E1-B3FD-3060EE11E94F}">
  <dimension ref="A1:R6"/>
  <sheetViews>
    <sheetView workbookViewId="0">
      <selection activeCell="I20" sqref="I20:J20"/>
    </sheetView>
  </sheetViews>
  <sheetFormatPr defaultRowHeight="14.4" x14ac:dyDescent="0.3"/>
  <cols>
    <col min="2" max="2" width="17.218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188</v>
      </c>
      <c r="C2">
        <v>2018</v>
      </c>
      <c r="D2" t="s">
        <v>189</v>
      </c>
      <c r="E2" t="s">
        <v>190</v>
      </c>
      <c r="F2" t="s">
        <v>147</v>
      </c>
      <c r="G2" t="s">
        <v>295</v>
      </c>
      <c r="H2" t="s">
        <v>296</v>
      </c>
      <c r="I2">
        <v>9</v>
      </c>
      <c r="J2">
        <v>585.14</v>
      </c>
      <c r="K2">
        <f>J2*(1.9/4.1)</f>
        <v>271.16243902439027</v>
      </c>
      <c r="L2">
        <v>10</v>
      </c>
      <c r="M2">
        <v>667.73</v>
      </c>
      <c r="N2">
        <f>M2*(1.5/7.1)</f>
        <v>141.06971830985918</v>
      </c>
      <c r="O2">
        <f t="shared" ref="O2:O5" si="0">SQRT(((I2-1)*POWER(K2,2) + (L2-1)*POWER(N2,2))/((I2-1)+(L2-1)))</f>
        <v>212.45602112623581</v>
      </c>
      <c r="P2">
        <f t="shared" ref="P2:P5" si="1">(J2-M2)/O2</f>
        <v>-0.38873927677920322</v>
      </c>
      <c r="Q2">
        <f t="shared" ref="Q2:Q5" si="2">P2*(1- (3/(4*(I2+L2)-9)))</f>
        <v>-0.37133304050550753</v>
      </c>
      <c r="R2">
        <f t="shared" ref="R2:R5" si="3">SQRT((I2+L2)/(I2*L2)+(POWER(P2,2)/(2*(I2+L2))))</f>
        <v>0.46377570711932226</v>
      </c>
    </row>
    <row r="3" spans="1:18" x14ac:dyDescent="0.3">
      <c r="A3">
        <v>1</v>
      </c>
      <c r="B3" t="s">
        <v>252</v>
      </c>
      <c r="C3">
        <v>2016</v>
      </c>
      <c r="D3" t="s">
        <v>253</v>
      </c>
      <c r="E3" t="s">
        <v>254</v>
      </c>
      <c r="H3" t="s">
        <v>255</v>
      </c>
      <c r="I3">
        <v>21</v>
      </c>
      <c r="J3">
        <v>2233.81</v>
      </c>
      <c r="K3">
        <v>678.08</v>
      </c>
      <c r="L3">
        <v>39</v>
      </c>
      <c r="M3">
        <v>3700.68</v>
      </c>
      <c r="N3">
        <v>1665.78</v>
      </c>
      <c r="O3">
        <f t="shared" si="0"/>
        <v>1405.8935313541519</v>
      </c>
      <c r="P3">
        <f t="shared" si="1"/>
        <v>-1.0433720386970666</v>
      </c>
      <c r="Q3">
        <f t="shared" si="2"/>
        <v>-1.0298217524802216</v>
      </c>
      <c r="R3">
        <f t="shared" si="3"/>
        <v>0.28693544573567509</v>
      </c>
    </row>
    <row r="4" spans="1:18" x14ac:dyDescent="0.3">
      <c r="A4">
        <v>2</v>
      </c>
      <c r="B4" t="s">
        <v>184</v>
      </c>
      <c r="C4">
        <v>2021</v>
      </c>
      <c r="D4" t="s">
        <v>185</v>
      </c>
      <c r="E4" t="s">
        <v>33</v>
      </c>
      <c r="F4" t="s">
        <v>77</v>
      </c>
      <c r="G4" t="s">
        <v>186</v>
      </c>
      <c r="H4" t="s">
        <v>249</v>
      </c>
      <c r="I4">
        <v>15</v>
      </c>
      <c r="J4">
        <v>4.2</v>
      </c>
      <c r="K4">
        <f>(4.6-3.9)*(3/4)</f>
        <v>0.5249999999999998</v>
      </c>
      <c r="L4">
        <v>18</v>
      </c>
      <c r="M4">
        <v>5.0999999999999996</v>
      </c>
      <c r="N4">
        <f>(6.2-4.3)*(3/4)</f>
        <v>1.4250000000000003</v>
      </c>
      <c r="O4">
        <f t="shared" si="0"/>
        <v>1.1126744154687436</v>
      </c>
      <c r="P4">
        <f t="shared" si="1"/>
        <v>-0.80886195232668368</v>
      </c>
      <c r="Q4">
        <f t="shared" si="2"/>
        <v>-0.78913361202603283</v>
      </c>
      <c r="R4">
        <f t="shared" si="3"/>
        <v>0.36350408118646782</v>
      </c>
    </row>
    <row r="5" spans="1:18" x14ac:dyDescent="0.3">
      <c r="A5">
        <v>3</v>
      </c>
      <c r="B5" t="s">
        <v>245</v>
      </c>
      <c r="C5">
        <v>2021</v>
      </c>
      <c r="D5" t="s">
        <v>246</v>
      </c>
      <c r="E5" t="s">
        <v>28</v>
      </c>
      <c r="F5" t="s">
        <v>77</v>
      </c>
      <c r="G5" t="s">
        <v>247</v>
      </c>
      <c r="H5" t="s">
        <v>298</v>
      </c>
      <c r="I5">
        <v>14</v>
      </c>
      <c r="J5">
        <v>21.75</v>
      </c>
      <c r="K5">
        <v>4.97</v>
      </c>
      <c r="L5">
        <v>23</v>
      </c>
      <c r="M5">
        <v>20.89</v>
      </c>
      <c r="N5">
        <v>4.03</v>
      </c>
      <c r="O5">
        <f t="shared" si="0"/>
        <v>4.4026339518844528</v>
      </c>
      <c r="P5">
        <f t="shared" si="1"/>
        <v>0.19533761139326491</v>
      </c>
      <c r="Q5">
        <f t="shared" si="2"/>
        <v>0.19112169172290669</v>
      </c>
      <c r="R5">
        <f t="shared" si="3"/>
        <v>0.33973881805449718</v>
      </c>
    </row>
    <row r="6" spans="1:18" x14ac:dyDescent="0.3">
      <c r="A6">
        <v>4</v>
      </c>
      <c r="B6" t="s">
        <v>192</v>
      </c>
      <c r="C6">
        <v>2021</v>
      </c>
      <c r="D6" t="s">
        <v>193</v>
      </c>
      <c r="E6" t="s">
        <v>19</v>
      </c>
      <c r="F6" t="s">
        <v>72</v>
      </c>
      <c r="G6" t="s">
        <v>194</v>
      </c>
      <c r="H6" t="s">
        <v>304</v>
      </c>
      <c r="I6">
        <v>12</v>
      </c>
      <c r="J6">
        <v>7.39</v>
      </c>
      <c r="K6">
        <f>150*(3/4)</f>
        <v>112.5</v>
      </c>
      <c r="L6">
        <v>1</v>
      </c>
      <c r="M6">
        <v>10.210000000000001</v>
      </c>
      <c r="N6">
        <f>50*(3/4)</f>
        <v>37.5</v>
      </c>
      <c r="O6">
        <f t="shared" ref="O6" si="4">SQRT(((I6-1)*POWER(K6,2) + (L6-1)*POWER(N6,2))/((I6-1)+(L6-1)))</f>
        <v>112.5</v>
      </c>
      <c r="P6">
        <f t="shared" ref="P6" si="5">(J6-M6)/O6</f>
        <v>-2.5066666666666678E-2</v>
      </c>
      <c r="Q6">
        <f t="shared" ref="Q6" si="6">P6*(1- (3/(4*(I6+L6)-9)))</f>
        <v>-2.3317829457364353E-2</v>
      </c>
      <c r="R6">
        <f t="shared" ref="R6" si="7">SQRT((I6+L6)/(I6*L6)+(POWER(P6,2)/(2*(I6+L6))))</f>
        <v>1.0408446090415899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1"/>
  <sheetViews>
    <sheetView workbookViewId="0">
      <selection activeCell="F11" sqref="F11"/>
    </sheetView>
  </sheetViews>
  <sheetFormatPr defaultRowHeight="14.4" x14ac:dyDescent="0.3"/>
  <cols>
    <col min="2" max="2" width="20.66406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192</v>
      </c>
      <c r="C2">
        <v>2021</v>
      </c>
      <c r="D2" t="s">
        <v>193</v>
      </c>
      <c r="E2" t="s">
        <v>19</v>
      </c>
      <c r="F2" t="s">
        <v>72</v>
      </c>
      <c r="G2" t="s">
        <v>194</v>
      </c>
      <c r="H2" t="s">
        <v>195</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245</v>
      </c>
      <c r="C3">
        <v>2021</v>
      </c>
      <c r="D3" t="s">
        <v>246</v>
      </c>
      <c r="E3" t="s">
        <v>28</v>
      </c>
      <c r="F3" t="s">
        <v>77</v>
      </c>
      <c r="G3" t="s">
        <v>247</v>
      </c>
      <c r="H3" t="s">
        <v>248</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182</v>
      </c>
      <c r="C4">
        <v>2006</v>
      </c>
      <c r="D4" t="s">
        <v>183</v>
      </c>
      <c r="E4" t="s">
        <v>38</v>
      </c>
      <c r="F4" t="s">
        <v>77</v>
      </c>
      <c r="G4" t="s">
        <v>157</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184</v>
      </c>
      <c r="C5">
        <v>2021</v>
      </c>
      <c r="D5" t="s">
        <v>185</v>
      </c>
      <c r="E5" t="s">
        <v>33</v>
      </c>
      <c r="F5" t="s">
        <v>77</v>
      </c>
      <c r="G5" t="s">
        <v>186</v>
      </c>
      <c r="H5" t="s">
        <v>249</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175</v>
      </c>
      <c r="C6">
        <v>2017</v>
      </c>
      <c r="D6" t="s">
        <v>176</v>
      </c>
      <c r="E6" t="s">
        <v>33</v>
      </c>
      <c r="F6" t="s">
        <v>77</v>
      </c>
      <c r="G6" t="s">
        <v>121</v>
      </c>
      <c r="H6" t="s">
        <v>177</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31</v>
      </c>
      <c r="C7">
        <v>2009</v>
      </c>
      <c r="D7" t="s">
        <v>32</v>
      </c>
      <c r="E7" t="s">
        <v>33</v>
      </c>
      <c r="F7" t="s">
        <v>136</v>
      </c>
      <c r="G7" t="s">
        <v>250</v>
      </c>
      <c r="H7" t="s">
        <v>251</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89</v>
      </c>
      <c r="C8">
        <v>2013</v>
      </c>
      <c r="D8" t="s">
        <v>178</v>
      </c>
      <c r="E8" t="s">
        <v>38</v>
      </c>
      <c r="F8" t="s">
        <v>77</v>
      </c>
      <c r="H8" t="s">
        <v>177</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252</v>
      </c>
      <c r="C9">
        <v>2016</v>
      </c>
      <c r="D9" t="s">
        <v>253</v>
      </c>
      <c r="E9" t="s">
        <v>254</v>
      </c>
      <c r="H9" t="s">
        <v>255</v>
      </c>
      <c r="I9">
        <v>21</v>
      </c>
      <c r="J9">
        <v>219.22</v>
      </c>
      <c r="K9">
        <v>60.81</v>
      </c>
      <c r="L9">
        <v>39</v>
      </c>
      <c r="M9">
        <v>386.7</v>
      </c>
      <c r="N9">
        <v>172.87</v>
      </c>
      <c r="O9">
        <f t="shared" ref="O9:O11" si="16">SQRT(((I9-1)*POWER(K9,2) + (L9-1)*POWER(N9,2))/((I9-1)+(L9-1)))</f>
        <v>144.41024680665365</v>
      </c>
      <c r="P9">
        <f t="shared" ref="P9:P11" si="17">(J9-M9)/O9</f>
        <v>-1.1597514975805956</v>
      </c>
      <c r="Q9">
        <f t="shared" ref="Q9:Q11" si="18">P9*(1- (3/(4*(I9+L9)-9)))</f>
        <v>-1.1446897898198087</v>
      </c>
      <c r="R9">
        <f t="shared" ref="R9:R11" si="19">SQRT((I9+L9)/(I9*L9)+(POWER(P9,2)/(2*(I9+L9))))</f>
        <v>0.29063482710767857</v>
      </c>
    </row>
    <row r="10" spans="1:18" x14ac:dyDescent="0.3">
      <c r="A10">
        <v>9</v>
      </c>
      <c r="B10" t="s">
        <v>188</v>
      </c>
      <c r="C10">
        <v>2018</v>
      </c>
      <c r="D10" t="s">
        <v>189</v>
      </c>
      <c r="E10" t="s">
        <v>190</v>
      </c>
      <c r="F10" t="s">
        <v>147</v>
      </c>
      <c r="G10" t="s">
        <v>295</v>
      </c>
      <c r="H10" t="s">
        <v>296</v>
      </c>
      <c r="I10">
        <v>9</v>
      </c>
      <c r="J10">
        <v>70.11</v>
      </c>
      <c r="K10">
        <f>J10*(1.9/4.1)</f>
        <v>32.49</v>
      </c>
      <c r="L10">
        <v>10</v>
      </c>
      <c r="M10">
        <v>78.010000000000005</v>
      </c>
      <c r="N10">
        <f>M10*(1.5/7.1)</f>
        <v>16.480985915492962</v>
      </c>
      <c r="O10">
        <f t="shared" si="16"/>
        <v>25.309155365923935</v>
      </c>
      <c r="P10">
        <f t="shared" si="17"/>
        <v>-0.31214000964396105</v>
      </c>
      <c r="Q10">
        <f t="shared" si="18"/>
        <v>-0.29816359130169412</v>
      </c>
      <c r="R10">
        <f t="shared" si="19"/>
        <v>0.46225003509273027</v>
      </c>
    </row>
    <row r="11" spans="1:18" x14ac:dyDescent="0.3">
      <c r="A11">
        <v>10</v>
      </c>
      <c r="B11" t="s">
        <v>149</v>
      </c>
      <c r="C11">
        <v>2012</v>
      </c>
      <c r="D11" t="s">
        <v>150</v>
      </c>
      <c r="E11" t="s">
        <v>87</v>
      </c>
      <c r="F11" t="s">
        <v>77</v>
      </c>
      <c r="G11" t="s">
        <v>131</v>
      </c>
      <c r="H11" t="s">
        <v>300</v>
      </c>
      <c r="I11">
        <v>4</v>
      </c>
      <c r="J11">
        <v>1.94</v>
      </c>
      <c r="K11">
        <v>0.26</v>
      </c>
      <c r="L11">
        <v>4</v>
      </c>
      <c r="M11">
        <v>1.92</v>
      </c>
      <c r="N11">
        <v>0.33</v>
      </c>
      <c r="O11">
        <f t="shared" si="16"/>
        <v>0.297069015550259</v>
      </c>
      <c r="P11">
        <f t="shared" si="17"/>
        <v>6.7324422787594151E-2</v>
      </c>
      <c r="Q11">
        <f t="shared" si="18"/>
        <v>5.8542976337038394E-2</v>
      </c>
      <c r="R11">
        <f t="shared" si="19"/>
        <v>0.70730706635730722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sqref="A1:R1"/>
    </sheetView>
  </sheetViews>
  <sheetFormatPr defaultRowHeight="14.4" x14ac:dyDescent="0.3"/>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67</v>
      </c>
      <c r="E2" t="s">
        <v>14</v>
      </c>
      <c r="F2" t="s">
        <v>68</v>
      </c>
      <c r="G2" t="s">
        <v>20</v>
      </c>
      <c r="H2" t="s">
        <v>69</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82</v>
      </c>
      <c r="C3">
        <v>1996</v>
      </c>
      <c r="D3" t="s">
        <v>81</v>
      </c>
      <c r="E3" t="s">
        <v>83</v>
      </c>
      <c r="F3" t="s">
        <v>77</v>
      </c>
      <c r="G3" t="s">
        <v>84</v>
      </c>
      <c r="H3" t="s">
        <v>85</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7"/>
  <sheetViews>
    <sheetView workbookViewId="0">
      <selection activeCell="F12" sqref="F12"/>
    </sheetView>
  </sheetViews>
  <sheetFormatPr defaultRowHeight="14.4" x14ac:dyDescent="0.3"/>
  <cols>
    <col min="2" max="2" width="19.7773437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8</v>
      </c>
      <c r="C2">
        <v>2022</v>
      </c>
      <c r="D2" t="s">
        <v>86</v>
      </c>
      <c r="E2" t="s">
        <v>87</v>
      </c>
      <c r="F2" t="s">
        <v>68</v>
      </c>
      <c r="G2" t="s">
        <v>20</v>
      </c>
      <c r="H2" t="s">
        <v>88</v>
      </c>
      <c r="I2">
        <v>25</v>
      </c>
      <c r="J2">
        <f>0.78316-0.25485</f>
        <v>0.52830999999999995</v>
      </c>
      <c r="K2">
        <v>9.4689999999999996E-2</v>
      </c>
      <c r="L2">
        <v>25</v>
      </c>
      <c r="M2">
        <v>0.78315999999999997</v>
      </c>
      <c r="N2">
        <v>6.6960000000000006E-2</v>
      </c>
      <c r="O2">
        <f t="shared" ref="O2:O7" si="0">SQRT(((I2-1)*POWER(K2,2) + (L2-1)*POWER(N2,2))/((I2-1)+(L2-1)))</f>
        <v>8.2005602552508564E-2</v>
      </c>
      <c r="P2">
        <f t="shared" ref="P2:P7" si="1">(J2-M2)/O2</f>
        <v>-3.1077144983700156</v>
      </c>
      <c r="Q2">
        <f t="shared" ref="Q2:Q7" si="2">P2*(1- (3/(4*(I2+L2)-9)))</f>
        <v>-3.0589022287621095</v>
      </c>
      <c r="R2">
        <f t="shared" ref="R2:R7" si="3">SQRT((I2+L2)/(I2*L2)+(POWER(P2,2)/(2*(I2+L2))))</f>
        <v>0.42021291512017095</v>
      </c>
    </row>
    <row r="3" spans="1:18" x14ac:dyDescent="0.3">
      <c r="A3">
        <v>1</v>
      </c>
      <c r="B3" t="s">
        <v>89</v>
      </c>
      <c r="C3">
        <v>2017</v>
      </c>
      <c r="D3" t="s">
        <v>90</v>
      </c>
      <c r="E3" t="s">
        <v>91</v>
      </c>
      <c r="F3" t="s">
        <v>77</v>
      </c>
      <c r="G3" t="s">
        <v>92</v>
      </c>
      <c r="H3" t="s">
        <v>93</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94</v>
      </c>
      <c r="C4">
        <v>2022</v>
      </c>
      <c r="D4" t="s">
        <v>95</v>
      </c>
      <c r="E4" t="s">
        <v>87</v>
      </c>
      <c r="H4" t="s">
        <v>99</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97</v>
      </c>
      <c r="C5">
        <v>2016</v>
      </c>
      <c r="D5" t="s">
        <v>96</v>
      </c>
      <c r="E5" t="s">
        <v>98</v>
      </c>
      <c r="F5" t="s">
        <v>77</v>
      </c>
      <c r="G5" t="s">
        <v>100</v>
      </c>
      <c r="H5" t="s">
        <v>101</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102</v>
      </c>
      <c r="C6">
        <v>2021</v>
      </c>
      <c r="D6" t="s">
        <v>103</v>
      </c>
      <c r="E6" t="s">
        <v>14</v>
      </c>
      <c r="G6" t="s">
        <v>104</v>
      </c>
      <c r="H6" t="s">
        <v>105</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241</v>
      </c>
      <c r="C7">
        <v>2022</v>
      </c>
      <c r="D7" t="s">
        <v>240</v>
      </c>
      <c r="E7" t="s">
        <v>242</v>
      </c>
      <c r="F7" t="s">
        <v>77</v>
      </c>
      <c r="G7" t="s">
        <v>243</v>
      </c>
      <c r="H7" t="s">
        <v>244</v>
      </c>
      <c r="I7">
        <v>6</v>
      </c>
      <c r="J7">
        <v>2</v>
      </c>
      <c r="K7">
        <f>(2-1.25)*(3/4)</f>
        <v>0.5625</v>
      </c>
      <c r="L7">
        <v>44</v>
      </c>
      <c r="M7">
        <v>4</v>
      </c>
      <c r="N7">
        <f>(4-3)*(3/4)</f>
        <v>0.75</v>
      </c>
      <c r="O7">
        <f t="shared" si="0"/>
        <v>0.73271088048083466</v>
      </c>
      <c r="P7">
        <f t="shared" si="1"/>
        <v>-2.7295896011364245</v>
      </c>
      <c r="Q7">
        <f t="shared" si="2"/>
        <v>-2.6867164660400409</v>
      </c>
      <c r="R7">
        <f t="shared" si="3"/>
        <v>0.51371250062681983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8"/>
  <sheetViews>
    <sheetView workbookViewId="0">
      <selection activeCell="A8" sqref="A8:R8"/>
    </sheetView>
  </sheetViews>
  <sheetFormatPr defaultRowHeight="14.4" x14ac:dyDescent="0.3"/>
  <cols>
    <col min="2" max="2" width="20.33203125" customWidth="1"/>
  </cols>
  <sheetData>
    <row r="1" spans="1:18" x14ac:dyDescent="0.3">
      <c r="A1" t="s">
        <v>25</v>
      </c>
      <c r="B1" t="s">
        <v>0</v>
      </c>
      <c r="C1" t="s">
        <v>1</v>
      </c>
      <c r="D1" t="s">
        <v>2</v>
      </c>
      <c r="E1" t="s">
        <v>13</v>
      </c>
      <c r="F1" t="s">
        <v>263</v>
      </c>
      <c r="G1" t="s">
        <v>264</v>
      </c>
      <c r="H1" t="s">
        <v>265</v>
      </c>
      <c r="I1" t="s">
        <v>4</v>
      </c>
      <c r="J1" t="s">
        <v>3</v>
      </c>
      <c r="K1" t="s">
        <v>5</v>
      </c>
      <c r="L1" t="s">
        <v>6</v>
      </c>
      <c r="M1" t="s">
        <v>7</v>
      </c>
      <c r="N1" t="s">
        <v>10</v>
      </c>
      <c r="O1" t="s">
        <v>21</v>
      </c>
      <c r="P1" t="s">
        <v>22</v>
      </c>
      <c r="Q1" t="s">
        <v>23</v>
      </c>
      <c r="R1" t="s">
        <v>24</v>
      </c>
    </row>
    <row r="2" spans="1:18" x14ac:dyDescent="0.3">
      <c r="A2">
        <v>0</v>
      </c>
      <c r="B2" t="s">
        <v>106</v>
      </c>
      <c r="C2">
        <v>2020</v>
      </c>
      <c r="D2" t="s">
        <v>107</v>
      </c>
      <c r="E2" t="s">
        <v>108</v>
      </c>
      <c r="F2" t="s">
        <v>109</v>
      </c>
      <c r="G2" t="s">
        <v>110</v>
      </c>
      <c r="H2" t="s">
        <v>111</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112</v>
      </c>
      <c r="C3">
        <v>2019</v>
      </c>
      <c r="D3" t="s">
        <v>113</v>
      </c>
      <c r="E3" t="s">
        <v>114</v>
      </c>
      <c r="F3" t="s">
        <v>115</v>
      </c>
      <c r="G3" t="s">
        <v>116</v>
      </c>
      <c r="H3" t="s">
        <v>117</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118</v>
      </c>
      <c r="C4">
        <v>2018</v>
      </c>
      <c r="D4" t="s">
        <v>119</v>
      </c>
      <c r="E4" t="s">
        <v>120</v>
      </c>
      <c r="F4" t="s">
        <v>72</v>
      </c>
      <c r="G4" t="s">
        <v>121</v>
      </c>
      <c r="H4" t="s">
        <v>122</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123</v>
      </c>
      <c r="C5">
        <v>2019</v>
      </c>
      <c r="D5" t="s">
        <v>124</v>
      </c>
      <c r="E5" t="s">
        <v>125</v>
      </c>
      <c r="F5" t="s">
        <v>77</v>
      </c>
      <c r="G5" t="s">
        <v>126</v>
      </c>
      <c r="H5" t="s">
        <v>127</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134</v>
      </c>
      <c r="C6">
        <v>2020</v>
      </c>
      <c r="D6" t="s">
        <v>133</v>
      </c>
      <c r="E6" t="s">
        <v>135</v>
      </c>
      <c r="F6" t="s">
        <v>136</v>
      </c>
      <c r="G6" t="s">
        <v>137</v>
      </c>
      <c r="H6" t="s">
        <v>138</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139</v>
      </c>
      <c r="C7">
        <v>2018</v>
      </c>
      <c r="D7" t="s">
        <v>141</v>
      </c>
      <c r="E7" t="s">
        <v>140</v>
      </c>
      <c r="F7" t="s">
        <v>77</v>
      </c>
      <c r="G7" t="s">
        <v>142</v>
      </c>
      <c r="H7" t="s">
        <v>143</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row r="8" spans="1:18" x14ac:dyDescent="0.3">
      <c r="A8">
        <v>6</v>
      </c>
      <c r="B8" t="s">
        <v>335</v>
      </c>
      <c r="C8">
        <v>2018</v>
      </c>
      <c r="D8" t="s">
        <v>336</v>
      </c>
      <c r="E8" t="s">
        <v>320</v>
      </c>
      <c r="F8" t="s">
        <v>77</v>
      </c>
      <c r="G8" t="s">
        <v>337</v>
      </c>
      <c r="H8" t="s">
        <v>338</v>
      </c>
      <c r="I8">
        <v>2</v>
      </c>
      <c r="J8">
        <v>4.9000000000000004</v>
      </c>
      <c r="K8">
        <f>(6.7-3.6)*(3/4)</f>
        <v>2.3250000000000002</v>
      </c>
      <c r="L8">
        <v>2</v>
      </c>
      <c r="M8">
        <v>4.1500000000000004</v>
      </c>
      <c r="N8">
        <f>(6.4-4)*(3/4)</f>
        <v>1.8000000000000003</v>
      </c>
      <c r="O8">
        <f t="shared" ref="O8" si="4">SQRT(((I8-1)*POWER(K8,2) + (L8-1)*POWER(N8,2))/((I8-1)+(L8-1)))</f>
        <v>2.0791374413443671</v>
      </c>
      <c r="P8">
        <f t="shared" ref="P8" si="5">(J8-M8)/O8</f>
        <v>0.36072651335404321</v>
      </c>
      <c r="Q8">
        <f t="shared" ref="Q8" si="6">P8*(1- (3/(4*(I8+L8)-9)))</f>
        <v>0.20612943620231039</v>
      </c>
      <c r="R8">
        <f t="shared" ref="R8" si="7">SQRT((I8+L8)/(I8*L8)+(POWER(P8,2)/(2*(I8+L8))))</f>
        <v>1.0080999217238193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task_time</vt:lpstr>
      <vt:lpstr>tool_path_length</vt:lpstr>
      <vt:lpstr>tool_idle</vt:lpstr>
      <vt:lpstr>tool_jerk</vt:lpstr>
      <vt:lpstr>tool_acceleration</vt:lpstr>
      <vt:lpstr>tool_velocity</vt:lpstr>
      <vt:lpstr>tool_grasps</vt:lpstr>
      <vt:lpstr>tool_bimanual</vt:lpstr>
      <vt:lpstr>pupil_dilation</vt:lpstr>
      <vt:lpstr>tool_movements</vt:lpstr>
      <vt:lpstr>pupil_blinks</vt:lpstr>
      <vt:lpstr>scale_UWOMSAb</vt:lpstr>
      <vt:lpstr>tool_force</vt:lpstr>
      <vt:lpstr>scale_OSATS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2022-06-22T09:45:45Z</dcterms:modified>
</cp:coreProperties>
</file>